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South KY\Analysis\"/>
    </mc:Choice>
  </mc:AlternateContent>
  <xr:revisionPtr revIDLastSave="0" documentId="13_ncr:1_{2076964D-F4ED-4E35-9D26-EBFFC8E9CDC9}" xr6:coauthVersionLast="46" xr6:coauthVersionMax="46" xr10:uidLastSave="{00000000-0000-0000-0000-000000000000}"/>
  <bookViews>
    <workbookView xWindow="-108" yWindow="-108" windowWidth="23256" windowHeight="12576" activeTab="1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Detail'!$A$1:$R$232</definedName>
    <definedName name="_xlnm.Print_Area" localSheetId="2">'Notice Table'!$A$1:$G$100</definedName>
    <definedName name="_xlnm.Print_Area" localSheetId="0">Summary!$A$1:$O$33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3" l="1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F70" i="3"/>
  <c r="E70" i="3"/>
  <c r="E98" i="1" l="1"/>
  <c r="I92" i="1"/>
  <c r="I132" i="1" l="1"/>
  <c r="I120" i="1"/>
  <c r="I108" i="1"/>
  <c r="I76" i="1"/>
  <c r="I60" i="1"/>
  <c r="I47" i="1"/>
  <c r="I35" i="1"/>
  <c r="I23" i="1"/>
  <c r="I11" i="1"/>
  <c r="E82" i="1"/>
  <c r="E128" i="3" s="1"/>
  <c r="E53" i="1"/>
  <c r="E29" i="1"/>
  <c r="E124" i="3" s="1"/>
  <c r="E39" i="3" l="1"/>
  <c r="F39" i="3"/>
  <c r="E35" i="3"/>
  <c r="F35" i="3"/>
  <c r="E36" i="3"/>
  <c r="F36" i="3"/>
  <c r="E37" i="3"/>
  <c r="F37" i="3"/>
  <c r="E38" i="3"/>
  <c r="F38" i="3"/>
  <c r="E28" i="3"/>
  <c r="F28" i="3"/>
  <c r="E29" i="3"/>
  <c r="F29" i="3"/>
  <c r="E30" i="3"/>
  <c r="F30" i="3"/>
  <c r="E31" i="3"/>
  <c r="F31" i="3"/>
  <c r="E32" i="3"/>
  <c r="F32" i="3"/>
  <c r="E23" i="3"/>
  <c r="F23" i="3"/>
  <c r="E24" i="3"/>
  <c r="F24" i="3"/>
  <c r="E25" i="3"/>
  <c r="F25" i="3"/>
  <c r="E21" i="3"/>
  <c r="F21" i="3"/>
  <c r="E22" i="3"/>
  <c r="F22" i="3"/>
  <c r="F20" i="3"/>
  <c r="E20" i="3"/>
  <c r="E17" i="3"/>
  <c r="F17" i="3"/>
  <c r="E18" i="3"/>
  <c r="F18" i="3"/>
  <c r="E126" i="1"/>
  <c r="C81" i="3"/>
  <c r="D81" i="3"/>
  <c r="C50" i="3"/>
  <c r="D50" i="3"/>
  <c r="D46" i="3"/>
  <c r="C46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F47" i="3"/>
  <c r="F48" i="3"/>
  <c r="E49" i="3"/>
  <c r="F49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N228" i="1"/>
  <c r="G225" i="1"/>
  <c r="G226" i="1"/>
  <c r="F130" i="1"/>
  <c r="F118" i="1"/>
  <c r="F106" i="1"/>
  <c r="F89" i="1"/>
  <c r="G89" i="1" s="1"/>
  <c r="F90" i="1"/>
  <c r="F74" i="1"/>
  <c r="F58" i="1"/>
  <c r="F45" i="1"/>
  <c r="F33" i="1"/>
  <c r="F21" i="1"/>
  <c r="F129" i="1"/>
  <c r="F117" i="1"/>
  <c r="F105" i="1"/>
  <c r="G105" i="1" s="1"/>
  <c r="F104" i="1"/>
  <c r="G104" i="1" s="1"/>
  <c r="F103" i="1"/>
  <c r="G103" i="1" s="1"/>
  <c r="F102" i="1"/>
  <c r="G102" i="1" s="1"/>
  <c r="F101" i="1"/>
  <c r="F88" i="1"/>
  <c r="G88" i="1" s="1"/>
  <c r="F87" i="1"/>
  <c r="F86" i="1"/>
  <c r="F85" i="1"/>
  <c r="F73" i="1"/>
  <c r="F72" i="1"/>
  <c r="F71" i="1"/>
  <c r="F70" i="1"/>
  <c r="F69" i="1"/>
  <c r="F57" i="1"/>
  <c r="F56" i="1"/>
  <c r="F32" i="1"/>
  <c r="F9" i="1"/>
  <c r="F8" i="1"/>
  <c r="E41" i="1"/>
  <c r="I225" i="1"/>
  <c r="I201" i="1"/>
  <c r="G201" i="1"/>
  <c r="I200" i="1"/>
  <c r="G200" i="1"/>
  <c r="I199" i="1"/>
  <c r="G199" i="1"/>
  <c r="I198" i="1"/>
  <c r="G198" i="1"/>
  <c r="I197" i="1"/>
  <c r="G197" i="1"/>
  <c r="I196" i="1"/>
  <c r="G196" i="1"/>
  <c r="I195" i="1"/>
  <c r="G195" i="1"/>
  <c r="I194" i="1"/>
  <c r="G194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62" i="1"/>
  <c r="G162" i="1"/>
  <c r="I161" i="1"/>
  <c r="G161" i="1"/>
  <c r="I160" i="1"/>
  <c r="I159" i="1"/>
  <c r="G159" i="1"/>
  <c r="I158" i="1"/>
  <c r="G158" i="1"/>
  <c r="I157" i="1"/>
  <c r="G157" i="1"/>
  <c r="I156" i="1"/>
  <c r="G156" i="1"/>
  <c r="I155" i="1"/>
  <c r="G155" i="1"/>
  <c r="I154" i="1"/>
  <c r="G154" i="1"/>
  <c r="I153" i="1"/>
  <c r="G153" i="1"/>
  <c r="I152" i="1"/>
  <c r="G152" i="1"/>
  <c r="I151" i="1"/>
  <c r="G151" i="1"/>
  <c r="I150" i="1"/>
  <c r="G150" i="1"/>
  <c r="I148" i="1"/>
  <c r="G148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205" i="1"/>
  <c r="G205" i="1"/>
  <c r="I204" i="1"/>
  <c r="G204" i="1"/>
  <c r="I203" i="1"/>
  <c r="G203" i="1"/>
  <c r="I202" i="1"/>
  <c r="G202" i="1"/>
  <c r="I172" i="1"/>
  <c r="G172" i="1"/>
  <c r="I171" i="1"/>
  <c r="G171" i="1"/>
  <c r="I170" i="1"/>
  <c r="G170" i="1"/>
  <c r="I169" i="1"/>
  <c r="G169" i="1"/>
  <c r="I168" i="1"/>
  <c r="G168" i="1"/>
  <c r="I167" i="1"/>
  <c r="G167" i="1"/>
  <c r="I166" i="1"/>
  <c r="G166" i="1"/>
  <c r="I165" i="1"/>
  <c r="G165" i="1"/>
  <c r="I164" i="1"/>
  <c r="G164" i="1"/>
  <c r="I103" i="1"/>
  <c r="I104" i="1"/>
  <c r="I102" i="1"/>
  <c r="I105" i="1"/>
  <c r="I89" i="1"/>
  <c r="I88" i="1"/>
  <c r="I87" i="1" l="1"/>
  <c r="G87" i="1"/>
  <c r="I86" i="1"/>
  <c r="G86" i="1"/>
  <c r="I70" i="1"/>
  <c r="G70" i="1"/>
  <c r="I71" i="1"/>
  <c r="G71" i="1"/>
  <c r="I72" i="1"/>
  <c r="G72" i="1"/>
  <c r="I73" i="1"/>
  <c r="G73" i="1"/>
  <c r="I57" i="1"/>
  <c r="G57" i="1"/>
  <c r="G13" i="1"/>
  <c r="G14" i="1"/>
  <c r="G228" i="1" s="1"/>
  <c r="O70" i="1" l="1"/>
  <c r="I69" i="1" l="1"/>
  <c r="G69" i="1"/>
  <c r="E131" i="3"/>
  <c r="E138" i="1"/>
  <c r="E132" i="3" s="1"/>
  <c r="E114" i="1"/>
  <c r="E130" i="3" s="1"/>
  <c r="E129" i="3"/>
  <c r="E66" i="1"/>
  <c r="E127" i="3" s="1"/>
  <c r="E126" i="3"/>
  <c r="E125" i="3"/>
  <c r="E17" i="1" l="1"/>
  <c r="E123" i="3" s="1"/>
  <c r="E45" i="3" l="1"/>
  <c r="F45" i="3"/>
  <c r="F44" i="3"/>
  <c r="E44" i="3"/>
  <c r="C43" i="3"/>
  <c r="D43" i="3"/>
  <c r="E42" i="3"/>
  <c r="F42" i="3"/>
  <c r="F41" i="3"/>
  <c r="E41" i="3"/>
  <c r="C40" i="3"/>
  <c r="D40" i="3"/>
  <c r="F34" i="3"/>
  <c r="E34" i="3"/>
  <c r="C33" i="3"/>
  <c r="D33" i="3"/>
  <c r="F27" i="3"/>
  <c r="E27" i="3"/>
  <c r="C26" i="3"/>
  <c r="D26" i="3"/>
  <c r="C19" i="3"/>
  <c r="D19" i="3"/>
  <c r="F16" i="3"/>
  <c r="E16" i="3"/>
  <c r="C15" i="3"/>
  <c r="D15" i="3"/>
  <c r="E14" i="3"/>
  <c r="C13" i="3"/>
  <c r="D13" i="3"/>
  <c r="E12" i="3"/>
  <c r="F12" i="3"/>
  <c r="F11" i="3"/>
  <c r="E11" i="3"/>
  <c r="C10" i="3"/>
  <c r="D10" i="3"/>
  <c r="E9" i="3"/>
  <c r="C8" i="3"/>
  <c r="D8" i="3"/>
  <c r="E7" i="3"/>
  <c r="F7" i="3"/>
  <c r="F6" i="3"/>
  <c r="E6" i="3"/>
  <c r="C5" i="3"/>
  <c r="D5" i="3"/>
  <c r="I130" i="1" l="1"/>
  <c r="C16" i="2"/>
  <c r="C17" i="2"/>
  <c r="B17" i="2"/>
  <c r="B16" i="2"/>
  <c r="C114" i="3" l="1"/>
  <c r="C131" i="3"/>
  <c r="C115" i="3"/>
  <c r="C132" i="3"/>
  <c r="D115" i="3"/>
  <c r="D132" i="3"/>
  <c r="D131" i="3"/>
  <c r="D114" i="3"/>
  <c r="M132" i="1"/>
  <c r="N132" i="1" s="1"/>
  <c r="F14" i="3"/>
  <c r="F9" i="3"/>
  <c r="G136" i="1"/>
  <c r="I135" i="1"/>
  <c r="M135" i="1" s="1"/>
  <c r="I134" i="1"/>
  <c r="M134" i="1" s="1"/>
  <c r="N134" i="1" s="1"/>
  <c r="I133" i="1"/>
  <c r="M133" i="1" s="1"/>
  <c r="N133" i="1" s="1"/>
  <c r="G130" i="1"/>
  <c r="I129" i="1"/>
  <c r="G129" i="1"/>
  <c r="H21" i="2"/>
  <c r="G131" i="1" l="1"/>
  <c r="D17" i="2" s="1"/>
  <c r="I136" i="1"/>
  <c r="I131" i="1"/>
  <c r="M136" i="1"/>
  <c r="A1" i="3"/>
  <c r="G137" i="1" l="1"/>
  <c r="G138" i="1" s="1"/>
  <c r="E17" i="2"/>
  <c r="I137" i="1"/>
  <c r="I138" i="1" s="1"/>
  <c r="N136" i="1"/>
  <c r="J130" i="1"/>
  <c r="J129" i="1"/>
  <c r="L31" i="2"/>
  <c r="G124" i="1"/>
  <c r="I123" i="1"/>
  <c r="M123" i="1" s="1"/>
  <c r="I122" i="1"/>
  <c r="M122" i="1" s="1"/>
  <c r="N122" i="1" s="1"/>
  <c r="I121" i="1"/>
  <c r="M121" i="1" s="1"/>
  <c r="N121" i="1" s="1"/>
  <c r="M120" i="1"/>
  <c r="I118" i="1"/>
  <c r="G118" i="1"/>
  <c r="I117" i="1"/>
  <c r="G117" i="1"/>
  <c r="G17" i="2" l="1"/>
  <c r="J131" i="1"/>
  <c r="G119" i="1"/>
  <c r="D16" i="2" s="1"/>
  <c r="I119" i="1"/>
  <c r="N120" i="1"/>
  <c r="M124" i="1"/>
  <c r="I124" i="1"/>
  <c r="E16" i="2" l="1"/>
  <c r="G125" i="1"/>
  <c r="G126" i="1" s="1"/>
  <c r="J118" i="1"/>
  <c r="J117" i="1"/>
  <c r="I125" i="1"/>
  <c r="I126" i="1" s="1"/>
  <c r="N124" i="1"/>
  <c r="O124" i="1" s="1"/>
  <c r="G16" i="2" l="1"/>
  <c r="J119" i="1"/>
  <c r="G78" i="1" l="1"/>
  <c r="G227" i="1" s="1"/>
  <c r="C12" i="2" l="1"/>
  <c r="B12" i="2"/>
  <c r="C11" i="2"/>
  <c r="I74" i="1"/>
  <c r="G74" i="1"/>
  <c r="I58" i="1"/>
  <c r="G58" i="1"/>
  <c r="C127" i="3" l="1"/>
  <c r="C110" i="3"/>
  <c r="C126" i="3"/>
  <c r="C109" i="3"/>
  <c r="D127" i="3"/>
  <c r="D110" i="3"/>
  <c r="I21" i="1"/>
  <c r="G21" i="1"/>
  <c r="G64" i="1" l="1"/>
  <c r="I63" i="1"/>
  <c r="M63" i="1" s="1"/>
  <c r="I62" i="1"/>
  <c r="M62" i="1" s="1"/>
  <c r="N62" i="1" s="1"/>
  <c r="I61" i="1"/>
  <c r="M61" i="1" s="1"/>
  <c r="N61" i="1" s="1"/>
  <c r="M60" i="1"/>
  <c r="I56" i="1"/>
  <c r="G56" i="1"/>
  <c r="I45" i="1"/>
  <c r="G45" i="1"/>
  <c r="I33" i="1"/>
  <c r="G33" i="1"/>
  <c r="I59" i="1" l="1"/>
  <c r="J57" i="1" s="1"/>
  <c r="G59" i="1"/>
  <c r="N60" i="1"/>
  <c r="M64" i="1"/>
  <c r="I64" i="1"/>
  <c r="G65" i="1" l="1"/>
  <c r="G66" i="1" s="1"/>
  <c r="D12" i="2"/>
  <c r="E12" i="2"/>
  <c r="J58" i="1"/>
  <c r="I65" i="1"/>
  <c r="I66" i="1" s="1"/>
  <c r="J56" i="1"/>
  <c r="N64" i="1"/>
  <c r="O6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20" i="1"/>
  <c r="G12" i="2"/>
  <c r="J59" i="1"/>
  <c r="I111" i="1"/>
  <c r="M111" i="1" s="1"/>
  <c r="I109" i="1"/>
  <c r="M109" i="1" s="1"/>
  <c r="I95" i="1"/>
  <c r="M95" i="1" s="1"/>
  <c r="I94" i="1"/>
  <c r="I93" i="1"/>
  <c r="I79" i="1"/>
  <c r="M79" i="1" s="1"/>
  <c r="I78" i="1"/>
  <c r="I77" i="1"/>
  <c r="M77" i="1" s="1"/>
  <c r="I50" i="1"/>
  <c r="M50" i="1" s="1"/>
  <c r="I49" i="1"/>
  <c r="M49" i="1" s="1"/>
  <c r="I48" i="1"/>
  <c r="M48" i="1" s="1"/>
  <c r="I38" i="1"/>
  <c r="M38" i="1" s="1"/>
  <c r="I36" i="1"/>
  <c r="I26" i="1"/>
  <c r="M26" i="1" s="1"/>
  <c r="I25" i="1"/>
  <c r="M25" i="1" s="1"/>
  <c r="I24" i="1"/>
  <c r="M24" i="1" s="1"/>
  <c r="I14" i="1"/>
  <c r="I13" i="1"/>
  <c r="I12" i="1"/>
  <c r="B27" i="2"/>
  <c r="A173" i="1" l="1"/>
  <c r="A174" i="1" s="1"/>
  <c r="A175" i="1" s="1"/>
  <c r="A176" i="1" s="1"/>
  <c r="A177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I226" i="1"/>
  <c r="I228" i="1"/>
  <c r="E27" i="2" s="1"/>
  <c r="M13" i="1"/>
  <c r="M12" i="1"/>
  <c r="M94" i="1"/>
  <c r="M14" i="1"/>
  <c r="M228" i="1" s="1"/>
  <c r="M93" i="1"/>
  <c r="M78" i="1"/>
  <c r="I27" i="1"/>
  <c r="I51" i="1"/>
  <c r="M36" i="1"/>
  <c r="G39" i="1"/>
  <c r="G112" i="1"/>
  <c r="I37" i="1"/>
  <c r="M37" i="1" s="1"/>
  <c r="I110" i="1"/>
  <c r="G15" i="1"/>
  <c r="D27" i="2"/>
  <c r="G96" i="1"/>
  <c r="G80" i="1"/>
  <c r="G51" i="1"/>
  <c r="G27" i="1"/>
  <c r="I227" i="1" l="1"/>
  <c r="I229" i="1" s="1"/>
  <c r="J27" i="2"/>
  <c r="I96" i="1"/>
  <c r="I15" i="1"/>
  <c r="I80" i="1"/>
  <c r="I112" i="1"/>
  <c r="M110" i="1"/>
  <c r="I39" i="1"/>
  <c r="I213" i="1"/>
  <c r="G213" i="1"/>
  <c r="I212" i="1"/>
  <c r="G212" i="1"/>
  <c r="I211" i="1"/>
  <c r="G211" i="1"/>
  <c r="I210" i="1"/>
  <c r="G210" i="1"/>
  <c r="I209" i="1"/>
  <c r="G209" i="1"/>
  <c r="I208" i="1"/>
  <c r="G208" i="1"/>
  <c r="I207" i="1"/>
  <c r="G207" i="1"/>
  <c r="I206" i="1"/>
  <c r="G206" i="1"/>
  <c r="E26" i="2" l="1"/>
  <c r="E25" i="2"/>
  <c r="D26" i="2"/>
  <c r="D25" i="2"/>
  <c r="C10" i="2"/>
  <c r="C13" i="2"/>
  <c r="C14" i="2"/>
  <c r="C15" i="2"/>
  <c r="C18" i="2"/>
  <c r="B18" i="2"/>
  <c r="B15" i="2"/>
  <c r="B14" i="2"/>
  <c r="B13" i="2"/>
  <c r="B11" i="2"/>
  <c r="B10" i="2"/>
  <c r="C9" i="2"/>
  <c r="C8" i="2"/>
  <c r="B9" i="2"/>
  <c r="B8" i="2"/>
  <c r="N78" i="1"/>
  <c r="N77" i="1"/>
  <c r="M76" i="1"/>
  <c r="N49" i="1"/>
  <c r="N48" i="1"/>
  <c r="M47" i="1"/>
  <c r="N25" i="1"/>
  <c r="N24" i="1"/>
  <c r="M23" i="1"/>
  <c r="N36" i="1"/>
  <c r="M35" i="1"/>
  <c r="I32" i="1"/>
  <c r="G32" i="1"/>
  <c r="N94" i="1"/>
  <c r="N93" i="1"/>
  <c r="M92" i="1"/>
  <c r="I90" i="1"/>
  <c r="G90" i="1"/>
  <c r="I85" i="1"/>
  <c r="G85" i="1"/>
  <c r="N110" i="1"/>
  <c r="N109" i="1"/>
  <c r="M108" i="1"/>
  <c r="I106" i="1"/>
  <c r="G106" i="1"/>
  <c r="I101" i="1"/>
  <c r="G101" i="1"/>
  <c r="C125" i="3" l="1"/>
  <c r="C108" i="3"/>
  <c r="C123" i="3"/>
  <c r="C106" i="3"/>
  <c r="C116" i="3"/>
  <c r="C133" i="3"/>
  <c r="D133" i="3"/>
  <c r="D116" i="3"/>
  <c r="C130" i="3"/>
  <c r="C113" i="3"/>
  <c r="C107" i="3"/>
  <c r="C124" i="3"/>
  <c r="D125" i="3"/>
  <c r="D108" i="3"/>
  <c r="C112" i="3"/>
  <c r="C129" i="3"/>
  <c r="C111" i="3"/>
  <c r="C128" i="3"/>
  <c r="D130" i="3"/>
  <c r="D113" i="3"/>
  <c r="D112" i="3"/>
  <c r="D129" i="3"/>
  <c r="D128" i="3"/>
  <c r="D111" i="3"/>
  <c r="D126" i="3"/>
  <c r="D109" i="3"/>
  <c r="D107" i="3"/>
  <c r="D124" i="3"/>
  <c r="D106" i="3"/>
  <c r="D123" i="3"/>
  <c r="N23" i="1"/>
  <c r="M27" i="1"/>
  <c r="N108" i="1"/>
  <c r="M112" i="1"/>
  <c r="N92" i="1"/>
  <c r="M96" i="1"/>
  <c r="N76" i="1"/>
  <c r="M80" i="1"/>
  <c r="N47" i="1"/>
  <c r="M51" i="1"/>
  <c r="N35" i="1"/>
  <c r="M39" i="1"/>
  <c r="N39" i="1" s="1"/>
  <c r="O39" i="1" s="1"/>
  <c r="G229" i="1"/>
  <c r="E24" i="2"/>
  <c r="E28" i="2" s="1"/>
  <c r="G46" i="1"/>
  <c r="D11" i="2" s="1"/>
  <c r="D24" i="2"/>
  <c r="D28" i="2" s="1"/>
  <c r="G22" i="1"/>
  <c r="D9" i="2" s="1"/>
  <c r="G75" i="1"/>
  <c r="I75" i="1"/>
  <c r="I46" i="1"/>
  <c r="I22" i="1"/>
  <c r="G34" i="1"/>
  <c r="N37" i="1"/>
  <c r="I34" i="1"/>
  <c r="G91" i="1"/>
  <c r="G107" i="1"/>
  <c r="D15" i="2" s="1"/>
  <c r="I91" i="1"/>
  <c r="I107" i="1"/>
  <c r="J106" i="1" s="1"/>
  <c r="G163" i="1"/>
  <c r="G214" i="1" s="1"/>
  <c r="I163" i="1"/>
  <c r="I214" i="1" s="1"/>
  <c r="G219" i="1"/>
  <c r="M217" i="1"/>
  <c r="M227" i="1" s="1"/>
  <c r="M216" i="1"/>
  <c r="M226" i="1" s="1"/>
  <c r="M215" i="1"/>
  <c r="B25" i="2"/>
  <c r="B26" i="2"/>
  <c r="B24" i="2"/>
  <c r="M11" i="1"/>
  <c r="I9" i="1"/>
  <c r="I8" i="1"/>
  <c r="G9" i="1"/>
  <c r="G8" i="1"/>
  <c r="A2" i="1"/>
  <c r="A1" i="1"/>
  <c r="A8" i="2"/>
  <c r="A9" i="2" s="1"/>
  <c r="A10" i="2" s="1"/>
  <c r="A11" i="2" s="1"/>
  <c r="A12" i="2" s="1"/>
  <c r="A13" i="2" s="1"/>
  <c r="A14" i="2" s="1"/>
  <c r="M225" i="1" l="1"/>
  <c r="M229" i="1" s="1"/>
  <c r="J88" i="1"/>
  <c r="J89" i="1"/>
  <c r="J86" i="1"/>
  <c r="J87" i="1"/>
  <c r="J69" i="1"/>
  <c r="J71" i="1"/>
  <c r="J72" i="1"/>
  <c r="J73" i="1"/>
  <c r="J70" i="1"/>
  <c r="J74" i="1"/>
  <c r="J85" i="1"/>
  <c r="J90" i="1"/>
  <c r="J105" i="1"/>
  <c r="J102" i="1"/>
  <c r="J103" i="1"/>
  <c r="J104" i="1"/>
  <c r="J101" i="1"/>
  <c r="M15" i="1"/>
  <c r="N215" i="1"/>
  <c r="J21" i="1"/>
  <c r="E11" i="2"/>
  <c r="J45" i="1"/>
  <c r="N216" i="1"/>
  <c r="N217" i="1"/>
  <c r="J26" i="2"/>
  <c r="J33" i="1"/>
  <c r="J32" i="1"/>
  <c r="G52" i="1"/>
  <c r="G53" i="1" s="1"/>
  <c r="G28" i="1"/>
  <c r="G29" i="1" s="1"/>
  <c r="N12" i="1"/>
  <c r="J25" i="2"/>
  <c r="N13" i="1"/>
  <c r="N227" i="1" s="1"/>
  <c r="G81" i="1"/>
  <c r="G82" i="1" s="1"/>
  <c r="D13" i="2"/>
  <c r="G40" i="1"/>
  <c r="G41" i="1" s="1"/>
  <c r="D10" i="2"/>
  <c r="I52" i="1"/>
  <c r="I53" i="1" s="1"/>
  <c r="I40" i="1"/>
  <c r="I41" i="1" s="1"/>
  <c r="E10" i="2"/>
  <c r="I97" i="1"/>
  <c r="I98" i="1" s="1"/>
  <c r="E14" i="2"/>
  <c r="I113" i="1"/>
  <c r="I114" i="1" s="1"/>
  <c r="E15" i="2"/>
  <c r="G113" i="1"/>
  <c r="G114" i="1" s="1"/>
  <c r="G97" i="1"/>
  <c r="G98" i="1" s="1"/>
  <c r="D14" i="2"/>
  <c r="I28" i="1"/>
  <c r="I29" i="1" s="1"/>
  <c r="E9" i="2"/>
  <c r="I81" i="1"/>
  <c r="I82" i="1" s="1"/>
  <c r="E13" i="2"/>
  <c r="N51" i="1"/>
  <c r="O51" i="1" s="1"/>
  <c r="N80" i="1"/>
  <c r="O80" i="1" s="1"/>
  <c r="N27" i="1"/>
  <c r="O27" i="1" s="1"/>
  <c r="N96" i="1"/>
  <c r="O96" i="1" s="1"/>
  <c r="N112" i="1"/>
  <c r="O112" i="1" s="1"/>
  <c r="G10" i="1"/>
  <c r="G224" i="1" s="1"/>
  <c r="I10" i="1"/>
  <c r="I224" i="1" s="1"/>
  <c r="I230" i="1" s="1"/>
  <c r="I219" i="1"/>
  <c r="N11" i="1"/>
  <c r="N225" i="1" l="1"/>
  <c r="N226" i="1"/>
  <c r="J197" i="1"/>
  <c r="J199" i="1"/>
  <c r="J191" i="1"/>
  <c r="J200" i="1"/>
  <c r="J192" i="1"/>
  <c r="J201" i="1"/>
  <c r="J193" i="1"/>
  <c r="J185" i="1"/>
  <c r="J190" i="1"/>
  <c r="J187" i="1"/>
  <c r="J198" i="1"/>
  <c r="J189" i="1"/>
  <c r="J196" i="1"/>
  <c r="J194" i="1"/>
  <c r="J195" i="1"/>
  <c r="J186" i="1"/>
  <c r="J188" i="1"/>
  <c r="J144" i="1"/>
  <c r="J142" i="1"/>
  <c r="J160" i="1"/>
  <c r="J152" i="1"/>
  <c r="J156" i="1"/>
  <c r="J148" i="1"/>
  <c r="J146" i="1"/>
  <c r="J143" i="1"/>
  <c r="J154" i="1"/>
  <c r="J151" i="1"/>
  <c r="J155" i="1"/>
  <c r="J158" i="1"/>
  <c r="J145" i="1"/>
  <c r="J162" i="1"/>
  <c r="J147" i="1"/>
  <c r="J150" i="1"/>
  <c r="J159" i="1"/>
  <c r="J153" i="1"/>
  <c r="J161" i="1"/>
  <c r="J157" i="1"/>
  <c r="J203" i="1"/>
  <c r="J166" i="1"/>
  <c r="J170" i="1"/>
  <c r="J171" i="1"/>
  <c r="J165" i="1"/>
  <c r="J205" i="1"/>
  <c r="J202" i="1"/>
  <c r="J204" i="1"/>
  <c r="J169" i="1"/>
  <c r="J164" i="1"/>
  <c r="J167" i="1"/>
  <c r="J168" i="1"/>
  <c r="J172" i="1"/>
  <c r="G230" i="1"/>
  <c r="G13" i="2"/>
  <c r="G15" i="2"/>
  <c r="G11" i="2"/>
  <c r="G14" i="2"/>
  <c r="G9" i="2"/>
  <c r="G10" i="2"/>
  <c r="D18" i="2"/>
  <c r="J107" i="1"/>
  <c r="J46" i="1"/>
  <c r="J24" i="2"/>
  <c r="J28" i="2" s="1"/>
  <c r="J34" i="1"/>
  <c r="E18" i="2"/>
  <c r="J22" i="1"/>
  <c r="J91" i="1"/>
  <c r="J212" i="1"/>
  <c r="J213" i="1"/>
  <c r="J210" i="1"/>
  <c r="J211" i="1"/>
  <c r="J209" i="1"/>
  <c r="J207" i="1"/>
  <c r="J208" i="1"/>
  <c r="J206" i="1"/>
  <c r="J9" i="1"/>
  <c r="J8" i="1"/>
  <c r="J75" i="1"/>
  <c r="G220" i="1"/>
  <c r="E8" i="2"/>
  <c r="G16" i="1"/>
  <c r="D8" i="2"/>
  <c r="J163" i="1"/>
  <c r="I220" i="1"/>
  <c r="M219" i="1"/>
  <c r="I16" i="1"/>
  <c r="I17" i="1" s="1"/>
  <c r="N15" i="1"/>
  <c r="N229" i="1" l="1"/>
  <c r="G18" i="2"/>
  <c r="G8" i="2"/>
  <c r="D19" i="2"/>
  <c r="D21" i="2" s="1"/>
  <c r="D30" i="2" s="1"/>
  <c r="E19" i="2"/>
  <c r="G17" i="1"/>
  <c r="J214" i="1"/>
  <c r="N219" i="1"/>
  <c r="O219" i="1" s="1"/>
  <c r="J10" i="1"/>
  <c r="G19" i="2" l="1"/>
  <c r="E21" i="2"/>
  <c r="F17" i="2"/>
  <c r="F16" i="2"/>
  <c r="F12" i="2"/>
  <c r="F8" i="2"/>
  <c r="F11" i="2"/>
  <c r="F9" i="2"/>
  <c r="F18" i="2"/>
  <c r="F19" i="2"/>
  <c r="F21" i="2" s="1"/>
  <c r="F10" i="2"/>
  <c r="F15" i="2"/>
  <c r="F14" i="2"/>
  <c r="F13" i="2"/>
  <c r="H8" i="2" l="1"/>
  <c r="I8" i="2" s="1"/>
  <c r="K10" i="1" s="1"/>
  <c r="H9" i="2"/>
  <c r="I9" i="2" s="1"/>
  <c r="K22" i="1" s="1"/>
  <c r="H10" i="2"/>
  <c r="I10" i="2" s="1"/>
  <c r="K34" i="1" s="1"/>
  <c r="H11" i="2"/>
  <c r="I11" i="2" s="1"/>
  <c r="K46" i="1" s="1"/>
  <c r="H16" i="2"/>
  <c r="I16" i="2" s="1"/>
  <c r="K119" i="1" s="1"/>
  <c r="S119" i="1" s="1"/>
  <c r="L118" i="1" s="1"/>
  <c r="H18" i="2"/>
  <c r="I18" i="2" s="1"/>
  <c r="K214" i="1" s="1"/>
  <c r="H15" i="2"/>
  <c r="I15" i="2" s="1"/>
  <c r="K107" i="1" s="1"/>
  <c r="G21" i="2"/>
  <c r="H14" i="2"/>
  <c r="I14" i="2" s="1"/>
  <c r="K91" i="1" s="1"/>
  <c r="H17" i="2"/>
  <c r="I17" i="2" s="1"/>
  <c r="K131" i="1" s="1"/>
  <c r="H12" i="2"/>
  <c r="I12" i="2" s="1"/>
  <c r="K59" i="1" s="1"/>
  <c r="H13" i="2"/>
  <c r="I13" i="2" s="1"/>
  <c r="K75" i="1" s="1"/>
  <c r="E30" i="2"/>
  <c r="K76" i="1" l="1"/>
  <c r="S75" i="1"/>
  <c r="K23" i="1"/>
  <c r="S22" i="1"/>
  <c r="L21" i="1" s="1"/>
  <c r="S131" i="1"/>
  <c r="L130" i="1" s="1"/>
  <c r="K132" i="1"/>
  <c r="S214" i="1"/>
  <c r="L178" i="1" s="1"/>
  <c r="K215" i="1"/>
  <c r="S34" i="1"/>
  <c r="K35" i="1"/>
  <c r="S10" i="1"/>
  <c r="K11" i="1"/>
  <c r="S107" i="1"/>
  <c r="K108" i="1"/>
  <c r="S91" i="1"/>
  <c r="K92" i="1"/>
  <c r="S46" i="1"/>
  <c r="L45" i="1" s="1"/>
  <c r="K47" i="1"/>
  <c r="S59" i="1"/>
  <c r="L57" i="1" s="1"/>
  <c r="G17" i="3" s="1"/>
  <c r="J17" i="3" s="1"/>
  <c r="K60" i="1"/>
  <c r="K120" i="1"/>
  <c r="L117" i="1"/>
  <c r="G41" i="3" s="1"/>
  <c r="J41" i="3" s="1"/>
  <c r="G42" i="3"/>
  <c r="J42" i="3" s="1"/>
  <c r="I19" i="2"/>
  <c r="I21" i="2" s="1"/>
  <c r="T178" i="1" l="1"/>
  <c r="G75" i="3"/>
  <c r="J75" i="3" s="1"/>
  <c r="L173" i="1"/>
  <c r="G70" i="3" s="1"/>
  <c r="J70" i="3" s="1"/>
  <c r="L183" i="1"/>
  <c r="G80" i="3" s="1"/>
  <c r="J80" i="3" s="1"/>
  <c r="L174" i="1"/>
  <c r="G71" i="3" s="1"/>
  <c r="J71" i="3" s="1"/>
  <c r="L182" i="1"/>
  <c r="G79" i="3" s="1"/>
  <c r="J79" i="3" s="1"/>
  <c r="L181" i="1"/>
  <c r="G78" i="3" s="1"/>
  <c r="J78" i="3" s="1"/>
  <c r="L180" i="1"/>
  <c r="G77" i="3" s="1"/>
  <c r="J77" i="3" s="1"/>
  <c r="L177" i="1"/>
  <c r="G74" i="3" s="1"/>
  <c r="J74" i="3" s="1"/>
  <c r="L179" i="1"/>
  <c r="G76" i="3" s="1"/>
  <c r="J76" i="3" s="1"/>
  <c r="L176" i="1"/>
  <c r="G73" i="3" s="1"/>
  <c r="J73" i="3" s="1"/>
  <c r="L175" i="1"/>
  <c r="G72" i="3" s="1"/>
  <c r="J72" i="3" s="1"/>
  <c r="T173" i="1"/>
  <c r="M57" i="1"/>
  <c r="N57" i="1" s="1"/>
  <c r="O57" i="1" s="1"/>
  <c r="T57" i="1"/>
  <c r="L88" i="1"/>
  <c r="G30" i="3" s="1"/>
  <c r="J30" i="3" s="1"/>
  <c r="L87" i="1"/>
  <c r="G29" i="3" s="1"/>
  <c r="J29" i="3" s="1"/>
  <c r="L86" i="1"/>
  <c r="G28" i="3" s="1"/>
  <c r="J28" i="3" s="1"/>
  <c r="L89" i="1"/>
  <c r="G31" i="3" s="1"/>
  <c r="J31" i="3" s="1"/>
  <c r="L90" i="1"/>
  <c r="G32" i="3" s="1"/>
  <c r="J32" i="3" s="1"/>
  <c r="L74" i="1"/>
  <c r="L73" i="1"/>
  <c r="G24" i="3" s="1"/>
  <c r="J24" i="3" s="1"/>
  <c r="L72" i="1"/>
  <c r="G23" i="3" s="1"/>
  <c r="J23" i="3" s="1"/>
  <c r="L70" i="1"/>
  <c r="G21" i="3" s="1"/>
  <c r="J21" i="3" s="1"/>
  <c r="L71" i="1"/>
  <c r="G22" i="3" s="1"/>
  <c r="J22" i="3" s="1"/>
  <c r="L69" i="1"/>
  <c r="L56" i="1"/>
  <c r="G16" i="3" s="1"/>
  <c r="J16" i="3" s="1"/>
  <c r="L58" i="1"/>
  <c r="G18" i="3" s="1"/>
  <c r="J18" i="3" s="1"/>
  <c r="L103" i="1"/>
  <c r="L106" i="1"/>
  <c r="L9" i="1"/>
  <c r="G14" i="3" s="1"/>
  <c r="J14" i="3" s="1"/>
  <c r="L32" i="1"/>
  <c r="G11" i="3" s="1"/>
  <c r="J11" i="3" s="1"/>
  <c r="L33" i="1"/>
  <c r="G12" i="3" s="1"/>
  <c r="J12" i="3" s="1"/>
  <c r="T184" i="1"/>
  <c r="L195" i="1"/>
  <c r="G88" i="3" s="1"/>
  <c r="J88" i="3" s="1"/>
  <c r="L187" i="1"/>
  <c r="G83" i="3" s="1"/>
  <c r="J83" i="3" s="1"/>
  <c r="L200" i="1"/>
  <c r="L189" i="1"/>
  <c r="G84" i="3" s="1"/>
  <c r="J84" i="3" s="1"/>
  <c r="L194" i="1"/>
  <c r="G87" i="3" s="1"/>
  <c r="J87" i="3" s="1"/>
  <c r="L186" i="1"/>
  <c r="L196" i="1"/>
  <c r="G89" i="3" s="1"/>
  <c r="J89" i="3" s="1"/>
  <c r="L188" i="1"/>
  <c r="L192" i="1"/>
  <c r="L199" i="1"/>
  <c r="G92" i="3" s="1"/>
  <c r="J92" i="3" s="1"/>
  <c r="L191" i="1"/>
  <c r="G85" i="3" s="1"/>
  <c r="J85" i="3" s="1"/>
  <c r="L201" i="1"/>
  <c r="G93" i="3" s="1"/>
  <c r="J93" i="3" s="1"/>
  <c r="L193" i="1"/>
  <c r="G86" i="3" s="1"/>
  <c r="J86" i="3" s="1"/>
  <c r="L185" i="1"/>
  <c r="G82" i="3" s="1"/>
  <c r="J82" i="3" s="1"/>
  <c r="L198" i="1"/>
  <c r="G91" i="3" s="1"/>
  <c r="J91" i="3" s="1"/>
  <c r="L190" i="1"/>
  <c r="L197" i="1"/>
  <c r="G90" i="3" s="1"/>
  <c r="J90" i="3" s="1"/>
  <c r="L156" i="1"/>
  <c r="G56" i="3" s="1"/>
  <c r="J56" i="3" s="1"/>
  <c r="L148" i="1"/>
  <c r="G49" i="3" s="1"/>
  <c r="J49" i="3" s="1"/>
  <c r="L161" i="1"/>
  <c r="G60" i="3" s="1"/>
  <c r="J60" i="3" s="1"/>
  <c r="L158" i="1"/>
  <c r="G58" i="3" s="1"/>
  <c r="J58" i="3" s="1"/>
  <c r="L150" i="1"/>
  <c r="G51" i="3" s="1"/>
  <c r="J51" i="3" s="1"/>
  <c r="L142" i="1"/>
  <c r="G47" i="3" s="1"/>
  <c r="J47" i="3" s="1"/>
  <c r="L155" i="1"/>
  <c r="G55" i="3" s="1"/>
  <c r="J55" i="3" s="1"/>
  <c r="L147" i="1"/>
  <c r="L157" i="1"/>
  <c r="G57" i="3" s="1"/>
  <c r="J57" i="3" s="1"/>
  <c r="L160" i="1"/>
  <c r="L152" i="1"/>
  <c r="G53" i="3" s="1"/>
  <c r="J53" i="3" s="1"/>
  <c r="L144" i="1"/>
  <c r="G48" i="3" s="1"/>
  <c r="J48" i="3" s="1"/>
  <c r="L162" i="1"/>
  <c r="G61" i="3" s="1"/>
  <c r="J61" i="3" s="1"/>
  <c r="L154" i="1"/>
  <c r="L146" i="1"/>
  <c r="L153" i="1"/>
  <c r="G54" i="3" s="1"/>
  <c r="J54" i="3" s="1"/>
  <c r="L145" i="1"/>
  <c r="L159" i="1"/>
  <c r="G59" i="3" s="1"/>
  <c r="J59" i="3" s="1"/>
  <c r="L151" i="1"/>
  <c r="G52" i="3" s="1"/>
  <c r="J52" i="3" s="1"/>
  <c r="L143" i="1"/>
  <c r="L170" i="1"/>
  <c r="L204" i="1"/>
  <c r="G95" i="3" s="1"/>
  <c r="J95" i="3" s="1"/>
  <c r="L167" i="1"/>
  <c r="G66" i="3" s="1"/>
  <c r="J66" i="3" s="1"/>
  <c r="L171" i="1"/>
  <c r="L172" i="1"/>
  <c r="G69" i="3" s="1"/>
  <c r="J69" i="3" s="1"/>
  <c r="L164" i="1"/>
  <c r="G63" i="3" s="1"/>
  <c r="J63" i="3" s="1"/>
  <c r="L169" i="1"/>
  <c r="G68" i="3" s="1"/>
  <c r="J68" i="3" s="1"/>
  <c r="L205" i="1"/>
  <c r="G96" i="3" s="1"/>
  <c r="J96" i="3" s="1"/>
  <c r="L168" i="1"/>
  <c r="G67" i="3" s="1"/>
  <c r="J67" i="3" s="1"/>
  <c r="L203" i="1"/>
  <c r="G94" i="3" s="1"/>
  <c r="J94" i="3" s="1"/>
  <c r="L166" i="1"/>
  <c r="G65" i="3" s="1"/>
  <c r="J65" i="3" s="1"/>
  <c r="L202" i="1"/>
  <c r="L165" i="1"/>
  <c r="G64" i="3" s="1"/>
  <c r="J64" i="3" s="1"/>
  <c r="L102" i="1"/>
  <c r="G35" i="3" s="1"/>
  <c r="L104" i="1"/>
  <c r="G37" i="3" s="1"/>
  <c r="J37" i="3" s="1"/>
  <c r="L105" i="1"/>
  <c r="G38" i="3" s="1"/>
  <c r="J38" i="3" s="1"/>
  <c r="L129" i="1"/>
  <c r="G44" i="3" s="1"/>
  <c r="J44" i="3" s="1"/>
  <c r="L101" i="1"/>
  <c r="G34" i="3" s="1"/>
  <c r="J34" i="3" s="1"/>
  <c r="L210" i="1"/>
  <c r="G99" i="3" s="1"/>
  <c r="J99" i="3" s="1"/>
  <c r="L213" i="1"/>
  <c r="L8" i="1"/>
  <c r="G6" i="3" s="1"/>
  <c r="J6" i="3" s="1"/>
  <c r="L209" i="1"/>
  <c r="G98" i="3" s="1"/>
  <c r="J98" i="3" s="1"/>
  <c r="L211" i="1"/>
  <c r="L208" i="1"/>
  <c r="L212" i="1"/>
  <c r="G100" i="3" s="1"/>
  <c r="J100" i="3" s="1"/>
  <c r="L163" i="1"/>
  <c r="G62" i="3" s="1"/>
  <c r="J62" i="3" s="1"/>
  <c r="L206" i="1"/>
  <c r="L207" i="1"/>
  <c r="G97" i="3" s="1"/>
  <c r="J97" i="3" s="1"/>
  <c r="L85" i="1"/>
  <c r="G27" i="3" s="1"/>
  <c r="J27" i="3" s="1"/>
  <c r="M130" i="1"/>
  <c r="G45" i="3"/>
  <c r="J45" i="3" s="1"/>
  <c r="M118" i="1"/>
  <c r="N118" i="1" s="1"/>
  <c r="O118" i="1" s="1"/>
  <c r="T118" i="1"/>
  <c r="T117" i="1"/>
  <c r="M117" i="1"/>
  <c r="N117" i="1" s="1"/>
  <c r="T130" i="1"/>
  <c r="T177" i="1" l="1"/>
  <c r="T182" i="1"/>
  <c r="T179" i="1"/>
  <c r="T180" i="1"/>
  <c r="T181" i="1"/>
  <c r="T174" i="1"/>
  <c r="T175" i="1"/>
  <c r="T183" i="1"/>
  <c r="T176" i="1"/>
  <c r="T103" i="1"/>
  <c r="G36" i="3"/>
  <c r="J36" i="3" s="1"/>
  <c r="G25" i="3"/>
  <c r="J25" i="3" s="1"/>
  <c r="M69" i="1"/>
  <c r="N69" i="1" s="1"/>
  <c r="O69" i="1" s="1"/>
  <c r="G20" i="3"/>
  <c r="J20" i="3" s="1"/>
  <c r="J35" i="3"/>
  <c r="G39" i="3"/>
  <c r="J39" i="3" s="1"/>
  <c r="M103" i="1"/>
  <c r="N103" i="1" s="1"/>
  <c r="O103" i="1" s="1"/>
  <c r="T74" i="1"/>
  <c r="M56" i="1"/>
  <c r="N56" i="1" s="1"/>
  <c r="O56" i="1" s="1"/>
  <c r="T86" i="1"/>
  <c r="M86" i="1"/>
  <c r="N86" i="1" s="1"/>
  <c r="O86" i="1" s="1"/>
  <c r="T89" i="1"/>
  <c r="M89" i="1"/>
  <c r="N89" i="1" s="1"/>
  <c r="O89" i="1" s="1"/>
  <c r="M71" i="1"/>
  <c r="N71" i="1" s="1"/>
  <c r="O71" i="1" s="1"/>
  <c r="T71" i="1"/>
  <c r="T87" i="1"/>
  <c r="M87" i="1"/>
  <c r="N87" i="1" s="1"/>
  <c r="O87" i="1" s="1"/>
  <c r="M70" i="1"/>
  <c r="N70" i="1" s="1"/>
  <c r="T70" i="1"/>
  <c r="T88" i="1"/>
  <c r="M88" i="1"/>
  <c r="N88" i="1" s="1"/>
  <c r="O88" i="1" s="1"/>
  <c r="M72" i="1"/>
  <c r="N72" i="1" s="1"/>
  <c r="O72" i="1" s="1"/>
  <c r="T72" i="1"/>
  <c r="M74" i="1"/>
  <c r="N74" i="1" s="1"/>
  <c r="O74" i="1" s="1"/>
  <c r="T73" i="1"/>
  <c r="M73" i="1"/>
  <c r="N73" i="1" s="1"/>
  <c r="O73" i="1" s="1"/>
  <c r="T56" i="1"/>
  <c r="T32" i="1"/>
  <c r="M32" i="1"/>
  <c r="N32" i="1" s="1"/>
  <c r="O32" i="1" s="1"/>
  <c r="M9" i="1"/>
  <c r="N9" i="1" s="1"/>
  <c r="O9" i="1" s="1"/>
  <c r="G7" i="3"/>
  <c r="J7" i="3" s="1"/>
  <c r="G9" i="3"/>
  <c r="J9" i="3" s="1"/>
  <c r="T9" i="1"/>
  <c r="T106" i="1"/>
  <c r="M106" i="1"/>
  <c r="N106" i="1" s="1"/>
  <c r="O106" i="1" s="1"/>
  <c r="M190" i="1"/>
  <c r="T190" i="1"/>
  <c r="M188" i="1"/>
  <c r="T188" i="1"/>
  <c r="T198" i="1"/>
  <c r="M198" i="1"/>
  <c r="M196" i="1"/>
  <c r="T196" i="1"/>
  <c r="T185" i="1"/>
  <c r="M185" i="1"/>
  <c r="M186" i="1"/>
  <c r="T186" i="1"/>
  <c r="T193" i="1"/>
  <c r="M193" i="1"/>
  <c r="T194" i="1"/>
  <c r="M194" i="1"/>
  <c r="T201" i="1"/>
  <c r="M201" i="1"/>
  <c r="M189" i="1"/>
  <c r="T189" i="1"/>
  <c r="M191" i="1"/>
  <c r="T191" i="1"/>
  <c r="M200" i="1"/>
  <c r="T200" i="1"/>
  <c r="M199" i="1"/>
  <c r="T199" i="1"/>
  <c r="T187" i="1"/>
  <c r="M187" i="1"/>
  <c r="M197" i="1"/>
  <c r="T197" i="1"/>
  <c r="M192" i="1"/>
  <c r="T192" i="1"/>
  <c r="T195" i="1"/>
  <c r="M195" i="1"/>
  <c r="T154" i="1"/>
  <c r="M154" i="1"/>
  <c r="M155" i="1"/>
  <c r="T155" i="1"/>
  <c r="T162" i="1"/>
  <c r="M162" i="1"/>
  <c r="T141" i="1"/>
  <c r="T143" i="1"/>
  <c r="M143" i="1"/>
  <c r="M144" i="1"/>
  <c r="T144" i="1"/>
  <c r="T142" i="1"/>
  <c r="M142" i="1"/>
  <c r="M151" i="1"/>
  <c r="T151" i="1"/>
  <c r="M152" i="1"/>
  <c r="T152" i="1"/>
  <c r="T150" i="1"/>
  <c r="M150" i="1"/>
  <c r="T159" i="1"/>
  <c r="M159" i="1"/>
  <c r="M160" i="1"/>
  <c r="T160" i="1"/>
  <c r="M158" i="1"/>
  <c r="T158" i="1"/>
  <c r="M145" i="1"/>
  <c r="T145" i="1"/>
  <c r="T149" i="1"/>
  <c r="M161" i="1"/>
  <c r="T161" i="1"/>
  <c r="M153" i="1"/>
  <c r="T153" i="1"/>
  <c r="M157" i="1"/>
  <c r="T157" i="1"/>
  <c r="T148" i="1"/>
  <c r="M148" i="1"/>
  <c r="T146" i="1"/>
  <c r="M146" i="1"/>
  <c r="M147" i="1"/>
  <c r="T147" i="1"/>
  <c r="T156" i="1"/>
  <c r="M156" i="1"/>
  <c r="T169" i="1"/>
  <c r="M169" i="1"/>
  <c r="M164" i="1"/>
  <c r="T164" i="1"/>
  <c r="T165" i="1"/>
  <c r="M165" i="1"/>
  <c r="T172" i="1"/>
  <c r="M172" i="1"/>
  <c r="T202" i="1"/>
  <c r="M202" i="1"/>
  <c r="M171" i="1"/>
  <c r="T171" i="1"/>
  <c r="M166" i="1"/>
  <c r="T166" i="1"/>
  <c r="M167" i="1"/>
  <c r="T167" i="1"/>
  <c r="M203" i="1"/>
  <c r="T203" i="1"/>
  <c r="M204" i="1"/>
  <c r="T204" i="1"/>
  <c r="T168" i="1"/>
  <c r="M168" i="1"/>
  <c r="T170" i="1"/>
  <c r="M170" i="1"/>
  <c r="T205" i="1"/>
  <c r="M205" i="1"/>
  <c r="M104" i="1"/>
  <c r="T104" i="1"/>
  <c r="T102" i="1"/>
  <c r="M102" i="1"/>
  <c r="M105" i="1"/>
  <c r="T105" i="1"/>
  <c r="T129" i="1"/>
  <c r="M129" i="1"/>
  <c r="M131" i="1" s="1"/>
  <c r="P129" i="1" s="1"/>
  <c r="Q129" i="1" s="1"/>
  <c r="M210" i="1"/>
  <c r="N210" i="1" s="1"/>
  <c r="O210" i="1" s="1"/>
  <c r="T210" i="1"/>
  <c r="M213" i="1"/>
  <c r="N213" i="1" s="1"/>
  <c r="O213" i="1" s="1"/>
  <c r="T213" i="1"/>
  <c r="T211" i="1"/>
  <c r="M101" i="1"/>
  <c r="N101" i="1" s="1"/>
  <c r="T207" i="1"/>
  <c r="M8" i="1"/>
  <c r="N8" i="1" s="1"/>
  <c r="T33" i="1"/>
  <c r="T101" i="1"/>
  <c r="M58" i="1"/>
  <c r="N58" i="1" s="1"/>
  <c r="O58" i="1" s="1"/>
  <c r="M207" i="1"/>
  <c r="N207" i="1" s="1"/>
  <c r="O207" i="1" s="1"/>
  <c r="M209" i="1"/>
  <c r="N209" i="1" s="1"/>
  <c r="O209" i="1" s="1"/>
  <c r="M212" i="1"/>
  <c r="N212" i="1" s="1"/>
  <c r="O212" i="1" s="1"/>
  <c r="M33" i="1"/>
  <c r="N33" i="1" s="1"/>
  <c r="O33" i="1" s="1"/>
  <c r="T212" i="1"/>
  <c r="T209" i="1"/>
  <c r="M211" i="1"/>
  <c r="N211" i="1" s="1"/>
  <c r="O211" i="1" s="1"/>
  <c r="T58" i="1"/>
  <c r="T8" i="1"/>
  <c r="T208" i="1"/>
  <c r="M208" i="1"/>
  <c r="N208" i="1" s="1"/>
  <c r="O208" i="1" s="1"/>
  <c r="M163" i="1"/>
  <c r="N163" i="1" s="1"/>
  <c r="O163" i="1" s="1"/>
  <c r="T163" i="1"/>
  <c r="M206" i="1"/>
  <c r="N206" i="1" s="1"/>
  <c r="O206" i="1" s="1"/>
  <c r="T206" i="1"/>
  <c r="T85" i="1"/>
  <c r="M85" i="1"/>
  <c r="N85" i="1" s="1"/>
  <c r="O85" i="1" s="1"/>
  <c r="O117" i="1"/>
  <c r="N119" i="1"/>
  <c r="M119" i="1"/>
  <c r="P117" i="1" s="1"/>
  <c r="T45" i="1"/>
  <c r="M45" i="1"/>
  <c r="N130" i="1"/>
  <c r="O130" i="1" s="1"/>
  <c r="T90" i="1"/>
  <c r="M90" i="1"/>
  <c r="M214" i="1" l="1"/>
  <c r="M75" i="1"/>
  <c r="J13" i="2" s="1"/>
  <c r="O13" i="2" s="1"/>
  <c r="N10" i="1"/>
  <c r="N194" i="1"/>
  <c r="O194" i="1" s="1"/>
  <c r="N192" i="1"/>
  <c r="O192" i="1" s="1"/>
  <c r="N200" i="1"/>
  <c r="O200" i="1" s="1"/>
  <c r="N196" i="1"/>
  <c r="O196" i="1" s="1"/>
  <c r="N193" i="1"/>
  <c r="O193" i="1" s="1"/>
  <c r="N198" i="1"/>
  <c r="O198" i="1" s="1"/>
  <c r="N197" i="1"/>
  <c r="O197" i="1" s="1"/>
  <c r="N191" i="1"/>
  <c r="O191" i="1" s="1"/>
  <c r="N187" i="1"/>
  <c r="O187" i="1" s="1"/>
  <c r="N189" i="1"/>
  <c r="O189" i="1" s="1"/>
  <c r="N186" i="1"/>
  <c r="O186" i="1" s="1"/>
  <c r="N188" i="1"/>
  <c r="O188" i="1" s="1"/>
  <c r="N195" i="1"/>
  <c r="O195" i="1" s="1"/>
  <c r="N201" i="1"/>
  <c r="O201" i="1" s="1"/>
  <c r="N185" i="1"/>
  <c r="O185" i="1" s="1"/>
  <c r="N199" i="1"/>
  <c r="O199" i="1" s="1"/>
  <c r="N190" i="1"/>
  <c r="O190" i="1" s="1"/>
  <c r="N146" i="1"/>
  <c r="O146" i="1" s="1"/>
  <c r="N161" i="1"/>
  <c r="O161" i="1" s="1"/>
  <c r="N160" i="1"/>
  <c r="O160" i="1" s="1"/>
  <c r="N151" i="1"/>
  <c r="O151" i="1" s="1"/>
  <c r="N148" i="1"/>
  <c r="O148" i="1" s="1"/>
  <c r="N159" i="1"/>
  <c r="O159" i="1" s="1"/>
  <c r="N142" i="1"/>
  <c r="N162" i="1"/>
  <c r="O162" i="1" s="1"/>
  <c r="N156" i="1"/>
  <c r="O156" i="1" s="1"/>
  <c r="N150" i="1"/>
  <c r="O150" i="1" s="1"/>
  <c r="N157" i="1"/>
  <c r="O157" i="1" s="1"/>
  <c r="N145" i="1"/>
  <c r="O145" i="1" s="1"/>
  <c r="N144" i="1"/>
  <c r="O144" i="1" s="1"/>
  <c r="N155" i="1"/>
  <c r="O155" i="1" s="1"/>
  <c r="N143" i="1"/>
  <c r="O143" i="1" s="1"/>
  <c r="N154" i="1"/>
  <c r="O154" i="1" s="1"/>
  <c r="N147" i="1"/>
  <c r="O147" i="1" s="1"/>
  <c r="N153" i="1"/>
  <c r="O153" i="1" s="1"/>
  <c r="N158" i="1"/>
  <c r="O158" i="1" s="1"/>
  <c r="N152" i="1"/>
  <c r="O152" i="1" s="1"/>
  <c r="N170" i="1"/>
  <c r="O170" i="1" s="1"/>
  <c r="N172" i="1"/>
  <c r="O172" i="1" s="1"/>
  <c r="N167" i="1"/>
  <c r="O167" i="1" s="1"/>
  <c r="N168" i="1"/>
  <c r="O168" i="1" s="1"/>
  <c r="N165" i="1"/>
  <c r="O165" i="1" s="1"/>
  <c r="N166" i="1"/>
  <c r="O166" i="1" s="1"/>
  <c r="N204" i="1"/>
  <c r="O204" i="1" s="1"/>
  <c r="N171" i="1"/>
  <c r="O171" i="1" s="1"/>
  <c r="N164" i="1"/>
  <c r="O164" i="1" s="1"/>
  <c r="N205" i="1"/>
  <c r="O205" i="1" s="1"/>
  <c r="N202" i="1"/>
  <c r="O202" i="1" s="1"/>
  <c r="N169" i="1"/>
  <c r="O169" i="1" s="1"/>
  <c r="N203" i="1"/>
  <c r="O203" i="1" s="1"/>
  <c r="N75" i="1"/>
  <c r="L13" i="2" s="1"/>
  <c r="F111" i="3" s="1"/>
  <c r="N102" i="1"/>
  <c r="O102" i="1" s="1"/>
  <c r="N104" i="1"/>
  <c r="O104" i="1" s="1"/>
  <c r="N105" i="1"/>
  <c r="O105" i="1" s="1"/>
  <c r="N129" i="1"/>
  <c r="N131" i="1" s="1"/>
  <c r="M59" i="1"/>
  <c r="R59" i="1" s="1"/>
  <c r="N59" i="1"/>
  <c r="O8" i="1"/>
  <c r="M34" i="1"/>
  <c r="R34" i="1" s="1"/>
  <c r="N34" i="1"/>
  <c r="O34" i="1" s="1"/>
  <c r="M10" i="1"/>
  <c r="M107" i="1"/>
  <c r="M46" i="1"/>
  <c r="O101" i="1"/>
  <c r="M125" i="1"/>
  <c r="L16" i="2"/>
  <c r="R119" i="1"/>
  <c r="P118" i="1"/>
  <c r="Q118" i="1" s="1"/>
  <c r="J16" i="2"/>
  <c r="O16" i="2" s="1"/>
  <c r="N45" i="1"/>
  <c r="O45" i="1" s="1"/>
  <c r="R131" i="1"/>
  <c r="M137" i="1"/>
  <c r="J17" i="2"/>
  <c r="O17" i="2" s="1"/>
  <c r="P130" i="1"/>
  <c r="Q130" i="1" s="1"/>
  <c r="O10" i="1"/>
  <c r="N90" i="1"/>
  <c r="M91" i="1"/>
  <c r="O119" i="1"/>
  <c r="Q117" i="1"/>
  <c r="O142" i="1" l="1"/>
  <c r="N214" i="1"/>
  <c r="O214" i="1" s="1"/>
  <c r="R75" i="1"/>
  <c r="P74" i="1"/>
  <c r="Q74" i="1" s="1"/>
  <c r="P69" i="1"/>
  <c r="Q69" i="1" s="1"/>
  <c r="M81" i="1"/>
  <c r="P73" i="1"/>
  <c r="Q73" i="1" s="1"/>
  <c r="P72" i="1"/>
  <c r="Q72" i="1" s="1"/>
  <c r="P71" i="1"/>
  <c r="Q71" i="1" s="1"/>
  <c r="P70" i="1"/>
  <c r="Q70" i="1" s="1"/>
  <c r="P8" i="1"/>
  <c r="Q8" i="1" s="1"/>
  <c r="P199" i="1"/>
  <c r="Q199" i="1" s="1"/>
  <c r="P188" i="1"/>
  <c r="Q188" i="1" s="1"/>
  <c r="P191" i="1"/>
  <c r="Q191" i="1" s="1"/>
  <c r="P196" i="1"/>
  <c r="Q196" i="1" s="1"/>
  <c r="P185" i="1"/>
  <c r="Q185" i="1" s="1"/>
  <c r="P186" i="1"/>
  <c r="Q186" i="1" s="1"/>
  <c r="P197" i="1"/>
  <c r="Q197" i="1" s="1"/>
  <c r="P200" i="1"/>
  <c r="Q200" i="1" s="1"/>
  <c r="P189" i="1"/>
  <c r="Q189" i="1" s="1"/>
  <c r="P201" i="1"/>
  <c r="Q201" i="1" s="1"/>
  <c r="P198" i="1"/>
  <c r="Q198" i="1" s="1"/>
  <c r="P192" i="1"/>
  <c r="Q192" i="1" s="1"/>
  <c r="P194" i="1"/>
  <c r="Q194" i="1" s="1"/>
  <c r="P190" i="1"/>
  <c r="Q190" i="1" s="1"/>
  <c r="P195" i="1"/>
  <c r="Q195" i="1" s="1"/>
  <c r="P187" i="1"/>
  <c r="Q187" i="1" s="1"/>
  <c r="P193" i="1"/>
  <c r="Q193" i="1" s="1"/>
  <c r="P168" i="1"/>
  <c r="Q168" i="1" s="1"/>
  <c r="P155" i="1"/>
  <c r="Q155" i="1" s="1"/>
  <c r="P150" i="1"/>
  <c r="Q150" i="1" s="1"/>
  <c r="P142" i="1"/>
  <c r="Q142" i="1" s="1"/>
  <c r="P151" i="1"/>
  <c r="Q151" i="1" s="1"/>
  <c r="P153" i="1"/>
  <c r="Q153" i="1" s="1"/>
  <c r="P147" i="1"/>
  <c r="Q147" i="1" s="1"/>
  <c r="P171" i="1"/>
  <c r="Q171" i="1" s="1"/>
  <c r="P144" i="1"/>
  <c r="Q144" i="1" s="1"/>
  <c r="P156" i="1"/>
  <c r="Q156" i="1" s="1"/>
  <c r="P159" i="1"/>
  <c r="Q159" i="1" s="1"/>
  <c r="P160" i="1"/>
  <c r="Q160" i="1" s="1"/>
  <c r="P169" i="1"/>
  <c r="Q169" i="1" s="1"/>
  <c r="O75" i="1"/>
  <c r="P152" i="1"/>
  <c r="Q152" i="1" s="1"/>
  <c r="P154" i="1"/>
  <c r="Q154" i="1" s="1"/>
  <c r="P145" i="1"/>
  <c r="Q145" i="1" s="1"/>
  <c r="P148" i="1"/>
  <c r="Q148" i="1" s="1"/>
  <c r="P161" i="1"/>
  <c r="Q161" i="1" s="1"/>
  <c r="P202" i="1"/>
  <c r="Q202" i="1" s="1"/>
  <c r="P158" i="1"/>
  <c r="Q158" i="1" s="1"/>
  <c r="P143" i="1"/>
  <c r="Q143" i="1" s="1"/>
  <c r="P157" i="1"/>
  <c r="Q157" i="1" s="1"/>
  <c r="P162" i="1"/>
  <c r="Q162" i="1" s="1"/>
  <c r="P146" i="1"/>
  <c r="Q146" i="1" s="1"/>
  <c r="P204" i="1"/>
  <c r="Q204" i="1" s="1"/>
  <c r="P167" i="1"/>
  <c r="Q167" i="1" s="1"/>
  <c r="P172" i="1"/>
  <c r="Q172" i="1" s="1"/>
  <c r="P205" i="1"/>
  <c r="Q205" i="1" s="1"/>
  <c r="P166" i="1"/>
  <c r="Q166" i="1" s="1"/>
  <c r="P164" i="1"/>
  <c r="Q164" i="1" s="1"/>
  <c r="P170" i="1"/>
  <c r="Q170" i="1" s="1"/>
  <c r="P203" i="1"/>
  <c r="Q203" i="1" s="1"/>
  <c r="P165" i="1"/>
  <c r="Q165" i="1" s="1"/>
  <c r="P103" i="1"/>
  <c r="Q103" i="1" s="1"/>
  <c r="P104" i="1"/>
  <c r="Q104" i="1" s="1"/>
  <c r="N107" i="1"/>
  <c r="L15" i="2" s="1"/>
  <c r="M15" i="2" s="1"/>
  <c r="P102" i="1"/>
  <c r="Q102" i="1" s="1"/>
  <c r="P105" i="1"/>
  <c r="Q105" i="1" s="1"/>
  <c r="P89" i="1"/>
  <c r="Q89" i="1" s="1"/>
  <c r="P88" i="1"/>
  <c r="Q88" i="1" s="1"/>
  <c r="P86" i="1"/>
  <c r="Q86" i="1" s="1"/>
  <c r="P87" i="1"/>
  <c r="Q87" i="1" s="1"/>
  <c r="P57" i="1"/>
  <c r="Q57" i="1" s="1"/>
  <c r="P56" i="1"/>
  <c r="Q56" i="1" s="1"/>
  <c r="M65" i="1"/>
  <c r="M66" i="1" s="1"/>
  <c r="N66" i="1" s="1"/>
  <c r="O129" i="1"/>
  <c r="P9" i="1"/>
  <c r="Q9" i="1" s="1"/>
  <c r="J8" i="2"/>
  <c r="O8" i="2" s="1"/>
  <c r="J12" i="2"/>
  <c r="O12" i="2" s="1"/>
  <c r="P58" i="1"/>
  <c r="Q58" i="1" s="1"/>
  <c r="M113" i="1"/>
  <c r="M114" i="1" s="1"/>
  <c r="N114" i="1" s="1"/>
  <c r="F130" i="3" s="1"/>
  <c r="P33" i="1"/>
  <c r="Q33" i="1" s="1"/>
  <c r="P32" i="1"/>
  <c r="Q32" i="1" s="1"/>
  <c r="R107" i="1"/>
  <c r="P101" i="1"/>
  <c r="Q101" i="1" s="1"/>
  <c r="M40" i="1"/>
  <c r="M41" i="1" s="1"/>
  <c r="N41" i="1" s="1"/>
  <c r="O41" i="1" s="1"/>
  <c r="P106" i="1"/>
  <c r="Q106" i="1" s="1"/>
  <c r="J15" i="2"/>
  <c r="O15" i="2" s="1"/>
  <c r="J10" i="2"/>
  <c r="O10" i="2" s="1"/>
  <c r="J18" i="2"/>
  <c r="L18" i="2" s="1"/>
  <c r="F116" i="3" s="1"/>
  <c r="P209" i="1"/>
  <c r="Q209" i="1" s="1"/>
  <c r="R10" i="1"/>
  <c r="M16" i="1"/>
  <c r="M17" i="1" s="1"/>
  <c r="N17" i="1" s="1"/>
  <c r="O17" i="1" s="1"/>
  <c r="P207" i="1"/>
  <c r="Q207" i="1" s="1"/>
  <c r="P211" i="1"/>
  <c r="Q211" i="1" s="1"/>
  <c r="P208" i="1"/>
  <c r="Q208" i="1" s="1"/>
  <c r="P206" i="1"/>
  <c r="Q206" i="1" s="1"/>
  <c r="P210" i="1"/>
  <c r="Q210" i="1" s="1"/>
  <c r="P163" i="1"/>
  <c r="Q163" i="1" s="1"/>
  <c r="M220" i="1"/>
  <c r="N220" i="1" s="1"/>
  <c r="O220" i="1" s="1"/>
  <c r="N18" i="2" s="1"/>
  <c r="P212" i="1"/>
  <c r="Q212" i="1" s="1"/>
  <c r="R214" i="1"/>
  <c r="P213" i="1"/>
  <c r="Q213" i="1" s="1"/>
  <c r="J11" i="2"/>
  <c r="O11" i="2" s="1"/>
  <c r="N125" i="1"/>
  <c r="O125" i="1" s="1"/>
  <c r="N16" i="2" s="1"/>
  <c r="M126" i="1"/>
  <c r="N126" i="1" s="1"/>
  <c r="F131" i="3" s="1"/>
  <c r="M52" i="1"/>
  <c r="M53" i="1" s="1"/>
  <c r="P45" i="1"/>
  <c r="Q45" i="1" s="1"/>
  <c r="R46" i="1"/>
  <c r="N46" i="1"/>
  <c r="O46" i="1" s="1"/>
  <c r="M16" i="2"/>
  <c r="F114" i="3"/>
  <c r="O90" i="1"/>
  <c r="N91" i="1"/>
  <c r="M13" i="2"/>
  <c r="P119" i="1"/>
  <c r="Q119" i="1" s="1"/>
  <c r="P131" i="1"/>
  <c r="Q131" i="1" s="1"/>
  <c r="N137" i="1"/>
  <c r="M138" i="1"/>
  <c r="N138" i="1" s="1"/>
  <c r="O131" i="1"/>
  <c r="L17" i="2"/>
  <c r="L8" i="2"/>
  <c r="L10" i="2"/>
  <c r="R91" i="1"/>
  <c r="P85" i="1"/>
  <c r="P90" i="1"/>
  <c r="Q90" i="1" s="1"/>
  <c r="J14" i="2"/>
  <c r="O14" i="2" s="1"/>
  <c r="M97" i="1"/>
  <c r="O59" i="1"/>
  <c r="L12" i="2"/>
  <c r="N81" i="1" l="1"/>
  <c r="O81" i="1" s="1"/>
  <c r="N13" i="2" s="1"/>
  <c r="G128" i="3" s="1"/>
  <c r="M82" i="1"/>
  <c r="N82" i="1" s="1"/>
  <c r="O107" i="1"/>
  <c r="F113" i="3"/>
  <c r="P75" i="1"/>
  <c r="Q75" i="1" s="1"/>
  <c r="N65" i="1"/>
  <c r="O65" i="1" s="1"/>
  <c r="N12" i="2" s="1"/>
  <c r="P59" i="1"/>
  <c r="Q59" i="1" s="1"/>
  <c r="N40" i="1"/>
  <c r="O40" i="1" s="1"/>
  <c r="N10" i="2" s="1"/>
  <c r="P10" i="1"/>
  <c r="Q10" i="1" s="1"/>
  <c r="M18" i="2"/>
  <c r="O18" i="2"/>
  <c r="P34" i="1"/>
  <c r="Q34" i="1" s="1"/>
  <c r="N16" i="1"/>
  <c r="O16" i="1" s="1"/>
  <c r="N8" i="2" s="1"/>
  <c r="F123" i="3"/>
  <c r="O114" i="1"/>
  <c r="N113" i="1"/>
  <c r="O113" i="1" s="1"/>
  <c r="N15" i="2" s="1"/>
  <c r="P107" i="1"/>
  <c r="Q107" i="1" s="1"/>
  <c r="F125" i="3"/>
  <c r="P214" i="1"/>
  <c r="Q214" i="1" s="1"/>
  <c r="P46" i="1"/>
  <c r="Q46" i="1" s="1"/>
  <c r="O138" i="1"/>
  <c r="F132" i="3"/>
  <c r="N97" i="1"/>
  <c r="O97" i="1" s="1"/>
  <c r="N14" i="2" s="1"/>
  <c r="M98" i="1"/>
  <c r="N98" i="1" s="1"/>
  <c r="F129" i="3" s="1"/>
  <c r="O66" i="1"/>
  <c r="F127" i="3"/>
  <c r="N52" i="1"/>
  <c r="L11" i="2"/>
  <c r="M11" i="2" s="1"/>
  <c r="M10" i="2"/>
  <c r="F108" i="3"/>
  <c r="M8" i="2"/>
  <c r="F106" i="3"/>
  <c r="M17" i="2"/>
  <c r="F115" i="3"/>
  <c r="M12" i="2"/>
  <c r="F110" i="3"/>
  <c r="G114" i="3"/>
  <c r="G131" i="3"/>
  <c r="O137" i="1"/>
  <c r="N17" i="2" s="1"/>
  <c r="G116" i="3"/>
  <c r="G133" i="3"/>
  <c r="L14" i="2"/>
  <c r="O91" i="1"/>
  <c r="P91" i="1"/>
  <c r="Q91" i="1" s="1"/>
  <c r="Q85" i="1"/>
  <c r="G111" i="3" l="1"/>
  <c r="O52" i="1"/>
  <c r="N11" i="2" s="1"/>
  <c r="G109" i="3" s="1"/>
  <c r="N53" i="1"/>
  <c r="F128" i="3"/>
  <c r="O82" i="1"/>
  <c r="F109" i="3"/>
  <c r="G125" i="3"/>
  <c r="G108" i="3"/>
  <c r="G127" i="3"/>
  <c r="G110" i="3"/>
  <c r="M14" i="2"/>
  <c r="F112" i="3"/>
  <c r="G106" i="3"/>
  <c r="G123" i="3"/>
  <c r="G113" i="3"/>
  <c r="G130" i="3"/>
  <c r="G132" i="3"/>
  <c r="G115" i="3"/>
  <c r="G112" i="3"/>
  <c r="G129" i="3"/>
  <c r="M21" i="1"/>
  <c r="G126" i="3" l="1"/>
  <c r="O53" i="1"/>
  <c r="F126" i="3"/>
  <c r="T21" i="1"/>
  <c r="N21" i="1"/>
  <c r="O21" i="1" s="1"/>
  <c r="N22" i="1" l="1"/>
  <c r="N224" i="1" s="1"/>
  <c r="N230" i="1" s="1"/>
  <c r="M22" i="1"/>
  <c r="M224" i="1" l="1"/>
  <c r="M230" i="1" s="1"/>
  <c r="J9" i="2"/>
  <c r="O9" i="2" s="1"/>
  <c r="M28" i="1"/>
  <c r="M29" i="1" s="1"/>
  <c r="R22" i="1"/>
  <c r="P21" i="1"/>
  <c r="Q21" i="1" s="1"/>
  <c r="J19" i="2" l="1"/>
  <c r="L9" i="2"/>
  <c r="O22" i="1"/>
  <c r="P22" i="1"/>
  <c r="Q22" i="1" s="1"/>
  <c r="N28" i="1"/>
  <c r="N29" i="1" s="1"/>
  <c r="O224" i="1"/>
  <c r="O29" i="1" l="1"/>
  <c r="F124" i="3"/>
  <c r="O28" i="1"/>
  <c r="N9" i="2" s="1"/>
  <c r="M9" i="2"/>
  <c r="F107" i="3"/>
  <c r="O19" i="2"/>
  <c r="O21" i="2" s="1"/>
  <c r="K9" i="2"/>
  <c r="K10" i="2"/>
  <c r="K18" i="2"/>
  <c r="K12" i="2"/>
  <c r="J21" i="2"/>
  <c r="J30" i="2" s="1"/>
  <c r="L30" i="2" s="1"/>
  <c r="F117" i="3" s="1"/>
  <c r="K14" i="2"/>
  <c r="K19" i="2"/>
  <c r="K21" i="2" s="1"/>
  <c r="K13" i="2"/>
  <c r="K11" i="2"/>
  <c r="K8" i="2"/>
  <c r="L19" i="2"/>
  <c r="L21" i="2" s="1"/>
  <c r="K16" i="2"/>
  <c r="K17" i="2"/>
  <c r="K15" i="2"/>
  <c r="N232" i="1"/>
  <c r="O230" i="1"/>
  <c r="G124" i="3" l="1"/>
  <c r="G107" i="3"/>
  <c r="M19" i="2"/>
  <c r="M21" i="2" s="1"/>
  <c r="L32" i="2"/>
  <c r="L33" i="2" s="1"/>
  <c r="N30" i="2"/>
  <c r="G117" i="3" s="1"/>
</calcChain>
</file>

<file path=xl/sharedStrings.xml><?xml version="1.0" encoding="utf-8"?>
<sst xmlns="http://schemas.openxmlformats.org/spreadsheetml/2006/main" count="297" uniqueCount="162">
  <si>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</si>
  <si>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</si>
  <si>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</si>
  <si>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</si>
  <si>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</si>
  <si>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</si>
  <si>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</si>
  <si>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</si>
  <si>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</si>
  <si>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</si>
  <si>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</si>
  <si>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</si>
  <si>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</si>
  <si>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</si>
  <si>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</si>
  <si>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</si>
  <si>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</si>
  <si>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</si>
  <si>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</si>
  <si>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</si>
  <si>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</si>
  <si>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</si>
  <si>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</si>
  <si>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</si>
  <si>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</si>
  <si>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</si>
  <si>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</si>
  <si>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</si>
  <si>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</si>
  <si>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</si>
  <si>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</si>
  <si>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</si>
  <si>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</si>
  <si>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</si>
  <si>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</si>
  <si>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</si>
  <si>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</si>
  <si>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</si>
  <si>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</si>
  <si>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</si>
  <si>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</si>
  <si>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</si>
  <si>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</si>
  <si>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</si>
  <si>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TOTAL Base Rates</t>
  </si>
  <si>
    <t>SubTotal Base Rates</t>
  </si>
  <si>
    <t>Base %</t>
  </si>
  <si>
    <t>Total %</t>
  </si>
  <si>
    <t>Base Rate Increase</t>
  </si>
  <si>
    <t>Present</t>
  </si>
  <si>
    <t>Proposed</t>
  </si>
  <si>
    <t>Energy Charge per kWh</t>
  </si>
  <si>
    <t>Demand Charge per kW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</si>
  <si>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</si>
  <si>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</si>
  <si>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</si>
  <si>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</si>
  <si>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</si>
  <si>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</si>
  <si>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</si>
  <si>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</si>
  <si>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</si>
  <si>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</si>
  <si>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</si>
  <si>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B</t>
  </si>
  <si>
    <t xml:space="preserve">    Envirowatts + NM</t>
  </si>
  <si>
    <t xml:space="preserve">    Prepay Fees</t>
  </si>
  <si>
    <t>Residential, Farm and Non-Farm Service (ETS)</t>
  </si>
  <si>
    <t>Residential, Farm and Non-Farm Service</t>
  </si>
  <si>
    <t>A-ETS</t>
  </si>
  <si>
    <t>Small Commercial Rate</t>
  </si>
  <si>
    <t>Small Commercial Rate (ETS)</t>
  </si>
  <si>
    <t>B-ETS</t>
  </si>
  <si>
    <t>LP</t>
  </si>
  <si>
    <t>Large Power Rate (500 KW to 4,999 KW)</t>
  </si>
  <si>
    <t>LP-1</t>
  </si>
  <si>
    <t>Large Power Rate (Excess of 50 kVA)</t>
  </si>
  <si>
    <t>Substation Charge 500-999 kW</t>
  </si>
  <si>
    <t>Substation Charge 1000-2999 kW</t>
  </si>
  <si>
    <t>Substation Charge 3000-7499 kW</t>
  </si>
  <si>
    <t>Large Power Rate (5,000 KW to 9,999 KW)</t>
  </si>
  <si>
    <t>LP-2</t>
  </si>
  <si>
    <t>SOUTH KENTUCKY RECC</t>
  </si>
  <si>
    <t>Substation Charge 7500-14799 kW</t>
  </si>
  <si>
    <t>Energy Charge-All Remaining - per kWh</t>
  </si>
  <si>
    <t>Energy Charge-First 400 - per kWh</t>
  </si>
  <si>
    <t>Large Power Rate (500 KW to 2,999 KW)</t>
  </si>
  <si>
    <t>LP-3</t>
  </si>
  <si>
    <t>Demand Charge per kW - Contract</t>
  </si>
  <si>
    <t>Demand Charge per kW - Excess</t>
  </si>
  <si>
    <t>Optional Power Service</t>
  </si>
  <si>
    <t>OPS</t>
  </si>
  <si>
    <t>All Electric Schools</t>
  </si>
  <si>
    <t>AES</t>
  </si>
  <si>
    <t>STL</t>
  </si>
  <si>
    <t>Mercury Vapor 175-Watt</t>
  </si>
  <si>
    <t>M/Vapor 400 Watt</t>
  </si>
  <si>
    <t>M/Vapor 250 W Flood</t>
  </si>
  <si>
    <t>Sodium 160 Watt</t>
  </si>
  <si>
    <t>Sodium 360 Watt</t>
  </si>
  <si>
    <t>Sodium Cobra-HD 100 Watt</t>
  </si>
  <si>
    <t>LED 10,500 Lumens</t>
  </si>
  <si>
    <t>DSTL</t>
  </si>
  <si>
    <t>Metal Halide Acorn 100-Watt Metered</t>
  </si>
  <si>
    <t>Sodium Cobra on Existing Pole</t>
  </si>
  <si>
    <t>LED Cobra on Exisiting Pole</t>
  </si>
  <si>
    <t>LED Cobra on Exisiting Pole Metered</t>
  </si>
  <si>
    <t>Sodium Cobra on 30' Aluminum Pole</t>
  </si>
  <si>
    <t>14' Smooth Black Pole</t>
  </si>
  <si>
    <t>14' Fluted Pole</t>
  </si>
  <si>
    <t>LED 173 Watt Area</t>
  </si>
  <si>
    <t>Sodium Coba w 30' Aluminum Pole</t>
  </si>
  <si>
    <t>30' Square Steel Pole</t>
  </si>
  <si>
    <t>Metal Halide Galleria 1000-Watt</t>
  </si>
  <si>
    <t>Mercury Vapor on 8' Arm 400-Watt</t>
  </si>
  <si>
    <t>Mercury Vapor on 12' Arm 400-Watt</t>
  </si>
  <si>
    <t>Mercury Vapor on 16' Arm 400-Watt</t>
  </si>
  <si>
    <t>Metal Halide Galleria 400-Watt</t>
  </si>
  <si>
    <t>Metal Halide Lexington 100-Watt</t>
  </si>
  <si>
    <t>Metal Halide Lexington 100-Watt Metered</t>
  </si>
  <si>
    <t xml:space="preserve">Metal Halide Acorn 100-Watt </t>
  </si>
  <si>
    <t>Metal Halide Galleria 400-Watt Metered</t>
  </si>
  <si>
    <t>M/Vapor Sec L</t>
  </si>
  <si>
    <t>M/Vapor Sec L - Metered</t>
  </si>
  <si>
    <t>Sodium Sec L</t>
  </si>
  <si>
    <t>Sodium Sec L - Metered</t>
  </si>
  <si>
    <t xml:space="preserve">LED Sec L </t>
  </si>
  <si>
    <t>LED Sec L - Metered</t>
  </si>
  <si>
    <t>LED Dir Flood 200 Watt</t>
  </si>
  <si>
    <t>LED Dir Flood 200 Watt- Metered</t>
  </si>
  <si>
    <t>LED Dir Flood 391 Watt</t>
  </si>
  <si>
    <t>LED Dir Flood 391 Watt - Metered</t>
  </si>
  <si>
    <t>Sodium Dir 250-Watt</t>
  </si>
  <si>
    <t>Sodium Dir 250-Watt - Metered</t>
  </si>
  <si>
    <t>Metal Halide Dir 250-Watt</t>
  </si>
  <si>
    <t>Metal Halide Dir 250-Watt - Metered</t>
  </si>
  <si>
    <t>Metal Halide Dir 400-Watt</t>
  </si>
  <si>
    <t>Metal Halide Dir 400-Watt - Metered</t>
  </si>
  <si>
    <t>Metal Halide Dir 1000-Watt</t>
  </si>
  <si>
    <t>Metal Halide Dir 1000-Watt - Metered</t>
  </si>
  <si>
    <t>OLS</t>
  </si>
  <si>
    <t xml:space="preserve">A </t>
  </si>
  <si>
    <t>Street Lighting</t>
  </si>
  <si>
    <t>Decorative Street Lighting</t>
  </si>
  <si>
    <t>Outdoor Lighting/Security Lights</t>
  </si>
  <si>
    <t>Mercury Vapor or Sodium 0-20000 Lumens</t>
  </si>
  <si>
    <t>Mercury Vapor or Sodium Over 20000 Lumens</t>
  </si>
  <si>
    <t>STL-DSTL-OLS</t>
  </si>
  <si>
    <t xml:space="preserve">Customers  </t>
  </si>
  <si>
    <t>Sodium Cobra on Existing Pole 15000 Lumens</t>
  </si>
  <si>
    <t>Sodium Cobra on 30' Aluminum Pole 7000 L Unmet</t>
  </si>
  <si>
    <t>Sodium Cobra on 30' Aluminum Pole 7000 L Metd</t>
  </si>
  <si>
    <t>Sodium Cobra on 30' Aluminum Pole 15000 L Metd</t>
  </si>
  <si>
    <t>LED 173W Area Metered</t>
  </si>
  <si>
    <t>250W Cobra HPS w/30' Aluminum Pole</t>
  </si>
  <si>
    <t>400 W Cobra MV 8' Arm Metered</t>
  </si>
  <si>
    <t>401 W Cobra MV 12' Arm Metered</t>
  </si>
  <si>
    <t>402 W Cobra MV 16' Arm Metered</t>
  </si>
  <si>
    <t>30' Aluminum Pole</t>
  </si>
  <si>
    <t xml:space="preserve">1000 Watt Galleria Metered </t>
  </si>
  <si>
    <t>Present &amp; Proposed Rates</t>
  </si>
  <si>
    <t>Note: Includes correction to input data for Rate LP-1 and LP-2 identified during Staff's First Data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</si>
</sst>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0.00000%"/>
    <numFmt numFmtId="169" formatCode="_(* #,##0.0000_);_(* \(#,##0.0000\);_(* &quot;-&quot;??_);_(@_)"/>
    <numFmt numFmtId="170" formatCode="_(&quot;$&quot;* #,##0.00000_);_(&quot;$&quot;* \(#,##0.00000\);_(&quot;$&quot;* &quot;-&quot;??_);_(@_)"/>
    <numFmt numFmtId="171" formatCode="_(&quot;$&quot;* #,##0.000000_);_(&quot;$&quot;* \(#,##0.000000\);_(&quot;$&quot;* &quot;-&quot;??_);_(@_)"/>
    <numFmt numFmtId="172" formatCode="&quot;$&quot;#,##0"/>
    <numFmt numFmtId="173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i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43" fontId="3" fillId="0" borderId="0" xfId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right" wrapText="1"/>
    </xf>
    <xf numFmtId="165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0" borderId="0" xfId="0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64" fontId="3" fillId="2" borderId="0" xfId="1" applyNumberFormat="1" applyFont="1" applyFill="1" applyAlignment="1"/>
    <xf numFmtId="0" fontId="3" fillId="2" borderId="0" xfId="0" applyFont="1" applyFill="1" applyAlignment="1"/>
    <xf numFmtId="165" fontId="3" fillId="2" borderId="0" xfId="2" applyNumberFormat="1" applyFont="1" applyFill="1" applyAlignment="1"/>
    <xf numFmtId="0" fontId="3" fillId="2" borderId="2" xfId="0" applyFont="1" applyFill="1" applyBorder="1" applyAlignment="1"/>
    <xf numFmtId="165" fontId="3" fillId="2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0" xfId="0" applyFont="1" applyFill="1" applyBorder="1" applyAlignment="1"/>
    <xf numFmtId="0" fontId="3" fillId="2" borderId="4" xfId="0" applyFont="1" applyFill="1" applyBorder="1" applyAlignment="1"/>
    <xf numFmtId="10" fontId="3" fillId="0" borderId="0" xfId="3" applyNumberFormat="1" applyFont="1" applyFill="1" applyAlignment="1"/>
    <xf numFmtId="43" fontId="3" fillId="0" borderId="0" xfId="0" applyNumberFormat="1" applyFont="1"/>
    <xf numFmtId="0" fontId="2" fillId="0" borderId="4" xfId="0" applyFont="1" applyBorder="1"/>
    <xf numFmtId="44" fontId="3" fillId="0" borderId="0" xfId="2" applyFont="1"/>
    <xf numFmtId="170" fontId="3" fillId="0" borderId="0" xfId="2" applyNumberFormat="1" applyFont="1"/>
    <xf numFmtId="0" fontId="2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9" fontId="3" fillId="0" borderId="0" xfId="1" applyNumberFormat="1" applyFont="1" applyAlignment="1">
      <alignment vertical="center"/>
    </xf>
    <xf numFmtId="0" fontId="2" fillId="0" borderId="4" xfId="0" applyFont="1" applyFill="1" applyBorder="1" applyAlignment="1">
      <alignment horizontal="center" wrapText="1"/>
    </xf>
    <xf numFmtId="171" fontId="3" fillId="0" borderId="0" xfId="2" applyNumberFormat="1" applyFont="1"/>
    <xf numFmtId="44" fontId="3" fillId="0" borderId="0" xfId="2" applyNumberFormat="1" applyFont="1"/>
    <xf numFmtId="0" fontId="10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2" xfId="0" applyFont="1" applyBorder="1"/>
    <xf numFmtId="172" fontId="3" fillId="0" borderId="2" xfId="0" applyNumberFormat="1" applyFont="1" applyBorder="1"/>
    <xf numFmtId="10" fontId="3" fillId="0" borderId="2" xfId="3" applyNumberFormat="1" applyFont="1" applyBorder="1"/>
    <xf numFmtId="172" fontId="3" fillId="0" borderId="0" xfId="0" applyNumberFormat="1" applyFont="1"/>
    <xf numFmtId="10" fontId="3" fillId="0" borderId="0" xfId="3" applyNumberFormat="1" applyFont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164" fontId="7" fillId="0" borderId="0" xfId="1" applyNumberFormat="1" applyFont="1" applyAlignment="1">
      <alignment horizontal="right"/>
    </xf>
    <xf numFmtId="0" fontId="11" fillId="0" borderId="0" xfId="0" applyFont="1"/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10" fontId="3" fillId="0" borderId="5" xfId="3" applyNumberFormat="1" applyFont="1" applyBorder="1" applyAlignment="1"/>
    <xf numFmtId="0" fontId="7" fillId="0" borderId="0" xfId="0" applyFont="1" applyAlignment="1">
      <alignment horizontal="left"/>
    </xf>
    <xf numFmtId="0" fontId="3" fillId="0" borderId="0" xfId="0" applyFont="1" applyBorder="1"/>
    <xf numFmtId="0" fontId="9" fillId="0" borderId="0" xfId="0" applyFont="1"/>
    <xf numFmtId="10" fontId="3" fillId="0" borderId="0" xfId="3" applyNumberFormat="1" applyFont="1" applyAlignment="1">
      <alignment horizontal="right"/>
    </xf>
    <xf numFmtId="0" fontId="2" fillId="0" borderId="4" xfId="0" applyFont="1" applyBorder="1" applyAlignment="1"/>
    <xf numFmtId="0" fontId="3" fillId="0" borderId="0" xfId="0" applyFont="1" applyFill="1" applyAlignment="1"/>
    <xf numFmtId="0" fontId="10" fillId="0" borderId="4" xfId="0" applyFont="1" applyBorder="1" applyAlignment="1"/>
    <xf numFmtId="0" fontId="7" fillId="0" borderId="0" xfId="0" applyFont="1" applyAlignment="1"/>
    <xf numFmtId="0" fontId="7" fillId="0" borderId="2" xfId="0" applyFont="1" applyBorder="1" applyAlignment="1"/>
    <xf numFmtId="165" fontId="7" fillId="0" borderId="0" xfId="0" applyNumberFormat="1" applyFont="1" applyAlignment="1">
      <alignment horizontal="center"/>
    </xf>
    <xf numFmtId="6" fontId="7" fillId="0" borderId="1" xfId="0" applyNumberFormat="1" applyFont="1" applyFill="1" applyBorder="1"/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0" fontId="7" fillId="0" borderId="0" xfId="0" applyFont="1" applyFill="1"/>
    <xf numFmtId="43" fontId="7" fillId="0" borderId="0" xfId="1" applyFont="1" applyFill="1"/>
    <xf numFmtId="167" fontId="7" fillId="0" borderId="0" xfId="1" applyNumberFormat="1" applyFont="1" applyFill="1"/>
    <xf numFmtId="166" fontId="7" fillId="0" borderId="0" xfId="1" applyNumberFormat="1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4" xfId="0" applyFont="1" applyFill="1" applyBorder="1" applyAlignment="1">
      <alignment horizontal="right" wrapText="1"/>
    </xf>
    <xf numFmtId="0" fontId="10" fillId="0" borderId="4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10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wrapText="1"/>
    </xf>
    <xf numFmtId="0" fontId="7" fillId="0" borderId="6" xfId="0" applyFont="1" applyFill="1" applyBorder="1"/>
    <xf numFmtId="164" fontId="7" fillId="0" borderId="0" xfId="1" applyNumberFormat="1" applyFont="1" applyFill="1"/>
    <xf numFmtId="165" fontId="7" fillId="0" borderId="0" xfId="2" applyNumberFormat="1" applyFont="1" applyFill="1"/>
    <xf numFmtId="10" fontId="7" fillId="0" borderId="0" xfId="3" applyNumberFormat="1" applyFont="1" applyFill="1"/>
    <xf numFmtId="10" fontId="7" fillId="0" borderId="0" xfId="0" applyNumberFormat="1" applyFont="1" applyFill="1"/>
    <xf numFmtId="173" fontId="7" fillId="0" borderId="0" xfId="0" applyNumberFormat="1" applyFont="1" applyFill="1"/>
    <xf numFmtId="0" fontId="7" fillId="0" borderId="5" xfId="0" applyFont="1" applyFill="1" applyBorder="1" applyAlignment="1">
      <alignment vertical="center"/>
    </xf>
    <xf numFmtId="10" fontId="7" fillId="0" borderId="5" xfId="3" applyNumberFormat="1" applyFont="1" applyFill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0" fontId="7" fillId="0" borderId="5" xfId="0" applyNumberFormat="1" applyFont="1" applyFill="1" applyBorder="1" applyAlignment="1">
      <alignment vertical="center"/>
    </xf>
    <xf numFmtId="44" fontId="7" fillId="0" borderId="5" xfId="2" applyFont="1" applyFill="1" applyBorder="1" applyAlignment="1">
      <alignment vertical="center"/>
    </xf>
    <xf numFmtId="165" fontId="7" fillId="0" borderId="0" xfId="0" applyNumberFormat="1" applyFont="1" applyFill="1"/>
    <xf numFmtId="168" fontId="7" fillId="0" borderId="0" xfId="3" applyNumberFormat="1" applyFont="1" applyFill="1"/>
    <xf numFmtId="0" fontId="7" fillId="0" borderId="5" xfId="0" applyFont="1" applyFill="1" applyBorder="1"/>
    <xf numFmtId="165" fontId="7" fillId="0" borderId="5" xfId="2" applyNumberFormat="1" applyFont="1" applyFill="1" applyBorder="1"/>
    <xf numFmtId="43" fontId="7" fillId="0" borderId="5" xfId="1" applyFont="1" applyFill="1" applyBorder="1"/>
    <xf numFmtId="0" fontId="7" fillId="0" borderId="3" xfId="0" applyFont="1" applyFill="1" applyBorder="1" applyAlignment="1">
      <alignment vertical="center"/>
    </xf>
    <xf numFmtId="165" fontId="7" fillId="0" borderId="3" xfId="2" applyNumberFormat="1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vertical="center"/>
    </xf>
    <xf numFmtId="10" fontId="7" fillId="0" borderId="3" xfId="3" applyNumberFormat="1" applyFont="1" applyFill="1" applyBorder="1" applyAlignment="1">
      <alignment vertical="center"/>
    </xf>
    <xf numFmtId="44" fontId="7" fillId="0" borderId="0" xfId="0" applyNumberFormat="1" applyFont="1" applyFill="1"/>
    <xf numFmtId="0" fontId="7" fillId="0" borderId="0" xfId="0" applyFont="1" applyFill="1" applyBorder="1"/>
    <xf numFmtId="43" fontId="7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5" fontId="7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5" fontId="7" fillId="0" borderId="5" xfId="0" applyNumberFormat="1" applyFont="1" applyFill="1" applyBorder="1"/>
    <xf numFmtId="165" fontId="7" fillId="0" borderId="0" xfId="0" applyNumberFormat="1" applyFont="1" applyAlignment="1">
      <alignment horizontal="left"/>
    </xf>
    <xf numFmtId="0" fontId="3" fillId="0" borderId="6" xfId="0" applyFont="1" applyBorder="1" applyAlignment="1">
      <alignment horizontal="left"/>
    </xf>
    <xf numFmtId="0" fontId="4" fillId="4" borderId="0" xfId="0" applyFont="1" applyFill="1"/>
    <xf numFmtId="0" fontId="12" fillId="4" borderId="0" xfId="0" applyFont="1" applyFill="1"/>
    <xf numFmtId="43" fontId="7" fillId="4" borderId="0" xfId="1" applyFont="1" applyFill="1"/>
    <xf numFmtId="0" fontId="7" fillId="4" borderId="0" xfId="0" applyFont="1" applyFill="1"/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65" fontId="7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166" fontId="4" fillId="4" borderId="0" xfId="1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4"/>
  <sheetViews>
    <sheetView topLeftCell="C1" zoomScale="75" zoomScaleNormal="75" workbookViewId="0">
      <selection activeCell="Q13" sqref="Q13"/>
    </sheetView>
  </sheetViews>
  <sheetFormatPr defaultColWidth="8.88671875" defaultRowHeight="13.2" x14ac:dyDescent="0.25"/>
  <cols>
    <col min="1" max="1" width="6" style="2" customWidth="1"/>
    <col min="2" max="2" width="42.21875" style="2" bestFit="1" customWidth="1"/>
    <col min="3" max="3" width="14.33203125" style="13" bestFit="1" customWidth="1"/>
    <col min="4" max="4" width="14.21875" style="2" hidden="1" customWidth="1"/>
    <col min="5" max="5" width="13.88671875" style="2" bestFit="1" customWidth="1"/>
    <col min="6" max="6" width="8.5546875" style="2" bestFit="1" customWidth="1"/>
    <col min="7" max="7" width="13.88671875" style="2" bestFit="1" customWidth="1"/>
    <col min="8" max="8" width="10.44140625" style="2" bestFit="1" customWidth="1"/>
    <col min="9" max="9" width="11.6640625" style="2" bestFit="1" customWidth="1"/>
    <col min="10" max="10" width="13.88671875" style="2" bestFit="1" customWidth="1"/>
    <col min="11" max="11" width="11.6640625" style="2" customWidth="1"/>
    <col min="12" max="12" width="11.6640625" style="2" bestFit="1" customWidth="1"/>
    <col min="13" max="13" width="7.6640625" style="2" bestFit="1" customWidth="1"/>
    <col min="14" max="14" width="7.77734375" style="2" bestFit="1" customWidth="1"/>
    <col min="15" max="15" width="10" style="2" bestFit="1" customWidth="1"/>
    <col min="16" max="16" width="24.44140625" style="2" customWidth="1"/>
    <col min="17" max="17" width="11.33203125" style="2" customWidth="1"/>
    <col min="18" max="18" width="14.5546875" style="2" customWidth="1"/>
    <col min="19" max="19" width="9" style="2" customWidth="1"/>
    <col min="20" max="20" width="14.6640625" style="2" customWidth="1"/>
    <col min="21" max="21" width="10" style="2" customWidth="1"/>
    <col min="22" max="16384" width="8.88671875" style="2"/>
  </cols>
  <sheetData>
    <row r="1" spans="1:22" x14ac:dyDescent="0.25">
      <c r="A1" s="1" t="s">
        <v>82</v>
      </c>
    </row>
    <row r="2" spans="1:22" x14ac:dyDescent="0.25">
      <c r="A2" s="1" t="s">
        <v>0</v>
      </c>
    </row>
    <row r="3" spans="1:22" x14ac:dyDescent="0.25">
      <c r="A3" s="1"/>
    </row>
    <row r="4" spans="1:22" x14ac:dyDescent="0.25">
      <c r="A4" s="1"/>
      <c r="K4" s="24" t="s">
        <v>39</v>
      </c>
      <c r="L4" s="105">
        <v>4649958</v>
      </c>
      <c r="M4" s="4"/>
      <c r="N4" s="4"/>
    </row>
    <row r="5" spans="1:22" x14ac:dyDescent="0.25">
      <c r="M5" s="4"/>
      <c r="N5" s="4"/>
    </row>
    <row r="6" spans="1:22" s="9" customFormat="1" ht="31.95" customHeight="1" x14ac:dyDescent="0.25">
      <c r="A6" s="7" t="s">
        <v>1</v>
      </c>
      <c r="B6" s="7" t="s">
        <v>2</v>
      </c>
      <c r="C6" s="8" t="s">
        <v>11</v>
      </c>
      <c r="D6" s="27" t="s">
        <v>21</v>
      </c>
      <c r="E6" s="27" t="s">
        <v>3</v>
      </c>
      <c r="F6" s="27" t="s">
        <v>22</v>
      </c>
      <c r="G6" s="27" t="s">
        <v>34</v>
      </c>
      <c r="H6" s="27" t="s">
        <v>35</v>
      </c>
      <c r="I6" s="27" t="s">
        <v>36</v>
      </c>
      <c r="J6" s="27" t="s">
        <v>4</v>
      </c>
      <c r="K6" s="27" t="s">
        <v>24</v>
      </c>
      <c r="L6" s="27" t="s">
        <v>48</v>
      </c>
      <c r="M6" s="75" t="s">
        <v>46</v>
      </c>
      <c r="N6" s="75" t="s">
        <v>47</v>
      </c>
      <c r="O6" s="10" t="s">
        <v>38</v>
      </c>
      <c r="Q6" s="2"/>
      <c r="R6" s="2"/>
      <c r="S6" s="2"/>
      <c r="T6" s="2"/>
      <c r="U6" s="2"/>
      <c r="V6" s="2"/>
    </row>
    <row r="7" spans="1:22" s="37" customFormat="1" x14ac:dyDescent="0.25">
      <c r="A7" s="3">
        <v>1</v>
      </c>
      <c r="B7" s="33" t="s">
        <v>5</v>
      </c>
      <c r="C7" s="69"/>
      <c r="D7" s="33"/>
      <c r="E7" s="34"/>
      <c r="F7" s="35"/>
      <c r="G7" s="35"/>
      <c r="H7" s="9"/>
      <c r="I7" s="9"/>
      <c r="J7" s="34"/>
      <c r="K7" s="35"/>
      <c r="L7" s="34"/>
      <c r="M7" s="36"/>
      <c r="N7" s="36"/>
      <c r="Q7" s="2"/>
      <c r="R7" s="2"/>
      <c r="S7" s="2"/>
      <c r="T7" s="2"/>
      <c r="U7" s="2"/>
      <c r="V7" s="2"/>
    </row>
    <row r="8" spans="1:22" s="37" customFormat="1" x14ac:dyDescent="0.25">
      <c r="A8" s="3">
        <f>A7+1</f>
        <v>2</v>
      </c>
      <c r="B8" s="37" t="str">
        <f>'Billing Detail'!B7</f>
        <v>Residential, Farm and Non-Farm Service</v>
      </c>
      <c r="C8" s="13" t="str">
        <f>'Billing Detail'!C7</f>
        <v xml:space="preserve">A </v>
      </c>
      <c r="D8" s="38">
        <f>'Billing Detail'!G10</f>
        <v>75036437.230859995</v>
      </c>
      <c r="E8" s="38">
        <f>'Billing Detail'!I10</f>
        <v>73783877.733150005</v>
      </c>
      <c r="F8" s="36">
        <f t="shared" ref="F8:F19" si="0">E8/E$19</f>
        <v>0.64948927162449066</v>
      </c>
      <c r="G8" s="106">
        <f>E8</f>
        <v>73783877.733150005</v>
      </c>
      <c r="H8" s="107">
        <f t="shared" ref="H8:H18" si="1">G8/G$19</f>
        <v>0.64948927162449066</v>
      </c>
      <c r="I8" s="108">
        <f t="shared" ref="I8:I18" si="2">ROUND(L$4*H8,2)</f>
        <v>3020097.83</v>
      </c>
      <c r="J8" s="38">
        <f>'Billing Detail'!M10</f>
        <v>76800550.518920004</v>
      </c>
      <c r="K8" s="36">
        <f t="shared" ref="K8:K19" si="3">J8/J$19</f>
        <v>0.64947607981078481</v>
      </c>
      <c r="L8" s="38">
        <f>'Billing Detail'!N10</f>
        <v>3016672.7857700009</v>
      </c>
      <c r="M8" s="36">
        <f>IF(E8=0,0,L8/E8)</f>
        <v>4.088525675866795E-2</v>
      </c>
      <c r="N8" s="36">
        <f>'Billing Detail'!O16</f>
        <v>3.7645210449505605E-2</v>
      </c>
      <c r="O8" s="40">
        <f>J8-I8-E8</f>
        <v>-3425.0442299991846</v>
      </c>
      <c r="Q8" s="2"/>
      <c r="R8" s="2"/>
      <c r="S8" s="2"/>
      <c r="T8" s="2"/>
      <c r="U8" s="2"/>
      <c r="V8" s="2"/>
    </row>
    <row r="9" spans="1:22" s="37" customFormat="1" x14ac:dyDescent="0.25">
      <c r="A9" s="3">
        <f t="shared" ref="A9:A33" si="4">A8+1</f>
        <v>3</v>
      </c>
      <c r="B9" s="37" t="str">
        <f>'Billing Detail'!B19</f>
        <v>Residential, Farm and Non-Farm Service (ETS)</v>
      </c>
      <c r="C9" s="13" t="str">
        <f>'Billing Detail'!C19</f>
        <v>A-ETS</v>
      </c>
      <c r="D9" s="38">
        <f>'Billing Detail'!G22</f>
        <v>346661.88935000001</v>
      </c>
      <c r="E9" s="38">
        <f>'Billing Detail'!I22</f>
        <v>337558.79431999999</v>
      </c>
      <c r="F9" s="36">
        <f t="shared" si="0"/>
        <v>2.9713918838239154E-3</v>
      </c>
      <c r="G9" s="106">
        <f t="shared" ref="G9:G18" si="5">E9</f>
        <v>337558.79431999999</v>
      </c>
      <c r="H9" s="107">
        <f t="shared" si="1"/>
        <v>2.9713918838239154E-3</v>
      </c>
      <c r="I9" s="108">
        <f t="shared" si="2"/>
        <v>13816.85</v>
      </c>
      <c r="J9" s="38">
        <f>'Billing Detail'!M22</f>
        <v>351356.56728999998</v>
      </c>
      <c r="K9" s="36">
        <f t="shared" si="3"/>
        <v>2.9713027367305961E-3</v>
      </c>
      <c r="L9" s="38">
        <f>'Billing Detail'!N22</f>
        <v>13797.772969999991</v>
      </c>
      <c r="M9" s="36">
        <f t="shared" ref="M9:M18" si="6">IF(E9=0,0,L9/E9)</f>
        <v>4.0875169606512864E-2</v>
      </c>
      <c r="N9" s="36">
        <f>'Billing Detail'!O28</f>
        <v>3.8169888328169338E-2</v>
      </c>
      <c r="O9" s="40">
        <f t="shared" ref="O9:O19" si="7">J9-I9-E9</f>
        <v>-19.077029999985825</v>
      </c>
      <c r="Q9" s="2"/>
      <c r="R9" s="2"/>
      <c r="S9" s="2"/>
      <c r="T9" s="2"/>
      <c r="U9" s="2"/>
      <c r="V9" s="2"/>
    </row>
    <row r="10" spans="1:22" s="37" customFormat="1" x14ac:dyDescent="0.25">
      <c r="A10" s="3">
        <f t="shared" si="4"/>
        <v>4</v>
      </c>
      <c r="B10" s="37" t="str">
        <f>'Billing Detail'!B31</f>
        <v>Small Commercial Rate</v>
      </c>
      <c r="C10" s="13" t="str">
        <f>'Billing Detail'!C31</f>
        <v>B</v>
      </c>
      <c r="D10" s="38">
        <f>'Billing Detail'!G34</f>
        <v>7949993.6042599995</v>
      </c>
      <c r="E10" s="38">
        <f>'Billing Detail'!I34</f>
        <v>7838361.3673999999</v>
      </c>
      <c r="F10" s="36">
        <f t="shared" si="0"/>
        <v>6.899788641706063E-2</v>
      </c>
      <c r="G10" s="106">
        <f t="shared" si="5"/>
        <v>7838361.3673999999</v>
      </c>
      <c r="H10" s="107">
        <f t="shared" si="1"/>
        <v>6.899788641706063E-2</v>
      </c>
      <c r="I10" s="108">
        <f t="shared" si="2"/>
        <v>320837.27</v>
      </c>
      <c r="J10" s="38">
        <f>'Billing Detail'!M34</f>
        <v>8158940.73214</v>
      </c>
      <c r="K10" s="36">
        <f t="shared" si="3"/>
        <v>6.8997380960353807E-2</v>
      </c>
      <c r="L10" s="38">
        <f>'Billing Detail'!N34</f>
        <v>320579.36474000011</v>
      </c>
      <c r="M10" s="36">
        <f t="shared" si="6"/>
        <v>4.0898773316741958E-2</v>
      </c>
      <c r="N10" s="36">
        <f>'Billing Detail'!O40</f>
        <v>3.7779840134257663E-2</v>
      </c>
      <c r="O10" s="40">
        <f t="shared" si="7"/>
        <v>-257.90526000037789</v>
      </c>
      <c r="Q10" s="2"/>
      <c r="R10" s="2"/>
      <c r="S10" s="2"/>
      <c r="T10" s="2"/>
      <c r="U10" s="2"/>
      <c r="V10" s="2"/>
    </row>
    <row r="11" spans="1:22" s="37" customFormat="1" x14ac:dyDescent="0.25">
      <c r="A11" s="3">
        <f t="shared" si="4"/>
        <v>5</v>
      </c>
      <c r="B11" s="37" t="str">
        <f>'Billing Detail'!B43</f>
        <v>Small Commercial Rate (ETS)</v>
      </c>
      <c r="C11" s="13" t="str">
        <f>'Billing Detail'!C43</f>
        <v>B-ETS</v>
      </c>
      <c r="D11" s="38">
        <f>'Billing Detail'!G46</f>
        <v>1951.7221500000001</v>
      </c>
      <c r="E11" s="38">
        <f>'Billing Detail'!I46</f>
        <v>1905.7822800000001</v>
      </c>
      <c r="F11" s="36">
        <f t="shared" si="0"/>
        <v>1.677582126258922E-5</v>
      </c>
      <c r="G11" s="106">
        <f t="shared" si="5"/>
        <v>1905.7822800000001</v>
      </c>
      <c r="H11" s="107">
        <f t="shared" si="1"/>
        <v>1.677582126258922E-5</v>
      </c>
      <c r="I11" s="108">
        <f t="shared" si="2"/>
        <v>78.010000000000005</v>
      </c>
      <c r="J11" s="38">
        <f>'Billing Detail'!M46</f>
        <v>1983.7933800000001</v>
      </c>
      <c r="K11" s="36">
        <f t="shared" si="3"/>
        <v>1.6776264478463337E-5</v>
      </c>
      <c r="L11" s="38">
        <f>'Billing Detail'!N46</f>
        <v>78.011099999999942</v>
      </c>
      <c r="M11" s="36">
        <f t="shared" si="6"/>
        <v>4.0933899332929014E-2</v>
      </c>
      <c r="N11" s="36">
        <f>'Billing Detail'!O52</f>
        <v>3.8149622214767663E-2</v>
      </c>
      <c r="O11" s="40">
        <f t="shared" si="7"/>
        <v>1.0999999999512511E-3</v>
      </c>
      <c r="Q11" s="2"/>
      <c r="R11" s="2"/>
      <c r="S11" s="2"/>
      <c r="T11" s="2"/>
      <c r="U11" s="2"/>
      <c r="V11" s="2"/>
    </row>
    <row r="12" spans="1:22" s="37" customFormat="1" x14ac:dyDescent="0.25">
      <c r="A12" s="3">
        <f t="shared" si="4"/>
        <v>6</v>
      </c>
      <c r="B12" s="37" t="str">
        <f>'Billing Detail'!B55</f>
        <v>Large Power Rate (Excess of 50 kVA)</v>
      </c>
      <c r="C12" s="13" t="str">
        <f>'Billing Detail'!C55</f>
        <v>LP</v>
      </c>
      <c r="D12" s="38">
        <f>'Billing Detail'!G59</f>
        <v>15767317.479419999</v>
      </c>
      <c r="E12" s="38">
        <f>'Billing Detail'!I59</f>
        <v>15460057.692509998</v>
      </c>
      <c r="F12" s="36">
        <f t="shared" si="0"/>
        <v>0.13608855916052764</v>
      </c>
      <c r="G12" s="106">
        <f t="shared" si="5"/>
        <v>15460057.692509998</v>
      </c>
      <c r="H12" s="107">
        <f t="shared" si="1"/>
        <v>0.13608855916052764</v>
      </c>
      <c r="I12" s="108">
        <f t="shared" si="2"/>
        <v>632806.07999999996</v>
      </c>
      <c r="J12" s="38">
        <f>'Billing Detail'!M59</f>
        <v>16094718.679719999</v>
      </c>
      <c r="K12" s="36">
        <f t="shared" si="3"/>
        <v>0.1361075503122442</v>
      </c>
      <c r="L12" s="38">
        <f>'Billing Detail'!N59</f>
        <v>634660.9872100018</v>
      </c>
      <c r="M12" s="36">
        <f t="shared" ref="M12" si="8">IF(E12=0,0,L12/E12)</f>
        <v>4.1051657104583694E-2</v>
      </c>
      <c r="N12" s="36">
        <f>'Billing Detail'!O65</f>
        <v>3.8246362314729616E-2</v>
      </c>
      <c r="O12" s="40">
        <f t="shared" ref="O12" si="9">J12-I12-E12</f>
        <v>1854.907210001722</v>
      </c>
      <c r="Q12" s="2"/>
      <c r="R12" s="2"/>
      <c r="S12" s="2"/>
      <c r="T12" s="2"/>
      <c r="U12" s="2"/>
      <c r="V12" s="2"/>
    </row>
    <row r="13" spans="1:22" s="37" customFormat="1" x14ac:dyDescent="0.25">
      <c r="A13" s="3">
        <f t="shared" si="4"/>
        <v>7</v>
      </c>
      <c r="B13" s="37" t="str">
        <f>'Billing Detail'!B68</f>
        <v>Large Power Rate (500 KW to 4,999 KW)</v>
      </c>
      <c r="C13" s="13" t="str">
        <f>'Billing Detail'!C68</f>
        <v>LP-1</v>
      </c>
      <c r="D13" s="38">
        <f>'Billing Detail'!G75</f>
        <v>2392767.28259</v>
      </c>
      <c r="E13" s="38">
        <f>'Billing Detail'!I75</f>
        <v>2336314.8143600002</v>
      </c>
      <c r="F13" s="36">
        <f t="shared" si="0"/>
        <v>2.0565622920390821E-2</v>
      </c>
      <c r="G13" s="106">
        <f t="shared" si="5"/>
        <v>2336314.8143600002</v>
      </c>
      <c r="H13" s="107">
        <f t="shared" si="1"/>
        <v>2.0565622920390821E-2</v>
      </c>
      <c r="I13" s="108">
        <f t="shared" si="2"/>
        <v>95629.28</v>
      </c>
      <c r="J13" s="38">
        <f>'Billing Detail'!M75</f>
        <v>2431709.76871</v>
      </c>
      <c r="K13" s="36">
        <f t="shared" si="3"/>
        <v>2.0564140714463858E-2</v>
      </c>
      <c r="L13" s="38">
        <f>'Billing Detail'!N75</f>
        <v>95394.954350000175</v>
      </c>
      <c r="M13" s="36">
        <f t="shared" si="6"/>
        <v>4.083137844423259E-2</v>
      </c>
      <c r="N13" s="36">
        <f>'Billing Detail'!O81</f>
        <v>3.8244165845972837E-2</v>
      </c>
      <c r="O13" s="40">
        <f t="shared" si="7"/>
        <v>-234.32565000001341</v>
      </c>
      <c r="Q13" s="2"/>
      <c r="R13" s="2"/>
      <c r="S13" s="2"/>
      <c r="T13" s="2"/>
      <c r="U13" s="2"/>
      <c r="V13" s="2"/>
    </row>
    <row r="14" spans="1:22" s="37" customFormat="1" x14ac:dyDescent="0.25">
      <c r="A14" s="3">
        <f t="shared" si="4"/>
        <v>8</v>
      </c>
      <c r="B14" s="37" t="str">
        <f>'Billing Detail'!B84</f>
        <v>Large Power Rate (5,000 KW to 9,999 KW)</v>
      </c>
      <c r="C14" s="13" t="str">
        <f>'Billing Detail'!C84</f>
        <v>LP-2</v>
      </c>
      <c r="D14" s="38">
        <f>'Billing Detail'!G91</f>
        <v>3754170.4841999998</v>
      </c>
      <c r="E14" s="38">
        <f>'Billing Detail'!I91</f>
        <v>3656305.5787499994</v>
      </c>
      <c r="F14" s="36">
        <f t="shared" si="0"/>
        <v>3.2184961269824494E-2</v>
      </c>
      <c r="G14" s="106">
        <f t="shared" si="5"/>
        <v>3656305.5787499994</v>
      </c>
      <c r="H14" s="107">
        <f t="shared" si="1"/>
        <v>3.2184961269824494E-2</v>
      </c>
      <c r="I14" s="108">
        <f t="shared" si="2"/>
        <v>149658.72</v>
      </c>
      <c r="J14" s="38">
        <f>'Billing Detail'!M91</f>
        <v>3805658.1501000002</v>
      </c>
      <c r="K14" s="36">
        <f t="shared" si="3"/>
        <v>3.2183153893122242E-2</v>
      </c>
      <c r="L14" s="38">
        <f>'Billing Detail'!N91</f>
        <v>149352.57135000022</v>
      </c>
      <c r="M14" s="36">
        <f t="shared" ref="M14:M15" si="10">IF(E14=0,0,L14/E14)</f>
        <v>4.0847945592408653E-2</v>
      </c>
      <c r="N14" s="63">
        <f>'Billing Detail'!O97</f>
        <v>3.866427879872715E-2</v>
      </c>
      <c r="O14" s="40">
        <f t="shared" si="7"/>
        <v>-306.14864999940619</v>
      </c>
      <c r="Q14" s="2"/>
      <c r="R14" s="2"/>
      <c r="S14" s="2"/>
      <c r="T14" s="2"/>
      <c r="U14" s="2"/>
      <c r="V14" s="2"/>
    </row>
    <row r="15" spans="1:22" s="37" customFormat="1" x14ac:dyDescent="0.25">
      <c r="A15" s="3">
        <f t="shared" si="4"/>
        <v>9</v>
      </c>
      <c r="B15" s="37" t="str">
        <f>'Billing Detail'!B100</f>
        <v>Large Power Rate (500 KW to 2,999 KW)</v>
      </c>
      <c r="C15" s="13" t="str">
        <f>'Billing Detail'!C100</f>
        <v>LP-3</v>
      </c>
      <c r="D15" s="38">
        <f>'Billing Detail'!G107</f>
        <v>4281373.8601599997</v>
      </c>
      <c r="E15" s="38">
        <f>'Billing Detail'!I107</f>
        <v>4173749.7747999998</v>
      </c>
      <c r="F15" s="36">
        <f t="shared" si="0"/>
        <v>3.6739810707452275E-2</v>
      </c>
      <c r="G15" s="106">
        <f t="shared" si="5"/>
        <v>4173749.7747999998</v>
      </c>
      <c r="H15" s="107">
        <f t="shared" si="1"/>
        <v>3.6739810707452275E-2</v>
      </c>
      <c r="I15" s="108">
        <f t="shared" si="2"/>
        <v>170838.58</v>
      </c>
      <c r="J15" s="38">
        <f>'Billing Detail'!M107</f>
        <v>4344734.9765600003</v>
      </c>
      <c r="K15" s="36">
        <f t="shared" si="3"/>
        <v>3.6741942880967153E-2</v>
      </c>
      <c r="L15" s="38">
        <f>'Billing Detail'!N107</f>
        <v>170985.20176000032</v>
      </c>
      <c r="M15" s="36">
        <f t="shared" si="10"/>
        <v>4.0966807064564306E-2</v>
      </c>
      <c r="N15" s="36">
        <f>'Billing Detail'!O113</f>
        <v>3.8575225790766665E-2</v>
      </c>
      <c r="O15" s="40">
        <f t="shared" si="7"/>
        <v>146.62176000047475</v>
      </c>
      <c r="Q15" s="2"/>
      <c r="R15" s="2"/>
      <c r="S15" s="2"/>
      <c r="T15" s="2"/>
      <c r="U15" s="2"/>
      <c r="V15" s="2"/>
    </row>
    <row r="16" spans="1:22" s="37" customFormat="1" x14ac:dyDescent="0.25">
      <c r="A16" s="3">
        <f t="shared" si="4"/>
        <v>10</v>
      </c>
      <c r="B16" s="37" t="str">
        <f>'Billing Detail'!B116</f>
        <v>Optional Power Service</v>
      </c>
      <c r="C16" s="13" t="str">
        <f>'Billing Detail'!C116</f>
        <v>OPS</v>
      </c>
      <c r="D16" s="38">
        <f>'Billing Detail'!G119</f>
        <v>1523892.3412299999</v>
      </c>
      <c r="E16" s="38">
        <f>'Billing Detail'!I119</f>
        <v>1501646.36026</v>
      </c>
      <c r="F16" s="36">
        <f t="shared" si="0"/>
        <v>1.3218378197607872E-2</v>
      </c>
      <c r="G16" s="106">
        <f t="shared" si="5"/>
        <v>1501646.36026</v>
      </c>
      <c r="H16" s="107">
        <f t="shared" si="1"/>
        <v>1.3218378197607872E-2</v>
      </c>
      <c r="I16" s="108">
        <f t="shared" si="2"/>
        <v>61464.9</v>
      </c>
      <c r="J16" s="38">
        <f>'Billing Detail'!M119</f>
        <v>1563087.66056</v>
      </c>
      <c r="K16" s="36">
        <f t="shared" si="3"/>
        <v>1.3218499598268185E-2</v>
      </c>
      <c r="L16" s="38">
        <f>'Billing Detail'!N119</f>
        <v>61441.300300000046</v>
      </c>
      <c r="M16" s="36">
        <f t="shared" ref="M16:M17" si="11">IF(E16=0,0,L16/E16)</f>
        <v>4.0915958594513489E-2</v>
      </c>
      <c r="N16" s="36">
        <f>'Billing Detail'!O125</f>
        <v>3.7773511726569502E-2</v>
      </c>
      <c r="O16" s="40">
        <f t="shared" ref="O16:O17" si="12">J16-I16-E16</f>
        <v>-23.59969999990426</v>
      </c>
      <c r="Q16" s="2"/>
      <c r="R16" s="2"/>
      <c r="S16" s="2"/>
      <c r="T16" s="2"/>
      <c r="U16" s="2"/>
      <c r="V16" s="2"/>
    </row>
    <row r="17" spans="1:22" s="37" customFormat="1" x14ac:dyDescent="0.25">
      <c r="A17" s="3">
        <f t="shared" si="4"/>
        <v>11</v>
      </c>
      <c r="B17" s="37" t="str">
        <f>'Billing Detail'!B128</f>
        <v>All Electric Schools</v>
      </c>
      <c r="C17" s="13" t="str">
        <f>'Billing Detail'!C128</f>
        <v>AES</v>
      </c>
      <c r="D17" s="38">
        <f>'Billing Detail'!G131</f>
        <v>819745.36659999983</v>
      </c>
      <c r="E17" s="38">
        <f>'Billing Detail'!I131</f>
        <v>803166.72279999999</v>
      </c>
      <c r="F17" s="36">
        <f t="shared" si="0"/>
        <v>7.0699478776517647E-3</v>
      </c>
      <c r="G17" s="106">
        <f t="shared" si="5"/>
        <v>803166.72279999999</v>
      </c>
      <c r="H17" s="107">
        <f t="shared" si="1"/>
        <v>7.0699478776517647E-3</v>
      </c>
      <c r="I17" s="108">
        <f t="shared" si="2"/>
        <v>32874.959999999999</v>
      </c>
      <c r="J17" s="38">
        <f>'Billing Detail'!M131</f>
        <v>836021.39660000009</v>
      </c>
      <c r="K17" s="36">
        <f t="shared" si="3"/>
        <v>7.0699480099161794E-3</v>
      </c>
      <c r="L17" s="38">
        <f>'Billing Detail'!N131</f>
        <v>32854.673800000062</v>
      </c>
      <c r="M17" s="36">
        <f t="shared" si="11"/>
        <v>4.0906418141257263E-2</v>
      </c>
      <c r="N17" s="36">
        <f>'Billing Detail'!O137</f>
        <v>3.8148085929620837E-2</v>
      </c>
      <c r="O17" s="40">
        <f t="shared" si="12"/>
        <v>-20.286199999856763</v>
      </c>
      <c r="Q17" s="2"/>
      <c r="R17" s="2"/>
      <c r="S17" s="2"/>
      <c r="T17" s="2"/>
      <c r="U17" s="2"/>
      <c r="V17" s="2"/>
    </row>
    <row r="18" spans="1:22" s="37" customFormat="1" x14ac:dyDescent="0.25">
      <c r="A18" s="3">
        <f t="shared" si="4"/>
        <v>12</v>
      </c>
      <c r="B18" s="37" t="str">
        <f>'Billing Detail'!B140</f>
        <v>Lighting</v>
      </c>
      <c r="C18" s="13" t="str">
        <f>'Billing Detail'!C140</f>
        <v>STL-DSTL-OLS</v>
      </c>
      <c r="D18" s="38">
        <f>'Billing Detail'!G214</f>
        <v>3734836.7800000003</v>
      </c>
      <c r="E18" s="38">
        <f>'Billing Detail'!I214</f>
        <v>3709975.330000001</v>
      </c>
      <c r="F18" s="36">
        <f t="shared" si="0"/>
        <v>3.2657394119907271E-2</v>
      </c>
      <c r="G18" s="106">
        <f t="shared" si="5"/>
        <v>3709975.330000001</v>
      </c>
      <c r="H18" s="107">
        <f t="shared" si="1"/>
        <v>3.2657394119907271E-2</v>
      </c>
      <c r="I18" s="108">
        <f t="shared" si="2"/>
        <v>151855.51</v>
      </c>
      <c r="J18" s="38">
        <f>'Billing Detail'!M214</f>
        <v>3861244.04</v>
      </c>
      <c r="K18" s="36">
        <f t="shared" si="3"/>
        <v>3.2653224818670515E-2</v>
      </c>
      <c r="L18" s="38">
        <f t="shared" ref="L18:L19" si="13">J18-E18</f>
        <v>151268.70999999903</v>
      </c>
      <c r="M18" s="36">
        <f t="shared" si="6"/>
        <v>4.0773508324110336E-2</v>
      </c>
      <c r="N18" s="36">
        <f>'Billing Detail'!O220</f>
        <v>3.7294556479610934E-2</v>
      </c>
      <c r="O18" s="40">
        <f t="shared" si="7"/>
        <v>-586.80000000074506</v>
      </c>
      <c r="Q18" s="2"/>
      <c r="R18" s="2"/>
      <c r="S18" s="2"/>
      <c r="T18" s="2"/>
      <c r="U18" s="2"/>
      <c r="V18" s="2"/>
    </row>
    <row r="19" spans="1:22" s="37" customFormat="1" ht="16.2" customHeight="1" x14ac:dyDescent="0.25">
      <c r="A19" s="3">
        <f t="shared" si="4"/>
        <v>13</v>
      </c>
      <c r="B19" s="41" t="s">
        <v>45</v>
      </c>
      <c r="C19" s="70"/>
      <c r="D19" s="42">
        <f>SUM(D8:D18)</f>
        <v>115609148.04082</v>
      </c>
      <c r="E19" s="42">
        <f>SUM(E8:E18)</f>
        <v>113602919.95063001</v>
      </c>
      <c r="F19" s="43">
        <f t="shared" si="0"/>
        <v>1</v>
      </c>
      <c r="G19" s="42">
        <f>SUM(G8:G18)</f>
        <v>113602919.95063001</v>
      </c>
      <c r="H19" s="43">
        <v>1</v>
      </c>
      <c r="I19" s="42">
        <f>SUM(I8:I18)</f>
        <v>4649957.99</v>
      </c>
      <c r="J19" s="42">
        <f>SUM(J8:J18)</f>
        <v>118250006.28398</v>
      </c>
      <c r="K19" s="43">
        <f t="shared" si="3"/>
        <v>1</v>
      </c>
      <c r="L19" s="42">
        <f t="shared" si="13"/>
        <v>4647086.3333499879</v>
      </c>
      <c r="M19" s="43">
        <f t="shared" ref="M19" si="14">L19/E19</f>
        <v>4.0906398668005509E-2</v>
      </c>
      <c r="N19" s="43"/>
      <c r="O19" s="44">
        <f t="shared" si="7"/>
        <v>-2871.6566500067711</v>
      </c>
      <c r="Q19" s="2"/>
      <c r="R19" s="2"/>
      <c r="S19" s="2"/>
      <c r="T19" s="2"/>
      <c r="U19" s="2"/>
      <c r="V19" s="2"/>
    </row>
    <row r="20" spans="1:22" s="37" customFormat="1" ht="16.2" customHeight="1" x14ac:dyDescent="0.25">
      <c r="A20" s="3">
        <f t="shared" si="4"/>
        <v>14</v>
      </c>
      <c r="B20" s="45"/>
      <c r="C20" s="71"/>
      <c r="D20" s="46"/>
      <c r="E20" s="46"/>
      <c r="F20" s="47"/>
      <c r="G20" s="46"/>
      <c r="H20" s="47"/>
      <c r="I20" s="46"/>
      <c r="J20" s="46"/>
      <c r="K20" s="47"/>
      <c r="L20" s="46"/>
      <c r="M20" s="47"/>
      <c r="N20" s="47"/>
      <c r="O20" s="48"/>
    </row>
    <row r="21" spans="1:22" s="37" customFormat="1" ht="16.2" customHeight="1" x14ac:dyDescent="0.25">
      <c r="A21" s="3">
        <f t="shared" si="4"/>
        <v>15</v>
      </c>
      <c r="B21" s="49" t="s">
        <v>44</v>
      </c>
      <c r="C21" s="72"/>
      <c r="D21" s="50">
        <f>D19</f>
        <v>115609148.04082</v>
      </c>
      <c r="E21" s="50">
        <f t="shared" ref="E21:O21" si="15">E19</f>
        <v>113602919.95063001</v>
      </c>
      <c r="F21" s="94">
        <f t="shared" si="15"/>
        <v>1</v>
      </c>
      <c r="G21" s="50">
        <f t="shared" si="15"/>
        <v>113602919.95063001</v>
      </c>
      <c r="H21" s="94">
        <f t="shared" si="15"/>
        <v>1</v>
      </c>
      <c r="I21" s="50">
        <f t="shared" si="15"/>
        <v>4649957.99</v>
      </c>
      <c r="J21" s="50">
        <f t="shared" si="15"/>
        <v>118250006.28398</v>
      </c>
      <c r="K21" s="94">
        <f t="shared" si="15"/>
        <v>1</v>
      </c>
      <c r="L21" s="50">
        <f t="shared" si="15"/>
        <v>4647086.3333499879</v>
      </c>
      <c r="M21" s="94">
        <f t="shared" si="15"/>
        <v>4.0906398668005509E-2</v>
      </c>
      <c r="N21" s="50"/>
      <c r="O21" s="50">
        <f t="shared" si="15"/>
        <v>-2871.6566500067711</v>
      </c>
    </row>
    <row r="22" spans="1:22" s="37" customFormat="1" ht="12.6" customHeight="1" x14ac:dyDescent="0.25">
      <c r="A22" s="3">
        <f t="shared" si="4"/>
        <v>16</v>
      </c>
      <c r="C22" s="13"/>
      <c r="S22" s="38"/>
    </row>
    <row r="23" spans="1:22" s="37" customFormat="1" x14ac:dyDescent="0.25">
      <c r="A23" s="3">
        <f t="shared" si="4"/>
        <v>17</v>
      </c>
      <c r="B23" s="33" t="s">
        <v>7</v>
      </c>
      <c r="C23" s="69"/>
      <c r="D23" s="33"/>
    </row>
    <row r="24" spans="1:22" s="37" customFormat="1" x14ac:dyDescent="0.25">
      <c r="A24" s="3">
        <f t="shared" si="4"/>
        <v>18</v>
      </c>
      <c r="B24" s="37" t="str">
        <f>'Billing Detail'!D11</f>
        <v xml:space="preserve">    FAC</v>
      </c>
      <c r="C24" s="13"/>
      <c r="D24" s="38">
        <f>'Billing Detail'!G225</f>
        <v>-5025154.4099999992</v>
      </c>
      <c r="E24" s="38">
        <f>'Billing Detail'!I225</f>
        <v>-3018926.3052600003</v>
      </c>
      <c r="F24" s="51"/>
      <c r="G24" s="52"/>
      <c r="H24" s="52"/>
      <c r="I24" s="52"/>
      <c r="J24" s="38">
        <f>'Billing Detail'!M225</f>
        <v>-3018926.3052600003</v>
      </c>
      <c r="K24" s="53"/>
      <c r="L24" s="53"/>
      <c r="M24" s="52"/>
      <c r="N24" s="52"/>
    </row>
    <row r="25" spans="1:22" s="37" customFormat="1" x14ac:dyDescent="0.25">
      <c r="A25" s="3">
        <f t="shared" si="4"/>
        <v>19</v>
      </c>
      <c r="B25" s="37" t="str">
        <f>'Billing Detail'!D12</f>
        <v xml:space="preserve">    ES</v>
      </c>
      <c r="C25" s="13"/>
      <c r="D25" s="38">
        <f>'Billing Detail'!G226</f>
        <v>11918408.910000004</v>
      </c>
      <c r="E25" s="38">
        <f>'Billing Detail'!I226</f>
        <v>11918409.250000004</v>
      </c>
      <c r="F25" s="52"/>
      <c r="G25" s="52"/>
      <c r="H25" s="52"/>
      <c r="I25" s="52"/>
      <c r="J25" s="38">
        <f>'Billing Detail'!M226</f>
        <v>11918409.250000004</v>
      </c>
      <c r="K25" s="53"/>
      <c r="L25" s="53"/>
      <c r="M25" s="52"/>
      <c r="N25" s="52"/>
    </row>
    <row r="26" spans="1:22" s="37" customFormat="1" x14ac:dyDescent="0.25">
      <c r="A26" s="3">
        <f t="shared" si="4"/>
        <v>20</v>
      </c>
      <c r="B26" s="37" t="str">
        <f>'Billing Detail'!D13</f>
        <v xml:space="preserve">    Prepay Fees</v>
      </c>
      <c r="C26" s="13"/>
      <c r="D26" s="38">
        <f>'Billing Detail'!G227</f>
        <v>417105</v>
      </c>
      <c r="E26" s="38">
        <f>'Billing Detail'!I227</f>
        <v>417105</v>
      </c>
      <c r="F26" s="52"/>
      <c r="G26" s="52"/>
      <c r="H26" s="52"/>
      <c r="I26" s="52"/>
      <c r="J26" s="38">
        <f>'Billing Detail'!M227</f>
        <v>417105</v>
      </c>
      <c r="K26" s="53"/>
      <c r="L26" s="53"/>
      <c r="M26" s="52"/>
      <c r="N26" s="52"/>
    </row>
    <row r="27" spans="1:22" s="37" customFormat="1" x14ac:dyDescent="0.25">
      <c r="A27" s="3">
        <f t="shared" si="4"/>
        <v>21</v>
      </c>
      <c r="B27" s="37" t="str">
        <f>'Billing Detail'!D14</f>
        <v xml:space="preserve">    Envirowatts + NM</v>
      </c>
      <c r="C27" s="13"/>
      <c r="D27" s="38">
        <f>'Billing Detail'!G228</f>
        <v>-8641.85</v>
      </c>
      <c r="E27" s="38">
        <f>'Billing Detail'!I228</f>
        <v>-8641.85</v>
      </c>
      <c r="F27" s="52"/>
      <c r="G27" s="52"/>
      <c r="H27" s="52"/>
      <c r="I27" s="52"/>
      <c r="J27" s="38">
        <f>'Billing Detail'!M228</f>
        <v>-8641.85</v>
      </c>
      <c r="K27" s="53"/>
      <c r="L27" s="53"/>
      <c r="M27" s="52"/>
      <c r="N27" s="62"/>
    </row>
    <row r="28" spans="1:22" s="37" customFormat="1" x14ac:dyDescent="0.25">
      <c r="A28" s="3">
        <f t="shared" si="4"/>
        <v>22</v>
      </c>
      <c r="B28" s="41" t="s">
        <v>8</v>
      </c>
      <c r="C28" s="70"/>
      <c r="D28" s="42">
        <f>SUM(D24:D27)</f>
        <v>7301717.650000005</v>
      </c>
      <c r="E28" s="42">
        <f>SUM(E24:E27)</f>
        <v>9307946.0947400033</v>
      </c>
      <c r="F28" s="54"/>
      <c r="G28" s="54"/>
      <c r="H28" s="54"/>
      <c r="I28" s="54"/>
      <c r="J28" s="42">
        <f>SUM(J24:J27)</f>
        <v>9307946.0947400033</v>
      </c>
      <c r="K28" s="55"/>
      <c r="L28" s="55"/>
      <c r="M28" s="54"/>
      <c r="N28" s="61"/>
    </row>
    <row r="29" spans="1:22" s="37" customFormat="1" x14ac:dyDescent="0.25">
      <c r="A29" s="3">
        <f t="shared" si="4"/>
        <v>23</v>
      </c>
      <c r="C29" s="13"/>
    </row>
    <row r="30" spans="1:22" s="37" customFormat="1" ht="18" customHeight="1" thickBot="1" x14ac:dyDescent="0.3">
      <c r="A30" s="3">
        <f t="shared" si="4"/>
        <v>24</v>
      </c>
      <c r="B30" s="56" t="s">
        <v>9</v>
      </c>
      <c r="C30" s="73"/>
      <c r="D30" s="57">
        <f>D21+D28</f>
        <v>122910865.69082001</v>
      </c>
      <c r="E30" s="57">
        <f>E21+E28</f>
        <v>122910866.04537001</v>
      </c>
      <c r="F30" s="58"/>
      <c r="G30" s="58"/>
      <c r="H30" s="58"/>
      <c r="I30" s="58"/>
      <c r="J30" s="57">
        <f>J21+J28</f>
        <v>127557952.37872</v>
      </c>
      <c r="K30" s="59"/>
      <c r="L30" s="58">
        <f t="shared" ref="L30" si="16">J30-E30</f>
        <v>4647086.3333499879</v>
      </c>
      <c r="M30" s="56"/>
      <c r="N30" s="60">
        <f>L30/E30</f>
        <v>3.7808588311749519E-2</v>
      </c>
    </row>
    <row r="31" spans="1:22" s="37" customFormat="1" ht="18" customHeight="1" thickTop="1" x14ac:dyDescent="0.25">
      <c r="A31" s="3">
        <f t="shared" si="4"/>
        <v>25</v>
      </c>
      <c r="B31" s="37" t="s">
        <v>10</v>
      </c>
      <c r="C31" s="13"/>
      <c r="D31" s="39"/>
      <c r="L31" s="46">
        <f>L4</f>
        <v>4649958</v>
      </c>
    </row>
    <row r="32" spans="1:22" s="37" customFormat="1" ht="15" customHeight="1" x14ac:dyDescent="0.25">
      <c r="A32" s="3">
        <f t="shared" si="4"/>
        <v>26</v>
      </c>
      <c r="B32" s="41" t="s">
        <v>40</v>
      </c>
      <c r="C32" s="70"/>
      <c r="D32" s="42"/>
      <c r="E32" s="41"/>
      <c r="F32" s="41"/>
      <c r="G32" s="41"/>
      <c r="H32" s="41"/>
      <c r="I32" s="41"/>
      <c r="J32" s="41"/>
      <c r="K32" s="41"/>
      <c r="L32" s="42">
        <f>L30-L31</f>
        <v>-2871.6666500121355</v>
      </c>
    </row>
    <row r="33" spans="1:12" s="37" customFormat="1" ht="15" customHeight="1" x14ac:dyDescent="0.25">
      <c r="A33" s="3">
        <f t="shared" si="4"/>
        <v>27</v>
      </c>
      <c r="B33" s="37" t="s">
        <v>40</v>
      </c>
      <c r="C33" s="13"/>
      <c r="D33" s="36"/>
      <c r="L33" s="36">
        <f>L32/L31</f>
        <v>-6.1756829846896155E-4</v>
      </c>
    </row>
    <row r="34" spans="1:12" x14ac:dyDescent="0.25">
      <c r="A34" s="3"/>
    </row>
  </sheetData>
  <printOptions horizontalCentered="1"/>
  <pageMargins left="0.7" right="0.7" top="0.75" bottom="0.75" header="0.3" footer="0.3"/>
  <pageSetup scale="67" orientation="landscape" r:id="rId1"/>
  <headerFooter>
    <oddHeader>&amp;R&amp;"Arial,Bold"&amp;10Exhibit 3
 Page &amp;P of &amp;N</oddHeader>
  </headerFooter>
  <ignoredErrors>
    <ignoredError sqref="J19 F19 J14:J15 J8:J11 G8:G11 G12:G17 G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T233"/>
  <sheetViews>
    <sheetView tabSelected="1" view="pageBreakPreview" zoomScale="75" zoomScaleNormal="75" zoomScaleSheetLayoutView="75" workbookViewId="0">
      <pane xSplit="4" ySplit="5" topLeftCell="E63" activePane="bottomRight" state="frozen"/>
      <selection activeCell="G13" sqref="G13"/>
      <selection pane="topRight" activeCell="G13" sqref="G13"/>
      <selection pane="bottomLeft" activeCell="G13" sqref="G13"/>
      <selection pane="bottomRight" activeCell="H73" sqref="H73"/>
    </sheetView>
  </sheetViews>
  <sheetFormatPr defaultColWidth="8.88671875" defaultRowHeight="13.2" x14ac:dyDescent="0.25"/>
  <cols>
    <col min="1" max="1" width="7.44140625" style="5" customWidth="1"/>
    <col min="2" max="2" width="27" style="2" customWidth="1"/>
    <col min="3" max="3" width="9.77734375" style="13" customWidth="1"/>
    <col min="4" max="4" width="36.109375" style="2" customWidth="1"/>
    <col min="5" max="5" width="13.33203125" style="109" bestFit="1" customWidth="1"/>
    <col min="6" max="6" width="17.6640625" style="109" customWidth="1"/>
    <col min="7" max="7" width="16.6640625" style="109" customWidth="1"/>
    <col min="8" max="8" width="12.21875" style="109" bestFit="1" customWidth="1"/>
    <col min="9" max="9" width="15.33203125" style="109" bestFit="1" customWidth="1"/>
    <col min="10" max="10" width="8.5546875" style="109" bestFit="1" customWidth="1"/>
    <col min="11" max="11" width="12.6640625" style="109" bestFit="1" customWidth="1"/>
    <col min="12" max="12" width="9.88671875" style="109" bestFit="1" customWidth="1"/>
    <col min="13" max="13" width="13.88671875" style="109" bestFit="1" customWidth="1"/>
    <col min="14" max="14" width="11.6640625" style="109" bestFit="1" customWidth="1"/>
    <col min="15" max="15" width="6.44140625" style="109" bestFit="1" customWidth="1"/>
    <col min="16" max="16" width="9.88671875" style="109" bestFit="1" customWidth="1"/>
    <col min="17" max="17" width="9.44140625" style="109" bestFit="1" customWidth="1"/>
    <col min="18" max="18" width="11.6640625" style="109" customWidth="1"/>
    <col min="19" max="19" width="12.6640625" style="2" customWidth="1"/>
    <col min="20" max="20" width="14.109375" style="2" customWidth="1"/>
    <col min="21" max="21" width="8.88671875" style="2" customWidth="1"/>
    <col min="22" max="16384" width="8.88671875" style="2"/>
  </cols>
  <sheetData>
    <row r="1" spans="1:20" x14ac:dyDescent="0.25">
      <c r="A1" s="29" t="str">
        <f>Summary!A1</f>
        <v>SOUTH KENTUCKY RECC</v>
      </c>
      <c r="E1" s="151" t="s">
        <v>161</v>
      </c>
      <c r="F1" s="152"/>
      <c r="G1" s="153"/>
      <c r="H1" s="153"/>
      <c r="I1" s="153"/>
      <c r="J1" s="153"/>
      <c r="K1" s="153"/>
    </row>
    <row r="2" spans="1:20" ht="14.4" customHeight="1" x14ac:dyDescent="0.25">
      <c r="A2" s="29" t="str">
        <f>Summary!A2</f>
        <v>Billing Analysis for Pass-Through Rate Increase</v>
      </c>
      <c r="F2" s="111"/>
      <c r="G2" s="112"/>
      <c r="H2" s="113"/>
      <c r="I2" s="114"/>
      <c r="P2" s="115"/>
      <c r="S2" s="25"/>
      <c r="T2" s="25"/>
    </row>
    <row r="3" spans="1:20" x14ac:dyDescent="0.25">
      <c r="S3" s="25"/>
      <c r="T3" s="25"/>
    </row>
    <row r="4" spans="1:20" x14ac:dyDescent="0.25">
      <c r="D4" s="25"/>
      <c r="S4" s="25"/>
      <c r="T4" s="25"/>
    </row>
    <row r="5" spans="1:20" ht="38.4" customHeight="1" x14ac:dyDescent="0.25">
      <c r="A5" s="15" t="s">
        <v>1</v>
      </c>
      <c r="B5" s="15" t="s">
        <v>12</v>
      </c>
      <c r="C5" s="8" t="s">
        <v>11</v>
      </c>
      <c r="D5" s="15" t="s">
        <v>13</v>
      </c>
      <c r="E5" s="116" t="s">
        <v>14</v>
      </c>
      <c r="F5" s="116" t="s">
        <v>20</v>
      </c>
      <c r="G5" s="116" t="s">
        <v>25</v>
      </c>
      <c r="H5" s="116" t="s">
        <v>26</v>
      </c>
      <c r="I5" s="116" t="s">
        <v>27</v>
      </c>
      <c r="J5" s="116" t="s">
        <v>53</v>
      </c>
      <c r="K5" s="116" t="s">
        <v>10</v>
      </c>
      <c r="L5" s="116" t="s">
        <v>23</v>
      </c>
      <c r="M5" s="116" t="s">
        <v>4</v>
      </c>
      <c r="N5" s="116" t="s">
        <v>15</v>
      </c>
      <c r="O5" s="117" t="s">
        <v>16</v>
      </c>
      <c r="P5" s="116" t="s">
        <v>24</v>
      </c>
      <c r="Q5" s="116" t="s">
        <v>28</v>
      </c>
      <c r="R5" s="116" t="s">
        <v>41</v>
      </c>
      <c r="T5" s="10" t="s">
        <v>37</v>
      </c>
    </row>
    <row r="6" spans="1:20" ht="30.6" customHeight="1" thickBot="1" x14ac:dyDescent="0.3">
      <c r="A6" s="30"/>
      <c r="B6" s="20"/>
      <c r="C6" s="21"/>
      <c r="D6" s="20"/>
      <c r="E6" s="118"/>
      <c r="F6" s="119"/>
      <c r="G6" s="119"/>
      <c r="H6" s="119"/>
      <c r="I6" s="119"/>
      <c r="J6" s="119"/>
      <c r="K6" s="119"/>
      <c r="L6" s="119"/>
      <c r="M6" s="119"/>
      <c r="N6" s="119"/>
      <c r="O6" s="120"/>
      <c r="P6" s="119"/>
      <c r="Q6" s="119"/>
      <c r="R6" s="119"/>
    </row>
    <row r="7" spans="1:20" x14ac:dyDescent="0.25">
      <c r="A7" s="31">
        <v>1</v>
      </c>
      <c r="B7" s="154" t="s">
        <v>68</v>
      </c>
      <c r="C7" s="23" t="s">
        <v>141</v>
      </c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</row>
    <row r="8" spans="1:20" x14ac:dyDescent="0.25">
      <c r="A8" s="31">
        <f>A7+1</f>
        <v>2</v>
      </c>
      <c r="B8" s="155"/>
      <c r="D8" s="2" t="s">
        <v>17</v>
      </c>
      <c r="E8" s="122">
        <v>756515</v>
      </c>
      <c r="F8" s="110">
        <f>H8</f>
        <v>12.82</v>
      </c>
      <c r="G8" s="123">
        <f>F8*E8</f>
        <v>9698522.3000000007</v>
      </c>
      <c r="H8" s="110">
        <v>12.82</v>
      </c>
      <c r="I8" s="123">
        <f>H8*E8</f>
        <v>9698522.3000000007</v>
      </c>
      <c r="J8" s="124">
        <f>I8/I10</f>
        <v>0.13144500665953204</v>
      </c>
      <c r="K8" s="124"/>
      <c r="L8" s="110">
        <f>ROUND(H8*S10,2)</f>
        <v>13.34</v>
      </c>
      <c r="M8" s="123">
        <f>L8*E8</f>
        <v>10091910.1</v>
      </c>
      <c r="N8" s="123">
        <f t="shared" ref="N8:N13" si="0">M8-I8</f>
        <v>393387.79999999888</v>
      </c>
      <c r="O8" s="124">
        <f>IF(I8=0,0,N8/I8)</f>
        <v>4.0561622464898479E-2</v>
      </c>
      <c r="P8" s="124">
        <f>M8/M10</f>
        <v>0.13140413749396018</v>
      </c>
      <c r="Q8" s="125">
        <f>P8-J8</f>
        <v>-4.0869165571860711E-5</v>
      </c>
      <c r="R8" s="125"/>
      <c r="T8" s="4">
        <f>L8/H8-1</f>
        <v>4.0561622464898583E-2</v>
      </c>
    </row>
    <row r="9" spans="1:20" x14ac:dyDescent="0.25">
      <c r="A9" s="31">
        <f t="shared" ref="A9:A74" si="1">A8+1</f>
        <v>3</v>
      </c>
      <c r="B9" s="11"/>
      <c r="D9" s="2" t="s">
        <v>51</v>
      </c>
      <c r="E9" s="122">
        <v>787773269</v>
      </c>
      <c r="F9" s="112">
        <f>H9+0.00159</f>
        <v>8.294E-2</v>
      </c>
      <c r="G9" s="123">
        <f t="shared" ref="G9" si="2">F9*E9</f>
        <v>65337914.930859998</v>
      </c>
      <c r="H9" s="112">
        <v>8.1350000000000006E-2</v>
      </c>
      <c r="I9" s="123">
        <f t="shared" ref="I9" si="3">H9*E9</f>
        <v>64085355.433150001</v>
      </c>
      <c r="J9" s="124">
        <f>I9/I10</f>
        <v>0.86855499334046793</v>
      </c>
      <c r="K9" s="124"/>
      <c r="L9" s="126">
        <f>ROUND(H9*S10,5)</f>
        <v>8.4680000000000005E-2</v>
      </c>
      <c r="M9" s="123">
        <f t="shared" ref="M9" si="4">L9*E9</f>
        <v>66708640.418920003</v>
      </c>
      <c r="N9" s="123">
        <f t="shared" si="0"/>
        <v>2623284.985770002</v>
      </c>
      <c r="O9" s="124">
        <f t="shared" ref="O9" si="5">IF(I9=0,0,N9/I9)</f>
        <v>4.0934234787953321E-2</v>
      </c>
      <c r="P9" s="124">
        <f>M9/M10</f>
        <v>0.86859586250603982</v>
      </c>
      <c r="Q9" s="125">
        <f t="shared" ref="Q9:Q10" si="6">P9-J9</f>
        <v>4.0869165571888466E-5</v>
      </c>
      <c r="R9" s="125"/>
      <c r="T9" s="4">
        <f>L9/H9-1</f>
        <v>4.0934234787953327E-2</v>
      </c>
    </row>
    <row r="10" spans="1:20" s="5" customFormat="1" ht="20.399999999999999" customHeight="1" x14ac:dyDescent="0.3">
      <c r="A10" s="31">
        <f t="shared" si="1"/>
        <v>4</v>
      </c>
      <c r="C10" s="14"/>
      <c r="D10" s="16" t="s">
        <v>6</v>
      </c>
      <c r="E10" s="127"/>
      <c r="F10" s="127"/>
      <c r="G10" s="17">
        <f>SUM(G8:G9)</f>
        <v>75036437.230859995</v>
      </c>
      <c r="H10" s="127"/>
      <c r="I10" s="17">
        <f>SUM(I8:I9)</f>
        <v>73783877.733150005</v>
      </c>
      <c r="J10" s="128">
        <f>SUM(J8:J9)</f>
        <v>1</v>
      </c>
      <c r="K10" s="129">
        <f>I10+Summary!I8</f>
        <v>76803975.563150004</v>
      </c>
      <c r="L10" s="127"/>
      <c r="M10" s="17">
        <f>SUM(M8:M9)</f>
        <v>76800550.518920004</v>
      </c>
      <c r="N10" s="17">
        <f>SUM(N8:N9)</f>
        <v>3016672.7857700009</v>
      </c>
      <c r="O10" s="128">
        <f t="shared" ref="O10" si="7">N10/I10</f>
        <v>4.088525675866795E-2</v>
      </c>
      <c r="P10" s="128">
        <f>SUM(P8:P9)</f>
        <v>1</v>
      </c>
      <c r="Q10" s="130">
        <f t="shared" si="6"/>
        <v>0</v>
      </c>
      <c r="R10" s="131">
        <f>M10-K10</f>
        <v>-3425.0442299991846</v>
      </c>
      <c r="S10" s="74">
        <f>K10/I10</f>
        <v>1.0409316767129346</v>
      </c>
    </row>
    <row r="11" spans="1:20" x14ac:dyDescent="0.25">
      <c r="A11" s="31">
        <f t="shared" si="1"/>
        <v>5</v>
      </c>
      <c r="D11" s="2" t="s">
        <v>29</v>
      </c>
      <c r="G11" s="123">
        <v>-3087189.4699999997</v>
      </c>
      <c r="I11" s="132">
        <f>G11+(0.00159*E9)</f>
        <v>-1834629.9722899997</v>
      </c>
      <c r="K11" s="132">
        <f>K10-I10</f>
        <v>3020097.8299999982</v>
      </c>
      <c r="M11" s="123">
        <f>I11</f>
        <v>-1834629.9722899997</v>
      </c>
      <c r="N11" s="123">
        <f t="shared" si="0"/>
        <v>0</v>
      </c>
      <c r="O11" s="110">
        <v>0</v>
      </c>
      <c r="R11" s="133"/>
    </row>
    <row r="12" spans="1:20" x14ac:dyDescent="0.25">
      <c r="A12" s="31">
        <f t="shared" si="1"/>
        <v>6</v>
      </c>
      <c r="D12" s="2" t="s">
        <v>30</v>
      </c>
      <c r="G12" s="123">
        <v>7772877.3499999996</v>
      </c>
      <c r="I12" s="132">
        <f>G12</f>
        <v>7772877.3499999996</v>
      </c>
      <c r="M12" s="123">
        <f t="shared" ref="M12:M14" si="8">I12</f>
        <v>7772877.3499999996</v>
      </c>
      <c r="N12" s="123">
        <f t="shared" si="0"/>
        <v>0</v>
      </c>
      <c r="O12" s="110">
        <v>0</v>
      </c>
    </row>
    <row r="13" spans="1:20" x14ac:dyDescent="0.25">
      <c r="A13" s="31">
        <f t="shared" si="1"/>
        <v>7</v>
      </c>
      <c r="D13" s="2" t="s">
        <v>66</v>
      </c>
      <c r="E13" s="122">
        <v>46345</v>
      </c>
      <c r="F13" s="110">
        <v>9</v>
      </c>
      <c r="G13" s="123">
        <f>F13*E13</f>
        <v>417105</v>
      </c>
      <c r="I13" s="132">
        <f>G13</f>
        <v>417105</v>
      </c>
      <c r="M13" s="123">
        <f t="shared" si="8"/>
        <v>417105</v>
      </c>
      <c r="N13" s="123">
        <f t="shared" si="0"/>
        <v>0</v>
      </c>
      <c r="O13" s="110">
        <v>0</v>
      </c>
    </row>
    <row r="14" spans="1:20" x14ac:dyDescent="0.25">
      <c r="A14" s="31">
        <f t="shared" si="1"/>
        <v>8</v>
      </c>
      <c r="D14" s="2" t="s">
        <v>65</v>
      </c>
      <c r="G14" s="123">
        <f>4743.75-9668.6</f>
        <v>-4924.8500000000004</v>
      </c>
      <c r="I14" s="132">
        <f>G14</f>
        <v>-4924.8500000000004</v>
      </c>
      <c r="M14" s="123">
        <f t="shared" si="8"/>
        <v>-4924.8500000000004</v>
      </c>
      <c r="N14" s="123"/>
      <c r="O14" s="110">
        <v>0</v>
      </c>
    </row>
    <row r="15" spans="1:20" x14ac:dyDescent="0.25">
      <c r="A15" s="31">
        <f t="shared" si="1"/>
        <v>9</v>
      </c>
      <c r="D15" s="12" t="s">
        <v>8</v>
      </c>
      <c r="E15" s="134"/>
      <c r="F15" s="134"/>
      <c r="G15" s="135">
        <f>SUM(G11:G14)</f>
        <v>5097868.03</v>
      </c>
      <c r="H15" s="134"/>
      <c r="I15" s="135">
        <f>SUM(I11:I14)</f>
        <v>6350427.5277100001</v>
      </c>
      <c r="J15" s="134"/>
      <c r="K15" s="134"/>
      <c r="L15" s="134"/>
      <c r="M15" s="135">
        <f>SUM(M11:M14)</f>
        <v>6350427.5277100001</v>
      </c>
      <c r="N15" s="135">
        <f>M15-I15</f>
        <v>0</v>
      </c>
      <c r="O15" s="136">
        <v>0</v>
      </c>
    </row>
    <row r="16" spans="1:20" s="5" customFormat="1" ht="26.4" customHeight="1" thickBot="1" x14ac:dyDescent="0.3">
      <c r="A16" s="31">
        <f t="shared" si="1"/>
        <v>10</v>
      </c>
      <c r="C16" s="14"/>
      <c r="D16" s="6" t="s">
        <v>19</v>
      </c>
      <c r="E16" s="137"/>
      <c r="F16" s="137"/>
      <c r="G16" s="138">
        <f>G10+G15</f>
        <v>80134305.260859996</v>
      </c>
      <c r="H16" s="137"/>
      <c r="I16" s="139">
        <f>I15+I10</f>
        <v>80134305.260860011</v>
      </c>
      <c r="J16" s="137"/>
      <c r="K16" s="137"/>
      <c r="L16" s="137"/>
      <c r="M16" s="138">
        <f>M15+M10</f>
        <v>83150978.04663001</v>
      </c>
      <c r="N16" s="138">
        <f>M16-I16</f>
        <v>3016672.785769999</v>
      </c>
      <c r="O16" s="140">
        <f>N16/I16</f>
        <v>3.7645210449505605E-2</v>
      </c>
      <c r="P16" s="109"/>
      <c r="Q16" s="109"/>
      <c r="R16" s="109"/>
    </row>
    <row r="17" spans="1:20" ht="13.8" thickTop="1" x14ac:dyDescent="0.25">
      <c r="A17" s="31">
        <f t="shared" si="1"/>
        <v>11</v>
      </c>
      <c r="D17" s="2" t="s">
        <v>18</v>
      </c>
      <c r="E17" s="110">
        <f>E9/E8</f>
        <v>1041.3187696212237</v>
      </c>
      <c r="G17" s="141">
        <f>G16/E8</f>
        <v>105.92559996941236</v>
      </c>
      <c r="I17" s="141">
        <f>I16/E8</f>
        <v>105.92559996941239</v>
      </c>
      <c r="M17" s="141">
        <f>M16/E8</f>
        <v>109.91319147225106</v>
      </c>
      <c r="N17" s="141">
        <f>M17-I17</f>
        <v>3.9875915028386686</v>
      </c>
      <c r="O17" s="124">
        <f>N17/I17</f>
        <v>3.7645210449505556E-2</v>
      </c>
    </row>
    <row r="18" spans="1:20" ht="13.8" thickBot="1" x14ac:dyDescent="0.3">
      <c r="A18" s="31">
        <f t="shared" si="1"/>
        <v>12</v>
      </c>
    </row>
    <row r="19" spans="1:20" x14ac:dyDescent="0.25">
      <c r="A19" s="31">
        <f t="shared" si="1"/>
        <v>13</v>
      </c>
      <c r="B19" s="154" t="s">
        <v>67</v>
      </c>
      <c r="C19" s="23" t="s">
        <v>69</v>
      </c>
      <c r="D19" s="22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</row>
    <row r="20" spans="1:20" x14ac:dyDescent="0.25">
      <c r="A20" s="31">
        <f>A18+1</f>
        <v>13</v>
      </c>
      <c r="B20" s="155"/>
      <c r="D20" s="2" t="s">
        <v>148</v>
      </c>
      <c r="E20" s="122">
        <v>15688</v>
      </c>
      <c r="F20" s="112"/>
      <c r="G20" s="123"/>
      <c r="H20" s="112"/>
      <c r="I20" s="123"/>
      <c r="J20" s="124"/>
      <c r="K20" s="124"/>
      <c r="L20" s="126"/>
      <c r="M20" s="123"/>
      <c r="N20" s="123"/>
      <c r="O20" s="124"/>
      <c r="P20" s="124"/>
      <c r="Q20" s="125"/>
      <c r="R20" s="125"/>
      <c r="T20" s="4"/>
    </row>
    <row r="21" spans="1:20" x14ac:dyDescent="0.25">
      <c r="A21" s="31">
        <f>A19+1</f>
        <v>14</v>
      </c>
      <c r="D21" s="2" t="s">
        <v>51</v>
      </c>
      <c r="E21" s="122">
        <v>5725217</v>
      </c>
      <c r="F21" s="112">
        <f>H21+0.00159</f>
        <v>6.055E-2</v>
      </c>
      <c r="G21" s="123">
        <f t="shared" ref="G21" si="9">F21*E21</f>
        <v>346661.88935000001</v>
      </c>
      <c r="H21" s="112">
        <v>5.8959999999999999E-2</v>
      </c>
      <c r="I21" s="123">
        <f t="shared" ref="I21" si="10">H21*E21</f>
        <v>337558.79431999999</v>
      </c>
      <c r="J21" s="124">
        <f>I21/I22</f>
        <v>1</v>
      </c>
      <c r="K21" s="124"/>
      <c r="L21" s="126">
        <f>ROUND(H21*S22,5)</f>
        <v>6.1370000000000001E-2</v>
      </c>
      <c r="M21" s="123">
        <f t="shared" ref="M21" si="11">L21*E21</f>
        <v>351356.56728999998</v>
      </c>
      <c r="N21" s="123">
        <f t="shared" ref="N21" si="12">M21-I21</f>
        <v>13797.772969999991</v>
      </c>
      <c r="O21" s="124">
        <f t="shared" ref="O21" si="13">IF(I21=0,0,N21/I21)</f>
        <v>4.0875169606512864E-2</v>
      </c>
      <c r="P21" s="124">
        <f>M21/M$22</f>
        <v>1</v>
      </c>
      <c r="Q21" s="125">
        <f t="shared" ref="Q21" si="14">P21-J21</f>
        <v>0</v>
      </c>
      <c r="R21" s="125"/>
      <c r="T21" s="4">
        <f>L21/H21-1</f>
        <v>4.0875169606512829E-2</v>
      </c>
    </row>
    <row r="22" spans="1:20" s="5" customFormat="1" ht="20.399999999999999" customHeight="1" x14ac:dyDescent="0.3">
      <c r="A22" s="31">
        <f t="shared" si="1"/>
        <v>15</v>
      </c>
      <c r="C22" s="14"/>
      <c r="D22" s="16" t="s">
        <v>6</v>
      </c>
      <c r="E22" s="127"/>
      <c r="F22" s="127"/>
      <c r="G22" s="17">
        <f>SUM(G21:G21)</f>
        <v>346661.88935000001</v>
      </c>
      <c r="H22" s="127"/>
      <c r="I22" s="17">
        <f>SUM(I21:I21)</f>
        <v>337558.79431999999</v>
      </c>
      <c r="J22" s="128">
        <f>SUM(J21:J21)</f>
        <v>1</v>
      </c>
      <c r="K22" s="129">
        <f>I22+Summary!I9</f>
        <v>351375.64431999996</v>
      </c>
      <c r="L22" s="127"/>
      <c r="M22" s="17">
        <f>SUM(M21:M21)</f>
        <v>351356.56728999998</v>
      </c>
      <c r="N22" s="17">
        <f>SUM(N21:N21)</f>
        <v>13797.772969999991</v>
      </c>
      <c r="O22" s="128">
        <f t="shared" ref="O22" si="15">N22/I22</f>
        <v>4.0875169606512864E-2</v>
      </c>
      <c r="P22" s="128">
        <f>SUM(P21:P21)</f>
        <v>1</v>
      </c>
      <c r="Q22" s="130">
        <f t="shared" ref="Q22" si="16">P22-J22</f>
        <v>0</v>
      </c>
      <c r="R22" s="131">
        <f>M22-K22</f>
        <v>-19.077029999985825</v>
      </c>
      <c r="S22" s="74">
        <f>K22/I22</f>
        <v>1.0409316842946827</v>
      </c>
    </row>
    <row r="23" spans="1:20" x14ac:dyDescent="0.25">
      <c r="A23" s="31">
        <f t="shared" si="1"/>
        <v>16</v>
      </c>
      <c r="D23" s="2" t="s">
        <v>29</v>
      </c>
      <c r="G23" s="123">
        <v>-18881.77</v>
      </c>
      <c r="I23" s="132">
        <f>G23+(0.00159*E21)</f>
        <v>-9778.67497</v>
      </c>
      <c r="K23" s="132">
        <f>K22-I22</f>
        <v>13816.849999999977</v>
      </c>
      <c r="M23" s="123">
        <f>I23</f>
        <v>-9778.67497</v>
      </c>
      <c r="N23" s="123">
        <f t="shared" ref="N23:N28" si="17">M23-I23</f>
        <v>0</v>
      </c>
      <c r="O23" s="110">
        <v>0</v>
      </c>
    </row>
    <row r="24" spans="1:20" x14ac:dyDescent="0.25">
      <c r="A24" s="31">
        <f t="shared" si="1"/>
        <v>17</v>
      </c>
      <c r="D24" s="2" t="s">
        <v>30</v>
      </c>
      <c r="G24" s="123">
        <v>33703.07</v>
      </c>
      <c r="I24" s="132">
        <f t="shared" ref="I24:I26" si="18">G24</f>
        <v>33703.07</v>
      </c>
      <c r="M24" s="123">
        <f t="shared" ref="M24:M26" si="19">I24</f>
        <v>33703.07</v>
      </c>
      <c r="N24" s="123">
        <f t="shared" si="17"/>
        <v>0</v>
      </c>
      <c r="O24" s="110">
        <v>0</v>
      </c>
    </row>
    <row r="25" spans="1:20" x14ac:dyDescent="0.25">
      <c r="A25" s="31">
        <f t="shared" si="1"/>
        <v>18</v>
      </c>
      <c r="D25" s="2" t="s">
        <v>32</v>
      </c>
      <c r="G25" s="123">
        <v>0</v>
      </c>
      <c r="I25" s="132">
        <f t="shared" si="18"/>
        <v>0</v>
      </c>
      <c r="M25" s="123">
        <f t="shared" si="19"/>
        <v>0</v>
      </c>
      <c r="N25" s="123">
        <f t="shared" si="17"/>
        <v>0</v>
      </c>
      <c r="O25" s="110">
        <v>0</v>
      </c>
    </row>
    <row r="26" spans="1:20" x14ac:dyDescent="0.25">
      <c r="A26" s="31">
        <f t="shared" si="1"/>
        <v>19</v>
      </c>
      <c r="D26" s="2" t="s">
        <v>42</v>
      </c>
      <c r="G26" s="123">
        <v>0</v>
      </c>
      <c r="I26" s="132">
        <f t="shared" si="18"/>
        <v>0</v>
      </c>
      <c r="M26" s="123">
        <f t="shared" si="19"/>
        <v>0</v>
      </c>
      <c r="N26" s="123"/>
      <c r="O26" s="110"/>
    </row>
    <row r="27" spans="1:20" x14ac:dyDescent="0.25">
      <c r="A27" s="31">
        <f t="shared" si="1"/>
        <v>20</v>
      </c>
      <c r="D27" s="12" t="s">
        <v>8</v>
      </c>
      <c r="E27" s="134"/>
      <c r="F27" s="134"/>
      <c r="G27" s="135">
        <f>SUM(G23:G26)</f>
        <v>14821.3</v>
      </c>
      <c r="H27" s="134"/>
      <c r="I27" s="135">
        <f>SUM(I23:I26)</f>
        <v>23924.39503</v>
      </c>
      <c r="J27" s="134"/>
      <c r="K27" s="134"/>
      <c r="L27" s="134"/>
      <c r="M27" s="135">
        <f>SUM(M23:M26)</f>
        <v>23924.39503</v>
      </c>
      <c r="N27" s="135">
        <f t="shared" si="17"/>
        <v>0</v>
      </c>
      <c r="O27" s="136">
        <f t="shared" ref="O27" si="20">N27-J27</f>
        <v>0</v>
      </c>
    </row>
    <row r="28" spans="1:20" s="5" customFormat="1" ht="26.4" customHeight="1" thickBot="1" x14ac:dyDescent="0.3">
      <c r="A28" s="31">
        <f t="shared" si="1"/>
        <v>21</v>
      </c>
      <c r="C28" s="14"/>
      <c r="D28" s="6" t="s">
        <v>19</v>
      </c>
      <c r="E28" s="137"/>
      <c r="F28" s="137"/>
      <c r="G28" s="138">
        <f>G22+G27</f>
        <v>361483.18935</v>
      </c>
      <c r="H28" s="137"/>
      <c r="I28" s="139">
        <f>I27+I22</f>
        <v>361483.18935</v>
      </c>
      <c r="J28" s="137"/>
      <c r="K28" s="137"/>
      <c r="L28" s="137"/>
      <c r="M28" s="138">
        <f>M27+M22</f>
        <v>375280.96231999999</v>
      </c>
      <c r="N28" s="138">
        <f t="shared" si="17"/>
        <v>13797.772969999991</v>
      </c>
      <c r="O28" s="140">
        <f>N28/I28</f>
        <v>3.8169888328169338E-2</v>
      </c>
      <c r="P28" s="109"/>
      <c r="Q28" s="109"/>
      <c r="R28" s="109"/>
    </row>
    <row r="29" spans="1:20" ht="13.8" thickTop="1" x14ac:dyDescent="0.25">
      <c r="A29" s="31">
        <f t="shared" si="1"/>
        <v>22</v>
      </c>
      <c r="D29" s="2" t="s">
        <v>18</v>
      </c>
      <c r="E29" s="110">
        <f>E21/E20</f>
        <v>364.94244008159103</v>
      </c>
      <c r="G29" s="141">
        <f>G28/E20</f>
        <v>23.04201869900561</v>
      </c>
      <c r="I29" s="141">
        <f>I28/E20</f>
        <v>23.04201869900561</v>
      </c>
      <c r="M29" s="141">
        <f>M28/E20</f>
        <v>23.921529979602244</v>
      </c>
      <c r="N29" s="141">
        <f>N28/E20</f>
        <v>0.87951128059663375</v>
      </c>
      <c r="O29" s="124">
        <f>N29/I29</f>
        <v>3.8169888328169331E-2</v>
      </c>
    </row>
    <row r="30" spans="1:20" ht="13.8" thickBot="1" x14ac:dyDescent="0.3">
      <c r="A30" s="31">
        <f t="shared" si="1"/>
        <v>23</v>
      </c>
    </row>
    <row r="31" spans="1:20" x14ac:dyDescent="0.25">
      <c r="A31" s="31">
        <f t="shared" si="1"/>
        <v>24</v>
      </c>
      <c r="B31" s="154" t="s">
        <v>70</v>
      </c>
      <c r="C31" s="23" t="s">
        <v>64</v>
      </c>
      <c r="D31" s="22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</row>
    <row r="32" spans="1:20" x14ac:dyDescent="0.25">
      <c r="A32" s="31">
        <f t="shared" si="1"/>
        <v>25</v>
      </c>
      <c r="B32" s="155"/>
      <c r="D32" s="2" t="s">
        <v>17</v>
      </c>
      <c r="E32" s="122">
        <v>54725</v>
      </c>
      <c r="F32" s="110">
        <f>H32</f>
        <v>23.79</v>
      </c>
      <c r="G32" s="123">
        <f>F32*E32</f>
        <v>1301907.75</v>
      </c>
      <c r="H32" s="110">
        <v>23.79</v>
      </c>
      <c r="I32" s="123">
        <f>H32*E32</f>
        <v>1301907.75</v>
      </c>
      <c r="J32" s="124">
        <f>I32/I34</f>
        <v>0.16609437725270956</v>
      </c>
      <c r="K32" s="124"/>
      <c r="L32" s="110">
        <f>ROUND(H32*S34,2)</f>
        <v>24.76</v>
      </c>
      <c r="M32" s="123">
        <f>L32*E32</f>
        <v>1354991</v>
      </c>
      <c r="N32" s="123">
        <f>M32-I32</f>
        <v>53083.25</v>
      </c>
      <c r="O32" s="124">
        <f>IF(I32=0,0,N32/I32)</f>
        <v>4.0773434216057169E-2</v>
      </c>
      <c r="P32" s="124">
        <f>M32/M$34</f>
        <v>0.16607437711397627</v>
      </c>
      <c r="Q32" s="125">
        <f>P32-J32</f>
        <v>-2.000013873329487E-5</v>
      </c>
      <c r="R32" s="125"/>
      <c r="T32" s="4">
        <f>L32/H32-1</f>
        <v>4.077343421605728E-2</v>
      </c>
    </row>
    <row r="33" spans="1:20" x14ac:dyDescent="0.25">
      <c r="A33" s="31">
        <f t="shared" si="1"/>
        <v>26</v>
      </c>
      <c r="D33" s="2" t="s">
        <v>51</v>
      </c>
      <c r="E33" s="122">
        <v>70208954</v>
      </c>
      <c r="F33" s="112">
        <f>H33+0.00159</f>
        <v>9.4689999999999996E-2</v>
      </c>
      <c r="G33" s="123">
        <f t="shared" ref="G33" si="21">F33*E33</f>
        <v>6648085.8542599995</v>
      </c>
      <c r="H33" s="112">
        <v>9.3100000000000002E-2</v>
      </c>
      <c r="I33" s="123">
        <f t="shared" ref="I33" si="22">H33*E33</f>
        <v>6536453.6173999999</v>
      </c>
      <c r="J33" s="124">
        <f>I33/I34</f>
        <v>0.83390562274729041</v>
      </c>
      <c r="K33" s="124"/>
      <c r="L33" s="126">
        <f>ROUND(H33*S34,5)</f>
        <v>9.6909999999999996E-2</v>
      </c>
      <c r="M33" s="123">
        <f t="shared" ref="M33" si="23">L33*E33</f>
        <v>6803949.73214</v>
      </c>
      <c r="N33" s="123">
        <f t="shared" ref="N33" si="24">M33-I33</f>
        <v>267496.11474000011</v>
      </c>
      <c r="O33" s="124">
        <f t="shared" ref="O33" si="25">IF(I33=0,0,N33/I33)</f>
        <v>4.0923737916219137E-2</v>
      </c>
      <c r="P33" s="124">
        <f>M33/M$34</f>
        <v>0.83392562288602368</v>
      </c>
      <c r="Q33" s="125">
        <f t="shared" ref="Q33" si="26">P33-J33</f>
        <v>2.0000138733267114E-5</v>
      </c>
      <c r="R33" s="125"/>
      <c r="T33" s="4">
        <f>L33/H33-1</f>
        <v>4.0923737916219061E-2</v>
      </c>
    </row>
    <row r="34" spans="1:20" s="5" customFormat="1" ht="20.399999999999999" customHeight="1" x14ac:dyDescent="0.3">
      <c r="A34" s="31">
        <f t="shared" si="1"/>
        <v>27</v>
      </c>
      <c r="C34" s="14"/>
      <c r="D34" s="16" t="s">
        <v>6</v>
      </c>
      <c r="E34" s="127"/>
      <c r="F34" s="127"/>
      <c r="G34" s="17">
        <f>SUM(G32:G33)</f>
        <v>7949993.6042599995</v>
      </c>
      <c r="H34" s="127"/>
      <c r="I34" s="17">
        <f>SUM(I32:I33)</f>
        <v>7838361.3673999999</v>
      </c>
      <c r="J34" s="128">
        <f>SUM(J32:J33)</f>
        <v>1</v>
      </c>
      <c r="K34" s="129">
        <f>I34+Summary!I10</f>
        <v>8159198.6373999994</v>
      </c>
      <c r="L34" s="127"/>
      <c r="M34" s="17">
        <f>SUM(M32:M33)</f>
        <v>8158940.73214</v>
      </c>
      <c r="N34" s="17">
        <f>SUM(N32:N33)</f>
        <v>320579.36474000011</v>
      </c>
      <c r="O34" s="128">
        <f t="shared" ref="O34" si="27">N34/I34</f>
        <v>4.0898773316741958E-2</v>
      </c>
      <c r="P34" s="128">
        <f>SUM(P32:P33)</f>
        <v>1</v>
      </c>
      <c r="Q34" s="130">
        <f t="shared" ref="Q34" si="28">P34-J34</f>
        <v>0</v>
      </c>
      <c r="R34" s="131">
        <f>M34-K34</f>
        <v>-257.90525999944657</v>
      </c>
      <c r="S34" s="74">
        <f>K34/I34</f>
        <v>1.040931676272846</v>
      </c>
    </row>
    <row r="35" spans="1:20" x14ac:dyDescent="0.25">
      <c r="A35" s="31">
        <f t="shared" si="1"/>
        <v>28</v>
      </c>
      <c r="D35" s="2" t="s">
        <v>29</v>
      </c>
      <c r="G35" s="123">
        <v>-284076.53000000003</v>
      </c>
      <c r="I35" s="132">
        <f>G35+(0.00159*(E33))</f>
        <v>-172444.29314000002</v>
      </c>
      <c r="K35" s="132">
        <f>K34-I34</f>
        <v>320837.26999999955</v>
      </c>
      <c r="M35" s="123">
        <f>I35</f>
        <v>-172444.29314000002</v>
      </c>
      <c r="N35" s="123">
        <f t="shared" ref="N35:N41" si="29">M35-I35</f>
        <v>0</v>
      </c>
      <c r="O35" s="110">
        <v>0</v>
      </c>
    </row>
    <row r="36" spans="1:20" x14ac:dyDescent="0.25">
      <c r="A36" s="31">
        <f t="shared" si="1"/>
        <v>29</v>
      </c>
      <c r="D36" s="2" t="s">
        <v>30</v>
      </c>
      <c r="G36" s="123">
        <v>823261.04999999993</v>
      </c>
      <c r="I36" s="132">
        <f t="shared" ref="I36:I38" si="30">G36</f>
        <v>823261.04999999993</v>
      </c>
      <c r="M36" s="123">
        <f t="shared" ref="M36:M38" si="31">I36</f>
        <v>823261.04999999993</v>
      </c>
      <c r="N36" s="123">
        <f t="shared" si="29"/>
        <v>0</v>
      </c>
      <c r="O36" s="110">
        <v>0</v>
      </c>
    </row>
    <row r="37" spans="1:20" x14ac:dyDescent="0.25">
      <c r="A37" s="31">
        <f t="shared" si="1"/>
        <v>30</v>
      </c>
      <c r="D37" s="2" t="s">
        <v>32</v>
      </c>
      <c r="G37" s="123">
        <v>0</v>
      </c>
      <c r="I37" s="132">
        <f t="shared" si="30"/>
        <v>0</v>
      </c>
      <c r="M37" s="123">
        <f t="shared" si="31"/>
        <v>0</v>
      </c>
      <c r="N37" s="123">
        <f t="shared" si="29"/>
        <v>0</v>
      </c>
      <c r="O37" s="110">
        <v>0</v>
      </c>
    </row>
    <row r="38" spans="1:20" x14ac:dyDescent="0.25">
      <c r="A38" s="31">
        <f t="shared" si="1"/>
        <v>31</v>
      </c>
      <c r="D38" s="2" t="s">
        <v>65</v>
      </c>
      <c r="G38" s="123">
        <v>-3717</v>
      </c>
      <c r="I38" s="132">
        <f t="shared" si="30"/>
        <v>-3717</v>
      </c>
      <c r="M38" s="123">
        <f t="shared" si="31"/>
        <v>-3717</v>
      </c>
      <c r="N38" s="123"/>
      <c r="O38" s="110"/>
    </row>
    <row r="39" spans="1:20" x14ac:dyDescent="0.25">
      <c r="A39" s="31">
        <f t="shared" si="1"/>
        <v>32</v>
      </c>
      <c r="D39" s="12" t="s">
        <v>8</v>
      </c>
      <c r="E39" s="134"/>
      <c r="F39" s="134"/>
      <c r="G39" s="135">
        <f>SUM(G35:G38)</f>
        <v>535467.5199999999</v>
      </c>
      <c r="H39" s="134"/>
      <c r="I39" s="135">
        <f>SUM(I35:I38)</f>
        <v>647099.75685999985</v>
      </c>
      <c r="J39" s="134"/>
      <c r="K39" s="134"/>
      <c r="L39" s="134"/>
      <c r="M39" s="135">
        <f>SUM(M35:M38)</f>
        <v>647099.75685999985</v>
      </c>
      <c r="N39" s="135">
        <f t="shared" si="29"/>
        <v>0</v>
      </c>
      <c r="O39" s="136">
        <f t="shared" ref="O39" si="32">N39-J39</f>
        <v>0</v>
      </c>
    </row>
    <row r="40" spans="1:20" s="5" customFormat="1" ht="26.4" customHeight="1" thickBot="1" x14ac:dyDescent="0.3">
      <c r="A40" s="31">
        <f t="shared" si="1"/>
        <v>33</v>
      </c>
      <c r="C40" s="14"/>
      <c r="D40" s="6" t="s">
        <v>19</v>
      </c>
      <c r="E40" s="137"/>
      <c r="F40" s="137"/>
      <c r="G40" s="138">
        <f>G34+G39</f>
        <v>8485461.124259999</v>
      </c>
      <c r="H40" s="137"/>
      <c r="I40" s="139">
        <f>I39+I34</f>
        <v>8485461.124259999</v>
      </c>
      <c r="J40" s="137"/>
      <c r="K40" s="137"/>
      <c r="L40" s="137"/>
      <c r="M40" s="138">
        <f>M39+M34</f>
        <v>8806040.4890000001</v>
      </c>
      <c r="N40" s="138">
        <f t="shared" si="29"/>
        <v>320579.36474000104</v>
      </c>
      <c r="O40" s="140">
        <f>N40/I40</f>
        <v>3.7779840134257663E-2</v>
      </c>
      <c r="P40" s="109"/>
      <c r="Q40" s="109"/>
      <c r="R40" s="109"/>
    </row>
    <row r="41" spans="1:20" ht="13.8" thickTop="1" x14ac:dyDescent="0.25">
      <c r="A41" s="31">
        <f t="shared" si="1"/>
        <v>34</v>
      </c>
      <c r="D41" s="2" t="s">
        <v>18</v>
      </c>
      <c r="E41" s="110">
        <f>(E33)/E32</f>
        <v>1282.9411420740064</v>
      </c>
      <c r="G41" s="141">
        <f>G40/E32</f>
        <v>155.05639331676562</v>
      </c>
      <c r="I41" s="141">
        <f>I40/E32</f>
        <v>155.05639331676562</v>
      </c>
      <c r="M41" s="141">
        <f>M40/E32</f>
        <v>160.91439906806761</v>
      </c>
      <c r="N41" s="141">
        <f t="shared" si="29"/>
        <v>5.8580057513019881</v>
      </c>
      <c r="O41" s="124">
        <f>N41/I41</f>
        <v>3.777984013425769E-2</v>
      </c>
    </row>
    <row r="42" spans="1:20" ht="13.8" thickBot="1" x14ac:dyDescent="0.3">
      <c r="A42" s="31">
        <f t="shared" si="1"/>
        <v>35</v>
      </c>
    </row>
    <row r="43" spans="1:20" x14ac:dyDescent="0.25">
      <c r="A43" s="31">
        <f t="shared" si="1"/>
        <v>36</v>
      </c>
      <c r="B43" s="154" t="s">
        <v>71</v>
      </c>
      <c r="C43" s="23" t="s">
        <v>72</v>
      </c>
      <c r="D43" s="22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</row>
    <row r="44" spans="1:20" x14ac:dyDescent="0.25">
      <c r="A44" s="31"/>
      <c r="B44" s="155"/>
      <c r="C44" s="71"/>
      <c r="D44" s="96" t="s">
        <v>148</v>
      </c>
      <c r="E44" s="142">
        <v>87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</row>
    <row r="45" spans="1:20" x14ac:dyDescent="0.25">
      <c r="A45" s="31">
        <f>A43+1</f>
        <v>37</v>
      </c>
      <c r="D45" s="2" t="s">
        <v>51</v>
      </c>
      <c r="E45" s="122">
        <v>28893</v>
      </c>
      <c r="F45" s="112">
        <f>H45+0.00159</f>
        <v>6.7549999999999999E-2</v>
      </c>
      <c r="G45" s="123">
        <f t="shared" ref="G45" si="33">F45*E45</f>
        <v>1951.7221500000001</v>
      </c>
      <c r="H45" s="112">
        <v>6.5960000000000005E-2</v>
      </c>
      <c r="I45" s="123">
        <f t="shared" ref="I45" si="34">H45*E45</f>
        <v>1905.7822800000001</v>
      </c>
      <c r="J45" s="124">
        <f>I45/I46</f>
        <v>1</v>
      </c>
      <c r="K45" s="124"/>
      <c r="L45" s="126">
        <f>ROUND(H45*S46,5)</f>
        <v>6.8659999999999999E-2</v>
      </c>
      <c r="M45" s="123">
        <f t="shared" ref="M45" si="35">L45*E45</f>
        <v>1983.7933800000001</v>
      </c>
      <c r="N45" s="123">
        <f t="shared" ref="N45" si="36">M45-I45</f>
        <v>78.011099999999942</v>
      </c>
      <c r="O45" s="124">
        <f t="shared" ref="O45" si="37">IF(I45=0,0,N45/I45)</f>
        <v>4.0933899332929014E-2</v>
      </c>
      <c r="P45" s="124">
        <f>M45/M$46</f>
        <v>1</v>
      </c>
      <c r="Q45" s="125">
        <f t="shared" ref="Q45" si="38">P45-J45</f>
        <v>0</v>
      </c>
      <c r="R45" s="125"/>
      <c r="T45" s="4">
        <f>L45/H45-1</f>
        <v>4.0933899332928902E-2</v>
      </c>
    </row>
    <row r="46" spans="1:20" s="5" customFormat="1" ht="20.399999999999999" customHeight="1" x14ac:dyDescent="0.3">
      <c r="A46" s="31">
        <f t="shared" si="1"/>
        <v>38</v>
      </c>
      <c r="C46" s="14"/>
      <c r="D46" s="16" t="s">
        <v>6</v>
      </c>
      <c r="E46" s="127"/>
      <c r="F46" s="127"/>
      <c r="G46" s="17">
        <f>SUM(G45:G45)</f>
        <v>1951.7221500000001</v>
      </c>
      <c r="H46" s="127"/>
      <c r="I46" s="17">
        <f>SUM(I45:I45)</f>
        <v>1905.7822800000001</v>
      </c>
      <c r="J46" s="128">
        <f>SUM(J45:J45)</f>
        <v>1</v>
      </c>
      <c r="K46" s="129">
        <f>I46+Summary!I11</f>
        <v>1983.7922800000001</v>
      </c>
      <c r="L46" s="127"/>
      <c r="M46" s="17">
        <f>SUM(M45:M45)</f>
        <v>1983.7933800000001</v>
      </c>
      <c r="N46" s="17">
        <f>SUM(N45:N45)</f>
        <v>78.011099999999942</v>
      </c>
      <c r="O46" s="128">
        <f t="shared" ref="O46" si="39">N46/I46</f>
        <v>4.0933899332929014E-2</v>
      </c>
      <c r="P46" s="128">
        <f>SUM(P45:P45)</f>
        <v>1</v>
      </c>
      <c r="Q46" s="130">
        <f t="shared" ref="Q46" si="40">P46-J46</f>
        <v>0</v>
      </c>
      <c r="R46" s="131">
        <f>M46-K46</f>
        <v>1.0999999999512511E-3</v>
      </c>
      <c r="S46" s="74">
        <f>K46/I46</f>
        <v>1.0409333221421284</v>
      </c>
    </row>
    <row r="47" spans="1:20" x14ac:dyDescent="0.25">
      <c r="A47" s="31">
        <f t="shared" si="1"/>
        <v>39</v>
      </c>
      <c r="D47" s="2" t="s">
        <v>29</v>
      </c>
      <c r="G47" s="123">
        <v>-98.35</v>
      </c>
      <c r="I47" s="132">
        <f>G47+(0.00159*E45)</f>
        <v>-52.410129999999995</v>
      </c>
      <c r="K47" s="132">
        <f>K46-I46</f>
        <v>78.009999999999991</v>
      </c>
      <c r="M47" s="123">
        <f>I47</f>
        <v>-52.410129999999995</v>
      </c>
      <c r="N47" s="123">
        <f t="shared" ref="N47:N52" si="41">M47-I47</f>
        <v>0</v>
      </c>
      <c r="O47" s="110">
        <v>0</v>
      </c>
    </row>
    <row r="48" spans="1:20" x14ac:dyDescent="0.25">
      <c r="A48" s="31">
        <f t="shared" si="1"/>
        <v>40</v>
      </c>
      <c r="D48" s="2" t="s">
        <v>30</v>
      </c>
      <c r="G48" s="123">
        <v>191.5</v>
      </c>
      <c r="I48" s="132">
        <f t="shared" ref="I48:I50" si="42">G48</f>
        <v>191.5</v>
      </c>
      <c r="M48" s="123">
        <f t="shared" ref="M48:M50" si="43">I48</f>
        <v>191.5</v>
      </c>
      <c r="N48" s="123">
        <f t="shared" si="41"/>
        <v>0</v>
      </c>
      <c r="O48" s="110">
        <v>0</v>
      </c>
    </row>
    <row r="49" spans="1:20" x14ac:dyDescent="0.25">
      <c r="A49" s="31">
        <f t="shared" si="1"/>
        <v>41</v>
      </c>
      <c r="D49" s="2" t="s">
        <v>32</v>
      </c>
      <c r="G49" s="123">
        <v>0</v>
      </c>
      <c r="I49" s="132">
        <f t="shared" si="42"/>
        <v>0</v>
      </c>
      <c r="M49" s="123">
        <f t="shared" si="43"/>
        <v>0</v>
      </c>
      <c r="N49" s="123">
        <f t="shared" si="41"/>
        <v>0</v>
      </c>
      <c r="O49" s="110">
        <v>0</v>
      </c>
    </row>
    <row r="50" spans="1:20" x14ac:dyDescent="0.25">
      <c r="A50" s="31">
        <f t="shared" si="1"/>
        <v>42</v>
      </c>
      <c r="D50" s="2" t="s">
        <v>42</v>
      </c>
      <c r="G50" s="123">
        <v>0</v>
      </c>
      <c r="I50" s="132">
        <f t="shared" si="42"/>
        <v>0</v>
      </c>
      <c r="M50" s="123">
        <f t="shared" si="43"/>
        <v>0</v>
      </c>
      <c r="N50" s="123"/>
      <c r="O50" s="110"/>
    </row>
    <row r="51" spans="1:20" x14ac:dyDescent="0.25">
      <c r="A51" s="31">
        <f t="shared" si="1"/>
        <v>43</v>
      </c>
      <c r="D51" s="12" t="s">
        <v>8</v>
      </c>
      <c r="E51" s="134"/>
      <c r="F51" s="134"/>
      <c r="G51" s="135">
        <f>SUM(G47:G50)</f>
        <v>93.15</v>
      </c>
      <c r="H51" s="134"/>
      <c r="I51" s="135">
        <f>SUM(I47:I50)</f>
        <v>139.08987000000002</v>
      </c>
      <c r="J51" s="134"/>
      <c r="K51" s="134"/>
      <c r="L51" s="134"/>
      <c r="M51" s="135">
        <f>SUM(M47:M50)</f>
        <v>139.08987000000002</v>
      </c>
      <c r="N51" s="135">
        <f t="shared" si="41"/>
        <v>0</v>
      </c>
      <c r="O51" s="136">
        <f t="shared" ref="O51" si="44">N51-J51</f>
        <v>0</v>
      </c>
    </row>
    <row r="52" spans="1:20" s="5" customFormat="1" ht="26.4" customHeight="1" thickBot="1" x14ac:dyDescent="0.3">
      <c r="A52" s="31">
        <f t="shared" si="1"/>
        <v>44</v>
      </c>
      <c r="C52" s="14"/>
      <c r="D52" s="6" t="s">
        <v>19</v>
      </c>
      <c r="E52" s="137"/>
      <c r="F52" s="137"/>
      <c r="G52" s="138">
        <f>G46+G51</f>
        <v>2044.8721500000001</v>
      </c>
      <c r="H52" s="137"/>
      <c r="I52" s="139">
        <f>I51+I46</f>
        <v>2044.8721500000001</v>
      </c>
      <c r="J52" s="137"/>
      <c r="K52" s="137"/>
      <c r="L52" s="137"/>
      <c r="M52" s="138">
        <f>M51+M46</f>
        <v>2122.8832499999999</v>
      </c>
      <c r="N52" s="138">
        <f t="shared" si="41"/>
        <v>78.011099999999715</v>
      </c>
      <c r="O52" s="140">
        <f>N52/I52</f>
        <v>3.8149622214767663E-2</v>
      </c>
      <c r="P52" s="109"/>
      <c r="Q52" s="109"/>
      <c r="R52" s="109"/>
    </row>
    <row r="53" spans="1:20" ht="13.8" thickTop="1" x14ac:dyDescent="0.25">
      <c r="A53" s="31">
        <f t="shared" si="1"/>
        <v>45</v>
      </c>
      <c r="D53" s="2" t="s">
        <v>18</v>
      </c>
      <c r="E53" s="110">
        <f>E45/E44</f>
        <v>332.10344827586209</v>
      </c>
      <c r="G53" s="141">
        <f>G52/E44</f>
        <v>23.5042775862069</v>
      </c>
      <c r="I53" s="141">
        <f>I52/E44</f>
        <v>23.5042775862069</v>
      </c>
      <c r="M53" s="141">
        <f>M52/E44</f>
        <v>24.400956896551723</v>
      </c>
      <c r="N53" s="141">
        <f>N52/E44</f>
        <v>0.89667931034482429</v>
      </c>
      <c r="O53" s="124">
        <f>N53/I53</f>
        <v>3.8149622214767656E-2</v>
      </c>
    </row>
    <row r="54" spans="1:20" ht="13.8" thickBot="1" x14ac:dyDescent="0.3">
      <c r="A54" s="31">
        <f t="shared" si="1"/>
        <v>46</v>
      </c>
    </row>
    <row r="55" spans="1:20" x14ac:dyDescent="0.25">
      <c r="A55" s="31">
        <f t="shared" si="1"/>
        <v>47</v>
      </c>
      <c r="B55" s="154" t="s">
        <v>76</v>
      </c>
      <c r="C55" s="23" t="s">
        <v>73</v>
      </c>
      <c r="D55" s="22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</row>
    <row r="56" spans="1:20" x14ac:dyDescent="0.25">
      <c r="A56" s="31">
        <f t="shared" si="1"/>
        <v>48</v>
      </c>
      <c r="B56" s="155"/>
      <c r="D56" s="2" t="s">
        <v>17</v>
      </c>
      <c r="E56" s="122">
        <v>5125</v>
      </c>
      <c r="F56" s="110">
        <f>H56</f>
        <v>50</v>
      </c>
      <c r="G56" s="123">
        <f>F56*E56</f>
        <v>256250</v>
      </c>
      <c r="H56" s="110">
        <v>50</v>
      </c>
      <c r="I56" s="123">
        <f>H56*E56</f>
        <v>256250</v>
      </c>
      <c r="J56" s="124">
        <f>I56/I59</f>
        <v>1.6574970488250285E-2</v>
      </c>
      <c r="K56" s="124"/>
      <c r="L56" s="110">
        <f>ROUND(H56*S59,2)</f>
        <v>52.05</v>
      </c>
      <c r="M56" s="123">
        <f>L56*E56</f>
        <v>266756.25</v>
      </c>
      <c r="N56" s="123">
        <f>M56-I56</f>
        <v>10506.25</v>
      </c>
      <c r="O56" s="124">
        <f>IF(I56=0,0,N56/I56)</f>
        <v>4.1000000000000002E-2</v>
      </c>
      <c r="P56" s="124">
        <f>M56/M$59</f>
        <v>1.657414803628247E-2</v>
      </c>
      <c r="Q56" s="125">
        <f>P56-J56</f>
        <v>-8.2245196781488561E-7</v>
      </c>
      <c r="R56" s="125"/>
      <c r="T56" s="4">
        <f>L56/H56-1</f>
        <v>4.0999999999999925E-2</v>
      </c>
    </row>
    <row r="57" spans="1:20" x14ac:dyDescent="0.25">
      <c r="A57" s="31">
        <f t="shared" si="1"/>
        <v>49</v>
      </c>
      <c r="D57" s="2" t="s">
        <v>52</v>
      </c>
      <c r="E57" s="122">
        <v>626287.4</v>
      </c>
      <c r="F57" s="110">
        <f>H57</f>
        <v>7</v>
      </c>
      <c r="G57" s="123">
        <f t="shared" ref="G57" si="45">F57*E57</f>
        <v>4384011.8</v>
      </c>
      <c r="H57" s="110">
        <v>7</v>
      </c>
      <c r="I57" s="123">
        <f t="shared" ref="I57" si="46">H57*E57</f>
        <v>4384011.8</v>
      </c>
      <c r="J57" s="124">
        <f>I57/I59</f>
        <v>0.28357020958103807</v>
      </c>
      <c r="K57" s="124"/>
      <c r="L57" s="110">
        <f>ROUND(H57*S59,2)</f>
        <v>7.29</v>
      </c>
      <c r="M57" s="123">
        <f t="shared" ref="M57" si="47">L57*E57</f>
        <v>4565635.1460000006</v>
      </c>
      <c r="N57" s="123">
        <f t="shared" ref="N57" si="48">M57-I57</f>
        <v>181623.34600000083</v>
      </c>
      <c r="O57" s="124">
        <f t="shared" ref="O57" si="49">IF(I57=0,0,N57/I57)</f>
        <v>4.142857142857162E-2</v>
      </c>
      <c r="P57" s="124">
        <f>M57/M$59</f>
        <v>0.283672876603484</v>
      </c>
      <c r="Q57" s="125">
        <f t="shared" ref="Q57" si="50">P57-J57</f>
        <v>1.0266702244593473E-4</v>
      </c>
      <c r="R57" s="125"/>
      <c r="T57" s="4">
        <f>L57/H57-1</f>
        <v>4.142857142857137E-2</v>
      </c>
    </row>
    <row r="58" spans="1:20" x14ac:dyDescent="0.25">
      <c r="A58" s="31">
        <f t="shared" si="1"/>
        <v>50</v>
      </c>
      <c r="D58" s="2" t="s">
        <v>51</v>
      </c>
      <c r="E58" s="122">
        <v>193245149</v>
      </c>
      <c r="F58" s="112">
        <f>H58+0.00159</f>
        <v>5.7579999999999999E-2</v>
      </c>
      <c r="G58" s="123">
        <f t="shared" ref="G58" si="51">F58*E58</f>
        <v>11127055.67942</v>
      </c>
      <c r="H58" s="112">
        <v>5.5989999999999998E-2</v>
      </c>
      <c r="I58" s="123">
        <f t="shared" ref="I58" si="52">H58*E58</f>
        <v>10819795.892509999</v>
      </c>
      <c r="J58" s="124">
        <f>I58/I59</f>
        <v>0.69985481993071175</v>
      </c>
      <c r="K58" s="124"/>
      <c r="L58" s="126">
        <f>ROUND(H58*S59,5)</f>
        <v>5.8279999999999998E-2</v>
      </c>
      <c r="M58" s="123">
        <f t="shared" ref="M58" si="53">L58*E58</f>
        <v>11262327.28372</v>
      </c>
      <c r="N58" s="123">
        <f t="shared" ref="N58" si="54">M58-I58</f>
        <v>442531.39121000096</v>
      </c>
      <c r="O58" s="124">
        <f t="shared" ref="O58" si="55">IF(I58=0,0,N58/I58)</f>
        <v>4.0900160742989911E-2</v>
      </c>
      <c r="P58" s="124">
        <f>M58/M$59</f>
        <v>0.69975297536023362</v>
      </c>
      <c r="Q58" s="125">
        <f t="shared" ref="Q58" si="56">P58-J58</f>
        <v>-1.0184457047812678E-4</v>
      </c>
      <c r="R58" s="125"/>
      <c r="T58" s="4">
        <f>L58/H58-1</f>
        <v>4.0900160742989744E-2</v>
      </c>
    </row>
    <row r="59" spans="1:20" s="5" customFormat="1" ht="20.399999999999999" customHeight="1" x14ac:dyDescent="0.3">
      <c r="A59" s="31">
        <f t="shared" si="1"/>
        <v>51</v>
      </c>
      <c r="C59" s="14"/>
      <c r="D59" s="16" t="s">
        <v>6</v>
      </c>
      <c r="E59" s="127"/>
      <c r="F59" s="127"/>
      <c r="G59" s="17">
        <f>SUM(G56:G58)</f>
        <v>15767317.479419999</v>
      </c>
      <c r="H59" s="127"/>
      <c r="I59" s="17">
        <f>SUM(I56:I58)</f>
        <v>15460057.692509998</v>
      </c>
      <c r="J59" s="128">
        <f>SUM(J56:J58)</f>
        <v>1</v>
      </c>
      <c r="K59" s="129">
        <f>I59+Summary!I12</f>
        <v>16092863.772509998</v>
      </c>
      <c r="L59" s="127"/>
      <c r="M59" s="17">
        <f>SUM(M56:M58)</f>
        <v>16094718.679719999</v>
      </c>
      <c r="N59" s="17">
        <f>SUM(N56:N58)</f>
        <v>634660.9872100018</v>
      </c>
      <c r="O59" s="128">
        <f t="shared" ref="O59" si="57">N59/I59</f>
        <v>4.1051657104583694E-2</v>
      </c>
      <c r="P59" s="128">
        <f>SUM(P56:P58)</f>
        <v>1</v>
      </c>
      <c r="Q59" s="130">
        <f t="shared" ref="Q59" si="58">P59-J59</f>
        <v>0</v>
      </c>
      <c r="R59" s="131">
        <f>M59-K59</f>
        <v>1854.907210001722</v>
      </c>
      <c r="S59" s="74">
        <f>K59/I59</f>
        <v>1.0409316764908696</v>
      </c>
    </row>
    <row r="60" spans="1:20" x14ac:dyDescent="0.25">
      <c r="A60" s="31">
        <f t="shared" si="1"/>
        <v>52</v>
      </c>
      <c r="D60" s="2" t="s">
        <v>29</v>
      </c>
      <c r="G60" s="123">
        <v>-786452.96</v>
      </c>
      <c r="I60" s="132">
        <f>G60+(0.00159*(E58))</f>
        <v>-479193.17308999994</v>
      </c>
      <c r="K60" s="132">
        <f>K59-I59</f>
        <v>632806.08000000007</v>
      </c>
      <c r="M60" s="123">
        <f>I60</f>
        <v>-479193.17308999994</v>
      </c>
      <c r="N60" s="123">
        <f t="shared" ref="N60:N62" si="59">M60-I60</f>
        <v>0</v>
      </c>
      <c r="O60" s="110">
        <v>0</v>
      </c>
    </row>
    <row r="61" spans="1:20" x14ac:dyDescent="0.25">
      <c r="A61" s="31">
        <f t="shared" si="1"/>
        <v>53</v>
      </c>
      <c r="D61" s="2" t="s">
        <v>30</v>
      </c>
      <c r="G61" s="123">
        <v>1613157.73</v>
      </c>
      <c r="I61" s="132">
        <f t="shared" ref="I61:I63" si="60">G61</f>
        <v>1613157.73</v>
      </c>
      <c r="M61" s="123">
        <f t="shared" ref="M61:M63" si="61">I61</f>
        <v>1613157.73</v>
      </c>
      <c r="N61" s="123">
        <f t="shared" si="59"/>
        <v>0</v>
      </c>
      <c r="O61" s="110">
        <v>0</v>
      </c>
    </row>
    <row r="62" spans="1:20" x14ac:dyDescent="0.25">
      <c r="A62" s="31">
        <f t="shared" si="1"/>
        <v>54</v>
      </c>
      <c r="D62" s="2" t="s">
        <v>32</v>
      </c>
      <c r="G62" s="123">
        <v>0</v>
      </c>
      <c r="I62" s="132">
        <f t="shared" si="60"/>
        <v>0</v>
      </c>
      <c r="M62" s="123">
        <f t="shared" si="61"/>
        <v>0</v>
      </c>
      <c r="N62" s="123">
        <f t="shared" si="59"/>
        <v>0</v>
      </c>
      <c r="O62" s="110">
        <v>0</v>
      </c>
    </row>
    <row r="63" spans="1:20" x14ac:dyDescent="0.25">
      <c r="A63" s="31">
        <f t="shared" si="1"/>
        <v>55</v>
      </c>
      <c r="D63" s="2" t="s">
        <v>42</v>
      </c>
      <c r="G63" s="123">
        <v>0</v>
      </c>
      <c r="I63" s="132">
        <f t="shared" si="60"/>
        <v>0</v>
      </c>
      <c r="M63" s="123">
        <f t="shared" si="61"/>
        <v>0</v>
      </c>
      <c r="N63" s="123"/>
      <c r="O63" s="110"/>
    </row>
    <row r="64" spans="1:20" x14ac:dyDescent="0.25">
      <c r="A64" s="31">
        <f t="shared" si="1"/>
        <v>56</v>
      </c>
      <c r="D64" s="12" t="s">
        <v>8</v>
      </c>
      <c r="E64" s="134"/>
      <c r="F64" s="134"/>
      <c r="G64" s="135">
        <f>SUM(G60:G63)</f>
        <v>826704.77</v>
      </c>
      <c r="H64" s="134"/>
      <c r="I64" s="135">
        <f>SUM(I60:I63)</f>
        <v>1133964.55691</v>
      </c>
      <c r="J64" s="134"/>
      <c r="K64" s="134"/>
      <c r="L64" s="134"/>
      <c r="M64" s="135">
        <f>SUM(M60:M63)</f>
        <v>1133964.55691</v>
      </c>
      <c r="N64" s="135">
        <f t="shared" ref="N64:N66" si="62">M64-I64</f>
        <v>0</v>
      </c>
      <c r="O64" s="136">
        <f t="shared" ref="O64" si="63">N64-J64</f>
        <v>0</v>
      </c>
    </row>
    <row r="65" spans="1:20" s="5" customFormat="1" ht="26.4" customHeight="1" thickBot="1" x14ac:dyDescent="0.3">
      <c r="A65" s="31">
        <f t="shared" si="1"/>
        <v>57</v>
      </c>
      <c r="C65" s="14"/>
      <c r="D65" s="6" t="s">
        <v>19</v>
      </c>
      <c r="E65" s="137"/>
      <c r="F65" s="137"/>
      <c r="G65" s="138">
        <f>G59+G64</f>
        <v>16594022.249419998</v>
      </c>
      <c r="H65" s="137"/>
      <c r="I65" s="139">
        <f>I64+I59</f>
        <v>16594022.249419998</v>
      </c>
      <c r="J65" s="137"/>
      <c r="K65" s="137"/>
      <c r="L65" s="137"/>
      <c r="M65" s="138">
        <f>M64+M59</f>
        <v>17228683.23663</v>
      </c>
      <c r="N65" s="138">
        <f t="shared" si="62"/>
        <v>634660.9872100018</v>
      </c>
      <c r="O65" s="140">
        <f>N65/I65</f>
        <v>3.8246362314729616E-2</v>
      </c>
      <c r="P65" s="109"/>
      <c r="Q65" s="109"/>
      <c r="R65" s="109"/>
    </row>
    <row r="66" spans="1:20" ht="13.8" thickTop="1" x14ac:dyDescent="0.25">
      <c r="A66" s="31">
        <f t="shared" si="1"/>
        <v>58</v>
      </c>
      <c r="D66" s="2" t="s">
        <v>18</v>
      </c>
      <c r="E66" s="110">
        <f>E58/E56</f>
        <v>37706.370536585368</v>
      </c>
      <c r="G66" s="141">
        <f>G65/E56</f>
        <v>3237.857999886829</v>
      </c>
      <c r="I66" s="141">
        <f>I65/E56</f>
        <v>3237.857999886829</v>
      </c>
      <c r="M66" s="141">
        <f>M65/E56</f>
        <v>3361.6942900741465</v>
      </c>
      <c r="N66" s="141">
        <f t="shared" si="62"/>
        <v>123.83629018731745</v>
      </c>
      <c r="O66" s="124">
        <f>N66/I66</f>
        <v>3.8246362314729623E-2</v>
      </c>
    </row>
    <row r="67" spans="1:20" ht="13.8" thickBot="1" x14ac:dyDescent="0.3">
      <c r="A67" s="31">
        <f t="shared" si="1"/>
        <v>59</v>
      </c>
    </row>
    <row r="68" spans="1:20" x14ac:dyDescent="0.25">
      <c r="A68" s="31">
        <f t="shared" si="1"/>
        <v>60</v>
      </c>
      <c r="B68" s="154" t="s">
        <v>74</v>
      </c>
      <c r="C68" s="23" t="s">
        <v>75</v>
      </c>
      <c r="D68" s="22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</row>
    <row r="69" spans="1:20" x14ac:dyDescent="0.25">
      <c r="A69" s="31">
        <f t="shared" si="1"/>
        <v>61</v>
      </c>
      <c r="B69" s="155"/>
      <c r="D69" s="2" t="s">
        <v>17</v>
      </c>
      <c r="E69" s="122">
        <v>19</v>
      </c>
      <c r="F69" s="110">
        <f>H69</f>
        <v>142.85</v>
      </c>
      <c r="G69" s="123">
        <f>F69*E69</f>
        <v>2714.15</v>
      </c>
      <c r="H69" s="110">
        <v>142.85</v>
      </c>
      <c r="I69" s="123">
        <f>H69*E69</f>
        <v>2714.15</v>
      </c>
      <c r="J69" s="124">
        <f>I69/I75</f>
        <v>1.1617227196085312E-3</v>
      </c>
      <c r="K69" s="124"/>
      <c r="L69" s="110">
        <f>ROUND(H69*S75,2)</f>
        <v>148.69999999999999</v>
      </c>
      <c r="M69" s="123">
        <f>L69*E69</f>
        <v>2825.2999999999997</v>
      </c>
      <c r="N69" s="123">
        <f>M69-I69</f>
        <v>111.14999999999964</v>
      </c>
      <c r="O69" s="124">
        <f>IF(I69=0,0,N69/I69)</f>
        <v>4.0952047602379985E-2</v>
      </c>
      <c r="P69" s="124">
        <f>M69/M$75</f>
        <v>1.1618574043475575E-3</v>
      </c>
      <c r="Q69" s="125">
        <f>P69-J69</f>
        <v>1.3468473902627197E-7</v>
      </c>
      <c r="R69" s="125"/>
      <c r="T69" s="4"/>
    </row>
    <row r="70" spans="1:20" x14ac:dyDescent="0.25">
      <c r="A70" s="31">
        <f t="shared" si="1"/>
        <v>62</v>
      </c>
      <c r="D70" s="2" t="s">
        <v>77</v>
      </c>
      <c r="E70" s="122">
        <v>0</v>
      </c>
      <c r="F70" s="110">
        <f t="shared" ref="F70:F73" si="64">H70</f>
        <v>359.99</v>
      </c>
      <c r="G70" s="123">
        <f t="shared" ref="G70" si="65">F70*E70</f>
        <v>0</v>
      </c>
      <c r="H70" s="110">
        <v>359.99</v>
      </c>
      <c r="I70" s="123">
        <f t="shared" ref="I70" si="66">H70*E70</f>
        <v>0</v>
      </c>
      <c r="J70" s="124">
        <f>I70/I75</f>
        <v>0</v>
      </c>
      <c r="K70" s="124"/>
      <c r="L70" s="110">
        <f>ROUND(H70*S75,2)</f>
        <v>374.72</v>
      </c>
      <c r="M70" s="123">
        <f t="shared" ref="M70" si="67">L70*E70</f>
        <v>0</v>
      </c>
      <c r="N70" s="123">
        <f t="shared" ref="N70" si="68">M70-I70</f>
        <v>0</v>
      </c>
      <c r="O70" s="124">
        <f t="shared" ref="O70" si="69">IF(I70=0,0,N70/I70)</f>
        <v>0</v>
      </c>
      <c r="P70" s="124">
        <f t="shared" ref="P70:P74" si="70">M70/M$75</f>
        <v>0</v>
      </c>
      <c r="Q70" s="125">
        <f t="shared" ref="Q70" si="71">P70-J70</f>
        <v>0</v>
      </c>
      <c r="R70" s="125"/>
      <c r="T70" s="4">
        <f>L70/H70-1</f>
        <v>4.0917803272313202E-2</v>
      </c>
    </row>
    <row r="71" spans="1:20" x14ac:dyDescent="0.25">
      <c r="A71" s="31">
        <f t="shared" si="1"/>
        <v>63</v>
      </c>
      <c r="D71" s="2" t="s">
        <v>78</v>
      </c>
      <c r="E71" s="122">
        <v>12</v>
      </c>
      <c r="F71" s="110">
        <f t="shared" si="64"/>
        <v>1078.8399999999999</v>
      </c>
      <c r="G71" s="123">
        <f t="shared" ref="G71" si="72">F71*E71</f>
        <v>12946.079999999998</v>
      </c>
      <c r="H71" s="110">
        <v>1078.8399999999999</v>
      </c>
      <c r="I71" s="123">
        <f t="shared" ref="I71" si="73">H71*E71</f>
        <v>12946.079999999998</v>
      </c>
      <c r="J71" s="124">
        <f>I71/I75</f>
        <v>5.5412395283494318E-3</v>
      </c>
      <c r="K71" s="124"/>
      <c r="L71" s="110">
        <f>ROUND(H71*S75,2)</f>
        <v>1123</v>
      </c>
      <c r="M71" s="123">
        <f t="shared" ref="M71" si="74">L71*E71</f>
        <v>13476</v>
      </c>
      <c r="N71" s="123">
        <f t="shared" ref="N71" si="75">M71-I71</f>
        <v>529.92000000000189</v>
      </c>
      <c r="O71" s="124">
        <f t="shared" ref="O71" si="76">IF(I71=0,0,N71/I71)</f>
        <v>4.0932853805939862E-2</v>
      </c>
      <c r="P71" s="124">
        <f t="shared" si="70"/>
        <v>5.5417797688697432E-3</v>
      </c>
      <c r="Q71" s="125">
        <f t="shared" ref="Q71" si="77">P71-J71</f>
        <v>5.4024052031139552E-7</v>
      </c>
      <c r="R71" s="125"/>
      <c r="T71" s="4">
        <f>L71/H71-1</f>
        <v>4.0932853805939695E-2</v>
      </c>
    </row>
    <row r="72" spans="1:20" x14ac:dyDescent="0.25">
      <c r="A72" s="31">
        <f t="shared" si="1"/>
        <v>64</v>
      </c>
      <c r="D72" s="2" t="s">
        <v>79</v>
      </c>
      <c r="E72" s="122">
        <v>7</v>
      </c>
      <c r="F72" s="110">
        <f t="shared" si="64"/>
        <v>2711.96</v>
      </c>
      <c r="G72" s="123">
        <f t="shared" ref="G72" si="78">F72*E72</f>
        <v>18983.72</v>
      </c>
      <c r="H72" s="110">
        <v>2711.96</v>
      </c>
      <c r="I72" s="123">
        <f t="shared" ref="I72" si="79">H72*E72</f>
        <v>18983.72</v>
      </c>
      <c r="J72" s="124">
        <f>I72/I75</f>
        <v>8.1254974215451865E-3</v>
      </c>
      <c r="K72" s="124"/>
      <c r="L72" s="110">
        <f>ROUND(H72*S75,2)</f>
        <v>2822.97</v>
      </c>
      <c r="M72" s="123">
        <f t="shared" ref="M72" si="80">L72*E72</f>
        <v>19760.789999999997</v>
      </c>
      <c r="N72" s="123">
        <f t="shared" ref="N72" si="81">M72-I72</f>
        <v>777.06999999999607</v>
      </c>
      <c r="O72" s="124">
        <f t="shared" ref="O72" si="82">IF(I72=0,0,N72/I72)</f>
        <v>4.0933494594315341E-2</v>
      </c>
      <c r="P72" s="124">
        <f t="shared" si="70"/>
        <v>8.1262946155300914E-3</v>
      </c>
      <c r="Q72" s="125">
        <f t="shared" ref="Q72" si="83">P72-J72</f>
        <v>7.9719398490482596E-7</v>
      </c>
      <c r="R72" s="125"/>
      <c r="T72" s="4">
        <f>L72/H72-1</f>
        <v>4.0933494594315389E-2</v>
      </c>
    </row>
    <row r="73" spans="1:20" x14ac:dyDescent="0.25">
      <c r="A73" s="31">
        <f t="shared" si="1"/>
        <v>65</v>
      </c>
      <c r="D73" s="2" t="s">
        <v>52</v>
      </c>
      <c r="E73" s="122">
        <v>84768.741999999998</v>
      </c>
      <c r="F73" s="110">
        <f t="shared" si="64"/>
        <v>6.16</v>
      </c>
      <c r="G73" s="123">
        <f t="shared" ref="G73" si="84">F73*E73</f>
        <v>522175.45072000002</v>
      </c>
      <c r="H73" s="110">
        <v>6.16</v>
      </c>
      <c r="I73" s="123">
        <f t="shared" ref="I73" si="85">H73*E73</f>
        <v>522175.45072000002</v>
      </c>
      <c r="J73" s="124">
        <f>I73/I75</f>
        <v>0.22350389061888581</v>
      </c>
      <c r="K73" s="124"/>
      <c r="L73" s="110">
        <f>ROUND(H73*S75,2)</f>
        <v>6.41</v>
      </c>
      <c r="M73" s="123">
        <f t="shared" ref="M73" si="86">L73*E73</f>
        <v>543367.63621999999</v>
      </c>
      <c r="N73" s="123">
        <f t="shared" ref="N73" si="87">M73-I73</f>
        <v>21192.185499999963</v>
      </c>
      <c r="O73" s="124">
        <f t="shared" ref="O73" si="88">IF(I73=0,0,N73/I73)</f>
        <v>4.0584415584415515E-2</v>
      </c>
      <c r="P73" s="124">
        <f t="shared" si="70"/>
        <v>0.22345085882031537</v>
      </c>
      <c r="Q73" s="125">
        <f t="shared" ref="Q73" si="89">P73-J73</f>
        <v>-5.3031798570440936E-5</v>
      </c>
      <c r="R73" s="125"/>
      <c r="T73" s="4">
        <f>L73/H73-1</f>
        <v>4.0584415584415501E-2</v>
      </c>
    </row>
    <row r="74" spans="1:20" x14ac:dyDescent="0.25">
      <c r="A74" s="31">
        <f t="shared" si="1"/>
        <v>66</v>
      </c>
      <c r="D74" s="2" t="s">
        <v>51</v>
      </c>
      <c r="E74" s="122">
        <v>35504697</v>
      </c>
      <c r="F74" s="112">
        <f>H74+0.00159</f>
        <v>5.1709999999999999E-2</v>
      </c>
      <c r="G74" s="123">
        <f t="shared" ref="G74" si="90">F74*E74</f>
        <v>1835947.8818699999</v>
      </c>
      <c r="H74" s="159">
        <v>5.0119999999999998E-2</v>
      </c>
      <c r="I74" s="123">
        <f t="shared" ref="I74" si="91">H74*E74</f>
        <v>1779495.4136399999</v>
      </c>
      <c r="J74" s="124">
        <f>I74/I75</f>
        <v>0.76166764971161094</v>
      </c>
      <c r="K74" s="124"/>
      <c r="L74" s="112">
        <f>ROUND(H74*S75,5)</f>
        <v>5.2170000000000001E-2</v>
      </c>
      <c r="M74" s="123">
        <f t="shared" ref="M74" si="92">L74*E74</f>
        <v>1852280.0424900001</v>
      </c>
      <c r="N74" s="123">
        <f t="shared" ref="N74" si="93">M74-I74</f>
        <v>72784.628850000212</v>
      </c>
      <c r="O74" s="124">
        <f t="shared" ref="O74" si="94">IF(I74=0,0,N74/I74)</f>
        <v>4.0901835594573145E-2</v>
      </c>
      <c r="P74" s="124">
        <f t="shared" si="70"/>
        <v>0.76171920939093729</v>
      </c>
      <c r="Q74" s="125">
        <f t="shared" ref="Q74" si="95">P74-J74</f>
        <v>5.1559679326351748E-5</v>
      </c>
      <c r="R74" s="125"/>
      <c r="T74" s="4">
        <f>L74/H74-1</f>
        <v>4.0901835594573166E-2</v>
      </c>
    </row>
    <row r="75" spans="1:20" s="5" customFormat="1" ht="20.399999999999999" customHeight="1" x14ac:dyDescent="0.3">
      <c r="A75" s="31">
        <f t="shared" ref="A75:A138" si="96">A74+1</f>
        <v>67</v>
      </c>
      <c r="C75" s="14"/>
      <c r="D75" s="16" t="s">
        <v>6</v>
      </c>
      <c r="E75" s="127"/>
      <c r="F75" s="127"/>
      <c r="G75" s="17">
        <f>SUM(G69:G74)</f>
        <v>2392767.28259</v>
      </c>
      <c r="H75" s="127"/>
      <c r="I75" s="17">
        <f>SUM(I69:I74)</f>
        <v>2336314.8143600002</v>
      </c>
      <c r="J75" s="128">
        <f>SUM(J69:J74)</f>
        <v>0.99999999999999989</v>
      </c>
      <c r="K75" s="129">
        <f>I75+Summary!I13</f>
        <v>2431944.09436</v>
      </c>
      <c r="L75" s="127"/>
      <c r="M75" s="17">
        <f>SUM(M69:M74)</f>
        <v>2431709.76871</v>
      </c>
      <c r="N75" s="17">
        <f>SUM(N69:N74)</f>
        <v>95394.954350000175</v>
      </c>
      <c r="O75" s="128">
        <f>IF(I75=0,0,N75/I75)</f>
        <v>4.083137844423259E-2</v>
      </c>
      <c r="P75" s="128">
        <f>SUM(P69:P74)</f>
        <v>1</v>
      </c>
      <c r="Q75" s="130">
        <f t="shared" ref="Q75" si="97">P75-J75</f>
        <v>0</v>
      </c>
      <c r="R75" s="131">
        <f>M75-K75</f>
        <v>-234.32565000001341</v>
      </c>
      <c r="S75" s="74">
        <f>K75/I75</f>
        <v>1.0409316755653908</v>
      </c>
    </row>
    <row r="76" spans="1:20" x14ac:dyDescent="0.25">
      <c r="A76" s="31">
        <f t="shared" si="96"/>
        <v>68</v>
      </c>
      <c r="D76" s="2" t="s">
        <v>29</v>
      </c>
      <c r="G76" s="123">
        <v>-130362.32</v>
      </c>
      <c r="I76" s="132">
        <f>G76+(0.00159*(E74))</f>
        <v>-73909.851770000008</v>
      </c>
      <c r="K76" s="132">
        <f>K75-I75</f>
        <v>95629.279999999795</v>
      </c>
      <c r="M76" s="123">
        <f>I76</f>
        <v>-73909.851770000008</v>
      </c>
      <c r="N76" s="123">
        <f t="shared" ref="N76:N81" si="98">M76-I76</f>
        <v>0</v>
      </c>
      <c r="O76" s="110">
        <v>0</v>
      </c>
    </row>
    <row r="77" spans="1:20" x14ac:dyDescent="0.25">
      <c r="A77" s="31">
        <f t="shared" si="96"/>
        <v>69</v>
      </c>
      <c r="D77" s="2" t="s">
        <v>30</v>
      </c>
      <c r="G77" s="123">
        <v>231961.23</v>
      </c>
      <c r="I77" s="132">
        <f t="shared" ref="I77:I79" si="99">G77</f>
        <v>231961.23</v>
      </c>
      <c r="M77" s="123">
        <f t="shared" ref="M77:M79" si="100">I77</f>
        <v>231961.23</v>
      </c>
      <c r="N77" s="123">
        <f t="shared" si="98"/>
        <v>0</v>
      </c>
      <c r="O77" s="110">
        <v>0</v>
      </c>
    </row>
    <row r="78" spans="1:20" x14ac:dyDescent="0.25">
      <c r="A78" s="31">
        <f t="shared" si="96"/>
        <v>70</v>
      </c>
      <c r="D78" s="2" t="s">
        <v>32</v>
      </c>
      <c r="F78" s="110"/>
      <c r="G78" s="123">
        <f>F78*E78</f>
        <v>0</v>
      </c>
      <c r="I78" s="132">
        <f t="shared" si="99"/>
        <v>0</v>
      </c>
      <c r="M78" s="123">
        <f t="shared" si="100"/>
        <v>0</v>
      </c>
      <c r="N78" s="123">
        <f t="shared" si="98"/>
        <v>0</v>
      </c>
      <c r="O78" s="110">
        <v>0</v>
      </c>
    </row>
    <row r="79" spans="1:20" x14ac:dyDescent="0.25">
      <c r="A79" s="31">
        <f t="shared" si="96"/>
        <v>71</v>
      </c>
      <c r="D79" s="2" t="s">
        <v>42</v>
      </c>
      <c r="G79" s="123">
        <v>0</v>
      </c>
      <c r="I79" s="132">
        <f t="shared" si="99"/>
        <v>0</v>
      </c>
      <c r="M79" s="123">
        <f t="shared" si="100"/>
        <v>0</v>
      </c>
      <c r="N79" s="123"/>
      <c r="O79" s="110"/>
    </row>
    <row r="80" spans="1:20" x14ac:dyDescent="0.25">
      <c r="A80" s="31">
        <f t="shared" si="96"/>
        <v>72</v>
      </c>
      <c r="D80" s="12" t="s">
        <v>8</v>
      </c>
      <c r="E80" s="134"/>
      <c r="F80" s="134"/>
      <c r="G80" s="135">
        <f>SUM(G76:G79)</f>
        <v>101598.91</v>
      </c>
      <c r="H80" s="134"/>
      <c r="I80" s="135">
        <f>SUM(I76:I79)</f>
        <v>158051.37823</v>
      </c>
      <c r="J80" s="134"/>
      <c r="K80" s="134"/>
      <c r="L80" s="134"/>
      <c r="M80" s="135">
        <f>SUM(M76:M79)</f>
        <v>158051.37823</v>
      </c>
      <c r="N80" s="135">
        <f t="shared" si="98"/>
        <v>0</v>
      </c>
      <c r="O80" s="136">
        <f t="shared" ref="O80" si="101">N80-J80</f>
        <v>0</v>
      </c>
    </row>
    <row r="81" spans="1:20" s="5" customFormat="1" ht="26.4" customHeight="1" thickBot="1" x14ac:dyDescent="0.3">
      <c r="A81" s="31">
        <f t="shared" si="96"/>
        <v>73</v>
      </c>
      <c r="C81" s="14"/>
      <c r="D81" s="6" t="s">
        <v>19</v>
      </c>
      <c r="E81" s="137"/>
      <c r="F81" s="137"/>
      <c r="G81" s="138">
        <f>G75+G80</f>
        <v>2494366.1925900001</v>
      </c>
      <c r="H81" s="137"/>
      <c r="I81" s="139">
        <f>I80+I75</f>
        <v>2494366.1925900001</v>
      </c>
      <c r="J81" s="137"/>
      <c r="K81" s="137"/>
      <c r="L81" s="137"/>
      <c r="M81" s="138">
        <f>M80+M75</f>
        <v>2589761.1469399999</v>
      </c>
      <c r="N81" s="138">
        <f t="shared" si="98"/>
        <v>95394.954349999782</v>
      </c>
      <c r="O81" s="140">
        <f>IF(I81=0,0,N81/I81)</f>
        <v>3.8244165845972837E-2</v>
      </c>
      <c r="P81" s="109"/>
      <c r="Q81" s="109"/>
      <c r="R81" s="109"/>
    </row>
    <row r="82" spans="1:20" ht="13.8" thickTop="1" x14ac:dyDescent="0.25">
      <c r="A82" s="31">
        <f t="shared" si="96"/>
        <v>74</v>
      </c>
      <c r="D82" s="2" t="s">
        <v>18</v>
      </c>
      <c r="E82" s="110">
        <f>E74/E69</f>
        <v>1868668.2631578948</v>
      </c>
      <c r="G82" s="141">
        <f>G81/E69</f>
        <v>131282.43118894738</v>
      </c>
      <c r="I82" s="141">
        <f>I81/E69</f>
        <v>131282.43118894738</v>
      </c>
      <c r="M82" s="141">
        <f>M81/E69</f>
        <v>136303.21825999999</v>
      </c>
      <c r="N82" s="141">
        <f>M82-I82</f>
        <v>5020.7870710526186</v>
      </c>
      <c r="O82" s="124">
        <f>N82/I82</f>
        <v>3.8244165845972823E-2</v>
      </c>
    </row>
    <row r="83" spans="1:20" ht="13.8" thickBot="1" x14ac:dyDescent="0.3">
      <c r="A83" s="31">
        <f t="shared" si="96"/>
        <v>75</v>
      </c>
    </row>
    <row r="84" spans="1:20" x14ac:dyDescent="0.25">
      <c r="A84" s="31">
        <f t="shared" si="96"/>
        <v>76</v>
      </c>
      <c r="B84" s="154" t="s">
        <v>80</v>
      </c>
      <c r="C84" s="23" t="s">
        <v>81</v>
      </c>
      <c r="D84" s="22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</row>
    <row r="85" spans="1:20" x14ac:dyDescent="0.25">
      <c r="A85" s="31">
        <f t="shared" si="96"/>
        <v>77</v>
      </c>
      <c r="B85" s="155"/>
      <c r="D85" s="2" t="s">
        <v>17</v>
      </c>
      <c r="E85" s="122">
        <v>17</v>
      </c>
      <c r="F85" s="110">
        <f t="shared" ref="F85:F88" si="102">H85</f>
        <v>142.85</v>
      </c>
      <c r="G85" s="123">
        <f>F85*E85</f>
        <v>2428.4499999999998</v>
      </c>
      <c r="H85" s="110">
        <v>142.85</v>
      </c>
      <c r="I85" s="123">
        <f>H85*E85</f>
        <v>2428.4499999999998</v>
      </c>
      <c r="J85" s="124">
        <f>I85/I91</f>
        <v>6.6418135675361874E-4</v>
      </c>
      <c r="K85" s="124"/>
      <c r="L85" s="110">
        <f>ROUND(H85*S91,2)</f>
        <v>148.69999999999999</v>
      </c>
      <c r="M85" s="123">
        <f>L85*E85</f>
        <v>2527.8999999999996</v>
      </c>
      <c r="N85" s="123">
        <f>M85-I85</f>
        <v>99.449999999999818</v>
      </c>
      <c r="O85" s="124">
        <f>IF(I85=0,0,N85/I85)</f>
        <v>4.0952047602380047E-2</v>
      </c>
      <c r="P85" s="124">
        <f t="shared" ref="P85:P90" si="103">IF(M$91=0,0,M85/M$91)</f>
        <v>6.6424778587471781E-4</v>
      </c>
      <c r="Q85" s="125">
        <f>P85-J85</f>
        <v>6.6429121099069802E-8</v>
      </c>
      <c r="R85" s="125"/>
      <c r="T85" s="4">
        <f t="shared" ref="T85:T90" si="104">L85/H85-1</f>
        <v>4.0952047602380137E-2</v>
      </c>
    </row>
    <row r="86" spans="1:20" x14ac:dyDescent="0.25">
      <c r="A86" s="31">
        <f t="shared" si="96"/>
        <v>78</v>
      </c>
      <c r="D86" s="2" t="s">
        <v>79</v>
      </c>
      <c r="E86" s="150">
        <v>17</v>
      </c>
      <c r="F86" s="110">
        <f t="shared" si="102"/>
        <v>2711.96</v>
      </c>
      <c r="G86" s="123">
        <f t="shared" ref="G86:G89" si="105">F86*E86</f>
        <v>46103.32</v>
      </c>
      <c r="H86" s="110">
        <v>2711.96</v>
      </c>
      <c r="I86" s="123">
        <f t="shared" ref="I86:I89" si="106">H86*E86</f>
        <v>46103.32</v>
      </c>
      <c r="J86" s="124">
        <f>I86/I91</f>
        <v>1.2609263368999257E-2</v>
      </c>
      <c r="K86" s="124"/>
      <c r="L86" s="110">
        <f>ROUND(H86*S91,2)</f>
        <v>2822.97</v>
      </c>
      <c r="M86" s="123">
        <f t="shared" ref="M86:M89" si="107">L86*E86</f>
        <v>47990.49</v>
      </c>
      <c r="N86" s="123">
        <f t="shared" ref="N86:N89" si="108">M86-I86</f>
        <v>1887.1699999999983</v>
      </c>
      <c r="O86" s="124">
        <f t="shared" ref="O86:O89" si="109">IF(I86=0,0,N86/I86)</f>
        <v>4.0933494594315514E-2</v>
      </c>
      <c r="P86" s="124">
        <f t="shared" si="103"/>
        <v>1.2610299745062222E-2</v>
      </c>
      <c r="Q86" s="125">
        <f t="shared" ref="Q86:Q89" si="110">P86-J86</f>
        <v>1.0363760629648888E-6</v>
      </c>
      <c r="R86" s="125"/>
      <c r="T86" s="4">
        <f t="shared" ref="T86:T89" si="111">L86/H86-1</f>
        <v>4.0933494594315389E-2</v>
      </c>
    </row>
    <row r="87" spans="1:20" x14ac:dyDescent="0.25">
      <c r="A87" s="31">
        <f t="shared" si="96"/>
        <v>79</v>
      </c>
      <c r="D87" s="2" t="s">
        <v>83</v>
      </c>
      <c r="E87" s="150">
        <v>0</v>
      </c>
      <c r="F87" s="110">
        <f t="shared" si="102"/>
        <v>3262.8</v>
      </c>
      <c r="G87" s="123">
        <f t="shared" si="105"/>
        <v>0</v>
      </c>
      <c r="H87" s="110">
        <v>3262.8</v>
      </c>
      <c r="I87" s="123">
        <f t="shared" si="106"/>
        <v>0</v>
      </c>
      <c r="J87" s="124">
        <f>I87/I91</f>
        <v>0</v>
      </c>
      <c r="K87" s="124"/>
      <c r="L87" s="110">
        <f>ROUND(H87*S91,2)</f>
        <v>3396.35</v>
      </c>
      <c r="M87" s="123">
        <f t="shared" si="107"/>
        <v>0</v>
      </c>
      <c r="N87" s="123">
        <f t="shared" si="108"/>
        <v>0</v>
      </c>
      <c r="O87" s="124">
        <f t="shared" si="109"/>
        <v>0</v>
      </c>
      <c r="P87" s="124">
        <f t="shared" si="103"/>
        <v>0</v>
      </c>
      <c r="Q87" s="125">
        <f t="shared" si="110"/>
        <v>0</v>
      </c>
      <c r="R87" s="125"/>
      <c r="T87" s="4">
        <f t="shared" si="111"/>
        <v>4.0931102120877583E-2</v>
      </c>
    </row>
    <row r="88" spans="1:20" x14ac:dyDescent="0.25">
      <c r="A88" s="31">
        <f t="shared" si="96"/>
        <v>80</v>
      </c>
      <c r="D88" s="2" t="s">
        <v>52</v>
      </c>
      <c r="E88" s="122">
        <v>115608</v>
      </c>
      <c r="F88" s="110">
        <f t="shared" si="102"/>
        <v>6.16</v>
      </c>
      <c r="G88" s="123">
        <f t="shared" si="105"/>
        <v>712145.28</v>
      </c>
      <c r="H88" s="110">
        <v>6.16</v>
      </c>
      <c r="I88" s="123">
        <f t="shared" si="106"/>
        <v>712145.28</v>
      </c>
      <c r="J88" s="124">
        <f>I88/I91</f>
        <v>0.1947718167045176</v>
      </c>
      <c r="K88" s="124"/>
      <c r="L88" s="110">
        <f>ROUND(H88*S91,2)</f>
        <v>6.41</v>
      </c>
      <c r="M88" s="123">
        <f t="shared" si="107"/>
        <v>741047.28</v>
      </c>
      <c r="N88" s="123">
        <f t="shared" si="108"/>
        <v>28902</v>
      </c>
      <c r="O88" s="124">
        <f t="shared" si="109"/>
        <v>4.0584415584415584E-2</v>
      </c>
      <c r="P88" s="124">
        <f t="shared" si="103"/>
        <v>0.1947225028555252</v>
      </c>
      <c r="Q88" s="125">
        <f t="shared" si="110"/>
        <v>-4.9313848992399434E-5</v>
      </c>
      <c r="R88" s="125"/>
      <c r="T88" s="4">
        <f t="shared" si="111"/>
        <v>4.0584415584415501E-2</v>
      </c>
    </row>
    <row r="89" spans="1:20" x14ac:dyDescent="0.25">
      <c r="A89" s="31">
        <f t="shared" si="96"/>
        <v>81</v>
      </c>
      <c r="D89" s="2" t="s">
        <v>85</v>
      </c>
      <c r="E89" s="122">
        <v>34000000</v>
      </c>
      <c r="F89" s="112">
        <f>H89+0.00159</f>
        <v>5.1709999999999999E-2</v>
      </c>
      <c r="G89" s="123">
        <f t="shared" si="105"/>
        <v>1758140</v>
      </c>
      <c r="H89" s="112">
        <v>5.0119999999999998E-2</v>
      </c>
      <c r="I89" s="123">
        <f t="shared" si="106"/>
        <v>1704080</v>
      </c>
      <c r="J89" s="124">
        <f>I89/I91</f>
        <v>0.46606607771076475</v>
      </c>
      <c r="K89" s="124"/>
      <c r="L89" s="112">
        <f>ROUND(H89*S91,5)</f>
        <v>5.2170000000000001E-2</v>
      </c>
      <c r="M89" s="123">
        <f t="shared" si="107"/>
        <v>1773780</v>
      </c>
      <c r="N89" s="123">
        <f t="shared" si="108"/>
        <v>69700</v>
      </c>
      <c r="O89" s="124">
        <f t="shared" si="109"/>
        <v>4.0901835594573027E-2</v>
      </c>
      <c r="P89" s="124">
        <f t="shared" si="103"/>
        <v>0.46609020832661779</v>
      </c>
      <c r="Q89" s="125">
        <f t="shared" si="110"/>
        <v>2.4130615853046322E-5</v>
      </c>
      <c r="R89" s="125"/>
      <c r="T89" s="4">
        <f t="shared" si="111"/>
        <v>4.0901835594573166E-2</v>
      </c>
    </row>
    <row r="90" spans="1:20" x14ac:dyDescent="0.25">
      <c r="A90" s="31">
        <f t="shared" si="96"/>
        <v>82</v>
      </c>
      <c r="D90" s="2" t="s">
        <v>84</v>
      </c>
      <c r="E90" s="122">
        <v>27550255</v>
      </c>
      <c r="F90" s="112">
        <f>H90+0.00159</f>
        <v>4.4839999999999998E-2</v>
      </c>
      <c r="G90" s="123">
        <f t="shared" ref="G90" si="112">F90*E90</f>
        <v>1235353.4342</v>
      </c>
      <c r="H90" s="112">
        <v>4.3249999999999997E-2</v>
      </c>
      <c r="I90" s="123">
        <f t="shared" ref="I90" si="113">H90*E90</f>
        <v>1191548.5287499998</v>
      </c>
      <c r="J90" s="124">
        <f>I90/I91</f>
        <v>0.3258886608589649</v>
      </c>
      <c r="K90" s="124"/>
      <c r="L90" s="112">
        <f>ROUND(H90*S91,5)</f>
        <v>4.5019999999999998E-2</v>
      </c>
      <c r="M90" s="123">
        <f t="shared" ref="M90" si="114">L90*E90</f>
        <v>1240312.4801</v>
      </c>
      <c r="N90" s="123">
        <f t="shared" ref="N90:N97" si="115">M90-I90</f>
        <v>48763.951350000221</v>
      </c>
      <c r="O90" s="124">
        <f t="shared" ref="O90" si="116">IF(I90=0,0,N90/I90)</f>
        <v>4.0924855491329674E-2</v>
      </c>
      <c r="P90" s="124">
        <f t="shared" si="103"/>
        <v>0.32591274128692005</v>
      </c>
      <c r="Q90" s="125">
        <f t="shared" ref="Q90:Q91" si="117">P90-J90</f>
        <v>2.4080427955153194E-5</v>
      </c>
      <c r="R90" s="125"/>
      <c r="T90" s="4">
        <f t="shared" si="104"/>
        <v>4.0924855491329515E-2</v>
      </c>
    </row>
    <row r="91" spans="1:20" s="5" customFormat="1" ht="20.399999999999999" customHeight="1" x14ac:dyDescent="0.3">
      <c r="A91" s="31">
        <f t="shared" si="96"/>
        <v>83</v>
      </c>
      <c r="C91" s="14"/>
      <c r="D91" s="16" t="s">
        <v>6</v>
      </c>
      <c r="E91" s="127"/>
      <c r="F91" s="127"/>
      <c r="G91" s="17">
        <f>SUM(G85:G90)</f>
        <v>3754170.4841999998</v>
      </c>
      <c r="H91" s="127"/>
      <c r="I91" s="17">
        <f>SUM(I85:I90)</f>
        <v>3656305.5787499994</v>
      </c>
      <c r="J91" s="128">
        <f>SUM(J85:J90)</f>
        <v>1</v>
      </c>
      <c r="K91" s="129">
        <f>I91+Summary!I14</f>
        <v>3805964.2987499996</v>
      </c>
      <c r="L91" s="127"/>
      <c r="M91" s="17">
        <f>SUM(M85:M90)</f>
        <v>3805658.1501000002</v>
      </c>
      <c r="N91" s="17">
        <f>SUM(N85:N90)</f>
        <v>149352.57135000022</v>
      </c>
      <c r="O91" s="128">
        <f>IF(I91=0,0,N91/I91)</f>
        <v>4.0847945592408653E-2</v>
      </c>
      <c r="P91" s="128">
        <f>SUM(P85:P90)</f>
        <v>1</v>
      </c>
      <c r="Q91" s="130">
        <f t="shared" si="117"/>
        <v>0</v>
      </c>
      <c r="R91" s="131">
        <f>M91-K91</f>
        <v>-306.14864999940619</v>
      </c>
      <c r="S91" s="74">
        <f>IF(I91=0,0,K91/I91)</f>
        <v>1.0409316772837036</v>
      </c>
    </row>
    <row r="92" spans="1:20" x14ac:dyDescent="0.25">
      <c r="A92" s="31">
        <f t="shared" si="96"/>
        <v>84</v>
      </c>
      <c r="D92" s="2" t="s">
        <v>29</v>
      </c>
      <c r="G92" s="123">
        <v>-275745.11</v>
      </c>
      <c r="I92" s="132">
        <f>(G92+(0.00159*(E90)))*0+-177880</f>
        <v>-177880</v>
      </c>
      <c r="K92" s="132">
        <f>K91-I91</f>
        <v>149658.7200000002</v>
      </c>
      <c r="M92" s="123">
        <f>I92</f>
        <v>-177880</v>
      </c>
      <c r="N92" s="123">
        <f t="shared" si="115"/>
        <v>0</v>
      </c>
      <c r="O92" s="110">
        <v>0</v>
      </c>
    </row>
    <row r="93" spans="1:20" x14ac:dyDescent="0.25">
      <c r="A93" s="31">
        <f t="shared" si="96"/>
        <v>85</v>
      </c>
      <c r="D93" s="2" t="s">
        <v>30</v>
      </c>
      <c r="G93" s="123">
        <v>384379.47</v>
      </c>
      <c r="I93" s="132">
        <f t="shared" ref="I93:I95" si="118">G93</f>
        <v>384379.47</v>
      </c>
      <c r="M93" s="123">
        <f t="shared" ref="M93:M95" si="119">I93</f>
        <v>384379.47</v>
      </c>
      <c r="N93" s="123">
        <f t="shared" si="115"/>
        <v>0</v>
      </c>
      <c r="O93" s="110">
        <v>0</v>
      </c>
    </row>
    <row r="94" spans="1:20" x14ac:dyDescent="0.25">
      <c r="A94" s="31">
        <f t="shared" si="96"/>
        <v>86</v>
      </c>
      <c r="D94" s="2" t="s">
        <v>32</v>
      </c>
      <c r="G94" s="123">
        <v>0</v>
      </c>
      <c r="I94" s="132">
        <f t="shared" si="118"/>
        <v>0</v>
      </c>
      <c r="M94" s="123">
        <f t="shared" si="119"/>
        <v>0</v>
      </c>
      <c r="N94" s="123">
        <f t="shared" si="115"/>
        <v>0</v>
      </c>
      <c r="O94" s="110">
        <v>0</v>
      </c>
    </row>
    <row r="95" spans="1:20" x14ac:dyDescent="0.25">
      <c r="A95" s="31">
        <f t="shared" si="96"/>
        <v>87</v>
      </c>
      <c r="D95" s="2" t="s">
        <v>42</v>
      </c>
      <c r="G95" s="123">
        <v>0</v>
      </c>
      <c r="I95" s="132">
        <f t="shared" si="118"/>
        <v>0</v>
      </c>
      <c r="M95" s="123">
        <f t="shared" si="119"/>
        <v>0</v>
      </c>
      <c r="N95" s="123"/>
      <c r="O95" s="110"/>
    </row>
    <row r="96" spans="1:20" x14ac:dyDescent="0.25">
      <c r="A96" s="31">
        <f t="shared" si="96"/>
        <v>88</v>
      </c>
      <c r="D96" s="12" t="s">
        <v>8</v>
      </c>
      <c r="E96" s="134"/>
      <c r="F96" s="134"/>
      <c r="G96" s="135">
        <f>SUM(G92:G95)</f>
        <v>108634.35999999999</v>
      </c>
      <c r="H96" s="134"/>
      <c r="I96" s="135">
        <f>SUM(I92:I95)</f>
        <v>206499.46999999997</v>
      </c>
      <c r="J96" s="134"/>
      <c r="K96" s="134"/>
      <c r="L96" s="134"/>
      <c r="M96" s="135">
        <f>SUM(M92:M95)</f>
        <v>206499.46999999997</v>
      </c>
      <c r="N96" s="135">
        <f t="shared" si="115"/>
        <v>0</v>
      </c>
      <c r="O96" s="136">
        <f t="shared" ref="O96" si="120">N96-J96</f>
        <v>0</v>
      </c>
    </row>
    <row r="97" spans="1:20" s="5" customFormat="1" ht="26.4" customHeight="1" thickBot="1" x14ac:dyDescent="0.3">
      <c r="A97" s="31">
        <f t="shared" si="96"/>
        <v>89</v>
      </c>
      <c r="C97" s="14"/>
      <c r="D97" s="6" t="s">
        <v>19</v>
      </c>
      <c r="E97" s="137"/>
      <c r="F97" s="137"/>
      <c r="G97" s="138">
        <f>G91+G96</f>
        <v>3862804.8441999997</v>
      </c>
      <c r="H97" s="137"/>
      <c r="I97" s="139">
        <f>I96+I91</f>
        <v>3862805.0487499991</v>
      </c>
      <c r="J97" s="137"/>
      <c r="K97" s="137"/>
      <c r="L97" s="137"/>
      <c r="M97" s="138">
        <f>M96+M91</f>
        <v>4012157.6200999999</v>
      </c>
      <c r="N97" s="138">
        <f t="shared" si="115"/>
        <v>149352.5713500008</v>
      </c>
      <c r="O97" s="140">
        <f>IF(I97=0,0,N97/I97)</f>
        <v>3.866427879872715E-2</v>
      </c>
      <c r="P97" s="109"/>
      <c r="Q97" s="109"/>
      <c r="R97" s="109"/>
    </row>
    <row r="98" spans="1:20" ht="13.8" thickTop="1" x14ac:dyDescent="0.25">
      <c r="A98" s="31">
        <f t="shared" si="96"/>
        <v>90</v>
      </c>
      <c r="D98" s="13"/>
      <c r="E98" s="143">
        <f>(E90+E89)/E85</f>
        <v>3620603.2352941176</v>
      </c>
      <c r="F98" s="143"/>
      <c r="G98" s="143">
        <f>G97/E85</f>
        <v>227223.81436470588</v>
      </c>
      <c r="H98" s="143"/>
      <c r="I98" s="143">
        <f>I97/E85</f>
        <v>227223.82639705879</v>
      </c>
      <c r="J98" s="143"/>
      <c r="K98" s="143"/>
      <c r="L98" s="143"/>
      <c r="M98" s="143">
        <f>M97/E85</f>
        <v>236009.27177058824</v>
      </c>
      <c r="N98" s="143">
        <f>M98-I98</f>
        <v>8785.4453735294519</v>
      </c>
      <c r="O98" s="144"/>
      <c r="P98" s="144"/>
      <c r="Q98" s="144"/>
    </row>
    <row r="99" spans="1:20" ht="13.8" thickBot="1" x14ac:dyDescent="0.3">
      <c r="A99" s="31">
        <f t="shared" si="96"/>
        <v>91</v>
      </c>
    </row>
    <row r="100" spans="1:20" x14ac:dyDescent="0.25">
      <c r="A100" s="31">
        <f t="shared" si="96"/>
        <v>92</v>
      </c>
      <c r="B100" s="154" t="s">
        <v>86</v>
      </c>
      <c r="C100" s="23" t="s">
        <v>87</v>
      </c>
      <c r="D100" s="22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</row>
    <row r="101" spans="1:20" x14ac:dyDescent="0.25">
      <c r="A101" s="31">
        <f t="shared" si="96"/>
        <v>93</v>
      </c>
      <c r="B101" s="155"/>
      <c r="D101" s="2" t="s">
        <v>17</v>
      </c>
      <c r="E101" s="122">
        <v>96</v>
      </c>
      <c r="F101" s="110">
        <f t="shared" ref="F101:F105" si="121">H101</f>
        <v>145.86000000000001</v>
      </c>
      <c r="G101" s="123">
        <f>F101*E101</f>
        <v>14002.560000000001</v>
      </c>
      <c r="H101" s="110">
        <v>145.86000000000001</v>
      </c>
      <c r="I101" s="123">
        <f>H101*E101</f>
        <v>14002.560000000001</v>
      </c>
      <c r="J101" s="124">
        <f>I101/I107</f>
        <v>3.3549112322314493E-3</v>
      </c>
      <c r="K101" s="124"/>
      <c r="L101" s="110">
        <f>ROUND(H101*S107,2)</f>
        <v>151.83000000000001</v>
      </c>
      <c r="M101" s="123">
        <f>L101*E101</f>
        <v>14575.68</v>
      </c>
      <c r="N101" s="123">
        <f>M101-I101</f>
        <v>573.11999999999898</v>
      </c>
      <c r="O101" s="124">
        <f>IF(I101=0,0,N101/I101)</f>
        <v>4.092965857671732E-2</v>
      </c>
      <c r="P101" s="124">
        <f t="shared" ref="P101:P106" si="122">M101/M$107</f>
        <v>3.3547915071083304E-3</v>
      </c>
      <c r="Q101" s="125">
        <f>P101-J101</f>
        <v>-1.1972512311891545E-7</v>
      </c>
      <c r="R101" s="125"/>
      <c r="T101" s="4">
        <f t="shared" ref="T101:T106" si="123">L101/H101-1</f>
        <v>4.0929658576717376E-2</v>
      </c>
    </row>
    <row r="102" spans="1:20" x14ac:dyDescent="0.25">
      <c r="A102" s="31">
        <f t="shared" si="96"/>
        <v>94</v>
      </c>
      <c r="D102" s="2" t="s">
        <v>77</v>
      </c>
      <c r="E102" s="122">
        <v>48</v>
      </c>
      <c r="F102" s="110">
        <f t="shared" si="121"/>
        <v>367.59</v>
      </c>
      <c r="G102" s="123">
        <f t="shared" ref="G102:G104" si="124">F102*E102</f>
        <v>17644.32</v>
      </c>
      <c r="H102" s="110">
        <v>367.59</v>
      </c>
      <c r="I102" s="123">
        <f t="shared" ref="I102:I104" si="125">H102*E102</f>
        <v>17644.32</v>
      </c>
      <c r="J102" s="124">
        <f>I102/I107</f>
        <v>4.227450362868361E-3</v>
      </c>
      <c r="K102" s="124"/>
      <c r="L102" s="110">
        <f>ROUND(H102*S$107,2)</f>
        <v>382.64</v>
      </c>
      <c r="M102" s="123">
        <f t="shared" ref="M102:M104" si="126">L102*E102</f>
        <v>18366.72</v>
      </c>
      <c r="N102" s="123">
        <f t="shared" ref="N102:N104" si="127">M102-I102</f>
        <v>722.40000000000146</v>
      </c>
      <c r="O102" s="124">
        <f t="shared" ref="O102:O104" si="128">IF(I102=0,0,N102/I102)</f>
        <v>4.0942354253380206E-2</v>
      </c>
      <c r="P102" s="124">
        <f t="shared" si="122"/>
        <v>4.2273510580251982E-3</v>
      </c>
      <c r="Q102" s="125">
        <f t="shared" ref="Q102:Q104" si="129">P102-J102</f>
        <v>-9.9304843162797973E-8</v>
      </c>
      <c r="R102" s="125"/>
      <c r="T102" s="4">
        <f t="shared" ref="T102:T104" si="130">L102/H102-1</f>
        <v>4.094235425338022E-2</v>
      </c>
    </row>
    <row r="103" spans="1:20" x14ac:dyDescent="0.25">
      <c r="A103" s="31">
        <f t="shared" si="96"/>
        <v>95</v>
      </c>
      <c r="D103" s="2" t="s">
        <v>78</v>
      </c>
      <c r="E103" s="122">
        <v>48</v>
      </c>
      <c r="F103" s="110">
        <f t="shared" si="121"/>
        <v>1101.5999999999999</v>
      </c>
      <c r="G103" s="123">
        <f t="shared" ref="G103" si="131">F103*E103</f>
        <v>52876.799999999996</v>
      </c>
      <c r="H103" s="110">
        <v>1101.5999999999999</v>
      </c>
      <c r="I103" s="123">
        <f t="shared" ref="I103" si="132">H103*E103</f>
        <v>52876.799999999996</v>
      </c>
      <c r="J103" s="124">
        <f>I103/I107</f>
        <v>1.2668895562272603E-2</v>
      </c>
      <c r="K103" s="124"/>
      <c r="L103" s="110">
        <f>ROUND(H103*S$107,2)</f>
        <v>1146.69</v>
      </c>
      <c r="M103" s="123">
        <f t="shared" ref="M103" si="133">L103*E103</f>
        <v>55041.120000000003</v>
      </c>
      <c r="N103" s="123">
        <f t="shared" ref="N103" si="134">M103-I103</f>
        <v>2164.320000000007</v>
      </c>
      <c r="O103" s="124">
        <f t="shared" ref="O103" si="135">IF(I103=0,0,N103/I103)</f>
        <v>4.093137254901974E-2</v>
      </c>
      <c r="P103" s="124">
        <f t="shared" si="122"/>
        <v>1.2668464313001553E-2</v>
      </c>
      <c r="Q103" s="125">
        <f t="shared" ref="Q103" si="136">P103-J103</f>
        <v>-4.3124927105037125E-7</v>
      </c>
      <c r="R103" s="125"/>
      <c r="T103" s="4">
        <f t="shared" ref="T103" si="137">L103/H103-1</f>
        <v>4.0931372549019684E-2</v>
      </c>
    </row>
    <row r="104" spans="1:20" x14ac:dyDescent="0.25">
      <c r="A104" s="31">
        <f t="shared" si="96"/>
        <v>96</v>
      </c>
      <c r="D104" s="2" t="s">
        <v>88</v>
      </c>
      <c r="E104" s="122">
        <v>128040</v>
      </c>
      <c r="F104" s="110">
        <f t="shared" si="121"/>
        <v>6.29</v>
      </c>
      <c r="G104" s="123">
        <f t="shared" si="124"/>
        <v>805371.6</v>
      </c>
      <c r="H104" s="110">
        <v>6.29</v>
      </c>
      <c r="I104" s="123">
        <f t="shared" si="125"/>
        <v>805371.6</v>
      </c>
      <c r="J104" s="124">
        <f>I104/I107</f>
        <v>0.19296116045638895</v>
      </c>
      <c r="K104" s="124"/>
      <c r="L104" s="110">
        <f>ROUND(H104*S$107,2)</f>
        <v>6.55</v>
      </c>
      <c r="M104" s="123">
        <f t="shared" si="126"/>
        <v>838662</v>
      </c>
      <c r="N104" s="123">
        <f t="shared" si="127"/>
        <v>33290.400000000023</v>
      </c>
      <c r="O104" s="124">
        <f t="shared" si="128"/>
        <v>4.1335453100159014E-2</v>
      </c>
      <c r="P104" s="124">
        <f t="shared" si="122"/>
        <v>0.19302949536038708</v>
      </c>
      <c r="Q104" s="125">
        <f t="shared" si="129"/>
        <v>6.8334903998129581E-5</v>
      </c>
      <c r="R104" s="125"/>
      <c r="T104" s="4">
        <f t="shared" si="130"/>
        <v>4.1335453100158848E-2</v>
      </c>
    </row>
    <row r="105" spans="1:20" x14ac:dyDescent="0.25">
      <c r="A105" s="31">
        <f t="shared" si="96"/>
        <v>97</v>
      </c>
      <c r="D105" s="2" t="s">
        <v>89</v>
      </c>
      <c r="E105" s="122">
        <v>7892</v>
      </c>
      <c r="F105" s="110">
        <f t="shared" si="121"/>
        <v>9.1300000000000008</v>
      </c>
      <c r="G105" s="123">
        <f t="shared" ref="G105" si="138">F105*E105</f>
        <v>72053.960000000006</v>
      </c>
      <c r="H105" s="110">
        <v>9.1300000000000008</v>
      </c>
      <c r="I105" s="123">
        <f t="shared" ref="I105" si="139">H105*E105</f>
        <v>72053.960000000006</v>
      </c>
      <c r="J105" s="124">
        <f>I105/I107</f>
        <v>1.7263603207610292E-2</v>
      </c>
      <c r="K105" s="124"/>
      <c r="L105" s="110">
        <f>ROUND(H105*S$107,2)</f>
        <v>9.5</v>
      </c>
      <c r="M105" s="123">
        <f t="shared" ref="M105" si="140">L105*E105</f>
        <v>74974</v>
      </c>
      <c r="N105" s="123">
        <f t="shared" ref="N105" si="141">M105-I105</f>
        <v>2920.0399999999936</v>
      </c>
      <c r="O105" s="124">
        <f t="shared" ref="O105" si="142">IF(I105=0,0,N105/I105)</f>
        <v>4.0525739320919948E-2</v>
      </c>
      <c r="P105" s="124">
        <f t="shared" si="122"/>
        <v>1.7256288451306556E-2</v>
      </c>
      <c r="Q105" s="125">
        <f t="shared" ref="Q105" si="143">P105-J105</f>
        <v>-7.3147563037362362E-6</v>
      </c>
      <c r="R105" s="125"/>
      <c r="T105" s="4">
        <f t="shared" si="123"/>
        <v>4.0525739320919962E-2</v>
      </c>
    </row>
    <row r="106" spans="1:20" x14ac:dyDescent="0.25">
      <c r="A106" s="31">
        <f t="shared" si="96"/>
        <v>98</v>
      </c>
      <c r="B106" s="64"/>
      <c r="D106" s="2" t="s">
        <v>51</v>
      </c>
      <c r="E106" s="122">
        <v>67688104</v>
      </c>
      <c r="F106" s="112">
        <f>H106+0.00159</f>
        <v>4.904E-2</v>
      </c>
      <c r="G106" s="123">
        <f t="shared" ref="G106" si="144">F106*E106</f>
        <v>3319424.6201599999</v>
      </c>
      <c r="H106" s="112">
        <v>4.7449999999999999E-2</v>
      </c>
      <c r="I106" s="123">
        <f t="shared" ref="I106" si="145">H106*E106</f>
        <v>3211800.5348</v>
      </c>
      <c r="J106" s="124">
        <f>I106/I107</f>
        <v>0.76952397917862836</v>
      </c>
      <c r="K106" s="124"/>
      <c r="L106" s="126">
        <f>ROUND(H106*S107,5)</f>
        <v>4.9390000000000003E-2</v>
      </c>
      <c r="M106" s="123">
        <f t="shared" ref="M106" si="146">L106*E106</f>
        <v>3343115.4565600003</v>
      </c>
      <c r="N106" s="123">
        <f t="shared" ref="N106:N114" si="147">M106-I106</f>
        <v>131314.92176000029</v>
      </c>
      <c r="O106" s="124">
        <f t="shared" ref="O106" si="148">IF(I106=0,0,N106/I106)</f>
        <v>4.0885142255005356E-2</v>
      </c>
      <c r="P106" s="124">
        <f t="shared" si="122"/>
        <v>0.76946360931017133</v>
      </c>
      <c r="Q106" s="125">
        <f t="shared" ref="Q106:Q107" si="149">P106-J106</f>
        <v>-6.0369868457033071E-5</v>
      </c>
      <c r="R106" s="125"/>
      <c r="T106" s="4">
        <f t="shared" si="123"/>
        <v>4.0885142255005391E-2</v>
      </c>
    </row>
    <row r="107" spans="1:20" s="5" customFormat="1" ht="20.399999999999999" customHeight="1" x14ac:dyDescent="0.3">
      <c r="A107" s="31">
        <f t="shared" si="96"/>
        <v>99</v>
      </c>
      <c r="C107" s="14"/>
      <c r="D107" s="16" t="s">
        <v>6</v>
      </c>
      <c r="E107" s="127"/>
      <c r="F107" s="127"/>
      <c r="G107" s="17">
        <f>SUM(G101:G106)</f>
        <v>4281373.8601599997</v>
      </c>
      <c r="H107" s="127"/>
      <c r="I107" s="17">
        <f>SUM(I101:I106)</f>
        <v>4173749.7747999998</v>
      </c>
      <c r="J107" s="128">
        <f>SUM(J101:J106)</f>
        <v>1</v>
      </c>
      <c r="K107" s="129">
        <f>I107+Summary!I15</f>
        <v>4344588.3547999999</v>
      </c>
      <c r="L107" s="127"/>
      <c r="M107" s="17">
        <f>SUM(M101:M106)</f>
        <v>4344734.9765600003</v>
      </c>
      <c r="N107" s="17">
        <f>SUM(N101:N106)</f>
        <v>170985.20176000032</v>
      </c>
      <c r="O107" s="128">
        <f t="shared" ref="O107" si="150">N107/I107</f>
        <v>4.0966807064564306E-2</v>
      </c>
      <c r="P107" s="128">
        <f>SUM(P101:P106)</f>
        <v>1</v>
      </c>
      <c r="Q107" s="130">
        <f t="shared" si="149"/>
        <v>0</v>
      </c>
      <c r="R107" s="131">
        <f>M107-K107</f>
        <v>146.62176000047475</v>
      </c>
      <c r="S107" s="74">
        <f>K107/I107</f>
        <v>1.0409316775604227</v>
      </c>
    </row>
    <row r="108" spans="1:20" x14ac:dyDescent="0.25">
      <c r="A108" s="31">
        <f t="shared" si="96"/>
        <v>100</v>
      </c>
      <c r="D108" s="2" t="s">
        <v>29</v>
      </c>
      <c r="G108" s="123">
        <v>-278028.14</v>
      </c>
      <c r="I108" s="132">
        <f>G108+(0.00159*E106)</f>
        <v>-170404.05464000002</v>
      </c>
      <c r="K108" s="132">
        <f>K107-I107</f>
        <v>170838.58000000007</v>
      </c>
      <c r="M108" s="123">
        <f>I108</f>
        <v>-170404.05464000002</v>
      </c>
      <c r="N108" s="123">
        <f t="shared" si="147"/>
        <v>0</v>
      </c>
      <c r="O108" s="110">
        <v>0</v>
      </c>
    </row>
    <row r="109" spans="1:20" x14ac:dyDescent="0.25">
      <c r="A109" s="31">
        <f t="shared" si="96"/>
        <v>101</v>
      </c>
      <c r="D109" s="2" t="s">
        <v>30</v>
      </c>
      <c r="G109" s="123">
        <v>429167.59</v>
      </c>
      <c r="I109" s="132">
        <f t="shared" ref="I109:I111" si="151">G109</f>
        <v>429167.59</v>
      </c>
      <c r="M109" s="123">
        <f t="shared" ref="M109:M111" si="152">I109</f>
        <v>429167.59</v>
      </c>
      <c r="N109" s="123">
        <f t="shared" si="147"/>
        <v>0</v>
      </c>
      <c r="O109" s="110">
        <v>0</v>
      </c>
    </row>
    <row r="110" spans="1:20" x14ac:dyDescent="0.25">
      <c r="A110" s="31">
        <f t="shared" si="96"/>
        <v>102</v>
      </c>
      <c r="D110" s="2" t="s">
        <v>32</v>
      </c>
      <c r="G110" s="123">
        <v>0</v>
      </c>
      <c r="I110" s="132">
        <f t="shared" si="151"/>
        <v>0</v>
      </c>
      <c r="M110" s="123">
        <f t="shared" si="152"/>
        <v>0</v>
      </c>
      <c r="N110" s="123">
        <f t="shared" si="147"/>
        <v>0</v>
      </c>
      <c r="O110" s="110">
        <v>0</v>
      </c>
    </row>
    <row r="111" spans="1:20" x14ac:dyDescent="0.25">
      <c r="A111" s="31">
        <f t="shared" si="96"/>
        <v>103</v>
      </c>
      <c r="D111" s="2" t="s">
        <v>42</v>
      </c>
      <c r="G111" s="123">
        <v>0</v>
      </c>
      <c r="I111" s="132">
        <f t="shared" si="151"/>
        <v>0</v>
      </c>
      <c r="M111" s="123">
        <f t="shared" si="152"/>
        <v>0</v>
      </c>
      <c r="N111" s="123"/>
      <c r="O111" s="110"/>
    </row>
    <row r="112" spans="1:20" x14ac:dyDescent="0.25">
      <c r="A112" s="31">
        <f t="shared" si="96"/>
        <v>104</v>
      </c>
      <c r="D112" s="12" t="s">
        <v>8</v>
      </c>
      <c r="E112" s="134"/>
      <c r="F112" s="134"/>
      <c r="G112" s="135">
        <f>SUM(G108:G111)</f>
        <v>151139.45000000001</v>
      </c>
      <c r="H112" s="134"/>
      <c r="I112" s="135">
        <f>SUM(I108:I111)</f>
        <v>258763.53536000001</v>
      </c>
      <c r="J112" s="134"/>
      <c r="K112" s="134"/>
      <c r="L112" s="134"/>
      <c r="M112" s="135">
        <f>SUM(M108:M111)</f>
        <v>258763.53536000001</v>
      </c>
      <c r="N112" s="135">
        <f t="shared" si="147"/>
        <v>0</v>
      </c>
      <c r="O112" s="136">
        <f t="shared" ref="O112" si="153">N112-J112</f>
        <v>0</v>
      </c>
    </row>
    <row r="113" spans="1:20" s="5" customFormat="1" ht="26.4" customHeight="1" thickBot="1" x14ac:dyDescent="0.3">
      <c r="A113" s="31">
        <f t="shared" si="96"/>
        <v>105</v>
      </c>
      <c r="C113" s="14"/>
      <c r="D113" s="6" t="s">
        <v>19</v>
      </c>
      <c r="E113" s="137"/>
      <c r="F113" s="137"/>
      <c r="G113" s="138">
        <f>G107+G112</f>
        <v>4432513.3101599999</v>
      </c>
      <c r="H113" s="137"/>
      <c r="I113" s="139">
        <f>I112+I107</f>
        <v>4432513.3101599999</v>
      </c>
      <c r="J113" s="137"/>
      <c r="K113" s="137"/>
      <c r="L113" s="137"/>
      <c r="M113" s="138">
        <f>M112+M107</f>
        <v>4603498.5119200004</v>
      </c>
      <c r="N113" s="138">
        <f t="shared" si="147"/>
        <v>170985.20176000055</v>
      </c>
      <c r="O113" s="140">
        <f>N113/I113</f>
        <v>3.8575225790766665E-2</v>
      </c>
      <c r="P113" s="109"/>
      <c r="Q113" s="109"/>
      <c r="R113" s="109"/>
    </row>
    <row r="114" spans="1:20" ht="13.8" thickTop="1" x14ac:dyDescent="0.25">
      <c r="A114" s="31">
        <f t="shared" si="96"/>
        <v>106</v>
      </c>
      <c r="D114" s="2" t="s">
        <v>18</v>
      </c>
      <c r="E114" s="110">
        <f>E106/E101</f>
        <v>705084.41666666663</v>
      </c>
      <c r="G114" s="141">
        <f>G113/E101</f>
        <v>46172.013647499996</v>
      </c>
      <c r="I114" s="141">
        <f>I113/E101</f>
        <v>46172.013647499996</v>
      </c>
      <c r="M114" s="141">
        <f>M113/E101</f>
        <v>47953.109499166669</v>
      </c>
      <c r="N114" s="141">
        <f t="shared" si="147"/>
        <v>1781.0958516666724</v>
      </c>
      <c r="O114" s="124">
        <f>N114/I114</f>
        <v>3.8575225790766665E-2</v>
      </c>
    </row>
    <row r="115" spans="1:20" ht="13.8" thickBot="1" x14ac:dyDescent="0.3">
      <c r="A115" s="31">
        <f t="shared" si="96"/>
        <v>107</v>
      </c>
    </row>
    <row r="116" spans="1:20" x14ac:dyDescent="0.25">
      <c r="A116" s="31">
        <f t="shared" si="96"/>
        <v>108</v>
      </c>
      <c r="B116" s="154" t="s">
        <v>90</v>
      </c>
      <c r="C116" s="23" t="s">
        <v>91</v>
      </c>
      <c r="D116" s="22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</row>
    <row r="117" spans="1:20" x14ac:dyDescent="0.25">
      <c r="A117" s="31">
        <f t="shared" si="96"/>
        <v>109</v>
      </c>
      <c r="B117" s="155"/>
      <c r="D117" s="2" t="s">
        <v>17</v>
      </c>
      <c r="E117" s="122">
        <v>1989</v>
      </c>
      <c r="F117" s="110">
        <f t="shared" ref="F117" si="154">H117</f>
        <v>50</v>
      </c>
      <c r="G117" s="123">
        <f>F117*E117</f>
        <v>99450</v>
      </c>
      <c r="H117" s="110">
        <v>50</v>
      </c>
      <c r="I117" s="123">
        <f>H117*E117</f>
        <v>99450</v>
      </c>
      <c r="J117" s="124">
        <f>I117/I119</f>
        <v>6.6227310658403551E-2</v>
      </c>
      <c r="K117" s="124"/>
      <c r="L117" s="110">
        <f>ROUND(H117*S119,2)</f>
        <v>52.05</v>
      </c>
      <c r="M117" s="123">
        <f>L117*E117</f>
        <v>103527.45</v>
      </c>
      <c r="N117" s="123">
        <f>M117-I117</f>
        <v>4077.4499999999971</v>
      </c>
      <c r="O117" s="124">
        <f>IF(I117=0,0,N117/I117)</f>
        <v>4.0999999999999974E-2</v>
      </c>
      <c r="P117" s="124">
        <f>M117/M$119</f>
        <v>6.6232657714737325E-2</v>
      </c>
      <c r="Q117" s="125">
        <f>P117-J117</f>
        <v>5.3470563337737476E-6</v>
      </c>
      <c r="R117" s="125"/>
      <c r="T117" s="4">
        <f t="shared" ref="T117:T118" si="155">L117/H117-1</f>
        <v>4.0999999999999925E-2</v>
      </c>
    </row>
    <row r="118" spans="1:20" x14ac:dyDescent="0.25">
      <c r="A118" s="31">
        <f t="shared" si="96"/>
        <v>110</v>
      </c>
      <c r="D118" s="2" t="s">
        <v>51</v>
      </c>
      <c r="E118" s="122">
        <v>13991183</v>
      </c>
      <c r="F118" s="112">
        <f>H118+0.00159</f>
        <v>0.10181</v>
      </c>
      <c r="G118" s="123">
        <f t="shared" ref="G118" si="156">F118*E118</f>
        <v>1424442.3412299999</v>
      </c>
      <c r="H118" s="111">
        <v>0.10022</v>
      </c>
      <c r="I118" s="123">
        <f t="shared" ref="I118" si="157">H118*E118</f>
        <v>1402196.36026</v>
      </c>
      <c r="J118" s="124">
        <f>I118/I119</f>
        <v>0.93377268934159641</v>
      </c>
      <c r="K118" s="124"/>
      <c r="L118" s="126">
        <f>ROUND(H118*S119,5)</f>
        <v>0.10432</v>
      </c>
      <c r="M118" s="123">
        <f t="shared" ref="M118" si="158">L118*E118</f>
        <v>1459560.21056</v>
      </c>
      <c r="N118" s="123">
        <f t="shared" ref="N118:N122" si="159">M118-I118</f>
        <v>57363.850300000049</v>
      </c>
      <c r="O118" s="124">
        <f t="shared" ref="O118" si="160">IF(I118=0,0,N118/I118)</f>
        <v>4.090999800439038E-2</v>
      </c>
      <c r="P118" s="124">
        <f>M118/M$119</f>
        <v>0.9337673422852627</v>
      </c>
      <c r="Q118" s="125">
        <f t="shared" ref="Q118:Q119" si="161">P118-J118</f>
        <v>-5.3470563337043586E-6</v>
      </c>
      <c r="R118" s="125"/>
      <c r="T118" s="4">
        <f t="shared" si="155"/>
        <v>4.0909998004390324E-2</v>
      </c>
    </row>
    <row r="119" spans="1:20" s="5" customFormat="1" ht="20.399999999999999" customHeight="1" x14ac:dyDescent="0.3">
      <c r="A119" s="31">
        <f t="shared" si="96"/>
        <v>111</v>
      </c>
      <c r="C119" s="14"/>
      <c r="D119" s="16" t="s">
        <v>6</v>
      </c>
      <c r="E119" s="127"/>
      <c r="F119" s="127"/>
      <c r="G119" s="17">
        <f>SUM(G117:G118)</f>
        <v>1523892.3412299999</v>
      </c>
      <c r="H119" s="127"/>
      <c r="I119" s="17">
        <f>SUM(I117:I118)</f>
        <v>1501646.36026</v>
      </c>
      <c r="J119" s="128">
        <f>SUM(J117:J118)</f>
        <v>1</v>
      </c>
      <c r="K119" s="129">
        <f>I119+Summary!I16</f>
        <v>1563111.2602599999</v>
      </c>
      <c r="L119" s="127"/>
      <c r="M119" s="17">
        <f>SUM(M117:M118)</f>
        <v>1563087.66056</v>
      </c>
      <c r="N119" s="17">
        <f>SUM(N117:N118)</f>
        <v>61441.300300000046</v>
      </c>
      <c r="O119" s="128">
        <f t="shared" ref="O119" si="162">N119/I119</f>
        <v>4.0915958594513489E-2</v>
      </c>
      <c r="P119" s="128">
        <f>SUM(P117:P118)</f>
        <v>1</v>
      </c>
      <c r="Q119" s="130">
        <f t="shared" si="161"/>
        <v>0</v>
      </c>
      <c r="R119" s="131">
        <f>M119-K119</f>
        <v>-23.59969999990426</v>
      </c>
      <c r="S119" s="74">
        <f>K119/I119</f>
        <v>1.0409316744785089</v>
      </c>
    </row>
    <row r="120" spans="1:20" x14ac:dyDescent="0.25">
      <c r="A120" s="31">
        <f t="shared" si="96"/>
        <v>112</v>
      </c>
      <c r="D120" s="2" t="s">
        <v>29</v>
      </c>
      <c r="G120" s="123">
        <v>-55794.26</v>
      </c>
      <c r="I120" s="132">
        <f>G120+(0.00159*E118)</f>
        <v>-33548.279030000005</v>
      </c>
      <c r="K120" s="132">
        <f>K119-I119</f>
        <v>61464.899999999907</v>
      </c>
      <c r="M120" s="123">
        <f>I120</f>
        <v>-33548.279030000005</v>
      </c>
      <c r="N120" s="123">
        <f t="shared" si="159"/>
        <v>0</v>
      </c>
      <c r="O120" s="110">
        <v>0</v>
      </c>
    </row>
    <row r="121" spans="1:20" x14ac:dyDescent="0.25">
      <c r="A121" s="31">
        <f t="shared" si="96"/>
        <v>113</v>
      </c>
      <c r="D121" s="2" t="s">
        <v>30</v>
      </c>
      <c r="G121" s="123">
        <v>158472.95999999999</v>
      </c>
      <c r="I121" s="132">
        <f t="shared" ref="I121:I123" si="163">G121</f>
        <v>158472.95999999999</v>
      </c>
      <c r="M121" s="123">
        <f t="shared" ref="M121:M123" si="164">I121</f>
        <v>158472.95999999999</v>
      </c>
      <c r="N121" s="123">
        <f t="shared" si="159"/>
        <v>0</v>
      </c>
      <c r="O121" s="110">
        <v>0</v>
      </c>
    </row>
    <row r="122" spans="1:20" x14ac:dyDescent="0.25">
      <c r="A122" s="31">
        <f t="shared" si="96"/>
        <v>114</v>
      </c>
      <c r="D122" s="2" t="s">
        <v>32</v>
      </c>
      <c r="G122" s="123">
        <v>0</v>
      </c>
      <c r="I122" s="132">
        <f t="shared" si="163"/>
        <v>0</v>
      </c>
      <c r="M122" s="123">
        <f t="shared" si="164"/>
        <v>0</v>
      </c>
      <c r="N122" s="123">
        <f t="shared" si="159"/>
        <v>0</v>
      </c>
      <c r="O122" s="110">
        <v>0</v>
      </c>
    </row>
    <row r="123" spans="1:20" x14ac:dyDescent="0.25">
      <c r="A123" s="31">
        <f t="shared" si="96"/>
        <v>115</v>
      </c>
      <c r="D123" s="2" t="s">
        <v>42</v>
      </c>
      <c r="G123" s="123">
        <v>0</v>
      </c>
      <c r="I123" s="132">
        <f t="shared" si="163"/>
        <v>0</v>
      </c>
      <c r="M123" s="123">
        <f t="shared" si="164"/>
        <v>0</v>
      </c>
      <c r="N123" s="123"/>
      <c r="O123" s="110"/>
    </row>
    <row r="124" spans="1:20" x14ac:dyDescent="0.25">
      <c r="A124" s="31">
        <f t="shared" si="96"/>
        <v>116</v>
      </c>
      <c r="D124" s="12" t="s">
        <v>8</v>
      </c>
      <c r="E124" s="134"/>
      <c r="F124" s="134"/>
      <c r="G124" s="135">
        <f>SUM(G120:G123)</f>
        <v>102678.69999999998</v>
      </c>
      <c r="H124" s="134"/>
      <c r="I124" s="135">
        <f>SUM(I120:I123)</f>
        <v>124924.68096999999</v>
      </c>
      <c r="J124" s="134"/>
      <c r="K124" s="134"/>
      <c r="L124" s="134"/>
      <c r="M124" s="135">
        <f>SUM(M120:M123)</f>
        <v>124924.68096999999</v>
      </c>
      <c r="N124" s="135">
        <f t="shared" ref="N124:N125" si="165">M124-I124</f>
        <v>0</v>
      </c>
      <c r="O124" s="136">
        <f t="shared" ref="O124" si="166">N124-J124</f>
        <v>0</v>
      </c>
    </row>
    <row r="125" spans="1:20" s="5" customFormat="1" ht="26.4" customHeight="1" thickBot="1" x14ac:dyDescent="0.3">
      <c r="A125" s="31">
        <f t="shared" si="96"/>
        <v>117</v>
      </c>
      <c r="C125" s="14"/>
      <c r="D125" s="6" t="s">
        <v>19</v>
      </c>
      <c r="E125" s="137"/>
      <c r="F125" s="137"/>
      <c r="G125" s="138">
        <f>G119+G124</f>
        <v>1626571.0412299999</v>
      </c>
      <c r="H125" s="137"/>
      <c r="I125" s="139">
        <f>I124+I119</f>
        <v>1626571.0412300001</v>
      </c>
      <c r="J125" s="137"/>
      <c r="K125" s="137"/>
      <c r="L125" s="137"/>
      <c r="M125" s="138">
        <f>M124+M119</f>
        <v>1688012.3415299999</v>
      </c>
      <c r="N125" s="138">
        <f t="shared" si="165"/>
        <v>61441.30029999977</v>
      </c>
      <c r="O125" s="140">
        <f>N125/I125</f>
        <v>3.7773511726569502E-2</v>
      </c>
      <c r="P125" s="109"/>
      <c r="Q125" s="109"/>
      <c r="R125" s="109"/>
    </row>
    <row r="126" spans="1:20" ht="13.8" thickTop="1" x14ac:dyDescent="0.25">
      <c r="A126" s="31">
        <f t="shared" si="96"/>
        <v>118</v>
      </c>
      <c r="E126" s="143">
        <f>E118/E117</f>
        <v>7034.280040221217</v>
      </c>
      <c r="F126" s="143"/>
      <c r="G126" s="143">
        <f>G125/E117</f>
        <v>817.78332892408241</v>
      </c>
      <c r="H126" s="143"/>
      <c r="I126" s="143">
        <f>I125/E117</f>
        <v>817.78332892408253</v>
      </c>
      <c r="J126" s="143"/>
      <c r="K126" s="143"/>
      <c r="L126" s="143"/>
      <c r="M126" s="143">
        <f>M125/E117</f>
        <v>848.67387708898934</v>
      </c>
      <c r="N126" s="143">
        <f>M126-I126</f>
        <v>30.890548164906818</v>
      </c>
      <c r="O126" s="124"/>
    </row>
    <row r="127" spans="1:20" ht="13.8" thickBot="1" x14ac:dyDescent="0.3">
      <c r="A127" s="31">
        <f t="shared" si="96"/>
        <v>119</v>
      </c>
    </row>
    <row r="128" spans="1:20" x14ac:dyDescent="0.25">
      <c r="A128" s="31">
        <f t="shared" si="96"/>
        <v>120</v>
      </c>
      <c r="B128" s="154" t="s">
        <v>92</v>
      </c>
      <c r="C128" s="23" t="s">
        <v>93</v>
      </c>
      <c r="D128" s="22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</row>
    <row r="129" spans="1:20" x14ac:dyDescent="0.25">
      <c r="A129" s="31">
        <f t="shared" si="96"/>
        <v>121</v>
      </c>
      <c r="B129" s="155"/>
      <c r="D129" s="2" t="s">
        <v>17</v>
      </c>
      <c r="E129" s="122">
        <v>187</v>
      </c>
      <c r="F129" s="110">
        <f t="shared" ref="F129" si="167">H129</f>
        <v>83.02</v>
      </c>
      <c r="G129" s="123">
        <f>F129*E129</f>
        <v>15524.74</v>
      </c>
      <c r="H129" s="110">
        <v>83.02</v>
      </c>
      <c r="I129" s="123">
        <f>H129*E129</f>
        <v>15524.74</v>
      </c>
      <c r="J129" s="124">
        <f>I129/I131</f>
        <v>1.9329411390299697E-2</v>
      </c>
      <c r="K129" s="124"/>
      <c r="L129" s="110">
        <f>ROUND(H129*S131,2)</f>
        <v>86.42</v>
      </c>
      <c r="M129" s="123">
        <f>L129*E129</f>
        <v>16160.54</v>
      </c>
      <c r="N129" s="123">
        <f t="shared" ref="N129:N134" si="168">M129-I129</f>
        <v>635.80000000000109</v>
      </c>
      <c r="O129" s="124">
        <f>IF(I129=0,0,N129/I129)</f>
        <v>4.0953986991086558E-2</v>
      </c>
      <c r="P129" s="124">
        <f>M129/M131</f>
        <v>1.9330294733750836E-2</v>
      </c>
      <c r="Q129" s="125">
        <f>P129-J129</f>
        <v>8.8334345113919022E-7</v>
      </c>
      <c r="R129" s="125"/>
      <c r="T129" s="4">
        <f>L129/H129-1</f>
        <v>4.0953986991086655E-2</v>
      </c>
    </row>
    <row r="130" spans="1:20" x14ac:dyDescent="0.25">
      <c r="A130" s="31">
        <f t="shared" si="96"/>
        <v>122</v>
      </c>
      <c r="B130" s="11"/>
      <c r="D130" s="2" t="s">
        <v>51</v>
      </c>
      <c r="E130" s="122">
        <v>10426820</v>
      </c>
      <c r="F130" s="112">
        <f>H130+0.00159</f>
        <v>7.712999999999999E-2</v>
      </c>
      <c r="G130" s="123">
        <f t="shared" ref="G130" si="169">F130*E130</f>
        <v>804220.62659999984</v>
      </c>
      <c r="H130" s="111">
        <v>7.5539999999999996E-2</v>
      </c>
      <c r="I130" s="123">
        <f t="shared" ref="I130" si="170">H130*E130</f>
        <v>787641.9828</v>
      </c>
      <c r="J130" s="124">
        <f>I130/I131</f>
        <v>0.98067058860970036</v>
      </c>
      <c r="K130" s="124"/>
      <c r="L130" s="126">
        <f>ROUND(H130*S131,5)</f>
        <v>7.8630000000000005E-2</v>
      </c>
      <c r="M130" s="123">
        <f t="shared" ref="M130" si="171">L130*E130</f>
        <v>819860.85660000006</v>
      </c>
      <c r="N130" s="123">
        <f t="shared" si="168"/>
        <v>32218.873800000059</v>
      </c>
      <c r="O130" s="124">
        <f t="shared" ref="O130" si="172">IF(I130=0,0,N130/I130)</f>
        <v>4.0905480540111276E-2</v>
      </c>
      <c r="P130" s="124">
        <f>M130/M131</f>
        <v>0.98066970526624908</v>
      </c>
      <c r="Q130" s="125">
        <f t="shared" ref="Q130:Q131" si="173">P130-J130</f>
        <v>-8.8334345127449865E-7</v>
      </c>
      <c r="R130" s="125"/>
      <c r="T130" s="4">
        <f>L130/H130-1</f>
        <v>4.0905480540111228E-2</v>
      </c>
    </row>
    <row r="131" spans="1:20" s="5" customFormat="1" ht="20.399999999999999" customHeight="1" x14ac:dyDescent="0.3">
      <c r="A131" s="31">
        <f t="shared" si="96"/>
        <v>123</v>
      </c>
      <c r="C131" s="14"/>
      <c r="D131" s="16" t="s">
        <v>6</v>
      </c>
      <c r="E131" s="127"/>
      <c r="F131" s="127"/>
      <c r="G131" s="17">
        <f>SUM(G129:G130)</f>
        <v>819745.36659999983</v>
      </c>
      <c r="H131" s="127"/>
      <c r="I131" s="17">
        <f>SUM(I129:I130)</f>
        <v>803166.72279999999</v>
      </c>
      <c r="J131" s="128">
        <f>SUM(J129:J130)</f>
        <v>1</v>
      </c>
      <c r="K131" s="129">
        <f>I131+Summary!I17</f>
        <v>836041.68279999995</v>
      </c>
      <c r="L131" s="127"/>
      <c r="M131" s="17">
        <f>SUM(M129:M130)</f>
        <v>836021.39660000009</v>
      </c>
      <c r="N131" s="17">
        <f>SUM(N129:N130)</f>
        <v>32854.673800000062</v>
      </c>
      <c r="O131" s="128">
        <f t="shared" ref="O131" si="174">N131/I131</f>
        <v>4.0906418141257263E-2</v>
      </c>
      <c r="P131" s="128">
        <f>SUM(P129:P130)</f>
        <v>0.99999999999999989</v>
      </c>
      <c r="Q131" s="130">
        <f t="shared" si="173"/>
        <v>0</v>
      </c>
      <c r="R131" s="131">
        <f>M131-K131</f>
        <v>-20.286199999856763</v>
      </c>
      <c r="S131" s="74">
        <f>K131/I131</f>
        <v>1.0409316759108138</v>
      </c>
    </row>
    <row r="132" spans="1:20" x14ac:dyDescent="0.25">
      <c r="A132" s="31">
        <f t="shared" si="96"/>
        <v>124</v>
      </c>
      <c r="D132" s="2" t="s">
        <v>29</v>
      </c>
      <c r="G132" s="123">
        <v>-41642.239999999998</v>
      </c>
      <c r="I132" s="132">
        <f>G132+(0.00159*E130)</f>
        <v>-25063.596199999996</v>
      </c>
      <c r="K132" s="132">
        <f>K131-I131</f>
        <v>32874.959999999963</v>
      </c>
      <c r="M132" s="123">
        <f>I132</f>
        <v>-25063.596199999996</v>
      </c>
      <c r="N132" s="123">
        <f t="shared" si="168"/>
        <v>0</v>
      </c>
      <c r="O132" s="110">
        <v>0</v>
      </c>
      <c r="R132" s="133"/>
    </row>
    <row r="133" spans="1:20" x14ac:dyDescent="0.25">
      <c r="A133" s="31">
        <f t="shared" si="96"/>
        <v>125</v>
      </c>
      <c r="D133" s="2" t="s">
        <v>30</v>
      </c>
      <c r="G133" s="123">
        <v>83137.3</v>
      </c>
      <c r="I133" s="132">
        <f>G133</f>
        <v>83137.3</v>
      </c>
      <c r="M133" s="123">
        <f t="shared" ref="M133:M135" si="175">I133</f>
        <v>83137.3</v>
      </c>
      <c r="N133" s="123">
        <f t="shared" si="168"/>
        <v>0</v>
      </c>
      <c r="O133" s="110">
        <v>0</v>
      </c>
    </row>
    <row r="134" spans="1:20" x14ac:dyDescent="0.25">
      <c r="A134" s="31">
        <f t="shared" si="96"/>
        <v>126</v>
      </c>
      <c r="D134" s="2" t="s">
        <v>43</v>
      </c>
      <c r="G134" s="123">
        <v>0</v>
      </c>
      <c r="I134" s="132">
        <f>G134</f>
        <v>0</v>
      </c>
      <c r="M134" s="123">
        <f t="shared" si="175"/>
        <v>0</v>
      </c>
      <c r="N134" s="123">
        <f t="shared" si="168"/>
        <v>0</v>
      </c>
      <c r="O134" s="110">
        <v>0</v>
      </c>
    </row>
    <row r="135" spans="1:20" x14ac:dyDescent="0.25">
      <c r="A135" s="31">
        <f t="shared" si="96"/>
        <v>127</v>
      </c>
      <c r="D135" s="2" t="s">
        <v>42</v>
      </c>
      <c r="G135" s="123">
        <v>0</v>
      </c>
      <c r="I135" s="132">
        <f>G135</f>
        <v>0</v>
      </c>
      <c r="M135" s="123">
        <f t="shared" si="175"/>
        <v>0</v>
      </c>
      <c r="N135" s="123"/>
      <c r="O135" s="110">
        <v>0</v>
      </c>
    </row>
    <row r="136" spans="1:20" x14ac:dyDescent="0.25">
      <c r="A136" s="31">
        <f t="shared" si="96"/>
        <v>128</v>
      </c>
      <c r="D136" s="12" t="s">
        <v>8</v>
      </c>
      <c r="E136" s="134"/>
      <c r="F136" s="134"/>
      <c r="G136" s="135">
        <f>SUM(G132:G135)</f>
        <v>41495.060000000005</v>
      </c>
      <c r="H136" s="134"/>
      <c r="I136" s="135">
        <f>SUM(I132:I135)</f>
        <v>58073.703800000003</v>
      </c>
      <c r="J136" s="134"/>
      <c r="K136" s="134"/>
      <c r="L136" s="134"/>
      <c r="M136" s="135">
        <f>SUM(M132:M135)</f>
        <v>58073.703800000003</v>
      </c>
      <c r="N136" s="135">
        <f>M136-I136</f>
        <v>0</v>
      </c>
      <c r="O136" s="136">
        <v>0</v>
      </c>
    </row>
    <row r="137" spans="1:20" s="5" customFormat="1" ht="26.4" customHeight="1" thickBot="1" x14ac:dyDescent="0.3">
      <c r="A137" s="31">
        <f t="shared" si="96"/>
        <v>129</v>
      </c>
      <c r="C137" s="14"/>
      <c r="D137" s="6" t="s">
        <v>19</v>
      </c>
      <c r="E137" s="137"/>
      <c r="F137" s="137"/>
      <c r="G137" s="138">
        <f>G131+G136</f>
        <v>861240.42659999989</v>
      </c>
      <c r="H137" s="137"/>
      <c r="I137" s="139">
        <f>I136+I131</f>
        <v>861240.42660000001</v>
      </c>
      <c r="J137" s="137"/>
      <c r="K137" s="137"/>
      <c r="L137" s="137"/>
      <c r="M137" s="138">
        <f>M136+M131</f>
        <v>894095.10040000011</v>
      </c>
      <c r="N137" s="138">
        <f>M137-I137</f>
        <v>32854.673800000106</v>
      </c>
      <c r="O137" s="140">
        <f>N137/I137</f>
        <v>3.8148085929620837E-2</v>
      </c>
      <c r="P137" s="109"/>
      <c r="Q137" s="109"/>
      <c r="R137" s="109"/>
    </row>
    <row r="138" spans="1:20" ht="13.8" thickTop="1" x14ac:dyDescent="0.25">
      <c r="A138" s="31">
        <f t="shared" si="96"/>
        <v>130</v>
      </c>
      <c r="D138" s="2" t="s">
        <v>18</v>
      </c>
      <c r="E138" s="110">
        <f>E130/E129</f>
        <v>55758.395721925132</v>
      </c>
      <c r="G138" s="141">
        <f>G137/E129</f>
        <v>4605.5637786096249</v>
      </c>
      <c r="I138" s="141">
        <f>I137/E129</f>
        <v>4605.5637786096258</v>
      </c>
      <c r="M138" s="141">
        <f>M137/E129</f>
        <v>4781.257221390375</v>
      </c>
      <c r="N138" s="141">
        <f>M138-I138</f>
        <v>175.69344278074914</v>
      </c>
      <c r="O138" s="124">
        <f>N138/I138</f>
        <v>3.8148085929620816E-2</v>
      </c>
    </row>
    <row r="139" spans="1:20" ht="13.8" thickBot="1" x14ac:dyDescent="0.3">
      <c r="A139" s="31">
        <f t="shared" ref="A139:A213" si="176">A138+1</f>
        <v>131</v>
      </c>
    </row>
    <row r="140" spans="1:20" x14ac:dyDescent="0.25">
      <c r="A140" s="31">
        <f t="shared" si="176"/>
        <v>132</v>
      </c>
      <c r="B140" s="22" t="s">
        <v>33</v>
      </c>
      <c r="C140" s="149" t="s">
        <v>147</v>
      </c>
      <c r="D140" s="22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</row>
    <row r="141" spans="1:20" x14ac:dyDescent="0.25">
      <c r="A141" s="31">
        <f t="shared" si="176"/>
        <v>133</v>
      </c>
      <c r="B141" s="148" t="s">
        <v>142</v>
      </c>
      <c r="C141" s="104" t="s">
        <v>94</v>
      </c>
      <c r="D141" s="97" t="s">
        <v>94</v>
      </c>
      <c r="E141" s="122"/>
      <c r="F141" s="110"/>
      <c r="G141" s="123"/>
      <c r="H141" s="110"/>
      <c r="I141" s="123"/>
      <c r="J141" s="124"/>
      <c r="K141" s="124"/>
      <c r="L141" s="110"/>
      <c r="M141" s="123"/>
      <c r="N141" s="123"/>
      <c r="O141" s="124"/>
      <c r="P141" s="124"/>
      <c r="Q141" s="125"/>
      <c r="R141" s="125"/>
      <c r="T141" s="4" t="e">
        <f>L141/H141-1</f>
        <v>#DIV/0!</v>
      </c>
    </row>
    <row r="142" spans="1:20" x14ac:dyDescent="0.25">
      <c r="A142" s="31">
        <f t="shared" si="176"/>
        <v>134</v>
      </c>
      <c r="B142" s="28"/>
      <c r="C142" s="104"/>
      <c r="D142" s="2" t="s">
        <v>95</v>
      </c>
      <c r="E142" s="122">
        <v>12</v>
      </c>
      <c r="F142" s="110">
        <v>8.4700000000000006</v>
      </c>
      <c r="G142" s="123">
        <f t="shared" ref="G142:G162" si="177">F142*E142</f>
        <v>101.64000000000001</v>
      </c>
      <c r="H142" s="110">
        <v>8.36</v>
      </c>
      <c r="I142" s="123">
        <f t="shared" ref="I142:I162" si="178">H142*E142</f>
        <v>100.32</v>
      </c>
      <c r="J142" s="124">
        <f t="shared" ref="J142:J148" si="179">I142/I$214</f>
        <v>2.7040611075977144E-5</v>
      </c>
      <c r="K142" s="124"/>
      <c r="L142" s="110">
        <f t="shared" ref="L142:L148" si="180">ROUND(H142*S$214,2)</f>
        <v>8.6999999999999993</v>
      </c>
      <c r="M142" s="123">
        <f t="shared" ref="M142:M162" si="181">L142*E142</f>
        <v>104.39999999999999</v>
      </c>
      <c r="N142" s="123">
        <f t="shared" ref="N142:N162" si="182">M142-I142</f>
        <v>4.0799999999999983</v>
      </c>
      <c r="O142" s="124">
        <f t="shared" ref="O142:O162" si="183">IF(I142=0,0,N142/I142)</f>
        <v>4.0669856459330127E-2</v>
      </c>
      <c r="P142" s="124">
        <f t="shared" ref="P142:P148" si="184">M142/M$214</f>
        <v>2.7037918069534913E-5</v>
      </c>
      <c r="Q142" s="125">
        <f t="shared" ref="Q142:Q162" si="185">P142-J142</f>
        <v>-2.6930064422310627E-9</v>
      </c>
      <c r="R142" s="125"/>
      <c r="T142" s="4">
        <f t="shared" ref="T142:T162" si="186">L142/H142-1</f>
        <v>4.0669856459330189E-2</v>
      </c>
    </row>
    <row r="143" spans="1:20" x14ac:dyDescent="0.25">
      <c r="A143" s="31">
        <f t="shared" si="176"/>
        <v>135</v>
      </c>
      <c r="B143" s="28"/>
      <c r="C143" s="104"/>
      <c r="D143" s="2" t="s">
        <v>96</v>
      </c>
      <c r="E143" s="122">
        <v>438</v>
      </c>
      <c r="F143" s="110">
        <v>8.4700000000000006</v>
      </c>
      <c r="G143" s="123">
        <f t="shared" si="177"/>
        <v>3709.86</v>
      </c>
      <c r="H143" s="110">
        <v>8.36</v>
      </c>
      <c r="I143" s="123">
        <f t="shared" si="178"/>
        <v>3661.68</v>
      </c>
      <c r="J143" s="124">
        <f t="shared" si="179"/>
        <v>9.8698230427316587E-4</v>
      </c>
      <c r="K143" s="124"/>
      <c r="L143" s="110">
        <f t="shared" si="180"/>
        <v>8.6999999999999993</v>
      </c>
      <c r="M143" s="123">
        <f t="shared" si="181"/>
        <v>3810.6</v>
      </c>
      <c r="N143" s="123">
        <f t="shared" si="182"/>
        <v>148.92000000000007</v>
      </c>
      <c r="O143" s="124">
        <f t="shared" si="183"/>
        <v>4.0669856459330168E-2</v>
      </c>
      <c r="P143" s="124">
        <f t="shared" si="184"/>
        <v>9.8688400953802439E-4</v>
      </c>
      <c r="Q143" s="125">
        <f t="shared" si="185"/>
        <v>-9.8294735141482917E-8</v>
      </c>
      <c r="R143" s="125"/>
      <c r="T143" s="4">
        <f t="shared" si="186"/>
        <v>4.0669856459330189E-2</v>
      </c>
    </row>
    <row r="144" spans="1:20" x14ac:dyDescent="0.25">
      <c r="A144" s="31">
        <f t="shared" si="176"/>
        <v>136</v>
      </c>
      <c r="B144" s="28"/>
      <c r="C144" s="104"/>
      <c r="D144" s="2" t="s">
        <v>97</v>
      </c>
      <c r="E144" s="122">
        <v>48</v>
      </c>
      <c r="F144" s="110">
        <v>13.76</v>
      </c>
      <c r="G144" s="123">
        <f t="shared" si="177"/>
        <v>660.48</v>
      </c>
      <c r="H144" s="110">
        <v>13.52</v>
      </c>
      <c r="I144" s="123">
        <f t="shared" si="178"/>
        <v>648.96</v>
      </c>
      <c r="J144" s="124">
        <f t="shared" si="179"/>
        <v>1.7492299605129715E-4</v>
      </c>
      <c r="K144" s="124"/>
      <c r="L144" s="110">
        <f t="shared" si="180"/>
        <v>14.07</v>
      </c>
      <c r="M144" s="123">
        <f t="shared" si="181"/>
        <v>675.36</v>
      </c>
      <c r="N144" s="123">
        <f t="shared" si="182"/>
        <v>26.399999999999977</v>
      </c>
      <c r="O144" s="124">
        <f t="shared" si="183"/>
        <v>4.068047337278103E-2</v>
      </c>
      <c r="P144" s="124">
        <f t="shared" si="184"/>
        <v>1.7490735964981898E-4</v>
      </c>
      <c r="Q144" s="125">
        <f t="shared" si="185"/>
        <v>-1.5636401478165895E-8</v>
      </c>
      <c r="R144" s="125"/>
      <c r="T144" s="4">
        <f t="shared" si="186"/>
        <v>4.0680473372781023E-2</v>
      </c>
    </row>
    <row r="145" spans="1:20" x14ac:dyDescent="0.25">
      <c r="A145" s="31">
        <f t="shared" si="176"/>
        <v>137</v>
      </c>
      <c r="B145" s="28"/>
      <c r="C145" s="104"/>
      <c r="D145" s="2" t="s">
        <v>98</v>
      </c>
      <c r="E145" s="122">
        <v>5250</v>
      </c>
      <c r="F145" s="110">
        <v>8.4700000000000006</v>
      </c>
      <c r="G145" s="123">
        <f t="shared" si="177"/>
        <v>44467.5</v>
      </c>
      <c r="H145" s="110">
        <v>8.36</v>
      </c>
      <c r="I145" s="123">
        <f t="shared" si="178"/>
        <v>43890</v>
      </c>
      <c r="J145" s="124">
        <f t="shared" si="179"/>
        <v>1.1830267345740003E-2</v>
      </c>
      <c r="K145" s="124"/>
      <c r="L145" s="110">
        <f t="shared" si="180"/>
        <v>8.6999999999999993</v>
      </c>
      <c r="M145" s="123">
        <f t="shared" si="181"/>
        <v>45674.999999999993</v>
      </c>
      <c r="N145" s="123">
        <f t="shared" si="182"/>
        <v>1784.9999999999927</v>
      </c>
      <c r="O145" s="124">
        <f t="shared" si="183"/>
        <v>4.0669856459329981E-2</v>
      </c>
      <c r="P145" s="124">
        <f t="shared" si="184"/>
        <v>1.1829089155421524E-2</v>
      </c>
      <c r="Q145" s="125">
        <f t="shared" si="185"/>
        <v>-1.1781903184789749E-6</v>
      </c>
      <c r="R145" s="125"/>
      <c r="T145" s="4">
        <f t="shared" si="186"/>
        <v>4.0669856459330189E-2</v>
      </c>
    </row>
    <row r="146" spans="1:20" x14ac:dyDescent="0.25">
      <c r="A146" s="31">
        <f t="shared" si="176"/>
        <v>138</v>
      </c>
      <c r="B146" s="28"/>
      <c r="C146" s="104"/>
      <c r="D146" s="2" t="s">
        <v>99</v>
      </c>
      <c r="E146" s="122">
        <v>282</v>
      </c>
      <c r="F146" s="110">
        <v>13.76</v>
      </c>
      <c r="G146" s="123">
        <f t="shared" si="177"/>
        <v>3880.32</v>
      </c>
      <c r="H146" s="110">
        <v>13.52</v>
      </c>
      <c r="I146" s="123">
        <f t="shared" si="178"/>
        <v>3812.64</v>
      </c>
      <c r="J146" s="124">
        <f t="shared" si="179"/>
        <v>1.0276726018013708E-3</v>
      </c>
      <c r="K146" s="124"/>
      <c r="L146" s="110">
        <f t="shared" si="180"/>
        <v>14.07</v>
      </c>
      <c r="M146" s="123">
        <f t="shared" si="181"/>
        <v>3967.7400000000002</v>
      </c>
      <c r="N146" s="123">
        <f t="shared" si="182"/>
        <v>155.10000000000036</v>
      </c>
      <c r="O146" s="124">
        <f t="shared" si="183"/>
        <v>4.0680473372781162E-2</v>
      </c>
      <c r="P146" s="124">
        <f t="shared" si="184"/>
        <v>1.0275807379426865E-3</v>
      </c>
      <c r="Q146" s="125">
        <f t="shared" si="185"/>
        <v>-9.1863858684261904E-8</v>
      </c>
      <c r="R146" s="125"/>
      <c r="T146" s="4">
        <f t="shared" si="186"/>
        <v>4.0680473372781023E-2</v>
      </c>
    </row>
    <row r="147" spans="1:20" x14ac:dyDescent="0.25">
      <c r="A147" s="31">
        <f t="shared" si="176"/>
        <v>139</v>
      </c>
      <c r="B147" s="28"/>
      <c r="C147" s="104"/>
      <c r="D147" s="2" t="s">
        <v>100</v>
      </c>
      <c r="E147" s="122">
        <v>698</v>
      </c>
      <c r="F147" s="110">
        <v>8.4700000000000006</v>
      </c>
      <c r="G147" s="123">
        <f t="shared" si="177"/>
        <v>5912.06</v>
      </c>
      <c r="H147" s="110">
        <v>8.36</v>
      </c>
      <c r="I147" s="123">
        <f t="shared" si="178"/>
        <v>5835.28</v>
      </c>
      <c r="J147" s="124">
        <f t="shared" si="179"/>
        <v>1.5728622109193373E-3</v>
      </c>
      <c r="K147" s="124"/>
      <c r="L147" s="110">
        <f t="shared" si="180"/>
        <v>8.6999999999999993</v>
      </c>
      <c r="M147" s="123">
        <f t="shared" si="181"/>
        <v>6072.5999999999995</v>
      </c>
      <c r="N147" s="123">
        <f t="shared" si="182"/>
        <v>237.31999999999971</v>
      </c>
      <c r="O147" s="124">
        <f t="shared" si="183"/>
        <v>4.0669856459330092E-2</v>
      </c>
      <c r="P147" s="124">
        <f t="shared" si="184"/>
        <v>1.5727055677112807E-3</v>
      </c>
      <c r="Q147" s="125">
        <f t="shared" si="185"/>
        <v>-1.5664320805654913E-7</v>
      </c>
      <c r="R147" s="125"/>
      <c r="T147" s="4">
        <f t="shared" si="186"/>
        <v>4.0669856459330189E-2</v>
      </c>
    </row>
    <row r="148" spans="1:20" x14ac:dyDescent="0.25">
      <c r="A148" s="31">
        <f t="shared" si="176"/>
        <v>140</v>
      </c>
      <c r="B148" s="28"/>
      <c r="C148" s="104"/>
      <c r="D148" s="2" t="s">
        <v>101</v>
      </c>
      <c r="E148" s="122">
        <v>11561</v>
      </c>
      <c r="F148" s="110">
        <v>16.14</v>
      </c>
      <c r="G148" s="123">
        <f t="shared" si="177"/>
        <v>186594.54</v>
      </c>
      <c r="H148" s="110">
        <v>16.079999999999998</v>
      </c>
      <c r="I148" s="123">
        <f t="shared" si="178"/>
        <v>185900.87999999998</v>
      </c>
      <c r="J148" s="124">
        <f t="shared" si="179"/>
        <v>5.010838710887059E-2</v>
      </c>
      <c r="K148" s="124"/>
      <c r="L148" s="110">
        <f t="shared" si="180"/>
        <v>16.739999999999998</v>
      </c>
      <c r="M148" s="123">
        <f t="shared" si="181"/>
        <v>193531.13999999998</v>
      </c>
      <c r="N148" s="123">
        <f t="shared" si="182"/>
        <v>7630.2600000000093</v>
      </c>
      <c r="O148" s="124">
        <f t="shared" si="183"/>
        <v>4.1044776119403041E-2</v>
      </c>
      <c r="P148" s="124">
        <f t="shared" si="184"/>
        <v>5.0121447387200105E-2</v>
      </c>
      <c r="Q148" s="125">
        <f t="shared" si="185"/>
        <v>1.3060278329514452E-5</v>
      </c>
      <c r="R148" s="125"/>
      <c r="T148" s="4">
        <f t="shared" si="186"/>
        <v>4.1044776119403048E-2</v>
      </c>
    </row>
    <row r="149" spans="1:20" x14ac:dyDescent="0.25">
      <c r="A149" s="31">
        <f t="shared" si="176"/>
        <v>141</v>
      </c>
      <c r="B149" s="148" t="s">
        <v>143</v>
      </c>
      <c r="C149" s="104" t="s">
        <v>102</v>
      </c>
      <c r="D149" s="97" t="s">
        <v>102</v>
      </c>
      <c r="E149" s="122"/>
      <c r="F149" s="110"/>
      <c r="G149" s="123"/>
      <c r="H149" s="110"/>
      <c r="I149" s="123"/>
      <c r="J149" s="124"/>
      <c r="K149" s="124"/>
      <c r="L149" s="110"/>
      <c r="M149" s="123"/>
      <c r="N149" s="123"/>
      <c r="O149" s="124"/>
      <c r="P149" s="124"/>
      <c r="Q149" s="125"/>
      <c r="R149" s="125"/>
      <c r="T149" s="4" t="e">
        <f t="shared" si="186"/>
        <v>#DIV/0!</v>
      </c>
    </row>
    <row r="150" spans="1:20" x14ac:dyDescent="0.25">
      <c r="A150" s="31">
        <f t="shared" si="176"/>
        <v>142</v>
      </c>
      <c r="B150" s="28"/>
      <c r="C150" s="104"/>
      <c r="D150" s="2" t="s">
        <v>103</v>
      </c>
      <c r="E150" s="122">
        <v>52</v>
      </c>
      <c r="F150" s="110">
        <v>7.81</v>
      </c>
      <c r="G150" s="123">
        <f t="shared" si="177"/>
        <v>406.12</v>
      </c>
      <c r="H150" s="110">
        <v>7.81</v>
      </c>
      <c r="I150" s="123">
        <f t="shared" si="178"/>
        <v>406.12</v>
      </c>
      <c r="J150" s="124">
        <f t="shared" ref="J150:J172" si="187">I150/I$214</f>
        <v>1.0946703518915311E-4</v>
      </c>
      <c r="K150" s="124"/>
      <c r="L150" s="110">
        <f t="shared" ref="L150:L183" si="188">ROUND(H150*S$214,2)</f>
        <v>8.1300000000000008</v>
      </c>
      <c r="M150" s="123">
        <f t="shared" si="181"/>
        <v>422.76000000000005</v>
      </c>
      <c r="N150" s="123">
        <f t="shared" si="182"/>
        <v>16.640000000000043</v>
      </c>
      <c r="O150" s="124">
        <f t="shared" si="183"/>
        <v>4.0973111395646709E-2</v>
      </c>
      <c r="P150" s="124">
        <f t="shared" ref="P150:P172" si="189">M150/M$214</f>
        <v>1.0948802914824312E-4</v>
      </c>
      <c r="Q150" s="125">
        <f t="shared" si="185"/>
        <v>2.0993959090018525E-8</v>
      </c>
      <c r="R150" s="125"/>
      <c r="T150" s="4">
        <f t="shared" si="186"/>
        <v>4.0973111395646855E-2</v>
      </c>
    </row>
    <row r="151" spans="1:20" x14ac:dyDescent="0.25">
      <c r="A151" s="31">
        <f t="shared" si="176"/>
        <v>143</v>
      </c>
      <c r="B151" s="28"/>
      <c r="C151" s="104"/>
      <c r="D151" s="2" t="s">
        <v>104</v>
      </c>
      <c r="E151" s="122">
        <v>371</v>
      </c>
      <c r="F151" s="110">
        <v>15.64</v>
      </c>
      <c r="G151" s="123">
        <f t="shared" si="177"/>
        <v>5802.4400000000005</v>
      </c>
      <c r="H151" s="110">
        <v>15.48</v>
      </c>
      <c r="I151" s="123">
        <f t="shared" si="178"/>
        <v>5743.08</v>
      </c>
      <c r="J151" s="124">
        <f t="shared" si="187"/>
        <v>1.5480102936425721E-3</v>
      </c>
      <c r="K151" s="124"/>
      <c r="L151" s="110">
        <f t="shared" si="188"/>
        <v>16.11</v>
      </c>
      <c r="M151" s="123">
        <f t="shared" si="181"/>
        <v>5976.8099999999995</v>
      </c>
      <c r="N151" s="123">
        <f t="shared" si="182"/>
        <v>233.72999999999956</v>
      </c>
      <c r="O151" s="124">
        <f t="shared" si="183"/>
        <v>4.0697674418604578E-2</v>
      </c>
      <c r="P151" s="124">
        <f t="shared" si="189"/>
        <v>1.5478975009308139E-3</v>
      </c>
      <c r="Q151" s="125">
        <f t="shared" si="185"/>
        <v>-1.1279271175824307E-7</v>
      </c>
      <c r="R151" s="125"/>
      <c r="T151" s="4">
        <f t="shared" si="186"/>
        <v>4.0697674418604501E-2</v>
      </c>
    </row>
    <row r="152" spans="1:20" x14ac:dyDescent="0.25">
      <c r="A152" s="31">
        <f>A151+1</f>
        <v>144</v>
      </c>
      <c r="B152" s="28"/>
      <c r="C152" s="104"/>
      <c r="D152" s="2" t="s">
        <v>105</v>
      </c>
      <c r="E152" s="122">
        <v>699</v>
      </c>
      <c r="F152" s="110">
        <v>16.14</v>
      </c>
      <c r="G152" s="123">
        <f t="shared" si="177"/>
        <v>11281.86</v>
      </c>
      <c r="H152" s="110">
        <v>16.079999999999998</v>
      </c>
      <c r="I152" s="123">
        <f t="shared" si="178"/>
        <v>11239.919999999998</v>
      </c>
      <c r="J152" s="124">
        <f t="shared" si="187"/>
        <v>3.0296481782804727E-3</v>
      </c>
      <c r="K152" s="124"/>
      <c r="L152" s="110">
        <f t="shared" si="188"/>
        <v>16.739999999999998</v>
      </c>
      <c r="M152" s="123">
        <f t="shared" si="181"/>
        <v>11701.259999999998</v>
      </c>
      <c r="N152" s="123">
        <f t="shared" si="182"/>
        <v>461.34000000000015</v>
      </c>
      <c r="O152" s="124">
        <f t="shared" si="183"/>
        <v>4.1044776119403006E-2</v>
      </c>
      <c r="P152" s="124">
        <f t="shared" si="189"/>
        <v>3.030437827493545E-3</v>
      </c>
      <c r="Q152" s="125">
        <f t="shared" si="185"/>
        <v>7.8964921307236174E-7</v>
      </c>
      <c r="R152" s="125"/>
      <c r="T152" s="4">
        <f t="shared" si="186"/>
        <v>4.1044776119403048E-2</v>
      </c>
    </row>
    <row r="153" spans="1:20" x14ac:dyDescent="0.25">
      <c r="A153" s="31">
        <f t="shared" si="176"/>
        <v>145</v>
      </c>
      <c r="B153" s="28"/>
      <c r="C153" s="104"/>
      <c r="D153" s="2" t="s">
        <v>106</v>
      </c>
      <c r="E153" s="122">
        <v>91</v>
      </c>
      <c r="F153" s="110">
        <v>13.22</v>
      </c>
      <c r="G153" s="123">
        <f t="shared" si="177"/>
        <v>1203.02</v>
      </c>
      <c r="H153" s="110">
        <v>13.22</v>
      </c>
      <c r="I153" s="123">
        <f t="shared" si="178"/>
        <v>1203.02</v>
      </c>
      <c r="J153" s="124">
        <f t="shared" si="187"/>
        <v>3.242663071832339E-4</v>
      </c>
      <c r="K153" s="124"/>
      <c r="L153" s="110">
        <f t="shared" si="188"/>
        <v>13.76</v>
      </c>
      <c r="M153" s="123">
        <f t="shared" si="181"/>
        <v>1252.1600000000001</v>
      </c>
      <c r="N153" s="123">
        <f t="shared" si="182"/>
        <v>49.1400000000001</v>
      </c>
      <c r="O153" s="124">
        <f t="shared" si="183"/>
        <v>4.084720121028753E-2</v>
      </c>
      <c r="P153" s="124">
        <f t="shared" si="189"/>
        <v>3.2428926714510385E-4</v>
      </c>
      <c r="Q153" s="125">
        <f t="shared" si="185"/>
        <v>2.2959961869944718E-8</v>
      </c>
      <c r="R153" s="125"/>
      <c r="T153" s="4">
        <f t="shared" si="186"/>
        <v>4.0847201210287398E-2</v>
      </c>
    </row>
    <row r="154" spans="1:20" x14ac:dyDescent="0.25">
      <c r="A154" s="31">
        <f t="shared" si="176"/>
        <v>146</v>
      </c>
      <c r="B154" s="28"/>
      <c r="C154" s="104"/>
      <c r="D154" s="2" t="s">
        <v>103</v>
      </c>
      <c r="E154" s="122"/>
      <c r="F154" s="110">
        <v>0</v>
      </c>
      <c r="G154" s="123">
        <f t="shared" si="177"/>
        <v>0</v>
      </c>
      <c r="H154" s="110">
        <v>0</v>
      </c>
      <c r="I154" s="123">
        <f t="shared" si="178"/>
        <v>0</v>
      </c>
      <c r="J154" s="124">
        <f t="shared" si="187"/>
        <v>0</v>
      </c>
      <c r="K154" s="124"/>
      <c r="L154" s="110">
        <f t="shared" si="188"/>
        <v>0</v>
      </c>
      <c r="M154" s="123">
        <f t="shared" si="181"/>
        <v>0</v>
      </c>
      <c r="N154" s="123">
        <f t="shared" si="182"/>
        <v>0</v>
      </c>
      <c r="O154" s="124">
        <f t="shared" si="183"/>
        <v>0</v>
      </c>
      <c r="P154" s="124">
        <f t="shared" si="189"/>
        <v>0</v>
      </c>
      <c r="Q154" s="125">
        <f t="shared" si="185"/>
        <v>0</v>
      </c>
      <c r="R154" s="125"/>
      <c r="T154" s="4" t="e">
        <f t="shared" si="186"/>
        <v>#DIV/0!</v>
      </c>
    </row>
    <row r="155" spans="1:20" x14ac:dyDescent="0.25">
      <c r="A155" s="31">
        <f t="shared" si="176"/>
        <v>147</v>
      </c>
      <c r="B155" s="28"/>
      <c r="C155" s="104"/>
      <c r="D155" s="2" t="s">
        <v>107</v>
      </c>
      <c r="E155" s="122">
        <v>294</v>
      </c>
      <c r="F155" s="110">
        <v>21.96</v>
      </c>
      <c r="G155" s="123">
        <f t="shared" si="177"/>
        <v>6456.2400000000007</v>
      </c>
      <c r="H155" s="110">
        <v>21.8</v>
      </c>
      <c r="I155" s="123">
        <f t="shared" si="178"/>
        <v>6409.2</v>
      </c>
      <c r="J155" s="124">
        <f t="shared" si="187"/>
        <v>1.7275586573779179E-3</v>
      </c>
      <c r="K155" s="124"/>
      <c r="L155" s="110">
        <f t="shared" si="188"/>
        <v>22.69</v>
      </c>
      <c r="M155" s="123">
        <f t="shared" si="181"/>
        <v>6670.8600000000006</v>
      </c>
      <c r="N155" s="123">
        <f t="shared" si="182"/>
        <v>261.66000000000076</v>
      </c>
      <c r="O155" s="124">
        <f t="shared" si="183"/>
        <v>4.0825688073394616E-2</v>
      </c>
      <c r="P155" s="124">
        <f t="shared" si="189"/>
        <v>1.7276452694764148E-3</v>
      </c>
      <c r="Q155" s="125">
        <f t="shared" si="185"/>
        <v>8.6612098496941306E-8</v>
      </c>
      <c r="R155" s="125"/>
      <c r="T155" s="4">
        <f t="shared" si="186"/>
        <v>4.0825688073394595E-2</v>
      </c>
    </row>
    <row r="156" spans="1:20" x14ac:dyDescent="0.25">
      <c r="A156" s="31">
        <f t="shared" si="176"/>
        <v>148</v>
      </c>
      <c r="B156" s="28"/>
      <c r="C156" s="104"/>
      <c r="D156" s="2" t="s">
        <v>107</v>
      </c>
      <c r="E156" s="122">
        <v>72</v>
      </c>
      <c r="F156" s="110">
        <v>24.24</v>
      </c>
      <c r="G156" s="123">
        <f t="shared" si="177"/>
        <v>1745.28</v>
      </c>
      <c r="H156" s="110">
        <v>24.07</v>
      </c>
      <c r="I156" s="123">
        <f t="shared" si="178"/>
        <v>1733.04</v>
      </c>
      <c r="J156" s="124">
        <f t="shared" si="187"/>
        <v>4.6712979086036119E-4</v>
      </c>
      <c r="K156" s="124"/>
      <c r="L156" s="110">
        <f t="shared" si="188"/>
        <v>25.06</v>
      </c>
      <c r="M156" s="123">
        <f t="shared" si="181"/>
        <v>1804.32</v>
      </c>
      <c r="N156" s="123">
        <f t="shared" si="182"/>
        <v>71.279999999999973</v>
      </c>
      <c r="O156" s="124">
        <f t="shared" si="183"/>
        <v>4.1130037390943071E-2</v>
      </c>
      <c r="P156" s="124">
        <f t="shared" si="189"/>
        <v>4.6728981160175517E-4</v>
      </c>
      <c r="Q156" s="125">
        <f t="shared" si="185"/>
        <v>1.600207413939795E-7</v>
      </c>
      <c r="R156" s="125"/>
      <c r="T156" s="4">
        <f t="shared" si="186"/>
        <v>4.1130037390943119E-2</v>
      </c>
    </row>
    <row r="157" spans="1:20" x14ac:dyDescent="0.25">
      <c r="A157" s="31">
        <f t="shared" si="176"/>
        <v>149</v>
      </c>
      <c r="B157" s="28"/>
      <c r="C157" s="104"/>
      <c r="D157" s="2" t="s">
        <v>108</v>
      </c>
      <c r="E157" s="122">
        <v>576</v>
      </c>
      <c r="F157" s="110">
        <v>11.62</v>
      </c>
      <c r="G157" s="123">
        <f t="shared" si="177"/>
        <v>6693.12</v>
      </c>
      <c r="H157" s="110">
        <v>11.62</v>
      </c>
      <c r="I157" s="123">
        <f t="shared" si="178"/>
        <v>6693.12</v>
      </c>
      <c r="J157" s="124">
        <f t="shared" si="187"/>
        <v>1.8040874681503605E-3</v>
      </c>
      <c r="K157" s="124"/>
      <c r="L157" s="110">
        <f t="shared" si="188"/>
        <v>12.1</v>
      </c>
      <c r="M157" s="123">
        <f t="shared" si="181"/>
        <v>6969.5999999999995</v>
      </c>
      <c r="N157" s="123">
        <f t="shared" si="182"/>
        <v>276.47999999999956</v>
      </c>
      <c r="O157" s="124">
        <f t="shared" si="183"/>
        <v>4.1308089500860519E-2</v>
      </c>
      <c r="P157" s="124">
        <f t="shared" si="189"/>
        <v>1.8050141166420549E-3</v>
      </c>
      <c r="Q157" s="125">
        <f t="shared" si="185"/>
        <v>9.2664849169442343E-7</v>
      </c>
      <c r="R157" s="125"/>
      <c r="T157" s="4">
        <f t="shared" si="186"/>
        <v>4.1308089500860623E-2</v>
      </c>
    </row>
    <row r="158" spans="1:20" x14ac:dyDescent="0.25">
      <c r="A158" s="31">
        <f t="shared" si="176"/>
        <v>150</v>
      </c>
      <c r="B158" s="28"/>
      <c r="C158" s="104"/>
      <c r="D158" s="2" t="s">
        <v>109</v>
      </c>
      <c r="E158" s="122">
        <v>694</v>
      </c>
      <c r="F158" s="110">
        <v>15.04</v>
      </c>
      <c r="G158" s="123">
        <f t="shared" si="177"/>
        <v>10437.76</v>
      </c>
      <c r="H158" s="110">
        <v>15.04</v>
      </c>
      <c r="I158" s="123">
        <f t="shared" si="178"/>
        <v>10437.76</v>
      </c>
      <c r="J158" s="124">
        <f t="shared" si="187"/>
        <v>2.8134311071011885E-3</v>
      </c>
      <c r="K158" s="124"/>
      <c r="L158" s="110">
        <f t="shared" si="188"/>
        <v>15.66</v>
      </c>
      <c r="M158" s="123">
        <f t="shared" si="181"/>
        <v>10868.04</v>
      </c>
      <c r="N158" s="123">
        <f t="shared" si="182"/>
        <v>430.28000000000065</v>
      </c>
      <c r="O158" s="124">
        <f t="shared" si="183"/>
        <v>4.1223404255319208E-2</v>
      </c>
      <c r="P158" s="124">
        <f t="shared" si="189"/>
        <v>2.8146472710385848E-3</v>
      </c>
      <c r="Q158" s="125">
        <f t="shared" si="185"/>
        <v>1.2161639373962745E-6</v>
      </c>
      <c r="R158" s="125"/>
      <c r="T158" s="4">
        <f t="shared" si="186"/>
        <v>4.1223404255319229E-2</v>
      </c>
    </row>
    <row r="159" spans="1:20" x14ac:dyDescent="0.25">
      <c r="A159" s="31">
        <f t="shared" si="176"/>
        <v>151</v>
      </c>
      <c r="B159" s="28"/>
      <c r="C159" s="104"/>
      <c r="D159" s="2" t="s">
        <v>110</v>
      </c>
      <c r="E159" s="122">
        <v>9</v>
      </c>
      <c r="F159" s="110">
        <v>24.89</v>
      </c>
      <c r="G159" s="123">
        <f t="shared" si="177"/>
        <v>224.01</v>
      </c>
      <c r="H159" s="110">
        <v>24.79</v>
      </c>
      <c r="I159" s="123">
        <f t="shared" si="178"/>
        <v>223.10999999999999</v>
      </c>
      <c r="J159" s="124">
        <f t="shared" si="187"/>
        <v>6.0137866199773337E-5</v>
      </c>
      <c r="K159" s="124"/>
      <c r="L159" s="110">
        <f t="shared" si="188"/>
        <v>25.8</v>
      </c>
      <c r="M159" s="123">
        <f t="shared" si="181"/>
        <v>232.20000000000002</v>
      </c>
      <c r="N159" s="123">
        <f t="shared" si="182"/>
        <v>9.0900000000000318</v>
      </c>
      <c r="O159" s="124">
        <f t="shared" si="183"/>
        <v>4.0742234772085661E-2</v>
      </c>
      <c r="P159" s="124">
        <f t="shared" si="189"/>
        <v>6.0136059154655249E-5</v>
      </c>
      <c r="Q159" s="125">
        <f t="shared" si="185"/>
        <v>-1.8070451180871548E-9</v>
      </c>
      <c r="R159" s="125"/>
      <c r="T159" s="4">
        <f t="shared" si="186"/>
        <v>4.0742234772085606E-2</v>
      </c>
    </row>
    <row r="160" spans="1:20" x14ac:dyDescent="0.25">
      <c r="A160" s="31">
        <f t="shared" si="176"/>
        <v>152</v>
      </c>
      <c r="B160" s="28"/>
      <c r="C160" s="104"/>
      <c r="D160" s="2" t="s">
        <v>111</v>
      </c>
      <c r="E160" s="122"/>
      <c r="F160" s="110"/>
      <c r="G160" s="123"/>
      <c r="H160" s="110"/>
      <c r="I160" s="123">
        <f t="shared" si="178"/>
        <v>0</v>
      </c>
      <c r="J160" s="124">
        <f t="shared" si="187"/>
        <v>0</v>
      </c>
      <c r="K160" s="124"/>
      <c r="L160" s="110">
        <f t="shared" si="188"/>
        <v>0</v>
      </c>
      <c r="M160" s="123">
        <f t="shared" si="181"/>
        <v>0</v>
      </c>
      <c r="N160" s="123">
        <f t="shared" si="182"/>
        <v>0</v>
      </c>
      <c r="O160" s="124">
        <f t="shared" si="183"/>
        <v>0</v>
      </c>
      <c r="P160" s="124">
        <f t="shared" si="189"/>
        <v>0</v>
      </c>
      <c r="Q160" s="125">
        <f t="shared" si="185"/>
        <v>0</v>
      </c>
      <c r="R160" s="125"/>
      <c r="T160" s="4" t="e">
        <f t="shared" si="186"/>
        <v>#DIV/0!</v>
      </c>
    </row>
    <row r="161" spans="1:20" x14ac:dyDescent="0.25">
      <c r="A161" s="31">
        <f t="shared" si="176"/>
        <v>153</v>
      </c>
      <c r="B161" s="28"/>
      <c r="C161" s="104"/>
      <c r="D161" s="2" t="s">
        <v>112</v>
      </c>
      <c r="E161" s="122">
        <v>512</v>
      </c>
      <c r="F161" s="110">
        <v>17.239999999999998</v>
      </c>
      <c r="G161" s="123">
        <f t="shared" si="177"/>
        <v>8826.8799999999992</v>
      </c>
      <c r="H161" s="110">
        <v>17.239999999999998</v>
      </c>
      <c r="I161" s="123">
        <f t="shared" si="178"/>
        <v>8826.8799999999992</v>
      </c>
      <c r="J161" s="124">
        <f t="shared" si="187"/>
        <v>2.3792287589146843E-3</v>
      </c>
      <c r="K161" s="124"/>
      <c r="L161" s="110">
        <f t="shared" si="188"/>
        <v>17.95</v>
      </c>
      <c r="M161" s="123">
        <f t="shared" si="181"/>
        <v>9190.4</v>
      </c>
      <c r="N161" s="123">
        <f t="shared" si="182"/>
        <v>363.52000000000044</v>
      </c>
      <c r="O161" s="124">
        <f t="shared" si="183"/>
        <v>4.1183294663573136E-2</v>
      </c>
      <c r="P161" s="124">
        <f t="shared" si="189"/>
        <v>2.3801655385656483E-3</v>
      </c>
      <c r="Q161" s="125">
        <f t="shared" si="185"/>
        <v>9.3677965096400709E-7</v>
      </c>
      <c r="R161" s="125"/>
      <c r="T161" s="4">
        <f t="shared" si="186"/>
        <v>4.1183294663573067E-2</v>
      </c>
    </row>
    <row r="162" spans="1:20" x14ac:dyDescent="0.25">
      <c r="A162" s="31">
        <f t="shared" si="176"/>
        <v>154</v>
      </c>
      <c r="B162" s="28"/>
      <c r="C162" s="104"/>
      <c r="D162" s="2" t="s">
        <v>113</v>
      </c>
      <c r="E162" s="122">
        <v>37</v>
      </c>
      <c r="F162" s="110">
        <v>36.25</v>
      </c>
      <c r="G162" s="123">
        <f t="shared" si="177"/>
        <v>1341.25</v>
      </c>
      <c r="H162" s="110">
        <v>35.619999999999997</v>
      </c>
      <c r="I162" s="123">
        <f t="shared" si="178"/>
        <v>1317.9399999999998</v>
      </c>
      <c r="J162" s="124">
        <f t="shared" si="187"/>
        <v>3.5524225440065107E-4</v>
      </c>
      <c r="K162" s="124"/>
      <c r="L162" s="110">
        <f t="shared" si="188"/>
        <v>37.08</v>
      </c>
      <c r="M162" s="123">
        <f t="shared" si="181"/>
        <v>1371.96</v>
      </c>
      <c r="N162" s="123">
        <f t="shared" si="182"/>
        <v>54.020000000000209</v>
      </c>
      <c r="O162" s="124">
        <f t="shared" si="183"/>
        <v>4.0988208871420712E-2</v>
      </c>
      <c r="P162" s="124">
        <f t="shared" si="189"/>
        <v>3.5531553711378469E-4</v>
      </c>
      <c r="Q162" s="125">
        <f t="shared" si="185"/>
        <v>7.3282713133622068E-8</v>
      </c>
      <c r="R162" s="125"/>
      <c r="T162" s="4">
        <f t="shared" si="186"/>
        <v>4.0988208871420628E-2</v>
      </c>
    </row>
    <row r="163" spans="1:20" x14ac:dyDescent="0.25">
      <c r="A163" s="31">
        <f t="shared" si="176"/>
        <v>155</v>
      </c>
      <c r="B163" s="28"/>
      <c r="C163" s="104"/>
      <c r="D163" s="2" t="s">
        <v>114</v>
      </c>
      <c r="E163" s="122">
        <v>142</v>
      </c>
      <c r="F163" s="110">
        <v>18.2</v>
      </c>
      <c r="G163" s="123">
        <f t="shared" ref="G163:G205" si="190">F163*E163</f>
        <v>2584.4</v>
      </c>
      <c r="H163" s="110">
        <v>17.93</v>
      </c>
      <c r="I163" s="123">
        <f t="shared" ref="I163:I205" si="191">H163*E163</f>
        <v>2546.06</v>
      </c>
      <c r="J163" s="124">
        <f t="shared" si="187"/>
        <v>6.86274105224306E-4</v>
      </c>
      <c r="K163" s="124"/>
      <c r="L163" s="110">
        <f t="shared" si="188"/>
        <v>18.66</v>
      </c>
      <c r="M163" s="123">
        <f t="shared" ref="M163:M205" si="192">L163*E163</f>
        <v>2649.72</v>
      </c>
      <c r="N163" s="123">
        <f t="shared" ref="N163:N205" si="193">M163-I163</f>
        <v>103.65999999999985</v>
      </c>
      <c r="O163" s="124">
        <f t="shared" ref="O163:O205" si="194">IF(I163=0,0,N163/I163)</f>
        <v>4.0713887339654156E-2</v>
      </c>
      <c r="P163" s="124">
        <f t="shared" si="189"/>
        <v>6.8623479183149477E-4</v>
      </c>
      <c r="Q163" s="125">
        <f t="shared" ref="Q163:Q205" si="195">P163-J163</f>
        <v>-3.931339281123148E-8</v>
      </c>
      <c r="R163" s="125"/>
      <c r="T163" s="4">
        <f>L163/H163-1</f>
        <v>4.0713887339654198E-2</v>
      </c>
    </row>
    <row r="164" spans="1:20" x14ac:dyDescent="0.25">
      <c r="A164" s="31">
        <f t="shared" si="176"/>
        <v>156</v>
      </c>
      <c r="B164" s="28"/>
      <c r="C164" s="104"/>
      <c r="D164" s="2" t="s">
        <v>115</v>
      </c>
      <c r="E164" s="122">
        <v>36</v>
      </c>
      <c r="F164" s="110">
        <v>21.32</v>
      </c>
      <c r="G164" s="123">
        <f t="shared" si="190"/>
        <v>767.52</v>
      </c>
      <c r="H164" s="110">
        <v>21.05</v>
      </c>
      <c r="I164" s="123">
        <f t="shared" si="191"/>
        <v>757.80000000000007</v>
      </c>
      <c r="J164" s="124">
        <f t="shared" si="187"/>
        <v>2.0426011835501879E-4</v>
      </c>
      <c r="K164" s="124"/>
      <c r="L164" s="110">
        <f t="shared" si="188"/>
        <v>21.91</v>
      </c>
      <c r="M164" s="123">
        <f t="shared" si="192"/>
        <v>788.76</v>
      </c>
      <c r="N164" s="123">
        <f t="shared" si="193"/>
        <v>30.959999999999923</v>
      </c>
      <c r="O164" s="124">
        <f t="shared" si="194"/>
        <v>4.0855106888360943E-2</v>
      </c>
      <c r="P164" s="124">
        <f t="shared" si="189"/>
        <v>2.0427613272534827E-4</v>
      </c>
      <c r="Q164" s="125">
        <f t="shared" si="195"/>
        <v>1.601437032947863E-8</v>
      </c>
      <c r="R164" s="125"/>
      <c r="T164" s="4">
        <f t="shared" ref="T164:T205" si="196">L164/H164-1</f>
        <v>4.0855106888360915E-2</v>
      </c>
    </row>
    <row r="165" spans="1:20" x14ac:dyDescent="0.25">
      <c r="A165" s="31">
        <f t="shared" si="176"/>
        <v>157</v>
      </c>
      <c r="B165" s="28"/>
      <c r="C165" s="104"/>
      <c r="D165" s="2" t="s">
        <v>116</v>
      </c>
      <c r="E165" s="122">
        <v>12</v>
      </c>
      <c r="F165" s="110">
        <v>22.3</v>
      </c>
      <c r="G165" s="123">
        <f t="shared" si="190"/>
        <v>267.60000000000002</v>
      </c>
      <c r="H165" s="110">
        <v>22.03</v>
      </c>
      <c r="I165" s="123">
        <f t="shared" si="191"/>
        <v>264.36</v>
      </c>
      <c r="J165" s="124">
        <f t="shared" si="187"/>
        <v>7.1256538517198157E-5</v>
      </c>
      <c r="K165" s="124"/>
      <c r="L165" s="110">
        <f t="shared" si="188"/>
        <v>22.93</v>
      </c>
      <c r="M165" s="123">
        <f t="shared" si="192"/>
        <v>275.15999999999997</v>
      </c>
      <c r="N165" s="123">
        <f t="shared" si="193"/>
        <v>10.799999999999955</v>
      </c>
      <c r="O165" s="124">
        <f t="shared" si="194"/>
        <v>4.0853381752155978E-2</v>
      </c>
      <c r="P165" s="124">
        <f t="shared" si="189"/>
        <v>7.1262007049935122E-5</v>
      </c>
      <c r="Q165" s="125">
        <f t="shared" si="195"/>
        <v>5.4685327369652283E-9</v>
      </c>
      <c r="R165" s="125"/>
      <c r="T165" s="4">
        <f t="shared" si="196"/>
        <v>4.0853381752156137E-2</v>
      </c>
    </row>
    <row r="166" spans="1:20" x14ac:dyDescent="0.25">
      <c r="A166" s="31">
        <f t="shared" si="176"/>
        <v>158</v>
      </c>
      <c r="B166" s="28"/>
      <c r="C166" s="104"/>
      <c r="D166" s="2" t="s">
        <v>117</v>
      </c>
      <c r="E166" s="122">
        <v>144</v>
      </c>
      <c r="F166" s="110">
        <v>21.67</v>
      </c>
      <c r="G166" s="123">
        <f t="shared" si="190"/>
        <v>3120.4800000000005</v>
      </c>
      <c r="H166" s="110">
        <v>21.4</v>
      </c>
      <c r="I166" s="123">
        <f t="shared" si="191"/>
        <v>3081.6</v>
      </c>
      <c r="J166" s="124">
        <f t="shared" si="187"/>
        <v>8.3062546941518314E-4</v>
      </c>
      <c r="K166" s="124"/>
      <c r="L166" s="110">
        <f t="shared" si="188"/>
        <v>22.28</v>
      </c>
      <c r="M166" s="123">
        <f t="shared" si="192"/>
        <v>3208.32</v>
      </c>
      <c r="N166" s="123">
        <f t="shared" si="193"/>
        <v>126.72000000000025</v>
      </c>
      <c r="O166" s="124">
        <f t="shared" si="194"/>
        <v>4.1121495327102887E-2</v>
      </c>
      <c r="P166" s="124">
        <f t="shared" si="189"/>
        <v>8.3090319253687991E-4</v>
      </c>
      <c r="Q166" s="125">
        <f t="shared" si="195"/>
        <v>2.7772312169676953E-7</v>
      </c>
      <c r="R166" s="125"/>
      <c r="T166" s="4">
        <f t="shared" si="196"/>
        <v>4.1121495327102853E-2</v>
      </c>
    </row>
    <row r="167" spans="1:20" x14ac:dyDescent="0.25">
      <c r="A167" s="31">
        <f t="shared" si="176"/>
        <v>159</v>
      </c>
      <c r="B167" s="28"/>
      <c r="C167" s="104"/>
      <c r="D167" s="25" t="s">
        <v>118</v>
      </c>
      <c r="E167" s="122">
        <v>12</v>
      </c>
      <c r="F167" s="110">
        <v>8.23</v>
      </c>
      <c r="G167" s="123">
        <f t="shared" si="190"/>
        <v>98.76</v>
      </c>
      <c r="H167" s="110">
        <v>8.16</v>
      </c>
      <c r="I167" s="123">
        <f t="shared" si="191"/>
        <v>97.92</v>
      </c>
      <c r="J167" s="124">
        <f t="shared" si="187"/>
        <v>2.6393706504781524E-5</v>
      </c>
      <c r="K167" s="124"/>
      <c r="L167" s="110">
        <f t="shared" si="188"/>
        <v>8.49</v>
      </c>
      <c r="M167" s="123">
        <f t="shared" si="192"/>
        <v>101.88</v>
      </c>
      <c r="N167" s="123">
        <f t="shared" si="193"/>
        <v>3.9599999999999937</v>
      </c>
      <c r="O167" s="124">
        <f t="shared" si="194"/>
        <v>4.0441176470588168E-2</v>
      </c>
      <c r="P167" s="124">
        <f t="shared" si="189"/>
        <v>2.6385278667856486E-5</v>
      </c>
      <c r="Q167" s="125">
        <f t="shared" si="195"/>
        <v>-8.427836925037444E-9</v>
      </c>
      <c r="R167" s="125"/>
      <c r="T167" s="4">
        <f t="shared" si="196"/>
        <v>4.0441176470588314E-2</v>
      </c>
    </row>
    <row r="168" spans="1:20" x14ac:dyDescent="0.25">
      <c r="A168" s="31">
        <f t="shared" si="176"/>
        <v>160</v>
      </c>
      <c r="B168" s="28"/>
      <c r="C168" s="104"/>
      <c r="D168" s="2" t="s">
        <v>119</v>
      </c>
      <c r="E168" s="122">
        <v>3</v>
      </c>
      <c r="F168" s="110">
        <v>5.7</v>
      </c>
      <c r="G168" s="123">
        <f t="shared" si="190"/>
        <v>17.100000000000001</v>
      </c>
      <c r="H168" s="110">
        <v>5.7</v>
      </c>
      <c r="I168" s="123">
        <f t="shared" si="191"/>
        <v>17.100000000000001</v>
      </c>
      <c r="J168" s="124">
        <f t="shared" si="187"/>
        <v>4.609195069768832E-6</v>
      </c>
      <c r="K168" s="124"/>
      <c r="L168" s="110">
        <f t="shared" si="188"/>
        <v>5.93</v>
      </c>
      <c r="M168" s="123">
        <f t="shared" si="192"/>
        <v>17.79</v>
      </c>
      <c r="N168" s="123">
        <f t="shared" si="193"/>
        <v>0.68999999999999773</v>
      </c>
      <c r="O168" s="124">
        <f t="shared" si="194"/>
        <v>4.0350877192982318E-2</v>
      </c>
      <c r="P168" s="124">
        <f t="shared" si="189"/>
        <v>4.6073233951822427E-6</v>
      </c>
      <c r="Q168" s="125">
        <f t="shared" si="195"/>
        <v>-1.8716745865892556E-9</v>
      </c>
      <c r="R168" s="125"/>
      <c r="T168" s="4">
        <f t="shared" si="196"/>
        <v>4.035087719298236E-2</v>
      </c>
    </row>
    <row r="169" spans="1:20" x14ac:dyDescent="0.25">
      <c r="A169" s="31">
        <f t="shared" si="176"/>
        <v>161</v>
      </c>
      <c r="B169" s="28"/>
      <c r="C169" s="104"/>
      <c r="D169" s="2" t="s">
        <v>120</v>
      </c>
      <c r="E169" s="122">
        <v>987</v>
      </c>
      <c r="F169" s="110">
        <v>10.4</v>
      </c>
      <c r="G169" s="123">
        <f t="shared" si="190"/>
        <v>10264.800000000001</v>
      </c>
      <c r="H169" s="110">
        <v>10.33</v>
      </c>
      <c r="I169" s="123">
        <f t="shared" si="191"/>
        <v>10195.710000000001</v>
      </c>
      <c r="J169" s="124">
        <f t="shared" si="187"/>
        <v>2.7481880856603967E-3</v>
      </c>
      <c r="K169" s="124"/>
      <c r="L169" s="110">
        <f t="shared" si="188"/>
        <v>10.75</v>
      </c>
      <c r="M169" s="123">
        <f t="shared" si="192"/>
        <v>10610.25</v>
      </c>
      <c r="N169" s="123">
        <f t="shared" si="193"/>
        <v>414.53999999999905</v>
      </c>
      <c r="O169" s="124">
        <f t="shared" si="194"/>
        <v>4.0658276863504261E-2</v>
      </c>
      <c r="P169" s="124">
        <f t="shared" si="189"/>
        <v>2.7478838141502186E-3</v>
      </c>
      <c r="Q169" s="125">
        <f t="shared" si="195"/>
        <v>-3.0427151017807172E-7</v>
      </c>
      <c r="R169" s="125"/>
      <c r="T169" s="4">
        <f t="shared" si="196"/>
        <v>4.0658276863504428E-2</v>
      </c>
    </row>
    <row r="170" spans="1:20" x14ac:dyDescent="0.25">
      <c r="A170" s="31">
        <f t="shared" si="176"/>
        <v>162</v>
      </c>
      <c r="B170" s="28"/>
      <c r="C170" s="104"/>
      <c r="D170" s="2" t="s">
        <v>118</v>
      </c>
      <c r="E170" s="122">
        <v>168</v>
      </c>
      <c r="F170" s="110">
        <v>8.23</v>
      </c>
      <c r="G170" s="123">
        <f t="shared" si="190"/>
        <v>1382.64</v>
      </c>
      <c r="H170" s="110">
        <v>5.7</v>
      </c>
      <c r="I170" s="123">
        <f t="shared" si="191"/>
        <v>957.6</v>
      </c>
      <c r="J170" s="124">
        <f t="shared" si="187"/>
        <v>2.5811492390705458E-4</v>
      </c>
      <c r="K170" s="124"/>
      <c r="L170" s="110">
        <f t="shared" si="188"/>
        <v>5.93</v>
      </c>
      <c r="M170" s="123">
        <f t="shared" si="192"/>
        <v>996.24</v>
      </c>
      <c r="N170" s="123">
        <f t="shared" si="193"/>
        <v>38.639999999999986</v>
      </c>
      <c r="O170" s="124">
        <f t="shared" si="194"/>
        <v>4.0350877192982443E-2</v>
      </c>
      <c r="P170" s="124">
        <f t="shared" si="189"/>
        <v>2.5801011013020561E-4</v>
      </c>
      <c r="Q170" s="125">
        <f t="shared" si="195"/>
        <v>-1.0481377684897798E-7</v>
      </c>
      <c r="R170" s="125"/>
      <c r="T170" s="4">
        <f t="shared" si="196"/>
        <v>4.035087719298236E-2</v>
      </c>
    </row>
    <row r="171" spans="1:20" x14ac:dyDescent="0.25">
      <c r="A171" s="31">
        <f t="shared" si="176"/>
        <v>163</v>
      </c>
      <c r="B171" s="28"/>
      <c r="C171" s="104"/>
      <c r="D171" s="25" t="s">
        <v>117</v>
      </c>
      <c r="E171" s="122">
        <v>48</v>
      </c>
      <c r="F171" s="110">
        <v>21.67</v>
      </c>
      <c r="G171" s="123">
        <f t="shared" si="190"/>
        <v>1040.1600000000001</v>
      </c>
      <c r="H171" s="110">
        <v>21.4</v>
      </c>
      <c r="I171" s="123">
        <f t="shared" si="191"/>
        <v>1027.1999999999998</v>
      </c>
      <c r="J171" s="124">
        <f t="shared" si="187"/>
        <v>2.7687515647172766E-4</v>
      </c>
      <c r="K171" s="124"/>
      <c r="L171" s="110">
        <f t="shared" si="188"/>
        <v>22.28</v>
      </c>
      <c r="M171" s="123">
        <f t="shared" si="192"/>
        <v>1069.44</v>
      </c>
      <c r="N171" s="123">
        <f t="shared" si="193"/>
        <v>42.240000000000236</v>
      </c>
      <c r="O171" s="124">
        <f t="shared" si="194"/>
        <v>4.112149532710304E-2</v>
      </c>
      <c r="P171" s="124">
        <f t="shared" si="189"/>
        <v>2.7696773084562662E-4</v>
      </c>
      <c r="Q171" s="125">
        <f t="shared" si="195"/>
        <v>9.2574373898959318E-8</v>
      </c>
      <c r="R171" s="125"/>
      <c r="T171" s="4">
        <f t="shared" si="196"/>
        <v>4.1121495327102853E-2</v>
      </c>
    </row>
    <row r="172" spans="1:20" x14ac:dyDescent="0.25">
      <c r="A172" s="31">
        <f t="shared" si="176"/>
        <v>164</v>
      </c>
      <c r="B172" s="28"/>
      <c r="C172" s="104"/>
      <c r="D172" s="2" t="s">
        <v>121</v>
      </c>
      <c r="E172" s="122">
        <v>12</v>
      </c>
      <c r="F172" s="110">
        <v>12.29</v>
      </c>
      <c r="G172" s="123">
        <f t="shared" si="190"/>
        <v>147.47999999999999</v>
      </c>
      <c r="H172" s="110">
        <v>12.29</v>
      </c>
      <c r="I172" s="123">
        <f t="shared" si="191"/>
        <v>147.47999999999999</v>
      </c>
      <c r="J172" s="124">
        <f t="shared" si="187"/>
        <v>3.9752285899971186E-5</v>
      </c>
      <c r="K172" s="124"/>
      <c r="L172" s="110">
        <f t="shared" si="188"/>
        <v>12.79</v>
      </c>
      <c r="M172" s="123">
        <f t="shared" si="192"/>
        <v>153.47999999999999</v>
      </c>
      <c r="N172" s="123">
        <f t="shared" si="193"/>
        <v>6</v>
      </c>
      <c r="O172" s="124">
        <f t="shared" si="194"/>
        <v>4.0683482506102528E-2</v>
      </c>
      <c r="P172" s="124">
        <f t="shared" si="189"/>
        <v>3.9748847368890983E-5</v>
      </c>
      <c r="Q172" s="125">
        <f t="shared" si="195"/>
        <v>-3.438531080202957E-9</v>
      </c>
      <c r="R172" s="125"/>
      <c r="T172" s="4">
        <f t="shared" si="196"/>
        <v>4.0683482506102431E-2</v>
      </c>
    </row>
    <row r="173" spans="1:20" x14ac:dyDescent="0.25">
      <c r="A173" s="31">
        <f t="shared" si="176"/>
        <v>165</v>
      </c>
      <c r="B173" s="28"/>
      <c r="C173" s="104"/>
      <c r="D173" s="2" t="s">
        <v>149</v>
      </c>
      <c r="E173" s="122"/>
      <c r="F173" s="110"/>
      <c r="G173" s="123"/>
      <c r="H173" s="110">
        <v>10.16</v>
      </c>
      <c r="I173" s="123"/>
      <c r="J173" s="124"/>
      <c r="K173" s="124"/>
      <c r="L173" s="110">
        <f t="shared" si="188"/>
        <v>10.58</v>
      </c>
      <c r="M173" s="123"/>
      <c r="N173" s="123"/>
      <c r="O173" s="124"/>
      <c r="P173" s="124"/>
      <c r="Q173" s="125"/>
      <c r="R173" s="125"/>
      <c r="T173" s="4">
        <f t="shared" si="196"/>
        <v>4.1338582677165281E-2</v>
      </c>
    </row>
    <row r="174" spans="1:20" x14ac:dyDescent="0.25">
      <c r="A174" s="31">
        <f t="shared" si="176"/>
        <v>166</v>
      </c>
      <c r="B174" s="28"/>
      <c r="C174" s="104"/>
      <c r="D174" s="2" t="s">
        <v>150</v>
      </c>
      <c r="E174" s="122"/>
      <c r="F174" s="110"/>
      <c r="G174" s="123"/>
      <c r="H174" s="110">
        <v>18.73</v>
      </c>
      <c r="I174" s="123"/>
      <c r="J174" s="124"/>
      <c r="K174" s="124"/>
      <c r="L174" s="110">
        <f t="shared" si="188"/>
        <v>19.5</v>
      </c>
      <c r="M174" s="123"/>
      <c r="N174" s="123"/>
      <c r="O174" s="124"/>
      <c r="P174" s="124"/>
      <c r="Q174" s="125"/>
      <c r="R174" s="125"/>
      <c r="T174" s="4">
        <f t="shared" si="196"/>
        <v>4.1110517885744713E-2</v>
      </c>
    </row>
    <row r="175" spans="1:20" x14ac:dyDescent="0.25">
      <c r="A175" s="31">
        <f t="shared" si="176"/>
        <v>167</v>
      </c>
      <c r="B175" s="28"/>
      <c r="C175" s="104"/>
      <c r="D175" s="2" t="s">
        <v>152</v>
      </c>
      <c r="E175" s="122"/>
      <c r="F175" s="110"/>
      <c r="G175" s="123"/>
      <c r="H175" s="110">
        <v>16.32</v>
      </c>
      <c r="I175" s="123"/>
      <c r="J175" s="124"/>
      <c r="K175" s="124"/>
      <c r="L175" s="110">
        <f t="shared" si="188"/>
        <v>16.989999999999998</v>
      </c>
      <c r="M175" s="123"/>
      <c r="N175" s="123"/>
      <c r="O175" s="124"/>
      <c r="P175" s="124"/>
      <c r="Q175" s="125"/>
      <c r="R175" s="125"/>
      <c r="T175" s="4">
        <f t="shared" si="196"/>
        <v>4.1053921568627416E-2</v>
      </c>
    </row>
    <row r="176" spans="1:20" x14ac:dyDescent="0.25">
      <c r="A176" s="31">
        <f t="shared" si="176"/>
        <v>168</v>
      </c>
      <c r="B176" s="28"/>
      <c r="C176" s="104"/>
      <c r="D176" s="2" t="s">
        <v>151</v>
      </c>
      <c r="E176" s="122"/>
      <c r="F176" s="110"/>
      <c r="G176" s="123"/>
      <c r="H176" s="110">
        <v>16.32</v>
      </c>
      <c r="I176" s="123"/>
      <c r="J176" s="124"/>
      <c r="K176" s="124"/>
      <c r="L176" s="110">
        <f t="shared" si="188"/>
        <v>16.989999999999998</v>
      </c>
      <c r="M176" s="123"/>
      <c r="N176" s="123"/>
      <c r="O176" s="124"/>
      <c r="P176" s="124"/>
      <c r="Q176" s="125"/>
      <c r="R176" s="125"/>
      <c r="T176" s="4">
        <f t="shared" si="196"/>
        <v>4.1053921568627416E-2</v>
      </c>
    </row>
    <row r="177" spans="1:20" x14ac:dyDescent="0.25">
      <c r="A177" s="31">
        <f t="shared" si="176"/>
        <v>169</v>
      </c>
      <c r="B177" s="28"/>
      <c r="C177" s="104"/>
      <c r="D177" s="2" t="s">
        <v>153</v>
      </c>
      <c r="E177" s="122"/>
      <c r="F177" s="110"/>
      <c r="G177" s="123"/>
      <c r="H177" s="110">
        <v>20.440000000000001</v>
      </c>
      <c r="I177" s="123"/>
      <c r="J177" s="124"/>
      <c r="K177" s="124"/>
      <c r="L177" s="110">
        <f t="shared" si="188"/>
        <v>21.28</v>
      </c>
      <c r="M177" s="123"/>
      <c r="N177" s="123"/>
      <c r="O177" s="124"/>
      <c r="P177" s="124"/>
      <c r="Q177" s="125"/>
      <c r="R177" s="125"/>
      <c r="T177" s="4">
        <f t="shared" si="196"/>
        <v>4.1095890410958846E-2</v>
      </c>
    </row>
    <row r="178" spans="1:20" x14ac:dyDescent="0.25">
      <c r="A178" s="31"/>
      <c r="B178" s="28"/>
      <c r="C178" s="104"/>
      <c r="D178" s="2" t="s">
        <v>159</v>
      </c>
      <c r="E178" s="122"/>
      <c r="F178" s="110"/>
      <c r="G178" s="123"/>
      <c r="H178" s="110">
        <v>14.37</v>
      </c>
      <c r="I178" s="123"/>
      <c r="J178" s="124"/>
      <c r="K178" s="124"/>
      <c r="L178" s="110">
        <f t="shared" si="188"/>
        <v>14.96</v>
      </c>
      <c r="M178" s="123"/>
      <c r="N178" s="123"/>
      <c r="O178" s="124"/>
      <c r="P178" s="124"/>
      <c r="Q178" s="125"/>
      <c r="R178" s="125"/>
      <c r="T178" s="4">
        <f t="shared" si="196"/>
        <v>4.1057759220598511E-2</v>
      </c>
    </row>
    <row r="179" spans="1:20" x14ac:dyDescent="0.25">
      <c r="A179" s="31">
        <f>A177+1</f>
        <v>170</v>
      </c>
      <c r="B179" s="28"/>
      <c r="C179" s="104"/>
      <c r="D179" s="2" t="s">
        <v>154</v>
      </c>
      <c r="E179" s="122"/>
      <c r="F179" s="110"/>
      <c r="G179" s="123"/>
      <c r="H179" s="110">
        <v>24.07</v>
      </c>
      <c r="I179" s="123"/>
      <c r="J179" s="124"/>
      <c r="K179" s="124"/>
      <c r="L179" s="110">
        <f t="shared" si="188"/>
        <v>25.06</v>
      </c>
      <c r="M179" s="123"/>
      <c r="N179" s="123"/>
      <c r="O179" s="124"/>
      <c r="P179" s="124"/>
      <c r="Q179" s="125"/>
      <c r="R179" s="125"/>
      <c r="T179" s="4">
        <f t="shared" si="196"/>
        <v>4.1130037390943119E-2</v>
      </c>
    </row>
    <row r="180" spans="1:20" x14ac:dyDescent="0.25">
      <c r="A180" s="31">
        <f t="shared" si="176"/>
        <v>171</v>
      </c>
      <c r="B180" s="28"/>
      <c r="C180" s="104"/>
      <c r="D180" s="2" t="s">
        <v>155</v>
      </c>
      <c r="E180" s="122"/>
      <c r="F180" s="110"/>
      <c r="G180" s="123"/>
      <c r="H180" s="110">
        <v>8.91</v>
      </c>
      <c r="I180" s="123"/>
      <c r="J180" s="124"/>
      <c r="K180" s="124"/>
      <c r="L180" s="110">
        <f t="shared" si="188"/>
        <v>9.27</v>
      </c>
      <c r="M180" s="123"/>
      <c r="N180" s="123"/>
      <c r="O180" s="124"/>
      <c r="P180" s="124"/>
      <c r="Q180" s="125"/>
      <c r="R180" s="125"/>
      <c r="T180" s="4">
        <f t="shared" si="196"/>
        <v>4.0404040404040442E-2</v>
      </c>
    </row>
    <row r="181" spans="1:20" x14ac:dyDescent="0.25">
      <c r="A181" s="31">
        <f t="shared" si="176"/>
        <v>172</v>
      </c>
      <c r="B181" s="28"/>
      <c r="C181" s="104"/>
      <c r="D181" s="2" t="s">
        <v>156</v>
      </c>
      <c r="E181" s="122"/>
      <c r="F181" s="110"/>
      <c r="G181" s="123"/>
      <c r="H181" s="110">
        <v>11.96</v>
      </c>
      <c r="I181" s="123"/>
      <c r="J181" s="124"/>
      <c r="K181" s="124"/>
      <c r="L181" s="110">
        <f t="shared" si="188"/>
        <v>12.45</v>
      </c>
      <c r="M181" s="123"/>
      <c r="N181" s="123"/>
      <c r="O181" s="124"/>
      <c r="P181" s="124"/>
      <c r="Q181" s="125"/>
      <c r="R181" s="125"/>
      <c r="T181" s="4">
        <f t="shared" si="196"/>
        <v>4.0969899665551646E-2</v>
      </c>
    </row>
    <row r="182" spans="1:20" x14ac:dyDescent="0.25">
      <c r="A182" s="31">
        <f t="shared" si="176"/>
        <v>173</v>
      </c>
      <c r="B182" s="28"/>
      <c r="C182" s="104"/>
      <c r="D182" s="2" t="s">
        <v>157</v>
      </c>
      <c r="E182" s="122"/>
      <c r="F182" s="110"/>
      <c r="G182" s="123"/>
      <c r="H182" s="110">
        <v>12.9</v>
      </c>
      <c r="I182" s="123"/>
      <c r="J182" s="124"/>
      <c r="K182" s="124"/>
      <c r="L182" s="110">
        <f t="shared" si="188"/>
        <v>13.43</v>
      </c>
      <c r="M182" s="123"/>
      <c r="N182" s="123"/>
      <c r="O182" s="124"/>
      <c r="P182" s="124"/>
      <c r="Q182" s="125"/>
      <c r="R182" s="125"/>
      <c r="T182" s="4">
        <f t="shared" si="196"/>
        <v>4.1085271317829353E-2</v>
      </c>
    </row>
    <row r="183" spans="1:20" x14ac:dyDescent="0.25">
      <c r="A183" s="31">
        <f t="shared" si="176"/>
        <v>174</v>
      </c>
      <c r="B183" s="28"/>
      <c r="C183" s="104"/>
      <c r="D183" s="2" t="s">
        <v>158</v>
      </c>
      <c r="E183" s="122"/>
      <c r="F183" s="110"/>
      <c r="G183" s="123"/>
      <c r="H183" s="110">
        <v>26.27</v>
      </c>
      <c r="I183" s="123"/>
      <c r="J183" s="124"/>
      <c r="K183" s="124"/>
      <c r="L183" s="110">
        <f t="shared" si="188"/>
        <v>27.35</v>
      </c>
      <c r="M183" s="123"/>
      <c r="N183" s="123"/>
      <c r="O183" s="124"/>
      <c r="P183" s="124"/>
      <c r="Q183" s="125"/>
      <c r="R183" s="125"/>
      <c r="T183" s="4">
        <f t="shared" si="196"/>
        <v>4.1111534069280697E-2</v>
      </c>
    </row>
    <row r="184" spans="1:20" x14ac:dyDescent="0.25">
      <c r="A184" s="31">
        <f t="shared" si="176"/>
        <v>175</v>
      </c>
      <c r="B184" s="156" t="s">
        <v>144</v>
      </c>
      <c r="C184" s="104" t="s">
        <v>140</v>
      </c>
      <c r="D184" s="97" t="s">
        <v>140</v>
      </c>
      <c r="E184" s="122"/>
      <c r="F184" s="110"/>
      <c r="G184" s="123"/>
      <c r="H184" s="110"/>
      <c r="I184" s="123"/>
      <c r="J184" s="124"/>
      <c r="K184" s="124"/>
      <c r="L184" s="110"/>
      <c r="M184" s="123"/>
      <c r="N184" s="123"/>
      <c r="O184" s="124"/>
      <c r="P184" s="124"/>
      <c r="Q184" s="125"/>
      <c r="R184" s="125"/>
      <c r="T184" s="4" t="e">
        <f t="shared" si="196"/>
        <v>#DIV/0!</v>
      </c>
    </row>
    <row r="185" spans="1:20" x14ac:dyDescent="0.25">
      <c r="A185" s="31">
        <f t="shared" si="176"/>
        <v>176</v>
      </c>
      <c r="B185" s="156"/>
      <c r="C185" s="104"/>
      <c r="D185" s="2" t="s">
        <v>122</v>
      </c>
      <c r="E185" s="122">
        <v>8787</v>
      </c>
      <c r="F185" s="110">
        <v>10.41</v>
      </c>
      <c r="G185" s="123">
        <f t="shared" ref="G185:G201" si="197">F185*E185</f>
        <v>91472.67</v>
      </c>
      <c r="H185" s="110">
        <v>10.32</v>
      </c>
      <c r="I185" s="123">
        <f t="shared" ref="I185:I201" si="198">H185*E185</f>
        <v>90681.84</v>
      </c>
      <c r="J185" s="124">
        <f t="shared" ref="J185:J213" si="199">I185/I$214</f>
        <v>2.4442707008512633E-2</v>
      </c>
      <c r="K185" s="124"/>
      <c r="L185" s="110">
        <f t="shared" ref="L185:L213" si="200">ROUND(H185*S$214,2)</f>
        <v>10.74</v>
      </c>
      <c r="M185" s="123">
        <f t="shared" ref="M185:M201" si="201">L185*E185</f>
        <v>94372.38</v>
      </c>
      <c r="N185" s="123">
        <f t="shared" ref="N185:N201" si="202">M185-I185</f>
        <v>3690.5400000000081</v>
      </c>
      <c r="O185" s="124">
        <f t="shared" ref="O185:O201" si="203">IF(I185=0,0,N185/I185)</f>
        <v>4.0697674418604744E-2</v>
      </c>
      <c r="P185" s="124">
        <f t="shared" ref="P185:P213" si="204">M185/M$214</f>
        <v>2.4440926038956087E-2</v>
      </c>
      <c r="Q185" s="125">
        <f t="shared" ref="Q185:Q201" si="205">P185-J185</f>
        <v>-1.7809695565459971E-6</v>
      </c>
      <c r="R185" s="125"/>
      <c r="T185" s="4">
        <f t="shared" ref="T185:T201" si="206">L185/H185-1</f>
        <v>4.0697674418604723E-2</v>
      </c>
    </row>
    <row r="186" spans="1:20" x14ac:dyDescent="0.25">
      <c r="A186" s="31">
        <f t="shared" si="176"/>
        <v>177</v>
      </c>
      <c r="B186" s="28"/>
      <c r="C186" s="104"/>
      <c r="D186" s="2" t="s">
        <v>122</v>
      </c>
      <c r="E186" s="122">
        <v>102080</v>
      </c>
      <c r="F186" s="110">
        <v>10.41</v>
      </c>
      <c r="G186" s="123">
        <f t="shared" si="197"/>
        <v>1062652.8</v>
      </c>
      <c r="H186" s="110">
        <v>10.32</v>
      </c>
      <c r="I186" s="123">
        <f t="shared" si="198"/>
        <v>1053465.6000000001</v>
      </c>
      <c r="J186" s="124">
        <f t="shared" si="199"/>
        <v>0.28395488009889269</v>
      </c>
      <c r="K186" s="124"/>
      <c r="L186" s="110">
        <f t="shared" si="200"/>
        <v>10.74</v>
      </c>
      <c r="M186" s="123">
        <f t="shared" si="201"/>
        <v>1096339.2</v>
      </c>
      <c r="N186" s="123">
        <f t="shared" si="202"/>
        <v>42873.59999999986</v>
      </c>
      <c r="O186" s="124">
        <f t="shared" si="203"/>
        <v>4.0697674418604515E-2</v>
      </c>
      <c r="P186" s="124">
        <f t="shared" si="204"/>
        <v>0.28393419028754263</v>
      </c>
      <c r="Q186" s="125">
        <f t="shared" si="205"/>
        <v>-2.0689811350060872E-5</v>
      </c>
      <c r="R186" s="125"/>
      <c r="T186" s="4">
        <f t="shared" si="206"/>
        <v>4.0697674418604723E-2</v>
      </c>
    </row>
    <row r="187" spans="1:20" x14ac:dyDescent="0.25">
      <c r="A187" s="31">
        <f t="shared" si="176"/>
        <v>178</v>
      </c>
      <c r="B187" s="28"/>
      <c r="C187" s="104"/>
      <c r="D187" s="2" t="s">
        <v>123</v>
      </c>
      <c r="E187" s="122">
        <v>1081</v>
      </c>
      <c r="F187" s="110">
        <v>7.51</v>
      </c>
      <c r="G187" s="123">
        <f t="shared" si="197"/>
        <v>8118.3099999999995</v>
      </c>
      <c r="H187" s="110">
        <v>7.51</v>
      </c>
      <c r="I187" s="123">
        <f t="shared" si="198"/>
        <v>8118.3099999999995</v>
      </c>
      <c r="J187" s="124">
        <f t="shared" si="199"/>
        <v>2.188238270576316E-3</v>
      </c>
      <c r="K187" s="124"/>
      <c r="L187" s="110">
        <f t="shared" si="200"/>
        <v>7.82</v>
      </c>
      <c r="M187" s="123">
        <f t="shared" si="201"/>
        <v>8453.42</v>
      </c>
      <c r="N187" s="123">
        <f t="shared" si="202"/>
        <v>335.11000000000058</v>
      </c>
      <c r="O187" s="124">
        <f t="shared" si="203"/>
        <v>4.1278295605858932E-2</v>
      </c>
      <c r="P187" s="124">
        <f t="shared" si="204"/>
        <v>2.1892995916414546E-3</v>
      </c>
      <c r="Q187" s="125">
        <f t="shared" si="205"/>
        <v>1.0613210651385686E-6</v>
      </c>
      <c r="R187" s="125"/>
      <c r="T187" s="4">
        <f t="shared" si="206"/>
        <v>4.1278295605858828E-2</v>
      </c>
    </row>
    <row r="188" spans="1:20" x14ac:dyDescent="0.25">
      <c r="A188" s="31">
        <f t="shared" si="176"/>
        <v>179</v>
      </c>
      <c r="B188" s="28"/>
      <c r="C188" s="104"/>
      <c r="D188" s="2" t="s">
        <v>123</v>
      </c>
      <c r="E188" s="122">
        <v>116</v>
      </c>
      <c r="F188" s="110">
        <v>7.51</v>
      </c>
      <c r="G188" s="123">
        <f t="shared" si="197"/>
        <v>871.16</v>
      </c>
      <c r="H188" s="110">
        <v>7.51</v>
      </c>
      <c r="I188" s="123">
        <f t="shared" si="198"/>
        <v>871.16</v>
      </c>
      <c r="J188" s="124">
        <f t="shared" si="199"/>
        <v>2.348155776011588E-4</v>
      </c>
      <c r="K188" s="124"/>
      <c r="L188" s="110">
        <f t="shared" si="200"/>
        <v>7.82</v>
      </c>
      <c r="M188" s="123">
        <f t="shared" si="201"/>
        <v>907.12</v>
      </c>
      <c r="N188" s="123">
        <f t="shared" si="202"/>
        <v>35.960000000000036</v>
      </c>
      <c r="O188" s="124">
        <f t="shared" si="203"/>
        <v>4.1278295605858897E-2</v>
      </c>
      <c r="P188" s="124">
        <f t="shared" si="204"/>
        <v>2.3492946589307004E-4</v>
      </c>
      <c r="Q188" s="125">
        <f t="shared" si="205"/>
        <v>1.1388829191123621E-7</v>
      </c>
      <c r="R188" s="125"/>
      <c r="T188" s="4">
        <f t="shared" si="206"/>
        <v>4.1278295605858828E-2</v>
      </c>
    </row>
    <row r="189" spans="1:20" x14ac:dyDescent="0.25">
      <c r="A189" s="31">
        <f t="shared" si="176"/>
        <v>180</v>
      </c>
      <c r="B189" s="28"/>
      <c r="C189" s="104"/>
      <c r="D189" s="2" t="s">
        <v>124</v>
      </c>
      <c r="E189" s="122">
        <v>51769</v>
      </c>
      <c r="F189" s="110">
        <v>10.41</v>
      </c>
      <c r="G189" s="123">
        <f t="shared" si="197"/>
        <v>538915.29</v>
      </c>
      <c r="H189" s="110">
        <v>10.32</v>
      </c>
      <c r="I189" s="123">
        <f t="shared" si="198"/>
        <v>534256.07999999996</v>
      </c>
      <c r="J189" s="124">
        <f t="shared" si="199"/>
        <v>0.14400529180877325</v>
      </c>
      <c r="K189" s="124"/>
      <c r="L189" s="110">
        <f t="shared" si="200"/>
        <v>10.74</v>
      </c>
      <c r="M189" s="123">
        <f t="shared" si="201"/>
        <v>555999.06000000006</v>
      </c>
      <c r="N189" s="123">
        <f t="shared" si="202"/>
        <v>21742.980000000098</v>
      </c>
      <c r="O189" s="124">
        <f t="shared" si="203"/>
        <v>4.0697674418604834E-2</v>
      </c>
      <c r="P189" s="124">
        <f t="shared" si="204"/>
        <v>0.14399479914768609</v>
      </c>
      <c r="Q189" s="125">
        <f t="shared" si="205"/>
        <v>-1.0492661087158073E-5</v>
      </c>
      <c r="R189" s="125"/>
      <c r="T189" s="4">
        <f t="shared" si="206"/>
        <v>4.0697674418604723E-2</v>
      </c>
    </row>
    <row r="190" spans="1:20" x14ac:dyDescent="0.25">
      <c r="A190" s="31">
        <f t="shared" si="176"/>
        <v>181</v>
      </c>
      <c r="B190" s="28"/>
      <c r="C190" s="104"/>
      <c r="D190" s="2" t="s">
        <v>124</v>
      </c>
      <c r="E190" s="122">
        <v>3091</v>
      </c>
      <c r="F190" s="110">
        <v>10.41</v>
      </c>
      <c r="G190" s="123">
        <f t="shared" si="197"/>
        <v>32177.31</v>
      </c>
      <c r="H190" s="110">
        <v>10.32</v>
      </c>
      <c r="I190" s="123">
        <f t="shared" si="198"/>
        <v>31899.120000000003</v>
      </c>
      <c r="J190" s="124">
        <f t="shared" si="199"/>
        <v>8.5982027271324177E-3</v>
      </c>
      <c r="K190" s="124"/>
      <c r="L190" s="110">
        <f t="shared" si="200"/>
        <v>10.74</v>
      </c>
      <c r="M190" s="123">
        <f t="shared" si="201"/>
        <v>33197.340000000004</v>
      </c>
      <c r="N190" s="123">
        <f t="shared" si="202"/>
        <v>1298.2200000000012</v>
      </c>
      <c r="O190" s="124">
        <f t="shared" si="203"/>
        <v>4.0697674418604682E-2</v>
      </c>
      <c r="P190" s="124">
        <f t="shared" si="204"/>
        <v>8.5975762360775317E-3</v>
      </c>
      <c r="Q190" s="125">
        <f t="shared" si="205"/>
        <v>-6.2649105488608858E-7</v>
      </c>
      <c r="R190" s="125"/>
      <c r="T190" s="4">
        <f t="shared" si="206"/>
        <v>4.0697674418604723E-2</v>
      </c>
    </row>
    <row r="191" spans="1:20" x14ac:dyDescent="0.25">
      <c r="A191" s="31">
        <f t="shared" si="176"/>
        <v>182</v>
      </c>
      <c r="B191" s="28"/>
      <c r="C191" s="104"/>
      <c r="D191" s="2" t="s">
        <v>125</v>
      </c>
      <c r="E191" s="122">
        <v>228</v>
      </c>
      <c r="F191" s="110">
        <v>7.51</v>
      </c>
      <c r="G191" s="123">
        <f t="shared" si="197"/>
        <v>1712.28</v>
      </c>
      <c r="H191" s="110">
        <v>7.51</v>
      </c>
      <c r="I191" s="123">
        <f t="shared" si="198"/>
        <v>1712.28</v>
      </c>
      <c r="J191" s="124">
        <f t="shared" si="199"/>
        <v>4.6153406631951904E-4</v>
      </c>
      <c r="K191" s="124"/>
      <c r="L191" s="110">
        <f t="shared" si="200"/>
        <v>7.82</v>
      </c>
      <c r="M191" s="123">
        <f t="shared" si="201"/>
        <v>1782.96</v>
      </c>
      <c r="N191" s="123">
        <f t="shared" si="202"/>
        <v>70.680000000000064</v>
      </c>
      <c r="O191" s="124">
        <f t="shared" si="203"/>
        <v>4.127829560585889E-2</v>
      </c>
      <c r="P191" s="124">
        <f t="shared" si="204"/>
        <v>4.617579157208618E-4</v>
      </c>
      <c r="Q191" s="125">
        <f t="shared" si="205"/>
        <v>2.238494013427606E-7</v>
      </c>
      <c r="R191" s="125"/>
      <c r="T191" s="4">
        <f t="shared" si="206"/>
        <v>4.1278295605858828E-2</v>
      </c>
    </row>
    <row r="192" spans="1:20" x14ac:dyDescent="0.25">
      <c r="A192" s="31">
        <f t="shared" si="176"/>
        <v>183</v>
      </c>
      <c r="B192" s="28"/>
      <c r="C192" s="104"/>
      <c r="D192" s="2" t="s">
        <v>125</v>
      </c>
      <c r="E192" s="122"/>
      <c r="F192" s="110">
        <v>7.51</v>
      </c>
      <c r="G192" s="123">
        <f t="shared" si="197"/>
        <v>0</v>
      </c>
      <c r="H192" s="110">
        <v>7.51</v>
      </c>
      <c r="I192" s="123">
        <f t="shared" si="198"/>
        <v>0</v>
      </c>
      <c r="J192" s="124">
        <f t="shared" si="199"/>
        <v>0</v>
      </c>
      <c r="K192" s="124"/>
      <c r="L192" s="110">
        <f t="shared" si="200"/>
        <v>7.82</v>
      </c>
      <c r="M192" s="123">
        <f t="shared" si="201"/>
        <v>0</v>
      </c>
      <c r="N192" s="123">
        <f t="shared" si="202"/>
        <v>0</v>
      </c>
      <c r="O192" s="124">
        <f t="shared" si="203"/>
        <v>0</v>
      </c>
      <c r="P192" s="124">
        <f t="shared" si="204"/>
        <v>0</v>
      </c>
      <c r="Q192" s="125">
        <f t="shared" si="205"/>
        <v>0</v>
      </c>
      <c r="R192" s="125"/>
      <c r="T192" s="4">
        <f t="shared" si="206"/>
        <v>4.1278295605858828E-2</v>
      </c>
    </row>
    <row r="193" spans="1:20" x14ac:dyDescent="0.25">
      <c r="A193" s="31">
        <f t="shared" si="176"/>
        <v>184</v>
      </c>
      <c r="B193" s="28"/>
      <c r="C193" s="104"/>
      <c r="D193" s="2" t="s">
        <v>126</v>
      </c>
      <c r="E193" s="122">
        <v>88785</v>
      </c>
      <c r="F193" s="110">
        <v>13.28</v>
      </c>
      <c r="G193" s="123">
        <f t="shared" si="197"/>
        <v>1179064.8</v>
      </c>
      <c r="H193" s="110">
        <v>13.24</v>
      </c>
      <c r="I193" s="123">
        <f t="shared" si="198"/>
        <v>1175513.3999999999</v>
      </c>
      <c r="J193" s="124">
        <f t="shared" si="199"/>
        <v>0.31685207998404658</v>
      </c>
      <c r="K193" s="124"/>
      <c r="L193" s="110">
        <f t="shared" si="200"/>
        <v>13.78</v>
      </c>
      <c r="M193" s="123">
        <f t="shared" si="201"/>
        <v>1223457.3</v>
      </c>
      <c r="N193" s="123">
        <f t="shared" si="202"/>
        <v>47943.90000000014</v>
      </c>
      <c r="O193" s="124">
        <f t="shared" si="203"/>
        <v>4.0785498489426107E-2</v>
      </c>
      <c r="P193" s="124">
        <f t="shared" si="204"/>
        <v>0.31685573025837549</v>
      </c>
      <c r="Q193" s="125">
        <f t="shared" si="205"/>
        <v>3.6502743289146267E-6</v>
      </c>
      <c r="R193" s="125"/>
      <c r="T193" s="4">
        <f t="shared" si="206"/>
        <v>4.0785498489425809E-2</v>
      </c>
    </row>
    <row r="194" spans="1:20" x14ac:dyDescent="0.25">
      <c r="A194" s="31">
        <f t="shared" si="176"/>
        <v>185</v>
      </c>
      <c r="B194" s="28"/>
      <c r="C194" s="104"/>
      <c r="D194" s="2" t="s">
        <v>127</v>
      </c>
      <c r="E194" s="122">
        <v>507</v>
      </c>
      <c r="F194" s="110">
        <v>11.55</v>
      </c>
      <c r="G194" s="123">
        <f t="shared" si="197"/>
        <v>5855.85</v>
      </c>
      <c r="H194" s="110">
        <v>11.55</v>
      </c>
      <c r="I194" s="123">
        <f t="shared" si="198"/>
        <v>5855.85</v>
      </c>
      <c r="J194" s="124">
        <f t="shared" si="199"/>
        <v>1.5784067221816266E-3</v>
      </c>
      <c r="K194" s="124"/>
      <c r="L194" s="110">
        <f t="shared" si="200"/>
        <v>12.02</v>
      </c>
      <c r="M194" s="123">
        <f t="shared" si="201"/>
        <v>6094.1399999999994</v>
      </c>
      <c r="N194" s="123">
        <f t="shared" si="202"/>
        <v>238.28999999999905</v>
      </c>
      <c r="O194" s="124">
        <f t="shared" si="203"/>
        <v>4.069264069264053E-2</v>
      </c>
      <c r="P194" s="124">
        <f t="shared" si="204"/>
        <v>1.5782840806922941E-3</v>
      </c>
      <c r="Q194" s="125">
        <f t="shared" si="205"/>
        <v>-1.2264148933254296E-7</v>
      </c>
      <c r="R194" s="125"/>
      <c r="T194" s="4">
        <f t="shared" si="206"/>
        <v>4.0692640692640669E-2</v>
      </c>
    </row>
    <row r="195" spans="1:20" x14ac:dyDescent="0.25">
      <c r="A195" s="31">
        <f t="shared" si="176"/>
        <v>186</v>
      </c>
      <c r="B195" s="28"/>
      <c r="C195" s="104"/>
      <c r="D195" s="2" t="s">
        <v>128</v>
      </c>
      <c r="E195" s="122">
        <v>7254</v>
      </c>
      <c r="F195" s="110">
        <v>23.05</v>
      </c>
      <c r="G195" s="123">
        <f t="shared" si="197"/>
        <v>167204.70000000001</v>
      </c>
      <c r="H195" s="110">
        <v>22.93</v>
      </c>
      <c r="I195" s="123">
        <f t="shared" si="198"/>
        <v>166334.22</v>
      </c>
      <c r="J195" s="124">
        <f t="shared" si="199"/>
        <v>4.4834319693441184E-2</v>
      </c>
      <c r="K195" s="124"/>
      <c r="L195" s="110">
        <f t="shared" si="200"/>
        <v>23.87</v>
      </c>
      <c r="M195" s="123">
        <f t="shared" si="201"/>
        <v>173152.98</v>
      </c>
      <c r="N195" s="123">
        <f t="shared" si="202"/>
        <v>6818.7600000000093</v>
      </c>
      <c r="O195" s="124">
        <f t="shared" si="203"/>
        <v>4.0994330571304027E-2</v>
      </c>
      <c r="P195" s="124">
        <f t="shared" si="204"/>
        <v>4.4843832248427376E-2</v>
      </c>
      <c r="Q195" s="125">
        <f t="shared" si="205"/>
        <v>9.5125549861921344E-6</v>
      </c>
      <c r="R195" s="125"/>
      <c r="T195" s="4">
        <f t="shared" si="206"/>
        <v>4.0994330571304083E-2</v>
      </c>
    </row>
    <row r="196" spans="1:20" x14ac:dyDescent="0.25">
      <c r="A196" s="31">
        <f t="shared" si="176"/>
        <v>187</v>
      </c>
      <c r="B196" s="28"/>
      <c r="C196" s="104"/>
      <c r="D196" s="2" t="s">
        <v>129</v>
      </c>
      <c r="E196" s="122">
        <v>538</v>
      </c>
      <c r="F196" s="110">
        <v>17.63</v>
      </c>
      <c r="G196" s="123">
        <f t="shared" si="197"/>
        <v>9484.9399999999987</v>
      </c>
      <c r="H196" s="110">
        <v>17.63</v>
      </c>
      <c r="I196" s="123">
        <f t="shared" si="198"/>
        <v>9484.9399999999987</v>
      </c>
      <c r="J196" s="124">
        <f t="shared" si="199"/>
        <v>2.5566046014650983E-3</v>
      </c>
      <c r="K196" s="124"/>
      <c r="L196" s="110">
        <f t="shared" si="200"/>
        <v>18.350000000000001</v>
      </c>
      <c r="M196" s="123">
        <f t="shared" si="201"/>
        <v>9872.3000000000011</v>
      </c>
      <c r="N196" s="123">
        <f t="shared" si="202"/>
        <v>387.3600000000024</v>
      </c>
      <c r="O196" s="124">
        <f t="shared" si="203"/>
        <v>4.083947816222374E-2</v>
      </c>
      <c r="P196" s="124">
        <f t="shared" si="204"/>
        <v>2.5567666528531568E-3</v>
      </c>
      <c r="Q196" s="125">
        <f t="shared" si="205"/>
        <v>1.6205138805847064E-7</v>
      </c>
      <c r="R196" s="125"/>
      <c r="T196" s="4">
        <f t="shared" si="206"/>
        <v>4.0839478162223664E-2</v>
      </c>
    </row>
    <row r="197" spans="1:20" x14ac:dyDescent="0.25">
      <c r="A197" s="31">
        <f t="shared" si="176"/>
        <v>188</v>
      </c>
      <c r="B197" s="28"/>
      <c r="C197" s="104"/>
      <c r="D197" s="2" t="s">
        <v>130</v>
      </c>
      <c r="E197" s="122">
        <v>577</v>
      </c>
      <c r="F197" s="110">
        <v>35.32</v>
      </c>
      <c r="G197" s="123">
        <f t="shared" si="197"/>
        <v>20379.64</v>
      </c>
      <c r="H197" s="110">
        <v>35.090000000000003</v>
      </c>
      <c r="I197" s="123">
        <f t="shared" si="198"/>
        <v>20246.93</v>
      </c>
      <c r="J197" s="124">
        <f t="shared" si="199"/>
        <v>5.457429820699103E-3</v>
      </c>
      <c r="K197" s="124"/>
      <c r="L197" s="110">
        <f t="shared" si="200"/>
        <v>36.53</v>
      </c>
      <c r="M197" s="123">
        <f t="shared" si="201"/>
        <v>21077.81</v>
      </c>
      <c r="N197" s="123">
        <f t="shared" si="202"/>
        <v>830.88000000000102</v>
      </c>
      <c r="O197" s="124">
        <f t="shared" si="203"/>
        <v>4.1037332573382782E-2</v>
      </c>
      <c r="P197" s="124">
        <f t="shared" si="204"/>
        <v>5.4588132170998449E-3</v>
      </c>
      <c r="Q197" s="125">
        <f t="shared" si="205"/>
        <v>1.3833964007418584E-6</v>
      </c>
      <c r="R197" s="125"/>
      <c r="T197" s="4">
        <f t="shared" si="206"/>
        <v>4.1037332573382601E-2</v>
      </c>
    </row>
    <row r="198" spans="1:20" x14ac:dyDescent="0.25">
      <c r="A198" s="31">
        <f t="shared" si="176"/>
        <v>189</v>
      </c>
      <c r="B198" s="28"/>
      <c r="C198" s="104"/>
      <c r="D198" s="2" t="s">
        <v>131</v>
      </c>
      <c r="E198" s="122">
        <v>320</v>
      </c>
      <c r="F198" s="110">
        <v>25.28</v>
      </c>
      <c r="G198" s="123">
        <f t="shared" si="197"/>
        <v>8089.6</v>
      </c>
      <c r="H198" s="110">
        <v>25.28</v>
      </c>
      <c r="I198" s="123">
        <f t="shared" si="198"/>
        <v>8089.6</v>
      </c>
      <c r="J198" s="124">
        <f t="shared" si="199"/>
        <v>2.1804996746433887E-3</v>
      </c>
      <c r="K198" s="124"/>
      <c r="L198" s="110">
        <f t="shared" si="200"/>
        <v>26.31</v>
      </c>
      <c r="M198" s="123">
        <f t="shared" si="201"/>
        <v>8419.1999999999989</v>
      </c>
      <c r="N198" s="123">
        <f t="shared" si="202"/>
        <v>329.59999999999854</v>
      </c>
      <c r="O198" s="124">
        <f t="shared" si="203"/>
        <v>4.0743670886075771E-2</v>
      </c>
      <c r="P198" s="124">
        <f t="shared" si="204"/>
        <v>2.1804371629408842E-3</v>
      </c>
      <c r="Q198" s="125">
        <f t="shared" si="205"/>
        <v>-6.2511702504479405E-8</v>
      </c>
      <c r="R198" s="125"/>
      <c r="T198" s="4">
        <f t="shared" si="206"/>
        <v>4.0743670886075778E-2</v>
      </c>
    </row>
    <row r="199" spans="1:20" x14ac:dyDescent="0.25">
      <c r="A199" s="31">
        <f t="shared" si="176"/>
        <v>190</v>
      </c>
      <c r="B199" s="28"/>
      <c r="C199" s="104"/>
      <c r="D199" s="2" t="s">
        <v>132</v>
      </c>
      <c r="E199" s="122">
        <v>7092</v>
      </c>
      <c r="F199" s="110">
        <v>16.649999999999999</v>
      </c>
      <c r="G199" s="123">
        <f t="shared" si="197"/>
        <v>118081.79999999999</v>
      </c>
      <c r="H199" s="110">
        <v>16.48</v>
      </c>
      <c r="I199" s="123">
        <f t="shared" si="198"/>
        <v>116876.16</v>
      </c>
      <c r="J199" s="124">
        <f t="shared" si="199"/>
        <v>3.1503217569913054E-2</v>
      </c>
      <c r="K199" s="124"/>
      <c r="L199" s="110">
        <f t="shared" si="200"/>
        <v>17.149999999999999</v>
      </c>
      <c r="M199" s="123">
        <f t="shared" si="201"/>
        <v>121627.79999999999</v>
      </c>
      <c r="N199" s="123">
        <f t="shared" si="202"/>
        <v>4751.6399999999849</v>
      </c>
      <c r="O199" s="124">
        <f t="shared" si="203"/>
        <v>4.0655339805825114E-2</v>
      </c>
      <c r="P199" s="124">
        <f t="shared" si="204"/>
        <v>3.1499640722009371E-2</v>
      </c>
      <c r="Q199" s="125">
        <f t="shared" si="205"/>
        <v>-3.5768479036829559E-6</v>
      </c>
      <c r="R199" s="125"/>
      <c r="T199" s="4">
        <f t="shared" si="206"/>
        <v>4.0655339805825141E-2</v>
      </c>
    </row>
    <row r="200" spans="1:20" x14ac:dyDescent="0.25">
      <c r="A200" s="31">
        <f t="shared" si="176"/>
        <v>191</v>
      </c>
      <c r="B200" s="28"/>
      <c r="C200" s="104"/>
      <c r="D200" s="2" t="s">
        <v>132</v>
      </c>
      <c r="E200" s="122"/>
      <c r="F200" s="110">
        <v>16.649999999999999</v>
      </c>
      <c r="G200" s="123">
        <f t="shared" si="197"/>
        <v>0</v>
      </c>
      <c r="H200" s="110">
        <v>16.48</v>
      </c>
      <c r="I200" s="123">
        <f t="shared" si="198"/>
        <v>0</v>
      </c>
      <c r="J200" s="124">
        <f t="shared" si="199"/>
        <v>0</v>
      </c>
      <c r="K200" s="124"/>
      <c r="L200" s="110">
        <f t="shared" si="200"/>
        <v>17.149999999999999</v>
      </c>
      <c r="M200" s="123">
        <f t="shared" si="201"/>
        <v>0</v>
      </c>
      <c r="N200" s="123">
        <f t="shared" si="202"/>
        <v>0</v>
      </c>
      <c r="O200" s="124">
        <f t="shared" si="203"/>
        <v>0</v>
      </c>
      <c r="P200" s="124">
        <f t="shared" si="204"/>
        <v>0</v>
      </c>
      <c r="Q200" s="125">
        <f t="shared" si="205"/>
        <v>0</v>
      </c>
      <c r="R200" s="125"/>
      <c r="T200" s="4">
        <f t="shared" si="206"/>
        <v>4.0655339805825141E-2</v>
      </c>
    </row>
    <row r="201" spans="1:20" x14ac:dyDescent="0.25">
      <c r="A201" s="31">
        <f t="shared" si="176"/>
        <v>192</v>
      </c>
      <c r="B201" s="28"/>
      <c r="C201" s="104"/>
      <c r="D201" s="2" t="s">
        <v>133</v>
      </c>
      <c r="E201" s="122">
        <v>712</v>
      </c>
      <c r="F201" s="110">
        <v>9.5299999999999994</v>
      </c>
      <c r="G201" s="123">
        <f t="shared" si="197"/>
        <v>6785.36</v>
      </c>
      <c r="H201" s="110">
        <v>9.5299999999999994</v>
      </c>
      <c r="I201" s="123">
        <f t="shared" si="198"/>
        <v>6785.36</v>
      </c>
      <c r="J201" s="124">
        <f t="shared" si="199"/>
        <v>1.828950167169979E-3</v>
      </c>
      <c r="K201" s="124"/>
      <c r="L201" s="110">
        <f t="shared" si="200"/>
        <v>9.92</v>
      </c>
      <c r="M201" s="123">
        <f t="shared" si="201"/>
        <v>7063.04</v>
      </c>
      <c r="N201" s="123">
        <f t="shared" si="202"/>
        <v>277.68000000000029</v>
      </c>
      <c r="O201" s="124">
        <f t="shared" si="203"/>
        <v>4.0923399790136455E-2</v>
      </c>
      <c r="P201" s="124">
        <f t="shared" si="204"/>
        <v>1.829213571282068E-3</v>
      </c>
      <c r="Q201" s="125">
        <f t="shared" si="205"/>
        <v>2.6340411208897359E-7</v>
      </c>
      <c r="R201" s="125"/>
      <c r="T201" s="4">
        <f t="shared" si="206"/>
        <v>4.0923399790136372E-2</v>
      </c>
    </row>
    <row r="202" spans="1:20" x14ac:dyDescent="0.25">
      <c r="A202" s="31">
        <f t="shared" si="176"/>
        <v>193</v>
      </c>
      <c r="B202" s="28"/>
      <c r="C202" s="104"/>
      <c r="D202" s="2" t="s">
        <v>133</v>
      </c>
      <c r="E202" s="122"/>
      <c r="F202" s="110">
        <v>9.5299999999999994</v>
      </c>
      <c r="G202" s="123">
        <f t="shared" si="190"/>
        <v>0</v>
      </c>
      <c r="H202" s="110">
        <v>9.5299999999999994</v>
      </c>
      <c r="I202" s="123">
        <f t="shared" si="191"/>
        <v>0</v>
      </c>
      <c r="J202" s="124">
        <f t="shared" si="199"/>
        <v>0</v>
      </c>
      <c r="K202" s="124"/>
      <c r="L202" s="110">
        <f t="shared" si="200"/>
        <v>9.92</v>
      </c>
      <c r="M202" s="123">
        <f t="shared" si="192"/>
        <v>0</v>
      </c>
      <c r="N202" s="123">
        <f t="shared" si="193"/>
        <v>0</v>
      </c>
      <c r="O202" s="124">
        <f t="shared" si="194"/>
        <v>0</v>
      </c>
      <c r="P202" s="124">
        <f t="shared" si="204"/>
        <v>0</v>
      </c>
      <c r="Q202" s="125">
        <f t="shared" si="195"/>
        <v>0</v>
      </c>
      <c r="R202" s="125"/>
      <c r="T202" s="4">
        <f t="shared" si="196"/>
        <v>4.0923399790136372E-2</v>
      </c>
    </row>
    <row r="203" spans="1:20" x14ac:dyDescent="0.25">
      <c r="A203" s="31">
        <f t="shared" si="176"/>
        <v>194</v>
      </c>
      <c r="B203" s="28"/>
      <c r="C203" s="104"/>
      <c r="D203" s="2" t="s">
        <v>134</v>
      </c>
      <c r="E203" s="122">
        <v>1946</v>
      </c>
      <c r="F203" s="110">
        <v>18.05</v>
      </c>
      <c r="G203" s="123">
        <f t="shared" si="190"/>
        <v>35125.300000000003</v>
      </c>
      <c r="H203" s="110">
        <v>17.88</v>
      </c>
      <c r="I203" s="123">
        <f t="shared" si="191"/>
        <v>34794.479999999996</v>
      </c>
      <c r="J203" s="124">
        <f t="shared" si="199"/>
        <v>9.3786284018228198E-3</v>
      </c>
      <c r="K203" s="124"/>
      <c r="L203" s="110">
        <f t="shared" si="200"/>
        <v>18.61</v>
      </c>
      <c r="M203" s="123">
        <f t="shared" si="192"/>
        <v>36215.06</v>
      </c>
      <c r="N203" s="123">
        <f t="shared" si="193"/>
        <v>1420.5800000000017</v>
      </c>
      <c r="O203" s="124">
        <f t="shared" si="194"/>
        <v>4.0827740492170077E-2</v>
      </c>
      <c r="P203" s="124">
        <f t="shared" si="204"/>
        <v>9.3791170992652394E-3</v>
      </c>
      <c r="Q203" s="125">
        <f t="shared" si="195"/>
        <v>4.8869744241966662E-7</v>
      </c>
      <c r="R203" s="125"/>
      <c r="T203" s="4">
        <f t="shared" si="196"/>
        <v>4.0827740492169973E-2</v>
      </c>
    </row>
    <row r="204" spans="1:20" x14ac:dyDescent="0.25">
      <c r="A204" s="31">
        <f t="shared" si="176"/>
        <v>195</v>
      </c>
      <c r="B204" s="28"/>
      <c r="C204" s="104"/>
      <c r="D204" s="2" t="s">
        <v>135</v>
      </c>
      <c r="E204" s="122">
        <v>184</v>
      </c>
      <c r="F204" s="110">
        <v>10.61</v>
      </c>
      <c r="G204" s="123">
        <f t="shared" si="190"/>
        <v>1952.2399999999998</v>
      </c>
      <c r="H204" s="110">
        <v>10.61</v>
      </c>
      <c r="I204" s="123">
        <f t="shared" si="191"/>
        <v>1952.2399999999998</v>
      </c>
      <c r="J204" s="124">
        <f t="shared" si="199"/>
        <v>5.2621374169622829E-4</v>
      </c>
      <c r="K204" s="124"/>
      <c r="L204" s="110">
        <f t="shared" si="200"/>
        <v>11.04</v>
      </c>
      <c r="M204" s="123">
        <f t="shared" si="192"/>
        <v>2031.36</v>
      </c>
      <c r="N204" s="123">
        <f t="shared" si="193"/>
        <v>79.120000000000118</v>
      </c>
      <c r="O204" s="124">
        <f t="shared" si="194"/>
        <v>4.0527803958529757E-2</v>
      </c>
      <c r="P204" s="124">
        <f t="shared" si="204"/>
        <v>5.2608951388630697E-4</v>
      </c>
      <c r="Q204" s="125">
        <f t="shared" si="195"/>
        <v>-1.2422780992131857E-7</v>
      </c>
      <c r="R204" s="125"/>
      <c r="T204" s="4">
        <f t="shared" si="196"/>
        <v>4.0527803958529729E-2</v>
      </c>
    </row>
    <row r="205" spans="1:20" x14ac:dyDescent="0.25">
      <c r="A205" s="31">
        <f t="shared" si="176"/>
        <v>196</v>
      </c>
      <c r="B205" s="28"/>
      <c r="C205" s="104"/>
      <c r="D205" s="2" t="s">
        <v>136</v>
      </c>
      <c r="E205" s="122">
        <v>2575</v>
      </c>
      <c r="F205" s="110">
        <v>22.45</v>
      </c>
      <c r="G205" s="123">
        <f t="shared" si="190"/>
        <v>57808.75</v>
      </c>
      <c r="H205" s="110">
        <v>22.18</v>
      </c>
      <c r="I205" s="123">
        <f t="shared" si="191"/>
        <v>57113.5</v>
      </c>
      <c r="J205" s="124">
        <f t="shared" si="199"/>
        <v>1.5394576761242233E-2</v>
      </c>
      <c r="K205" s="124"/>
      <c r="L205" s="110">
        <f t="shared" si="200"/>
        <v>23.09</v>
      </c>
      <c r="M205" s="123">
        <f t="shared" si="192"/>
        <v>59456.75</v>
      </c>
      <c r="N205" s="123">
        <f t="shared" si="193"/>
        <v>2343.25</v>
      </c>
      <c r="O205" s="124">
        <f t="shared" si="194"/>
        <v>4.1027953110910731E-2</v>
      </c>
      <c r="P205" s="124">
        <f t="shared" si="204"/>
        <v>1.5398340375295212E-2</v>
      </c>
      <c r="Q205" s="125">
        <f t="shared" si="195"/>
        <v>3.7636140529789808E-6</v>
      </c>
      <c r="R205" s="125"/>
      <c r="T205" s="4">
        <f t="shared" si="196"/>
        <v>4.1027953110910786E-2</v>
      </c>
    </row>
    <row r="206" spans="1:20" x14ac:dyDescent="0.25">
      <c r="A206" s="31">
        <f t="shared" si="176"/>
        <v>197</v>
      </c>
      <c r="B206" s="28"/>
      <c r="C206" s="104"/>
      <c r="D206" s="2" t="s">
        <v>136</v>
      </c>
      <c r="E206" s="122">
        <v>359</v>
      </c>
      <c r="F206" s="110">
        <v>22.45</v>
      </c>
      <c r="G206" s="123">
        <f t="shared" ref="G206:G209" si="207">F206*E206</f>
        <v>8059.55</v>
      </c>
      <c r="H206" s="110">
        <v>22.18</v>
      </c>
      <c r="I206" s="123">
        <f t="shared" ref="I206:I209" si="208">H206*E206</f>
        <v>7962.62</v>
      </c>
      <c r="J206" s="124">
        <f t="shared" si="199"/>
        <v>2.1462730319557134E-3</v>
      </c>
      <c r="K206" s="124"/>
      <c r="L206" s="110">
        <f t="shared" si="200"/>
        <v>23.09</v>
      </c>
      <c r="M206" s="123">
        <f t="shared" ref="M206:M209" si="209">L206*E206</f>
        <v>8289.31</v>
      </c>
      <c r="N206" s="123">
        <f t="shared" ref="N206:N209" si="210">M206-I206</f>
        <v>326.6899999999996</v>
      </c>
      <c r="O206" s="124">
        <f t="shared" ref="O206:O209" si="211">IF(I206=0,0,N206/I206)</f>
        <v>4.1027953110910682E-2</v>
      </c>
      <c r="P206" s="124">
        <f t="shared" si="204"/>
        <v>2.1467977455265942E-3</v>
      </c>
      <c r="Q206" s="125">
        <f t="shared" ref="Q206:Q209" si="212">P206-J206</f>
        <v>5.2471357088077972E-7</v>
      </c>
      <c r="R206" s="125"/>
      <c r="T206" s="4">
        <f t="shared" ref="T206:T213" si="213">L206/H206-1</f>
        <v>4.1027953110910786E-2</v>
      </c>
    </row>
    <row r="207" spans="1:20" x14ac:dyDescent="0.25">
      <c r="A207" s="31">
        <f t="shared" si="176"/>
        <v>198</v>
      </c>
      <c r="B207" s="28"/>
      <c r="C207" s="104"/>
      <c r="D207" s="2" t="s">
        <v>137</v>
      </c>
      <c r="E207" s="122">
        <v>649</v>
      </c>
      <c r="F207" s="110">
        <v>10.61</v>
      </c>
      <c r="G207" s="123">
        <f t="shared" si="207"/>
        <v>6885.8899999999994</v>
      </c>
      <c r="H207" s="110">
        <v>10.61</v>
      </c>
      <c r="I207" s="123">
        <f t="shared" si="208"/>
        <v>6885.8899999999994</v>
      </c>
      <c r="J207" s="124">
        <f t="shared" si="199"/>
        <v>1.8560473823959357E-3</v>
      </c>
      <c r="K207" s="124"/>
      <c r="L207" s="110">
        <f t="shared" si="200"/>
        <v>11.04</v>
      </c>
      <c r="M207" s="123">
        <f t="shared" si="209"/>
        <v>7164.9599999999991</v>
      </c>
      <c r="N207" s="123">
        <f t="shared" si="210"/>
        <v>279.06999999999971</v>
      </c>
      <c r="O207" s="124">
        <f t="shared" si="211"/>
        <v>4.0527803958529653E-2</v>
      </c>
      <c r="P207" s="124">
        <f t="shared" si="204"/>
        <v>1.8556092093055063E-3</v>
      </c>
      <c r="Q207" s="125">
        <f t="shared" si="212"/>
        <v>-4.3817309042931685E-7</v>
      </c>
      <c r="R207" s="125"/>
      <c r="T207" s="4">
        <f t="shared" si="213"/>
        <v>4.0527803958529729E-2</v>
      </c>
    </row>
    <row r="208" spans="1:20" x14ac:dyDescent="0.25">
      <c r="A208" s="31">
        <f t="shared" si="176"/>
        <v>199</v>
      </c>
      <c r="B208" s="28"/>
      <c r="C208" s="104"/>
      <c r="D208" s="2" t="s">
        <v>137</v>
      </c>
      <c r="E208" s="122">
        <v>22</v>
      </c>
      <c r="F208" s="110">
        <v>10.61</v>
      </c>
      <c r="G208" s="123">
        <f t="shared" si="207"/>
        <v>233.42</v>
      </c>
      <c r="H208" s="110">
        <v>10.61</v>
      </c>
      <c r="I208" s="123">
        <f t="shared" si="208"/>
        <v>233.42</v>
      </c>
      <c r="J208" s="124">
        <f t="shared" si="199"/>
        <v>6.2916860420201212E-5</v>
      </c>
      <c r="K208" s="124"/>
      <c r="L208" s="110">
        <f t="shared" si="200"/>
        <v>11.04</v>
      </c>
      <c r="M208" s="123">
        <f t="shared" si="209"/>
        <v>242.88</v>
      </c>
      <c r="N208" s="123">
        <f t="shared" si="210"/>
        <v>9.460000000000008</v>
      </c>
      <c r="O208" s="124">
        <f t="shared" si="211"/>
        <v>4.0527803958529722E-2</v>
      </c>
      <c r="P208" s="124">
        <f t="shared" si="204"/>
        <v>6.2902007095101919E-5</v>
      </c>
      <c r="Q208" s="125">
        <f t="shared" si="212"/>
        <v>-1.4853325099292215E-8</v>
      </c>
      <c r="R208" s="125"/>
      <c r="T208" s="4">
        <f t="shared" si="213"/>
        <v>4.0527803958529729E-2</v>
      </c>
    </row>
    <row r="209" spans="1:20" x14ac:dyDescent="0.25">
      <c r="A209" s="31">
        <f t="shared" si="176"/>
        <v>200</v>
      </c>
      <c r="B209" s="28"/>
      <c r="C209" s="104"/>
      <c r="D209" s="2" t="s">
        <v>138</v>
      </c>
      <c r="E209" s="122">
        <v>1146</v>
      </c>
      <c r="F209" s="110">
        <v>39.58</v>
      </c>
      <c r="G209" s="123">
        <f t="shared" si="207"/>
        <v>45358.68</v>
      </c>
      <c r="H209" s="110">
        <v>38.950000000000003</v>
      </c>
      <c r="I209" s="123">
        <f t="shared" si="208"/>
        <v>44636.700000000004</v>
      </c>
      <c r="J209" s="124">
        <f t="shared" si="199"/>
        <v>1.2031535530453242E-2</v>
      </c>
      <c r="K209" s="124"/>
      <c r="L209" s="110">
        <f t="shared" si="200"/>
        <v>40.54</v>
      </c>
      <c r="M209" s="123">
        <f t="shared" si="209"/>
        <v>46458.84</v>
      </c>
      <c r="N209" s="123">
        <f t="shared" si="210"/>
        <v>1822.1399999999921</v>
      </c>
      <c r="O209" s="124">
        <f t="shared" si="211"/>
        <v>4.0821566110397764E-2</v>
      </c>
      <c r="P209" s="124">
        <f t="shared" si="204"/>
        <v>1.2032091087410263E-2</v>
      </c>
      <c r="Q209" s="125">
        <f t="shared" si="212"/>
        <v>5.5555695702147467E-7</v>
      </c>
      <c r="R209" s="125"/>
      <c r="T209" s="4">
        <f t="shared" si="213"/>
        <v>4.0821566110397889E-2</v>
      </c>
    </row>
    <row r="210" spans="1:20" x14ac:dyDescent="0.25">
      <c r="A210" s="31">
        <f t="shared" si="176"/>
        <v>201</v>
      </c>
      <c r="B210" s="28"/>
      <c r="C210" s="104"/>
      <c r="D210" s="2" t="s">
        <v>139</v>
      </c>
      <c r="E210" s="122">
        <v>338</v>
      </c>
      <c r="F210" s="110">
        <v>11.85</v>
      </c>
      <c r="G210" s="123">
        <f t="shared" ref="G210:G213" si="214">F210*E210</f>
        <v>4005.2999999999997</v>
      </c>
      <c r="H210" s="110">
        <v>11.85</v>
      </c>
      <c r="I210" s="123">
        <f t="shared" ref="I210:I213" si="215">H210*E210</f>
        <v>4005.2999999999997</v>
      </c>
      <c r="J210" s="124">
        <f t="shared" si="199"/>
        <v>1.0796028662540995E-3</v>
      </c>
      <c r="K210" s="124"/>
      <c r="L210" s="110">
        <f t="shared" si="200"/>
        <v>12.34</v>
      </c>
      <c r="M210" s="123">
        <f t="shared" ref="M210:M213" si="216">L210*E210</f>
        <v>4170.92</v>
      </c>
      <c r="N210" s="123">
        <f t="shared" ref="N210:N213" si="217">M210-I210</f>
        <v>165.62000000000035</v>
      </c>
      <c r="O210" s="124">
        <f t="shared" ref="O210:O213" si="218">IF(I210=0,0,N210/I210)</f>
        <v>4.1350210970464221E-2</v>
      </c>
      <c r="P210" s="124">
        <f t="shared" si="204"/>
        <v>1.0802010846224575E-3</v>
      </c>
      <c r="Q210" s="125">
        <f t="shared" ref="Q210:Q213" si="219">P210-J210</f>
        <v>5.9821836835799273E-7</v>
      </c>
      <c r="R210" s="125"/>
      <c r="T210" s="4">
        <f t="shared" si="213"/>
        <v>4.1350210970464207E-2</v>
      </c>
    </row>
    <row r="211" spans="1:20" x14ac:dyDescent="0.25">
      <c r="A211" s="31">
        <f t="shared" si="176"/>
        <v>202</v>
      </c>
      <c r="B211" s="28"/>
      <c r="C211" s="104"/>
      <c r="D211" s="2" t="s">
        <v>138</v>
      </c>
      <c r="E211" s="122">
        <v>129</v>
      </c>
      <c r="F211" s="110">
        <v>39.58</v>
      </c>
      <c r="G211" s="123">
        <f t="shared" si="214"/>
        <v>5105.82</v>
      </c>
      <c r="H211" s="110">
        <v>38.950000000000003</v>
      </c>
      <c r="I211" s="123">
        <f t="shared" si="215"/>
        <v>5024.55</v>
      </c>
      <c r="J211" s="124">
        <f t="shared" si="199"/>
        <v>1.3543351513337419E-3</v>
      </c>
      <c r="K211" s="124"/>
      <c r="L211" s="110">
        <f t="shared" si="200"/>
        <v>40.54</v>
      </c>
      <c r="M211" s="123">
        <f t="shared" si="216"/>
        <v>5229.66</v>
      </c>
      <c r="N211" s="123">
        <f t="shared" si="217"/>
        <v>205.10999999999967</v>
      </c>
      <c r="O211" s="124">
        <f t="shared" si="218"/>
        <v>4.0821566110397882E-2</v>
      </c>
      <c r="P211" s="124">
        <f t="shared" si="204"/>
        <v>1.3543976878498463E-3</v>
      </c>
      <c r="Q211" s="125">
        <f t="shared" si="219"/>
        <v>6.2536516104438888E-8</v>
      </c>
      <c r="R211" s="125"/>
      <c r="T211" s="4">
        <f t="shared" si="213"/>
        <v>4.0821566110397889E-2</v>
      </c>
    </row>
    <row r="212" spans="1:20" x14ac:dyDescent="0.25">
      <c r="A212" s="31">
        <f t="shared" si="176"/>
        <v>203</v>
      </c>
      <c r="B212" s="28"/>
      <c r="C212" s="104"/>
      <c r="D212" s="2" t="s">
        <v>134</v>
      </c>
      <c r="E212" s="122"/>
      <c r="F212" s="110">
        <v>18.05</v>
      </c>
      <c r="G212" s="123">
        <f t="shared" si="214"/>
        <v>0</v>
      </c>
      <c r="H212" s="110">
        <v>17.88</v>
      </c>
      <c r="I212" s="123">
        <f t="shared" si="215"/>
        <v>0</v>
      </c>
      <c r="J212" s="124">
        <f t="shared" si="199"/>
        <v>0</v>
      </c>
      <c r="K212" s="124"/>
      <c r="L212" s="110">
        <f t="shared" si="200"/>
        <v>18.61</v>
      </c>
      <c r="M212" s="123">
        <f t="shared" si="216"/>
        <v>0</v>
      </c>
      <c r="N212" s="123">
        <f t="shared" si="217"/>
        <v>0</v>
      </c>
      <c r="O212" s="124">
        <f t="shared" si="218"/>
        <v>0</v>
      </c>
      <c r="P212" s="124">
        <f t="shared" si="204"/>
        <v>0</v>
      </c>
      <c r="Q212" s="125">
        <f t="shared" si="219"/>
        <v>0</v>
      </c>
      <c r="R212" s="125"/>
      <c r="T212" s="4">
        <f t="shared" si="213"/>
        <v>4.0827740492169973E-2</v>
      </c>
    </row>
    <row r="213" spans="1:20" x14ac:dyDescent="0.25">
      <c r="A213" s="31">
        <f t="shared" si="176"/>
        <v>204</v>
      </c>
      <c r="B213" s="28"/>
      <c r="C213" s="104"/>
      <c r="D213" s="2" t="s">
        <v>135</v>
      </c>
      <c r="E213" s="122"/>
      <c r="F213" s="110">
        <v>10.61</v>
      </c>
      <c r="G213" s="123">
        <f t="shared" si="214"/>
        <v>0</v>
      </c>
      <c r="H213" s="110">
        <v>10.61</v>
      </c>
      <c r="I213" s="123">
        <f t="shared" si="215"/>
        <v>0</v>
      </c>
      <c r="J213" s="124">
        <f t="shared" si="199"/>
        <v>0</v>
      </c>
      <c r="K213" s="124"/>
      <c r="L213" s="110">
        <f t="shared" si="200"/>
        <v>11.04</v>
      </c>
      <c r="M213" s="123">
        <f t="shared" si="216"/>
        <v>0</v>
      </c>
      <c r="N213" s="123">
        <f t="shared" si="217"/>
        <v>0</v>
      </c>
      <c r="O213" s="124">
        <f t="shared" si="218"/>
        <v>0</v>
      </c>
      <c r="P213" s="124">
        <f t="shared" si="204"/>
        <v>0</v>
      </c>
      <c r="Q213" s="125">
        <f t="shared" si="219"/>
        <v>0</v>
      </c>
      <c r="R213" s="125"/>
      <c r="T213" s="4">
        <f t="shared" si="213"/>
        <v>4.0527803958529729E-2</v>
      </c>
    </row>
    <row r="214" spans="1:20" s="5" customFormat="1" ht="24.6" customHeight="1" x14ac:dyDescent="0.3">
      <c r="A214" s="31">
        <f t="shared" ref="A214:A232" si="220">A213+1</f>
        <v>205</v>
      </c>
      <c r="C214" s="14"/>
      <c r="D214" s="16" t="s">
        <v>6</v>
      </c>
      <c r="E214" s="127"/>
      <c r="F214" s="127"/>
      <c r="G214" s="17">
        <f>SUM(G142:G213)</f>
        <v>3734836.7800000003</v>
      </c>
      <c r="H214" s="127"/>
      <c r="I214" s="17">
        <f>SUM(I142:I213)</f>
        <v>3709975.330000001</v>
      </c>
      <c r="J214" s="128">
        <f>SUM(J163:J213)</f>
        <v>0.91965365710396763</v>
      </c>
      <c r="K214" s="17">
        <f>I214+Summary!I18</f>
        <v>3861830.8400000008</v>
      </c>
      <c r="L214" s="127"/>
      <c r="M214" s="17">
        <f>SUM(M142:M213)</f>
        <v>3861244.04</v>
      </c>
      <c r="N214" s="17">
        <f>SUM(N142:N213)</f>
        <v>151268.71000000008</v>
      </c>
      <c r="O214" s="128">
        <f t="shared" ref="O214" si="221">N214/I214</f>
        <v>4.077350832411062E-2</v>
      </c>
      <c r="P214" s="128">
        <f>SUM(P163:P213)</f>
        <v>0.91963802163615638</v>
      </c>
      <c r="Q214" s="130">
        <f t="shared" ref="Q214" si="222">P214-J214</f>
        <v>-1.5635467811248027E-5</v>
      </c>
      <c r="R214" s="131">
        <f>M214-K214</f>
        <v>-586.80000000074506</v>
      </c>
      <c r="S214" s="5">
        <f>K214/I214</f>
        <v>1.0409316764917678</v>
      </c>
    </row>
    <row r="215" spans="1:20" x14ac:dyDescent="0.25">
      <c r="A215" s="31">
        <f t="shared" si="220"/>
        <v>206</v>
      </c>
      <c r="D215" s="2" t="s">
        <v>29</v>
      </c>
      <c r="G215" s="123">
        <v>-66883.259999999995</v>
      </c>
      <c r="I215" s="132">
        <v>-42022</v>
      </c>
      <c r="K215" s="132">
        <f>K214-I214</f>
        <v>151855.50999999978</v>
      </c>
      <c r="M215" s="123">
        <f>I215</f>
        <v>-42022</v>
      </c>
      <c r="N215" s="123">
        <f>M215-I215</f>
        <v>0</v>
      </c>
      <c r="O215" s="110">
        <v>0</v>
      </c>
    </row>
    <row r="216" spans="1:20" x14ac:dyDescent="0.25">
      <c r="A216" s="31">
        <f t="shared" si="220"/>
        <v>207</v>
      </c>
      <c r="D216" s="2" t="s">
        <v>30</v>
      </c>
      <c r="G216" s="123">
        <v>388099.66000000003</v>
      </c>
      <c r="I216" s="132">
        <v>388100</v>
      </c>
      <c r="M216" s="123">
        <f t="shared" ref="M216:M217" si="223">I216</f>
        <v>388100</v>
      </c>
      <c r="N216" s="123">
        <f>M216-I216</f>
        <v>0</v>
      </c>
      <c r="O216" s="110">
        <v>0</v>
      </c>
    </row>
    <row r="217" spans="1:20" x14ac:dyDescent="0.25">
      <c r="A217" s="31">
        <f t="shared" si="220"/>
        <v>208</v>
      </c>
      <c r="D217" s="2" t="s">
        <v>32</v>
      </c>
      <c r="G217" s="123">
        <v>0</v>
      </c>
      <c r="I217" s="132">
        <v>0</v>
      </c>
      <c r="M217" s="123">
        <f t="shared" si="223"/>
        <v>0</v>
      </c>
      <c r="N217" s="123">
        <f>M217-I217</f>
        <v>0</v>
      </c>
      <c r="O217" s="110">
        <v>0</v>
      </c>
    </row>
    <row r="218" spans="1:20" x14ac:dyDescent="0.25">
      <c r="A218" s="31">
        <f t="shared" si="220"/>
        <v>209</v>
      </c>
      <c r="D218" s="2" t="s">
        <v>42</v>
      </c>
      <c r="G218" s="123"/>
      <c r="I218" s="132"/>
      <c r="M218" s="123"/>
      <c r="N218" s="123"/>
      <c r="O218" s="110"/>
    </row>
    <row r="219" spans="1:20" x14ac:dyDescent="0.25">
      <c r="A219" s="31">
        <f t="shared" si="220"/>
        <v>210</v>
      </c>
      <c r="D219" s="12" t="s">
        <v>8</v>
      </c>
      <c r="E219" s="134"/>
      <c r="F219" s="134"/>
      <c r="G219" s="135">
        <f>SUM(G215:G217)</f>
        <v>321216.40000000002</v>
      </c>
      <c r="H219" s="134"/>
      <c r="I219" s="135">
        <f>SUM(I215:I217)</f>
        <v>346078</v>
      </c>
      <c r="J219" s="134"/>
      <c r="K219" s="134"/>
      <c r="L219" s="134"/>
      <c r="M219" s="135">
        <f>SUM(M215:M217)</f>
        <v>346078</v>
      </c>
      <c r="N219" s="135">
        <f>M219-I219</f>
        <v>0</v>
      </c>
      <c r="O219" s="136">
        <f>N219-J219</f>
        <v>0</v>
      </c>
    </row>
    <row r="220" spans="1:20" s="5" customFormat="1" ht="26.4" customHeight="1" thickBot="1" x14ac:dyDescent="0.3">
      <c r="A220" s="31">
        <f t="shared" si="220"/>
        <v>211</v>
      </c>
      <c r="C220" s="14"/>
      <c r="D220" s="6" t="s">
        <v>19</v>
      </c>
      <c r="E220" s="137"/>
      <c r="F220" s="137"/>
      <c r="G220" s="138">
        <f>G214+G219</f>
        <v>4056053.18</v>
      </c>
      <c r="H220" s="137"/>
      <c r="I220" s="139">
        <f>I219+I214</f>
        <v>4056053.330000001</v>
      </c>
      <c r="J220" s="137"/>
      <c r="K220" s="137"/>
      <c r="L220" s="137"/>
      <c r="M220" s="138">
        <f>M219+M214</f>
        <v>4207322.04</v>
      </c>
      <c r="N220" s="138">
        <f>M220-I220</f>
        <v>151268.70999999903</v>
      </c>
      <c r="O220" s="140">
        <f>N220/I220</f>
        <v>3.7294556479610934E-2</v>
      </c>
      <c r="P220" s="109"/>
      <c r="Q220" s="109"/>
      <c r="R220" s="109"/>
    </row>
    <row r="221" spans="1:20" ht="13.8" thickTop="1" x14ac:dyDescent="0.25">
      <c r="A221" s="31">
        <f t="shared" si="220"/>
        <v>212</v>
      </c>
      <c r="G221" s="141"/>
      <c r="I221" s="141"/>
      <c r="M221" s="141"/>
      <c r="N221" s="141"/>
      <c r="O221" s="124"/>
    </row>
    <row r="222" spans="1:20" x14ac:dyDescent="0.25">
      <c r="A222" s="31">
        <f t="shared" si="220"/>
        <v>213</v>
      </c>
      <c r="B222" s="18"/>
      <c r="C222" s="19"/>
      <c r="D222" s="18"/>
    </row>
    <row r="223" spans="1:20" x14ac:dyDescent="0.25">
      <c r="A223" s="31">
        <f t="shared" si="220"/>
        <v>214</v>
      </c>
    </row>
    <row r="224" spans="1:20" s="5" customFormat="1" ht="19.95" customHeight="1" x14ac:dyDescent="0.3">
      <c r="A224" s="31">
        <f t="shared" si="220"/>
        <v>215</v>
      </c>
      <c r="B224" s="5" t="s">
        <v>31</v>
      </c>
      <c r="C224" s="32"/>
      <c r="D224" s="16" t="s">
        <v>6</v>
      </c>
      <c r="E224" s="127"/>
      <c r="F224" s="127"/>
      <c r="G224" s="145">
        <f>G10+G22+G34+G46+G75+G91+G107+G214+G59+G119+G131</f>
        <v>115609148.04082</v>
      </c>
      <c r="H224" s="145"/>
      <c r="I224" s="145">
        <f>I10+I22+I34+I46+I75+I91+I107+I214+I59+I119+I131</f>
        <v>113602919.95062999</v>
      </c>
      <c r="J224" s="127"/>
      <c r="K224" s="127"/>
      <c r="L224" s="127"/>
      <c r="M224" s="145">
        <f t="shared" ref="M224:N228" si="224">M10+M22+M34+M46+M75+M91+M107+M214+M59+M119+M131</f>
        <v>118250006.28398001</v>
      </c>
      <c r="N224" s="145">
        <f t="shared" si="224"/>
        <v>4647086.3333500037</v>
      </c>
      <c r="O224" s="128">
        <f>N224/I224</f>
        <v>4.0906398668005654E-2</v>
      </c>
      <c r="P224" s="146"/>
      <c r="Q224" s="146"/>
      <c r="R224" s="146"/>
    </row>
    <row r="225" spans="1:18" x14ac:dyDescent="0.25">
      <c r="A225" s="31">
        <f t="shared" si="220"/>
        <v>216</v>
      </c>
      <c r="C225" s="26"/>
      <c r="D225" s="2" t="s">
        <v>29</v>
      </c>
      <c r="G225" s="132">
        <f>G11+G23+G35+G47+G76+G92+G108+G215+G60+G120+G132</f>
        <v>-5025154.4099999992</v>
      </c>
      <c r="H225" s="132"/>
      <c r="I225" s="132">
        <f>I11+I23+I35+I47+I76+I92+I108+I215+I60+I120+I132</f>
        <v>-3018926.3052600003</v>
      </c>
      <c r="M225" s="132">
        <f t="shared" si="224"/>
        <v>-3018926.3052600003</v>
      </c>
      <c r="N225" s="132">
        <f t="shared" si="224"/>
        <v>0</v>
      </c>
    </row>
    <row r="226" spans="1:18" x14ac:dyDescent="0.25">
      <c r="A226" s="31">
        <f t="shared" si="220"/>
        <v>217</v>
      </c>
      <c r="C226" s="26"/>
      <c r="D226" s="2" t="s">
        <v>30</v>
      </c>
      <c r="G226" s="132">
        <f>G12+G24+G36+G48+G77+G93+G109+G216+G61+G121+G133</f>
        <v>11918408.910000004</v>
      </c>
      <c r="H226" s="132"/>
      <c r="I226" s="132">
        <f>I12+I24+I36+I48+I77+I93+I109+I216+I61+I121+I133</f>
        <v>11918409.250000004</v>
      </c>
      <c r="M226" s="132">
        <f t="shared" si="224"/>
        <v>11918409.250000004</v>
      </c>
      <c r="N226" s="132">
        <f t="shared" si="224"/>
        <v>0</v>
      </c>
    </row>
    <row r="227" spans="1:18" x14ac:dyDescent="0.25">
      <c r="A227" s="31">
        <f t="shared" si="220"/>
        <v>218</v>
      </c>
      <c r="C227" s="26"/>
      <c r="D227" s="2" t="s">
        <v>32</v>
      </c>
      <c r="G227" s="132">
        <f>G13+G25+G37+G49+G78+G94+G110+G217+G62+G122+G134</f>
        <v>417105</v>
      </c>
      <c r="H227" s="132"/>
      <c r="I227" s="132">
        <f>I13+I25+I37+I49+I78+I94+I110+I217+I62+I122+I134</f>
        <v>417105</v>
      </c>
      <c r="M227" s="132">
        <f t="shared" si="224"/>
        <v>417105</v>
      </c>
      <c r="N227" s="132">
        <f t="shared" si="224"/>
        <v>0</v>
      </c>
    </row>
    <row r="228" spans="1:18" x14ac:dyDescent="0.25">
      <c r="A228" s="31">
        <f t="shared" si="220"/>
        <v>219</v>
      </c>
      <c r="C228" s="26"/>
      <c r="D228" s="2" t="s">
        <v>42</v>
      </c>
      <c r="G228" s="132">
        <f>G14+G26+G38+G50+G79+G95+G111+G218+G63+G123+G135</f>
        <v>-8641.85</v>
      </c>
      <c r="I228" s="132">
        <f>I14+I26+I38+I50+I79+I95+I111+I218+I63+I123+I135</f>
        <v>-8641.85</v>
      </c>
      <c r="M228" s="132">
        <f t="shared" si="224"/>
        <v>-8641.85</v>
      </c>
      <c r="N228" s="132">
        <f t="shared" si="224"/>
        <v>0</v>
      </c>
      <c r="O228" s="110"/>
    </row>
    <row r="229" spans="1:18" x14ac:dyDescent="0.25">
      <c r="A229" s="31">
        <f t="shared" si="220"/>
        <v>220</v>
      </c>
      <c r="C229" s="26"/>
      <c r="D229" s="12" t="s">
        <v>8</v>
      </c>
      <c r="E229" s="134"/>
      <c r="F229" s="134"/>
      <c r="G229" s="147">
        <f>SUM(G225:G228)</f>
        <v>7301717.650000005</v>
      </c>
      <c r="H229" s="147"/>
      <c r="I229" s="147">
        <f>SUM(I225:I228)</f>
        <v>9307946.0947400033</v>
      </c>
      <c r="J229" s="134"/>
      <c r="K229" s="134"/>
      <c r="L229" s="134"/>
      <c r="M229" s="147">
        <f>SUM(M225:M228)</f>
        <v>9307946.0947400033</v>
      </c>
      <c r="N229" s="147">
        <f>SUM(N225:N228)</f>
        <v>0</v>
      </c>
      <c r="O229" s="134"/>
    </row>
    <row r="230" spans="1:18" s="5" customFormat="1" ht="21" customHeight="1" thickBot="1" x14ac:dyDescent="0.35">
      <c r="A230" s="31">
        <f t="shared" si="220"/>
        <v>221</v>
      </c>
      <c r="C230" s="32"/>
      <c r="D230" s="6" t="s">
        <v>19</v>
      </c>
      <c r="E230" s="137"/>
      <c r="F230" s="137"/>
      <c r="G230" s="139">
        <f>G229+G224</f>
        <v>122910865.69082001</v>
      </c>
      <c r="H230" s="139"/>
      <c r="I230" s="139">
        <f>I229+I224</f>
        <v>122910866.04537</v>
      </c>
      <c r="J230" s="137"/>
      <c r="K230" s="137"/>
      <c r="L230" s="137"/>
      <c r="M230" s="139">
        <f>M229+M224</f>
        <v>127557952.37872002</v>
      </c>
      <c r="N230" s="139">
        <f>N229+N224</f>
        <v>4647086.3333500037</v>
      </c>
      <c r="O230" s="140">
        <f>N230/I230</f>
        <v>3.7808588311749658E-2</v>
      </c>
      <c r="P230" s="146"/>
      <c r="Q230" s="146"/>
      <c r="R230" s="146"/>
    </row>
    <row r="231" spans="1:18" ht="13.8" thickTop="1" x14ac:dyDescent="0.25">
      <c r="A231" s="31">
        <f t="shared" si="220"/>
        <v>222</v>
      </c>
      <c r="C231" s="26"/>
    </row>
    <row r="232" spans="1:18" x14ac:dyDescent="0.25">
      <c r="A232" s="31">
        <f t="shared" si="220"/>
        <v>223</v>
      </c>
      <c r="D232" s="2" t="s">
        <v>40</v>
      </c>
      <c r="N232" s="132">
        <f>N230-Summary!L4</f>
        <v>-2871.666649996303</v>
      </c>
    </row>
    <row r="233" spans="1:18" x14ac:dyDescent="0.25">
      <c r="A233" s="31"/>
      <c r="N233" s="132"/>
    </row>
  </sheetData>
  <mergeCells count="11">
    <mergeCell ref="B84:B85"/>
    <mergeCell ref="B100:B101"/>
    <mergeCell ref="B116:B117"/>
    <mergeCell ref="B128:B129"/>
    <mergeCell ref="B184:B185"/>
    <mergeCell ref="B68:B69"/>
    <mergeCell ref="B7:B8"/>
    <mergeCell ref="B19:B20"/>
    <mergeCell ref="B31:B32"/>
    <mergeCell ref="B43:B44"/>
    <mergeCell ref="B55:B56"/>
  </mergeCells>
  <phoneticPr fontId="8" type="noConversion"/>
  <printOptions horizontalCentered="1"/>
  <pageMargins left="0.7" right="0.7" top="0.75" bottom="0.75" header="0.3" footer="0.3"/>
  <pageSetup scale="55" fitToHeight="8" orientation="landscape" r:id="rId1"/>
  <headerFooter>
    <oddHeader>&amp;R&amp;"Arial,Bold"&amp;10Exhibit 3
 Page &amp;P of &amp;N</oddHeader>
  </headerFooter>
  <rowBreaks count="4" manualBreakCount="4">
    <brk id="54" max="17" man="1"/>
    <brk id="99" max="17" man="1"/>
    <brk id="139" max="17" man="1"/>
    <brk id="183" max="17" man="1"/>
  </rowBreaks>
  <ignoredErrors>
    <ignoredError sqref="M10 N107 N10:N106 N108:N233 O46:O2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J133"/>
  <sheetViews>
    <sheetView view="pageBreakPreview" zoomScale="60" zoomScaleNormal="85" workbookViewId="0">
      <selection activeCell="Q86" sqref="Q86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14.109375" style="37" bestFit="1" customWidth="1"/>
    <col min="4" max="4" width="28.6640625" style="13" bestFit="1" customWidth="1"/>
    <col min="5" max="5" width="44" style="2" bestFit="1" customWidth="1"/>
    <col min="6" max="6" width="14.6640625" style="2" customWidth="1"/>
    <col min="7" max="7" width="12.5546875" style="2" customWidth="1"/>
    <col min="8" max="16384" width="8.88671875" style="2"/>
  </cols>
  <sheetData>
    <row r="1" spans="1:10" x14ac:dyDescent="0.25">
      <c r="A1" s="1" t="str">
        <f>Summary!A1</f>
        <v>SOUTH KENTUCKY RECC</v>
      </c>
    </row>
    <row r="2" spans="1:10" x14ac:dyDescent="0.25">
      <c r="A2" s="1" t="s">
        <v>160</v>
      </c>
    </row>
    <row r="4" spans="1:10" x14ac:dyDescent="0.25">
      <c r="C4" s="99" t="s">
        <v>63</v>
      </c>
      <c r="D4" s="65"/>
      <c r="E4" s="65" t="s">
        <v>2</v>
      </c>
      <c r="F4" s="68" t="s">
        <v>49</v>
      </c>
      <c r="G4" s="68" t="s">
        <v>50</v>
      </c>
    </row>
    <row r="5" spans="1:10" x14ac:dyDescent="0.25">
      <c r="C5" s="37" t="str">
        <f>'Billing Detail'!C7</f>
        <v xml:space="preserve">A </v>
      </c>
      <c r="D5" s="91" t="str">
        <f>'Billing Detail'!B7</f>
        <v>Residential, Farm and Non-Farm Service</v>
      </c>
    </row>
    <row r="6" spans="1:10" x14ac:dyDescent="0.25">
      <c r="D6" s="91"/>
      <c r="E6" s="2" t="str">
        <f>'Billing Detail'!D8</f>
        <v>Customer Charge</v>
      </c>
      <c r="F6" s="66">
        <f>'Billing Detail'!H8</f>
        <v>12.82</v>
      </c>
      <c r="G6" s="66">
        <f>'Billing Detail'!L8</f>
        <v>13.34</v>
      </c>
      <c r="J6" s="4">
        <f>G6/F6-1</f>
        <v>4.0561622464898583E-2</v>
      </c>
    </row>
    <row r="7" spans="1:10" x14ac:dyDescent="0.25">
      <c r="D7" s="91"/>
      <c r="E7" s="2" t="str">
        <f>'Billing Detail'!D9</f>
        <v>Energy Charge per kWh</v>
      </c>
      <c r="F7" s="76">
        <f>'Billing Detail'!H9</f>
        <v>8.1350000000000006E-2</v>
      </c>
      <c r="G7" s="76">
        <f>'Billing Detail'!L9</f>
        <v>8.4680000000000005E-2</v>
      </c>
      <c r="J7" s="4">
        <f t="shared" ref="J7:J84" si="0">G7/F7-1</f>
        <v>4.0934234787953327E-2</v>
      </c>
    </row>
    <row r="8" spans="1:10" x14ac:dyDescent="0.25">
      <c r="C8" s="37" t="str">
        <f>'Billing Detail'!C19</f>
        <v>A-ETS</v>
      </c>
      <c r="D8" s="91" t="str">
        <f>'Billing Detail'!B19</f>
        <v>Residential, Farm and Non-Farm Service (ETS)</v>
      </c>
      <c r="F8" s="66"/>
      <c r="G8" s="66"/>
      <c r="J8" s="4"/>
    </row>
    <row r="9" spans="1:10" x14ac:dyDescent="0.25">
      <c r="D9" s="91"/>
      <c r="E9" s="2" t="str">
        <f>'Billing Detail'!D21</f>
        <v>Energy Charge per kWh</v>
      </c>
      <c r="F9" s="76">
        <f>'Billing Detail'!H21</f>
        <v>5.8959999999999999E-2</v>
      </c>
      <c r="G9" s="76">
        <f>'Billing Detail'!L21</f>
        <v>6.1370000000000001E-2</v>
      </c>
      <c r="J9" s="4">
        <f t="shared" si="0"/>
        <v>4.0875169606512829E-2</v>
      </c>
    </row>
    <row r="10" spans="1:10" x14ac:dyDescent="0.25">
      <c r="C10" s="37" t="str">
        <f>'Billing Detail'!C31</f>
        <v>B</v>
      </c>
      <c r="D10" s="91" t="str">
        <f>'Billing Detail'!B31</f>
        <v>Small Commercial Rate</v>
      </c>
      <c r="F10" s="67"/>
      <c r="G10" s="67"/>
      <c r="J10" s="4"/>
    </row>
    <row r="11" spans="1:10" x14ac:dyDescent="0.25">
      <c r="D11" s="91"/>
      <c r="E11" s="2" t="str">
        <f>'Billing Detail'!D32</f>
        <v>Customer Charge</v>
      </c>
      <c r="F11" s="66">
        <f>'Billing Detail'!H32</f>
        <v>23.79</v>
      </c>
      <c r="G11" s="66">
        <f>'Billing Detail'!L32</f>
        <v>24.76</v>
      </c>
      <c r="J11" s="4">
        <f t="shared" si="0"/>
        <v>4.077343421605728E-2</v>
      </c>
    </row>
    <row r="12" spans="1:10" x14ac:dyDescent="0.25">
      <c r="D12" s="91"/>
      <c r="E12" s="2" t="str">
        <f>'Billing Detail'!D33</f>
        <v>Energy Charge per kWh</v>
      </c>
      <c r="F12" s="76">
        <f>'Billing Detail'!H33</f>
        <v>9.3100000000000002E-2</v>
      </c>
      <c r="G12" s="76">
        <f>'Billing Detail'!L33</f>
        <v>9.6909999999999996E-2</v>
      </c>
      <c r="J12" s="4">
        <f t="shared" si="0"/>
        <v>4.0923737916219061E-2</v>
      </c>
    </row>
    <row r="13" spans="1:10" x14ac:dyDescent="0.25">
      <c r="C13" s="37" t="str">
        <f>'Billing Detail'!C43</f>
        <v>B-ETS</v>
      </c>
      <c r="D13" s="91" t="str">
        <f>'Billing Detail'!B43</f>
        <v>Small Commercial Rate (ETS)</v>
      </c>
      <c r="F13" s="66"/>
      <c r="G13" s="66"/>
      <c r="J13" s="4"/>
    </row>
    <row r="14" spans="1:10" x14ac:dyDescent="0.25">
      <c r="D14" s="91"/>
      <c r="E14" s="2" t="str">
        <f>'Billing Detail'!D45</f>
        <v>Energy Charge per kWh</v>
      </c>
      <c r="F14" s="76">
        <f>'Billing Detail'!H45</f>
        <v>6.5960000000000005E-2</v>
      </c>
      <c r="G14" s="76">
        <f>'Billing Detail'!L45</f>
        <v>6.8659999999999999E-2</v>
      </c>
      <c r="J14" s="4">
        <f t="shared" si="0"/>
        <v>4.0933899332928902E-2</v>
      </c>
    </row>
    <row r="15" spans="1:10" x14ac:dyDescent="0.25">
      <c r="C15" s="37" t="str">
        <f>'Billing Detail'!C55</f>
        <v>LP</v>
      </c>
      <c r="D15" s="91" t="str">
        <f>'Billing Detail'!B55</f>
        <v>Large Power Rate (Excess of 50 kVA)</v>
      </c>
      <c r="F15" s="66"/>
      <c r="G15" s="66"/>
      <c r="J15" s="4"/>
    </row>
    <row r="16" spans="1:10" x14ac:dyDescent="0.25">
      <c r="D16" s="91"/>
      <c r="E16" s="2" t="str">
        <f>'Billing Detail'!D56</f>
        <v>Customer Charge</v>
      </c>
      <c r="F16" s="66">
        <f>'Billing Detail'!H56</f>
        <v>50</v>
      </c>
      <c r="G16" s="66">
        <f>'Billing Detail'!L56</f>
        <v>52.05</v>
      </c>
      <c r="J16" s="4">
        <f t="shared" si="0"/>
        <v>4.0999999999999925E-2</v>
      </c>
    </row>
    <row r="17" spans="3:10" x14ac:dyDescent="0.25">
      <c r="D17" s="91"/>
      <c r="E17" s="2" t="str">
        <f>'Billing Detail'!D57</f>
        <v>Demand Charge per kW</v>
      </c>
      <c r="F17" s="66">
        <f>'Billing Detail'!H57</f>
        <v>7</v>
      </c>
      <c r="G17" s="66">
        <f>'Billing Detail'!L57</f>
        <v>7.29</v>
      </c>
      <c r="J17" s="4">
        <f t="shared" ref="J17:J18" si="1">G17/F17-1</f>
        <v>4.142857142857137E-2</v>
      </c>
    </row>
    <row r="18" spans="3:10" x14ac:dyDescent="0.25">
      <c r="D18" s="91"/>
      <c r="E18" s="2" t="str">
        <f>'Billing Detail'!D58</f>
        <v>Energy Charge per kWh</v>
      </c>
      <c r="F18" s="67">
        <f>'Billing Detail'!H58</f>
        <v>5.5989999999999998E-2</v>
      </c>
      <c r="G18" s="67">
        <f>'Billing Detail'!L58</f>
        <v>5.8279999999999998E-2</v>
      </c>
      <c r="J18" s="4">
        <f t="shared" si="1"/>
        <v>4.0900160742989744E-2</v>
      </c>
    </row>
    <row r="19" spans="3:10" x14ac:dyDescent="0.25">
      <c r="C19" s="37" t="str">
        <f>'Billing Detail'!C68</f>
        <v>LP-1</v>
      </c>
      <c r="D19" s="91" t="str">
        <f>'Billing Detail'!B68</f>
        <v>Large Power Rate (500 KW to 4,999 KW)</v>
      </c>
      <c r="F19" s="67"/>
      <c r="G19" s="67"/>
      <c r="J19" s="4"/>
    </row>
    <row r="20" spans="3:10" x14ac:dyDescent="0.25">
      <c r="D20" s="91"/>
      <c r="E20" s="2" t="str">
        <f>'Billing Detail'!D69</f>
        <v>Customer Charge</v>
      </c>
      <c r="F20" s="77">
        <f>'Billing Detail'!H69</f>
        <v>142.85</v>
      </c>
      <c r="G20" s="77">
        <f>'Billing Detail'!L69</f>
        <v>148.69999999999999</v>
      </c>
      <c r="J20" s="4">
        <f t="shared" si="0"/>
        <v>4.0952047602380137E-2</v>
      </c>
    </row>
    <row r="21" spans="3:10" x14ac:dyDescent="0.25">
      <c r="D21" s="91"/>
      <c r="E21" s="2" t="str">
        <f>'Billing Detail'!D70</f>
        <v>Substation Charge 500-999 kW</v>
      </c>
      <c r="F21" s="77">
        <f>'Billing Detail'!H70</f>
        <v>359.99</v>
      </c>
      <c r="G21" s="77">
        <f>'Billing Detail'!L70</f>
        <v>374.72</v>
      </c>
      <c r="J21" s="4">
        <f t="shared" ref="J21:J22" si="2">G21/F21-1</f>
        <v>4.0917803272313202E-2</v>
      </c>
    </row>
    <row r="22" spans="3:10" x14ac:dyDescent="0.25">
      <c r="D22" s="91"/>
      <c r="E22" s="2" t="str">
        <f>'Billing Detail'!D71</f>
        <v>Substation Charge 1000-2999 kW</v>
      </c>
      <c r="F22" s="77">
        <f>'Billing Detail'!H71</f>
        <v>1078.8399999999999</v>
      </c>
      <c r="G22" s="77">
        <f>'Billing Detail'!L71</f>
        <v>1123</v>
      </c>
      <c r="J22" s="4">
        <f t="shared" si="2"/>
        <v>4.0932853805939695E-2</v>
      </c>
    </row>
    <row r="23" spans="3:10" x14ac:dyDescent="0.25">
      <c r="D23" s="91"/>
      <c r="E23" s="2" t="str">
        <f>'Billing Detail'!D72</f>
        <v>Substation Charge 3000-7499 kW</v>
      </c>
      <c r="F23" s="77">
        <f>'Billing Detail'!H72</f>
        <v>2711.96</v>
      </c>
      <c r="G23" s="77">
        <f>'Billing Detail'!L72</f>
        <v>2822.97</v>
      </c>
      <c r="J23" s="4">
        <f t="shared" ref="J23:J25" si="3">G23/F23-1</f>
        <v>4.0933494594315389E-2</v>
      </c>
    </row>
    <row r="24" spans="3:10" x14ac:dyDescent="0.25">
      <c r="D24" s="91"/>
      <c r="E24" s="2" t="str">
        <f>'Billing Detail'!D73</f>
        <v>Demand Charge per kW</v>
      </c>
      <c r="F24" s="77">
        <f>'Billing Detail'!H73</f>
        <v>6.16</v>
      </c>
      <c r="G24" s="77">
        <f>'Billing Detail'!L73</f>
        <v>6.41</v>
      </c>
      <c r="J24" s="4">
        <f t="shared" si="3"/>
        <v>4.0584415584415501E-2</v>
      </c>
    </row>
    <row r="25" spans="3:10" x14ac:dyDescent="0.25">
      <c r="D25" s="91"/>
      <c r="E25" s="2" t="str">
        <f>'Billing Detail'!D74</f>
        <v>Energy Charge per kWh</v>
      </c>
      <c r="F25" s="67">
        <f>'Billing Detail'!H74</f>
        <v>5.0119999999999998E-2</v>
      </c>
      <c r="G25" s="67">
        <f>'Billing Detail'!L74</f>
        <v>5.2170000000000001E-2</v>
      </c>
      <c r="J25" s="4">
        <f t="shared" si="3"/>
        <v>4.0901835594573166E-2</v>
      </c>
    </row>
    <row r="26" spans="3:10" x14ac:dyDescent="0.25">
      <c r="C26" s="37" t="str">
        <f>'Billing Detail'!C84</f>
        <v>LP-2</v>
      </c>
      <c r="D26" s="91" t="str">
        <f>'Billing Detail'!B84</f>
        <v>Large Power Rate (5,000 KW to 9,999 KW)</v>
      </c>
      <c r="F26" s="66"/>
      <c r="G26" s="66"/>
      <c r="J26" s="4"/>
    </row>
    <row r="27" spans="3:10" x14ac:dyDescent="0.25">
      <c r="D27" s="91"/>
      <c r="E27" s="2" t="str">
        <f>'Billing Detail'!D85</f>
        <v>Customer Charge</v>
      </c>
      <c r="F27" s="77">
        <f>'Billing Detail'!H85</f>
        <v>142.85</v>
      </c>
      <c r="G27" s="77">
        <f>'Billing Detail'!L85</f>
        <v>148.69999999999999</v>
      </c>
      <c r="J27" s="4">
        <f t="shared" si="0"/>
        <v>4.0952047602380137E-2</v>
      </c>
    </row>
    <row r="28" spans="3:10" x14ac:dyDescent="0.25">
      <c r="D28" s="91"/>
      <c r="E28" s="2" t="str">
        <f>'Billing Detail'!D86</f>
        <v>Substation Charge 3000-7499 kW</v>
      </c>
      <c r="F28" s="77">
        <f>'Billing Detail'!H86</f>
        <v>2711.96</v>
      </c>
      <c r="G28" s="77">
        <f>'Billing Detail'!L86</f>
        <v>2822.97</v>
      </c>
      <c r="J28" s="4">
        <f t="shared" ref="J28:J32" si="4">G28/F28-1</f>
        <v>4.0933494594315389E-2</v>
      </c>
    </row>
    <row r="29" spans="3:10" x14ac:dyDescent="0.25">
      <c r="D29" s="91"/>
      <c r="E29" s="2" t="str">
        <f>'Billing Detail'!D87</f>
        <v>Substation Charge 7500-14799 kW</v>
      </c>
      <c r="F29" s="77">
        <f>'Billing Detail'!H87</f>
        <v>3262.8</v>
      </c>
      <c r="G29" s="77">
        <f>'Billing Detail'!L87</f>
        <v>3396.35</v>
      </c>
      <c r="J29" s="4">
        <f t="shared" si="4"/>
        <v>4.0931102120877583E-2</v>
      </c>
    </row>
    <row r="30" spans="3:10" x14ac:dyDescent="0.25">
      <c r="D30" s="91"/>
      <c r="E30" s="2" t="str">
        <f>'Billing Detail'!D88</f>
        <v>Demand Charge per kW</v>
      </c>
      <c r="F30" s="77">
        <f>'Billing Detail'!H88</f>
        <v>6.16</v>
      </c>
      <c r="G30" s="77">
        <f>'Billing Detail'!L88</f>
        <v>6.41</v>
      </c>
      <c r="J30" s="4">
        <f t="shared" si="4"/>
        <v>4.0584415584415501E-2</v>
      </c>
    </row>
    <row r="31" spans="3:10" x14ac:dyDescent="0.25">
      <c r="D31" s="91"/>
      <c r="E31" s="2" t="str">
        <f>'Billing Detail'!D89</f>
        <v>Energy Charge-First 400 - per kWh</v>
      </c>
      <c r="F31" s="67">
        <f>'Billing Detail'!H89</f>
        <v>5.0119999999999998E-2</v>
      </c>
      <c r="G31" s="67">
        <f>'Billing Detail'!L89</f>
        <v>5.2170000000000001E-2</v>
      </c>
      <c r="J31" s="4">
        <f t="shared" si="4"/>
        <v>4.0901835594573166E-2</v>
      </c>
    </row>
    <row r="32" spans="3:10" x14ac:dyDescent="0.25">
      <c r="D32" s="91"/>
      <c r="E32" s="2" t="str">
        <f>'Billing Detail'!D90</f>
        <v>Energy Charge-All Remaining - per kWh</v>
      </c>
      <c r="F32" s="67">
        <f>'Billing Detail'!H90</f>
        <v>4.3249999999999997E-2</v>
      </c>
      <c r="G32" s="67">
        <f>'Billing Detail'!L90</f>
        <v>4.5019999999999998E-2</v>
      </c>
      <c r="J32" s="4">
        <f t="shared" si="4"/>
        <v>4.0924855491329515E-2</v>
      </c>
    </row>
    <row r="33" spans="3:10" x14ac:dyDescent="0.25">
      <c r="C33" s="37" t="str">
        <f>'Billing Detail'!C100</f>
        <v>LP-3</v>
      </c>
      <c r="D33" s="91" t="str">
        <f>'Billing Detail'!B100</f>
        <v>Large Power Rate (500 KW to 2,999 KW)</v>
      </c>
      <c r="F33" s="66"/>
      <c r="G33" s="66"/>
      <c r="J33" s="4"/>
    </row>
    <row r="34" spans="3:10" x14ac:dyDescent="0.25">
      <c r="D34" s="91"/>
      <c r="E34" s="2" t="str">
        <f>'Billing Detail'!D101</f>
        <v>Customer Charge</v>
      </c>
      <c r="F34" s="77">
        <f>'Billing Detail'!H101</f>
        <v>145.86000000000001</v>
      </c>
      <c r="G34" s="77">
        <f>'Billing Detail'!L101</f>
        <v>151.83000000000001</v>
      </c>
      <c r="J34" s="4">
        <f t="shared" si="0"/>
        <v>4.0929658576717376E-2</v>
      </c>
    </row>
    <row r="35" spans="3:10" x14ac:dyDescent="0.25">
      <c r="D35" s="91"/>
      <c r="E35" s="2" t="str">
        <f>'Billing Detail'!D102</f>
        <v>Substation Charge 500-999 kW</v>
      </c>
      <c r="F35" s="77">
        <f>'Billing Detail'!H102</f>
        <v>367.59</v>
      </c>
      <c r="G35" s="77">
        <f>'Billing Detail'!L102</f>
        <v>382.64</v>
      </c>
      <c r="J35" s="4">
        <f t="shared" si="0"/>
        <v>4.094235425338022E-2</v>
      </c>
    </row>
    <row r="36" spans="3:10" x14ac:dyDescent="0.25">
      <c r="D36" s="91"/>
      <c r="E36" s="2" t="str">
        <f>'Billing Detail'!D103</f>
        <v>Substation Charge 1000-2999 kW</v>
      </c>
      <c r="F36" s="77">
        <f>'Billing Detail'!H103</f>
        <v>1101.5999999999999</v>
      </c>
      <c r="G36" s="77">
        <f>'Billing Detail'!L103</f>
        <v>1146.69</v>
      </c>
      <c r="J36" s="4">
        <f t="shared" si="0"/>
        <v>4.0931372549019684E-2</v>
      </c>
    </row>
    <row r="37" spans="3:10" x14ac:dyDescent="0.25">
      <c r="D37" s="91"/>
      <c r="E37" s="2" t="str">
        <f>'Billing Detail'!D104</f>
        <v>Demand Charge per kW - Contract</v>
      </c>
      <c r="F37" s="77">
        <f>'Billing Detail'!H104</f>
        <v>6.29</v>
      </c>
      <c r="G37" s="77">
        <f>'Billing Detail'!L104</f>
        <v>6.55</v>
      </c>
      <c r="J37" s="4">
        <f t="shared" si="0"/>
        <v>4.1335453100158848E-2</v>
      </c>
    </row>
    <row r="38" spans="3:10" x14ac:dyDescent="0.25">
      <c r="D38" s="91"/>
      <c r="E38" s="2" t="str">
        <f>'Billing Detail'!D105</f>
        <v>Demand Charge per kW - Excess</v>
      </c>
      <c r="F38" s="77">
        <f>'Billing Detail'!H105</f>
        <v>9.1300000000000008</v>
      </c>
      <c r="G38" s="77">
        <f>'Billing Detail'!L105</f>
        <v>9.5</v>
      </c>
      <c r="J38" s="4">
        <f t="shared" si="0"/>
        <v>4.0525739320919962E-2</v>
      </c>
    </row>
    <row r="39" spans="3:10" x14ac:dyDescent="0.25">
      <c r="D39" s="91"/>
      <c r="E39" s="2" t="str">
        <f>'Billing Detail'!D106</f>
        <v>Energy Charge per kWh</v>
      </c>
      <c r="F39" s="67">
        <f>'Billing Detail'!H106</f>
        <v>4.7449999999999999E-2</v>
      </c>
      <c r="G39" s="67">
        <f>'Billing Detail'!L106</f>
        <v>4.9390000000000003E-2</v>
      </c>
      <c r="J39" s="4">
        <f t="shared" si="0"/>
        <v>4.0885142255005391E-2</v>
      </c>
    </row>
    <row r="40" spans="3:10" x14ac:dyDescent="0.25">
      <c r="C40" s="37" t="str">
        <f>'Billing Detail'!C116</f>
        <v>OPS</v>
      </c>
      <c r="D40" s="91" t="str">
        <f>'Billing Detail'!B116</f>
        <v>Optional Power Service</v>
      </c>
      <c r="F40" s="77"/>
      <c r="G40" s="77"/>
      <c r="J40" s="4"/>
    </row>
    <row r="41" spans="3:10" x14ac:dyDescent="0.25">
      <c r="D41" s="91"/>
      <c r="E41" s="2" t="str">
        <f>'Billing Detail'!D117</f>
        <v>Customer Charge</v>
      </c>
      <c r="F41" s="77">
        <f>'Billing Detail'!H117</f>
        <v>50</v>
      </c>
      <c r="G41" s="77">
        <f>'Billing Detail'!L117</f>
        <v>52.05</v>
      </c>
      <c r="J41" s="4">
        <f t="shared" si="0"/>
        <v>4.0999999999999925E-2</v>
      </c>
    </row>
    <row r="42" spans="3:10" x14ac:dyDescent="0.25">
      <c r="D42" s="91"/>
      <c r="E42" s="2" t="str">
        <f>'Billing Detail'!D118</f>
        <v>Energy Charge per kWh</v>
      </c>
      <c r="F42" s="76">
        <f>'Billing Detail'!H118</f>
        <v>0.10022</v>
      </c>
      <c r="G42" s="76">
        <f>'Billing Detail'!L118</f>
        <v>0.10432</v>
      </c>
      <c r="J42" s="4">
        <f t="shared" si="0"/>
        <v>4.0909998004390324E-2</v>
      </c>
    </row>
    <row r="43" spans="3:10" x14ac:dyDescent="0.25">
      <c r="C43" s="37" t="str">
        <f>'Billing Detail'!C128</f>
        <v>AES</v>
      </c>
      <c r="D43" s="91" t="str">
        <f>'Billing Detail'!B128</f>
        <v>All Electric Schools</v>
      </c>
      <c r="E43" s="64"/>
      <c r="F43" s="66"/>
      <c r="G43" s="66"/>
      <c r="J43" s="4"/>
    </row>
    <row r="44" spans="3:10" x14ac:dyDescent="0.25">
      <c r="D44" s="91"/>
      <c r="E44" s="2" t="str">
        <f>'Billing Detail'!D129</f>
        <v>Customer Charge</v>
      </c>
      <c r="F44" s="66">
        <f>'Billing Detail'!H129</f>
        <v>83.02</v>
      </c>
      <c r="G44" s="66">
        <f>'Billing Detail'!L129</f>
        <v>86.42</v>
      </c>
      <c r="J44" s="4">
        <f t="shared" si="0"/>
        <v>4.0953986991086655E-2</v>
      </c>
    </row>
    <row r="45" spans="3:10" x14ac:dyDescent="0.25">
      <c r="D45" s="91"/>
      <c r="E45" s="2" t="str">
        <f>'Billing Detail'!D130</f>
        <v>Energy Charge per kWh</v>
      </c>
      <c r="F45" s="76">
        <f>'Billing Detail'!H130</f>
        <v>7.5539999999999996E-2</v>
      </c>
      <c r="G45" s="76">
        <f>'Billing Detail'!L130</f>
        <v>7.8630000000000005E-2</v>
      </c>
      <c r="J45" s="4">
        <f t="shared" si="0"/>
        <v>4.0905480540111228E-2</v>
      </c>
    </row>
    <row r="46" spans="3:10" x14ac:dyDescent="0.25">
      <c r="C46" s="100" t="str">
        <f>'Billing Detail'!C141</f>
        <v>STL</v>
      </c>
      <c r="D46" s="91" t="str">
        <f>'Billing Detail'!B141</f>
        <v>Street Lighting</v>
      </c>
      <c r="F46" s="66"/>
      <c r="G46" s="66"/>
      <c r="J46" s="4"/>
    </row>
    <row r="47" spans="3:10" x14ac:dyDescent="0.25">
      <c r="D47" s="2"/>
      <c r="E47" s="25" t="s">
        <v>145</v>
      </c>
      <c r="F47" s="66">
        <f>'Billing Detail'!H142</f>
        <v>8.36</v>
      </c>
      <c r="G47" s="66">
        <f>'Billing Detail'!L142</f>
        <v>8.6999999999999993</v>
      </c>
      <c r="J47" s="4">
        <f t="shared" si="0"/>
        <v>4.0669856459330189E-2</v>
      </c>
    </row>
    <row r="48" spans="3:10" x14ac:dyDescent="0.25">
      <c r="D48" s="2"/>
      <c r="E48" s="25" t="s">
        <v>146</v>
      </c>
      <c r="F48" s="66">
        <f>'Billing Detail'!H144</f>
        <v>13.52</v>
      </c>
      <c r="G48" s="66">
        <f>'Billing Detail'!L144</f>
        <v>14.07</v>
      </c>
      <c r="J48" s="4">
        <f t="shared" si="0"/>
        <v>4.0680473372781023E-2</v>
      </c>
    </row>
    <row r="49" spans="3:10" x14ac:dyDescent="0.25">
      <c r="D49" s="2"/>
      <c r="E49" s="25" t="str">
        <f>'Billing Detail'!D148</f>
        <v>LED 10,500 Lumens</v>
      </c>
      <c r="F49" s="66">
        <f>'Billing Detail'!H148</f>
        <v>16.079999999999998</v>
      </c>
      <c r="G49" s="66">
        <f>'Billing Detail'!L148</f>
        <v>16.739999999999998</v>
      </c>
      <c r="J49" s="4">
        <f t="shared" si="0"/>
        <v>4.1044776119403048E-2</v>
      </c>
    </row>
    <row r="50" spans="3:10" x14ac:dyDescent="0.25">
      <c r="C50" s="100" t="str">
        <f>'Billing Detail'!C149</f>
        <v>DSTL</v>
      </c>
      <c r="D50" s="2" t="str">
        <f>'Billing Detail'!B149</f>
        <v>Decorative Street Lighting</v>
      </c>
    </row>
    <row r="51" spans="3:10" x14ac:dyDescent="0.25">
      <c r="D51" s="2"/>
      <c r="E51" s="25" t="str">
        <f>'Billing Detail'!D150</f>
        <v>Metal Halide Acorn 100-Watt Metered</v>
      </c>
      <c r="F51" s="66">
        <f>'Billing Detail'!H150</f>
        <v>7.81</v>
      </c>
      <c r="G51" s="66">
        <f>'Billing Detail'!L150</f>
        <v>8.1300000000000008</v>
      </c>
      <c r="J51" s="4">
        <f t="shared" si="0"/>
        <v>4.0973111395646855E-2</v>
      </c>
    </row>
    <row r="52" spans="3:10" x14ac:dyDescent="0.25">
      <c r="D52" s="2"/>
      <c r="E52" s="25" t="str">
        <f>'Billing Detail'!D151</f>
        <v>Sodium Cobra on Existing Pole</v>
      </c>
      <c r="F52" s="66">
        <f>'Billing Detail'!H151</f>
        <v>15.48</v>
      </c>
      <c r="G52" s="66">
        <f>'Billing Detail'!L151</f>
        <v>16.11</v>
      </c>
      <c r="J52" s="4">
        <f t="shared" si="0"/>
        <v>4.0697674418604501E-2</v>
      </c>
    </row>
    <row r="53" spans="3:10" x14ac:dyDescent="0.25">
      <c r="D53" s="2"/>
      <c r="E53" s="25" t="str">
        <f>'Billing Detail'!D152</f>
        <v>LED Cobra on Exisiting Pole</v>
      </c>
      <c r="F53" s="66">
        <f>'Billing Detail'!H152</f>
        <v>16.079999999999998</v>
      </c>
      <c r="G53" s="66">
        <f>'Billing Detail'!L152</f>
        <v>16.739999999999998</v>
      </c>
      <c r="J53" s="4">
        <f t="shared" si="0"/>
        <v>4.1044776119403048E-2</v>
      </c>
    </row>
    <row r="54" spans="3:10" x14ac:dyDescent="0.25">
      <c r="D54" s="2"/>
      <c r="E54" s="25" t="str">
        <f>'Billing Detail'!D153</f>
        <v>LED Cobra on Exisiting Pole Metered</v>
      </c>
      <c r="F54" s="66">
        <f>'Billing Detail'!H153</f>
        <v>13.22</v>
      </c>
      <c r="G54" s="66">
        <f>'Billing Detail'!L153</f>
        <v>13.76</v>
      </c>
      <c r="J54" s="4">
        <f t="shared" si="0"/>
        <v>4.0847201210287398E-2</v>
      </c>
    </row>
    <row r="55" spans="3:10" x14ac:dyDescent="0.25">
      <c r="D55" s="2"/>
      <c r="E55" s="25" t="str">
        <f>'Billing Detail'!D155</f>
        <v>Sodium Cobra on 30' Aluminum Pole</v>
      </c>
      <c r="F55" s="66">
        <f>'Billing Detail'!H155</f>
        <v>21.8</v>
      </c>
      <c r="G55" s="66">
        <f>'Billing Detail'!L155</f>
        <v>22.69</v>
      </c>
      <c r="J55" s="4">
        <f t="shared" si="0"/>
        <v>4.0825688073394595E-2</v>
      </c>
    </row>
    <row r="56" spans="3:10" x14ac:dyDescent="0.25">
      <c r="D56" s="2"/>
      <c r="E56" s="25" t="str">
        <f>'Billing Detail'!D156</f>
        <v>Sodium Cobra on 30' Aluminum Pole</v>
      </c>
      <c r="F56" s="66">
        <f>'Billing Detail'!H156</f>
        <v>24.07</v>
      </c>
      <c r="G56" s="66">
        <f>'Billing Detail'!L156</f>
        <v>25.06</v>
      </c>
      <c r="J56" s="4">
        <f t="shared" si="0"/>
        <v>4.1130037390943119E-2</v>
      </c>
    </row>
    <row r="57" spans="3:10" x14ac:dyDescent="0.25">
      <c r="D57" s="2"/>
      <c r="E57" s="25" t="str">
        <f>'Billing Detail'!D157</f>
        <v>14' Smooth Black Pole</v>
      </c>
      <c r="F57" s="66">
        <f>'Billing Detail'!H157</f>
        <v>11.62</v>
      </c>
      <c r="G57" s="66">
        <f>'Billing Detail'!L157</f>
        <v>12.1</v>
      </c>
      <c r="J57" s="4">
        <f t="shared" si="0"/>
        <v>4.1308089500860623E-2</v>
      </c>
    </row>
    <row r="58" spans="3:10" x14ac:dyDescent="0.25">
      <c r="D58" s="2"/>
      <c r="E58" s="25" t="str">
        <f>'Billing Detail'!D158</f>
        <v>14' Fluted Pole</v>
      </c>
      <c r="F58" s="66">
        <f>'Billing Detail'!H158</f>
        <v>15.04</v>
      </c>
      <c r="G58" s="66">
        <f>'Billing Detail'!L158</f>
        <v>15.66</v>
      </c>
      <c r="J58" s="4">
        <f t="shared" si="0"/>
        <v>4.1223404255319229E-2</v>
      </c>
    </row>
    <row r="59" spans="3:10" x14ac:dyDescent="0.25">
      <c r="D59" s="2"/>
      <c r="E59" s="25" t="str">
        <f>'Billing Detail'!D159</f>
        <v>LED 173 Watt Area</v>
      </c>
      <c r="F59" s="66">
        <f>'Billing Detail'!H159</f>
        <v>24.79</v>
      </c>
      <c r="G59" s="66">
        <f>'Billing Detail'!L159</f>
        <v>25.8</v>
      </c>
      <c r="J59" s="4">
        <f t="shared" si="0"/>
        <v>4.0742234772085606E-2</v>
      </c>
    </row>
    <row r="60" spans="3:10" x14ac:dyDescent="0.25">
      <c r="D60" s="2"/>
      <c r="E60" s="25" t="str">
        <f>'Billing Detail'!D161</f>
        <v>30' Square Steel Pole</v>
      </c>
      <c r="F60" s="66">
        <f>'Billing Detail'!H161</f>
        <v>17.239999999999998</v>
      </c>
      <c r="G60" s="66">
        <f>'Billing Detail'!L161</f>
        <v>17.95</v>
      </c>
      <c r="J60" s="4">
        <f t="shared" si="0"/>
        <v>4.1183294663573067E-2</v>
      </c>
    </row>
    <row r="61" spans="3:10" x14ac:dyDescent="0.25">
      <c r="D61" s="2"/>
      <c r="E61" s="25" t="str">
        <f>'Billing Detail'!D162</f>
        <v>Metal Halide Galleria 1000-Watt</v>
      </c>
      <c r="F61" s="66">
        <f>'Billing Detail'!H162</f>
        <v>35.619999999999997</v>
      </c>
      <c r="G61" s="66">
        <f>'Billing Detail'!L162</f>
        <v>37.08</v>
      </c>
      <c r="J61" s="4">
        <f t="shared" si="0"/>
        <v>4.0988208871420628E-2</v>
      </c>
    </row>
    <row r="62" spans="3:10" x14ac:dyDescent="0.25">
      <c r="D62" s="2"/>
      <c r="E62" s="25" t="str">
        <f>'Billing Detail'!D163</f>
        <v>Mercury Vapor on 8' Arm 400-Watt</v>
      </c>
      <c r="F62" s="66">
        <f>'Billing Detail'!H163</f>
        <v>17.93</v>
      </c>
      <c r="G62" s="66">
        <f>'Billing Detail'!L163</f>
        <v>18.66</v>
      </c>
      <c r="J62" s="4">
        <f t="shared" si="0"/>
        <v>4.0713887339654198E-2</v>
      </c>
    </row>
    <row r="63" spans="3:10" x14ac:dyDescent="0.25">
      <c r="D63" s="2"/>
      <c r="E63" s="25" t="str">
        <f>'Billing Detail'!D164</f>
        <v>Mercury Vapor on 12' Arm 400-Watt</v>
      </c>
      <c r="F63" s="66">
        <f>'Billing Detail'!H164</f>
        <v>21.05</v>
      </c>
      <c r="G63" s="66">
        <f>'Billing Detail'!L164</f>
        <v>21.91</v>
      </c>
      <c r="J63" s="4">
        <f t="shared" si="0"/>
        <v>4.0855106888360915E-2</v>
      </c>
    </row>
    <row r="64" spans="3:10" x14ac:dyDescent="0.25">
      <c r="D64" s="2"/>
      <c r="E64" s="25" t="str">
        <f>'Billing Detail'!D165</f>
        <v>Mercury Vapor on 16' Arm 400-Watt</v>
      </c>
      <c r="F64" s="66">
        <f>'Billing Detail'!H165</f>
        <v>22.03</v>
      </c>
      <c r="G64" s="66">
        <f>'Billing Detail'!L165</f>
        <v>22.93</v>
      </c>
      <c r="J64" s="4">
        <f t="shared" si="0"/>
        <v>4.0853381752156137E-2</v>
      </c>
    </row>
    <row r="65" spans="4:10" x14ac:dyDescent="0.25">
      <c r="D65" s="2"/>
      <c r="E65" s="25" t="str">
        <f>'Billing Detail'!D166</f>
        <v>Metal Halide Galleria 400-Watt</v>
      </c>
      <c r="F65" s="66">
        <f>'Billing Detail'!H166</f>
        <v>21.4</v>
      </c>
      <c r="G65" s="66">
        <f>'Billing Detail'!L166</f>
        <v>22.28</v>
      </c>
      <c r="J65" s="4">
        <f t="shared" si="0"/>
        <v>4.1121495327102853E-2</v>
      </c>
    </row>
    <row r="66" spans="4:10" x14ac:dyDescent="0.25">
      <c r="D66" s="2"/>
      <c r="E66" s="25" t="str">
        <f>'Billing Detail'!D167</f>
        <v>Metal Halide Lexington 100-Watt</v>
      </c>
      <c r="F66" s="66">
        <f>'Billing Detail'!H167</f>
        <v>8.16</v>
      </c>
      <c r="G66" s="66">
        <f>'Billing Detail'!L167</f>
        <v>8.49</v>
      </c>
      <c r="J66" s="4">
        <f t="shared" si="0"/>
        <v>4.0441176470588314E-2</v>
      </c>
    </row>
    <row r="67" spans="4:10" x14ac:dyDescent="0.25">
      <c r="D67" s="2"/>
      <c r="E67" s="25" t="str">
        <f>'Billing Detail'!D168</f>
        <v>Metal Halide Lexington 100-Watt Metered</v>
      </c>
      <c r="F67" s="66">
        <f>'Billing Detail'!H168</f>
        <v>5.7</v>
      </c>
      <c r="G67" s="66">
        <f>'Billing Detail'!L168</f>
        <v>5.93</v>
      </c>
      <c r="J67" s="4">
        <f t="shared" si="0"/>
        <v>4.035087719298236E-2</v>
      </c>
    </row>
    <row r="68" spans="4:10" x14ac:dyDescent="0.25">
      <c r="D68" s="2"/>
      <c r="E68" s="25" t="str">
        <f>'Billing Detail'!D169</f>
        <v xml:space="preserve">Metal Halide Acorn 100-Watt </v>
      </c>
      <c r="F68" s="66">
        <f>'Billing Detail'!H169</f>
        <v>10.33</v>
      </c>
      <c r="G68" s="66">
        <f>'Billing Detail'!L169</f>
        <v>10.75</v>
      </c>
      <c r="J68" s="4">
        <f t="shared" si="0"/>
        <v>4.0658276863504428E-2</v>
      </c>
    </row>
    <row r="69" spans="4:10" x14ac:dyDescent="0.25">
      <c r="D69" s="2"/>
      <c r="E69" s="25" t="str">
        <f>'Billing Detail'!D172</f>
        <v>Metal Halide Galleria 400-Watt Metered</v>
      </c>
      <c r="F69" s="66">
        <f>'Billing Detail'!H172</f>
        <v>12.29</v>
      </c>
      <c r="G69" s="66">
        <f>'Billing Detail'!L172</f>
        <v>12.79</v>
      </c>
      <c r="J69" s="4">
        <f t="shared" si="0"/>
        <v>4.0683482506102431E-2</v>
      </c>
    </row>
    <row r="70" spans="4:10" x14ac:dyDescent="0.25">
      <c r="D70" s="2"/>
      <c r="E70" s="25" t="str">
        <f>'Billing Detail'!D173</f>
        <v>Sodium Cobra on Existing Pole 15000 Lumens</v>
      </c>
      <c r="F70" s="66">
        <f>'Billing Detail'!H173</f>
        <v>10.16</v>
      </c>
      <c r="G70" s="66">
        <f>'Billing Detail'!L173</f>
        <v>10.58</v>
      </c>
      <c r="J70" s="4">
        <f t="shared" ref="J70" si="5">G70/F70-1</f>
        <v>4.1338582677165281E-2</v>
      </c>
    </row>
    <row r="71" spans="4:10" x14ac:dyDescent="0.25">
      <c r="D71" s="2"/>
      <c r="E71" s="25" t="str">
        <f>'Billing Detail'!D174</f>
        <v>Sodium Cobra on 30' Aluminum Pole 7000 L Unmet</v>
      </c>
      <c r="F71" s="66">
        <f>'Billing Detail'!H174</f>
        <v>18.73</v>
      </c>
      <c r="G71" s="66">
        <f>'Billing Detail'!L174</f>
        <v>19.5</v>
      </c>
      <c r="J71" s="4">
        <f t="shared" ref="J71:J80" si="6">G71/F71-1</f>
        <v>4.1110517885744713E-2</v>
      </c>
    </row>
    <row r="72" spans="4:10" x14ac:dyDescent="0.25">
      <c r="D72" s="2"/>
      <c r="E72" s="25" t="str">
        <f>'Billing Detail'!D175</f>
        <v>Sodium Cobra on 30' Aluminum Pole 15000 L Metd</v>
      </c>
      <c r="F72" s="66">
        <f>'Billing Detail'!H175</f>
        <v>16.32</v>
      </c>
      <c r="G72" s="66">
        <f>'Billing Detail'!L175</f>
        <v>16.989999999999998</v>
      </c>
      <c r="J72" s="4">
        <f t="shared" si="6"/>
        <v>4.1053921568627416E-2</v>
      </c>
    </row>
    <row r="73" spans="4:10" x14ac:dyDescent="0.25">
      <c r="D73" s="2"/>
      <c r="E73" s="25" t="str">
        <f>'Billing Detail'!D176</f>
        <v>Sodium Cobra on 30' Aluminum Pole 7000 L Metd</v>
      </c>
      <c r="F73" s="66">
        <f>'Billing Detail'!H176</f>
        <v>16.32</v>
      </c>
      <c r="G73" s="66">
        <f>'Billing Detail'!L176</f>
        <v>16.989999999999998</v>
      </c>
      <c r="J73" s="4">
        <f t="shared" si="6"/>
        <v>4.1053921568627416E-2</v>
      </c>
    </row>
    <row r="74" spans="4:10" x14ac:dyDescent="0.25">
      <c r="D74" s="2"/>
      <c r="E74" s="25" t="str">
        <f>'Billing Detail'!D177</f>
        <v>LED 173W Area Metered</v>
      </c>
      <c r="F74" s="66">
        <f>'Billing Detail'!H177</f>
        <v>20.440000000000001</v>
      </c>
      <c r="G74" s="66">
        <f>'Billing Detail'!L177</f>
        <v>21.28</v>
      </c>
      <c r="J74" s="4">
        <f t="shared" si="6"/>
        <v>4.1095890410958846E-2</v>
      </c>
    </row>
    <row r="75" spans="4:10" x14ac:dyDescent="0.25">
      <c r="D75" s="2"/>
      <c r="E75" s="25" t="str">
        <f>'Billing Detail'!D178</f>
        <v xml:space="preserve">1000 Watt Galleria Metered </v>
      </c>
      <c r="F75" s="66">
        <f>'Billing Detail'!H178</f>
        <v>14.37</v>
      </c>
      <c r="G75" s="66">
        <f>'Billing Detail'!L178</f>
        <v>14.96</v>
      </c>
      <c r="J75" s="4">
        <f t="shared" si="6"/>
        <v>4.1057759220598511E-2</v>
      </c>
    </row>
    <row r="76" spans="4:10" x14ac:dyDescent="0.25">
      <c r="D76" s="2"/>
      <c r="E76" s="25" t="str">
        <f>'Billing Detail'!D179</f>
        <v>250W Cobra HPS w/30' Aluminum Pole</v>
      </c>
      <c r="F76" s="66">
        <f>'Billing Detail'!H179</f>
        <v>24.07</v>
      </c>
      <c r="G76" s="66">
        <f>'Billing Detail'!L179</f>
        <v>25.06</v>
      </c>
      <c r="J76" s="4">
        <f t="shared" si="6"/>
        <v>4.1130037390943119E-2</v>
      </c>
    </row>
    <row r="77" spans="4:10" x14ac:dyDescent="0.25">
      <c r="D77" s="2"/>
      <c r="E77" s="25" t="str">
        <f>'Billing Detail'!D180</f>
        <v>400 W Cobra MV 8' Arm Metered</v>
      </c>
      <c r="F77" s="66">
        <f>'Billing Detail'!H180</f>
        <v>8.91</v>
      </c>
      <c r="G77" s="66">
        <f>'Billing Detail'!L180</f>
        <v>9.27</v>
      </c>
      <c r="J77" s="4">
        <f t="shared" si="6"/>
        <v>4.0404040404040442E-2</v>
      </c>
    </row>
    <row r="78" spans="4:10" x14ac:dyDescent="0.25">
      <c r="D78" s="2"/>
      <c r="E78" s="25" t="str">
        <f>'Billing Detail'!D181</f>
        <v>401 W Cobra MV 12' Arm Metered</v>
      </c>
      <c r="F78" s="66">
        <f>'Billing Detail'!H181</f>
        <v>11.96</v>
      </c>
      <c r="G78" s="66">
        <f>'Billing Detail'!L181</f>
        <v>12.45</v>
      </c>
      <c r="J78" s="4">
        <f t="shared" si="6"/>
        <v>4.0969899665551646E-2</v>
      </c>
    </row>
    <row r="79" spans="4:10" ht="13.8" customHeight="1" x14ac:dyDescent="0.25">
      <c r="D79" s="2"/>
      <c r="E79" s="25" t="str">
        <f>'Billing Detail'!D182</f>
        <v>402 W Cobra MV 16' Arm Metered</v>
      </c>
      <c r="F79" s="66">
        <f>'Billing Detail'!H182</f>
        <v>12.9</v>
      </c>
      <c r="G79" s="66">
        <f>'Billing Detail'!L182</f>
        <v>13.43</v>
      </c>
      <c r="J79" s="4">
        <f t="shared" si="6"/>
        <v>4.1085271317829353E-2</v>
      </c>
    </row>
    <row r="80" spans="4:10" ht="13.8" customHeight="1" x14ac:dyDescent="0.25">
      <c r="D80" s="2"/>
      <c r="E80" s="25" t="str">
        <f>'Billing Detail'!D183</f>
        <v>30' Aluminum Pole</v>
      </c>
      <c r="F80" s="66">
        <f>'Billing Detail'!H183</f>
        <v>26.27</v>
      </c>
      <c r="G80" s="66">
        <f>'Billing Detail'!L183</f>
        <v>27.35</v>
      </c>
      <c r="J80" s="4">
        <f t="shared" si="6"/>
        <v>4.1111534069280697E-2</v>
      </c>
    </row>
    <row r="81" spans="3:10" x14ac:dyDescent="0.25">
      <c r="C81" s="100" t="str">
        <f>'Billing Detail'!C184</f>
        <v>OLS</v>
      </c>
      <c r="D81" s="2" t="str">
        <f>'Billing Detail'!B184</f>
        <v>Outdoor Lighting/Security Lights</v>
      </c>
    </row>
    <row r="82" spans="3:10" x14ac:dyDescent="0.25">
      <c r="E82" s="25" t="str">
        <f>'Billing Detail'!D185</f>
        <v>M/Vapor Sec L</v>
      </c>
      <c r="F82" s="66">
        <f>'Billing Detail'!H185</f>
        <v>10.32</v>
      </c>
      <c r="G82" s="66">
        <f>'Billing Detail'!L185</f>
        <v>10.74</v>
      </c>
      <c r="J82" s="4">
        <f t="shared" si="0"/>
        <v>4.0697674418604723E-2</v>
      </c>
    </row>
    <row r="83" spans="3:10" x14ac:dyDescent="0.25">
      <c r="E83" s="25" t="str">
        <f>'Billing Detail'!D187</f>
        <v>M/Vapor Sec L - Metered</v>
      </c>
      <c r="F83" s="66">
        <f>'Billing Detail'!H187</f>
        <v>7.51</v>
      </c>
      <c r="G83" s="66">
        <f>'Billing Detail'!L187</f>
        <v>7.82</v>
      </c>
      <c r="J83" s="4">
        <f t="shared" si="0"/>
        <v>4.1278295605858828E-2</v>
      </c>
    </row>
    <row r="84" spans="3:10" x14ac:dyDescent="0.25">
      <c r="E84" s="25" t="str">
        <f>'Billing Detail'!D189</f>
        <v>Sodium Sec L</v>
      </c>
      <c r="F84" s="66">
        <f>'Billing Detail'!H189</f>
        <v>10.32</v>
      </c>
      <c r="G84" s="66">
        <f>'Billing Detail'!L189</f>
        <v>10.74</v>
      </c>
      <c r="J84" s="4">
        <f t="shared" si="0"/>
        <v>4.0697674418604723E-2</v>
      </c>
    </row>
    <row r="85" spans="3:10" x14ac:dyDescent="0.25">
      <c r="E85" s="25" t="str">
        <f>'Billing Detail'!D191</f>
        <v>Sodium Sec L - Metered</v>
      </c>
      <c r="F85" s="66">
        <f>'Billing Detail'!H191</f>
        <v>7.51</v>
      </c>
      <c r="G85" s="66">
        <f>'Billing Detail'!L191</f>
        <v>7.82</v>
      </c>
      <c r="J85" s="4">
        <f t="shared" ref="J85:J100" si="7">G85/F85-1</f>
        <v>4.1278295605858828E-2</v>
      </c>
    </row>
    <row r="86" spans="3:10" x14ac:dyDescent="0.25">
      <c r="E86" s="25" t="str">
        <f>'Billing Detail'!D193</f>
        <v xml:space="preserve">LED Sec L </v>
      </c>
      <c r="F86" s="66">
        <f>'Billing Detail'!H193</f>
        <v>13.24</v>
      </c>
      <c r="G86" s="66">
        <f>'Billing Detail'!L193</f>
        <v>13.78</v>
      </c>
      <c r="J86" s="4">
        <f t="shared" si="7"/>
        <v>4.0785498489425809E-2</v>
      </c>
    </row>
    <row r="87" spans="3:10" x14ac:dyDescent="0.25">
      <c r="E87" s="25" t="str">
        <f>'Billing Detail'!D194</f>
        <v>LED Sec L - Metered</v>
      </c>
      <c r="F87" s="66">
        <f>'Billing Detail'!H194</f>
        <v>11.55</v>
      </c>
      <c r="G87" s="66">
        <f>'Billing Detail'!L194</f>
        <v>12.02</v>
      </c>
      <c r="J87" s="4">
        <f t="shared" si="7"/>
        <v>4.0692640692640669E-2</v>
      </c>
    </row>
    <row r="88" spans="3:10" x14ac:dyDescent="0.25">
      <c r="E88" s="25" t="str">
        <f>'Billing Detail'!D195</f>
        <v>LED Dir Flood 200 Watt</v>
      </c>
      <c r="F88" s="66">
        <f>'Billing Detail'!H195</f>
        <v>22.93</v>
      </c>
      <c r="G88" s="66">
        <f>'Billing Detail'!L195</f>
        <v>23.87</v>
      </c>
      <c r="J88" s="4">
        <f t="shared" si="7"/>
        <v>4.0994330571304083E-2</v>
      </c>
    </row>
    <row r="89" spans="3:10" x14ac:dyDescent="0.25">
      <c r="E89" s="25" t="str">
        <f>'Billing Detail'!D196</f>
        <v>LED Dir Flood 200 Watt- Metered</v>
      </c>
      <c r="F89" s="66">
        <f>'Billing Detail'!H196</f>
        <v>17.63</v>
      </c>
      <c r="G89" s="66">
        <f>'Billing Detail'!L196</f>
        <v>18.350000000000001</v>
      </c>
      <c r="J89" s="4">
        <f t="shared" si="7"/>
        <v>4.0839478162223664E-2</v>
      </c>
    </row>
    <row r="90" spans="3:10" x14ac:dyDescent="0.25">
      <c r="E90" s="25" t="str">
        <f>'Billing Detail'!D197</f>
        <v>LED Dir Flood 391 Watt</v>
      </c>
      <c r="F90" s="66">
        <f>'Billing Detail'!H197</f>
        <v>35.090000000000003</v>
      </c>
      <c r="G90" s="66">
        <f>'Billing Detail'!L197</f>
        <v>36.53</v>
      </c>
      <c r="J90" s="4">
        <f t="shared" si="7"/>
        <v>4.1037332573382601E-2</v>
      </c>
    </row>
    <row r="91" spans="3:10" x14ac:dyDescent="0.25">
      <c r="E91" s="25" t="str">
        <f>'Billing Detail'!D198</f>
        <v>LED Dir Flood 391 Watt - Metered</v>
      </c>
      <c r="F91" s="66">
        <f>'Billing Detail'!H198</f>
        <v>25.28</v>
      </c>
      <c r="G91" s="66">
        <f>'Billing Detail'!L198</f>
        <v>26.31</v>
      </c>
      <c r="J91" s="4">
        <f t="shared" si="7"/>
        <v>4.0743670886075778E-2</v>
      </c>
    </row>
    <row r="92" spans="3:10" x14ac:dyDescent="0.25">
      <c r="E92" s="25" t="str">
        <f>'Billing Detail'!D199</f>
        <v>Sodium Dir 250-Watt</v>
      </c>
      <c r="F92" s="66">
        <f>'Billing Detail'!H199</f>
        <v>16.48</v>
      </c>
      <c r="G92" s="66">
        <f>'Billing Detail'!L199</f>
        <v>17.149999999999999</v>
      </c>
      <c r="J92" s="4">
        <f t="shared" si="7"/>
        <v>4.0655339805825141E-2</v>
      </c>
    </row>
    <row r="93" spans="3:10" x14ac:dyDescent="0.25">
      <c r="E93" s="25" t="str">
        <f>'Billing Detail'!D201</f>
        <v>Sodium Dir 250-Watt - Metered</v>
      </c>
      <c r="F93" s="66">
        <f>'Billing Detail'!H201</f>
        <v>9.5299999999999994</v>
      </c>
      <c r="G93" s="66">
        <f>'Billing Detail'!L201</f>
        <v>9.92</v>
      </c>
      <c r="J93" s="4">
        <f t="shared" si="7"/>
        <v>4.0923399790136372E-2</v>
      </c>
    </row>
    <row r="94" spans="3:10" x14ac:dyDescent="0.25">
      <c r="E94" s="25" t="str">
        <f>'Billing Detail'!D203</f>
        <v>Metal Halide Dir 250-Watt</v>
      </c>
      <c r="F94" s="66">
        <f>'Billing Detail'!H203</f>
        <v>17.88</v>
      </c>
      <c r="G94" s="66">
        <f>'Billing Detail'!L203</f>
        <v>18.61</v>
      </c>
      <c r="J94" s="4">
        <f t="shared" si="7"/>
        <v>4.0827740492169973E-2</v>
      </c>
    </row>
    <row r="95" spans="3:10" x14ac:dyDescent="0.25">
      <c r="E95" s="25" t="str">
        <f>'Billing Detail'!D204</f>
        <v>Metal Halide Dir 250-Watt - Metered</v>
      </c>
      <c r="F95" s="66">
        <f>'Billing Detail'!H204</f>
        <v>10.61</v>
      </c>
      <c r="G95" s="66">
        <f>'Billing Detail'!L204</f>
        <v>11.04</v>
      </c>
      <c r="J95" s="4">
        <f t="shared" si="7"/>
        <v>4.0527803958529729E-2</v>
      </c>
    </row>
    <row r="96" spans="3:10" x14ac:dyDescent="0.25">
      <c r="E96" s="25" t="str">
        <f>'Billing Detail'!D205</f>
        <v>Metal Halide Dir 400-Watt</v>
      </c>
      <c r="F96" s="66">
        <f>'Billing Detail'!H205</f>
        <v>22.18</v>
      </c>
      <c r="G96" s="66">
        <f>'Billing Detail'!L205</f>
        <v>23.09</v>
      </c>
      <c r="J96" s="4">
        <f t="shared" si="7"/>
        <v>4.1027953110910786E-2</v>
      </c>
    </row>
    <row r="97" spans="3:10" x14ac:dyDescent="0.25">
      <c r="E97" s="25" t="str">
        <f>'Billing Detail'!D207</f>
        <v>Metal Halide Dir 400-Watt - Metered</v>
      </c>
      <c r="F97" s="66">
        <f>'Billing Detail'!H207</f>
        <v>10.61</v>
      </c>
      <c r="G97" s="66">
        <f>'Billing Detail'!L207</f>
        <v>11.04</v>
      </c>
      <c r="J97" s="4">
        <f t="shared" si="7"/>
        <v>4.0527803958529729E-2</v>
      </c>
    </row>
    <row r="98" spans="3:10" x14ac:dyDescent="0.25">
      <c r="E98" s="25" t="str">
        <f>'Billing Detail'!D209</f>
        <v>Metal Halide Dir 1000-Watt</v>
      </c>
      <c r="F98" s="66">
        <f>'Billing Detail'!H209</f>
        <v>38.950000000000003</v>
      </c>
      <c r="G98" s="66">
        <f>'Billing Detail'!L209</f>
        <v>40.54</v>
      </c>
      <c r="J98" s="4">
        <f t="shared" si="7"/>
        <v>4.0821566110397889E-2</v>
      </c>
    </row>
    <row r="99" spans="3:10" x14ac:dyDescent="0.25">
      <c r="E99" s="25" t="str">
        <f>'Billing Detail'!D210</f>
        <v>Metal Halide Dir 1000-Watt - Metered</v>
      </c>
      <c r="F99" s="66">
        <f>'Billing Detail'!H210</f>
        <v>11.85</v>
      </c>
      <c r="G99" s="66">
        <f>'Billing Detail'!L210</f>
        <v>12.34</v>
      </c>
      <c r="J99" s="4">
        <f t="shared" si="7"/>
        <v>4.1350210970464207E-2</v>
      </c>
    </row>
    <row r="100" spans="3:10" x14ac:dyDescent="0.25">
      <c r="E100" s="25" t="str">
        <f>'Billing Detail'!D212</f>
        <v>Metal Halide Dir 250-Watt</v>
      </c>
      <c r="F100" s="66">
        <f>'Billing Detail'!H212</f>
        <v>17.88</v>
      </c>
      <c r="G100" s="66">
        <f>'Billing Detail'!L212</f>
        <v>18.61</v>
      </c>
      <c r="J100" s="4">
        <f t="shared" si="7"/>
        <v>4.0827740492169973E-2</v>
      </c>
    </row>
    <row r="101" spans="3:10" x14ac:dyDescent="0.25">
      <c r="F101" s="66"/>
      <c r="G101" s="66"/>
    </row>
    <row r="102" spans="3:10" x14ac:dyDescent="0.25">
      <c r="F102" s="66"/>
      <c r="G102" s="66"/>
    </row>
    <row r="103" spans="3:10" ht="41.4" customHeight="1" x14ac:dyDescent="0.25">
      <c r="C103" s="157" t="s">
        <v>54</v>
      </c>
      <c r="D103" s="157"/>
      <c r="E103" s="157"/>
      <c r="F103" s="157"/>
      <c r="G103" s="157"/>
    </row>
    <row r="104" spans="3:10" x14ac:dyDescent="0.25">
      <c r="D104" s="2"/>
      <c r="F104" s="158" t="s">
        <v>55</v>
      </c>
      <c r="G104" s="158"/>
    </row>
    <row r="105" spans="3:10" x14ac:dyDescent="0.25">
      <c r="C105" s="101" t="s">
        <v>56</v>
      </c>
      <c r="D105" s="78"/>
      <c r="E105" s="79"/>
      <c r="F105" s="80" t="s">
        <v>57</v>
      </c>
      <c r="G105" s="80" t="s">
        <v>58</v>
      </c>
    </row>
    <row r="106" spans="3:10" x14ac:dyDescent="0.25">
      <c r="C106" s="102" t="str">
        <f>Summary!C8</f>
        <v xml:space="preserve">A </v>
      </c>
      <c r="D106" s="3" t="str">
        <f>Summary!B8</f>
        <v>Residential, Farm and Non-Farm Service</v>
      </c>
      <c r="F106" s="81">
        <f>Summary!L8</f>
        <v>3016672.7857700009</v>
      </c>
      <c r="G106" s="82">
        <f>Summary!N8</f>
        <v>3.7645210449505605E-2</v>
      </c>
    </row>
    <row r="107" spans="3:10" x14ac:dyDescent="0.25">
      <c r="C107" s="102" t="str">
        <f>Summary!C9</f>
        <v>A-ETS</v>
      </c>
      <c r="D107" s="3" t="str">
        <f>Summary!B9</f>
        <v>Residential, Farm and Non-Farm Service (ETS)</v>
      </c>
      <c r="F107" s="81">
        <f>Summary!L9</f>
        <v>13797.772969999991</v>
      </c>
      <c r="G107" s="82">
        <f>Summary!N9</f>
        <v>3.8169888328169338E-2</v>
      </c>
      <c r="H107" s="1"/>
    </row>
    <row r="108" spans="3:10" x14ac:dyDescent="0.25">
      <c r="C108" s="102" t="str">
        <f>Summary!C10</f>
        <v>B</v>
      </c>
      <c r="D108" s="3" t="str">
        <f>Summary!B10</f>
        <v>Small Commercial Rate</v>
      </c>
      <c r="F108" s="81">
        <f>Summary!L10</f>
        <v>320579.36474000011</v>
      </c>
      <c r="G108" s="82">
        <f>Summary!N10</f>
        <v>3.7779840134257663E-2</v>
      </c>
      <c r="H108" s="1"/>
    </row>
    <row r="109" spans="3:10" x14ac:dyDescent="0.25">
      <c r="C109" s="102" t="str">
        <f>Summary!C11</f>
        <v>B-ETS</v>
      </c>
      <c r="D109" s="3" t="str">
        <f>Summary!B11</f>
        <v>Small Commercial Rate (ETS)</v>
      </c>
      <c r="F109" s="81">
        <f>Summary!L11</f>
        <v>78.011099999999942</v>
      </c>
      <c r="G109" s="82">
        <f>Summary!N11</f>
        <v>3.8149622214767663E-2</v>
      </c>
      <c r="H109" s="1"/>
    </row>
    <row r="110" spans="3:10" x14ac:dyDescent="0.25">
      <c r="C110" s="102" t="str">
        <f>Summary!C12</f>
        <v>LP</v>
      </c>
      <c r="D110" s="3" t="str">
        <f>Summary!B12</f>
        <v>Large Power Rate (Excess of 50 kVA)</v>
      </c>
      <c r="F110" s="81">
        <f>Summary!L12</f>
        <v>634660.9872100018</v>
      </c>
      <c r="G110" s="82">
        <f>Summary!N12</f>
        <v>3.8246362314729616E-2</v>
      </c>
      <c r="H110" s="1"/>
    </row>
    <row r="111" spans="3:10" x14ac:dyDescent="0.25">
      <c r="C111" s="102" t="str">
        <f>Summary!C13</f>
        <v>LP-1</v>
      </c>
      <c r="D111" s="3" t="str">
        <f>Summary!B13</f>
        <v>Large Power Rate (500 KW to 4,999 KW)</v>
      </c>
      <c r="F111" s="81">
        <f>Summary!L13</f>
        <v>95394.954350000175</v>
      </c>
      <c r="G111" s="82">
        <f>Summary!N13</f>
        <v>3.8244165845972837E-2</v>
      </c>
      <c r="H111" s="1"/>
    </row>
    <row r="112" spans="3:10" x14ac:dyDescent="0.25">
      <c r="C112" s="102" t="str">
        <f>Summary!C14</f>
        <v>LP-2</v>
      </c>
      <c r="D112" s="3" t="str">
        <f>Summary!B14</f>
        <v>Large Power Rate (5,000 KW to 9,999 KW)</v>
      </c>
      <c r="F112" s="81">
        <f>Summary!L14</f>
        <v>149352.57135000022</v>
      </c>
      <c r="G112" s="82">
        <f>Summary!N14</f>
        <v>3.866427879872715E-2</v>
      </c>
      <c r="H112" s="1"/>
    </row>
    <row r="113" spans="3:8" x14ac:dyDescent="0.25">
      <c r="C113" s="102" t="str">
        <f>Summary!C15</f>
        <v>LP-3</v>
      </c>
      <c r="D113" s="3" t="str">
        <f>Summary!B15</f>
        <v>Large Power Rate (500 KW to 2,999 KW)</v>
      </c>
      <c r="F113" s="81">
        <f>Summary!L15</f>
        <v>170985.20176000032</v>
      </c>
      <c r="G113" s="82">
        <f>Summary!N15</f>
        <v>3.8575225790766665E-2</v>
      </c>
      <c r="H113" s="1"/>
    </row>
    <row r="114" spans="3:8" x14ac:dyDescent="0.25">
      <c r="C114" s="102" t="str">
        <f>Summary!C16</f>
        <v>OPS</v>
      </c>
      <c r="D114" s="3" t="str">
        <f>Summary!B16</f>
        <v>Optional Power Service</v>
      </c>
      <c r="F114" s="81">
        <f>Summary!L16</f>
        <v>61441.300300000046</v>
      </c>
      <c r="G114" s="82">
        <f>Summary!N16</f>
        <v>3.7773511726569502E-2</v>
      </c>
      <c r="H114" s="1"/>
    </row>
    <row r="115" spans="3:8" x14ac:dyDescent="0.25">
      <c r="C115" s="102" t="str">
        <f>Summary!C17</f>
        <v>AES</v>
      </c>
      <c r="D115" s="3" t="str">
        <f>Summary!B17</f>
        <v>All Electric Schools</v>
      </c>
      <c r="F115" s="81">
        <f>Summary!L17</f>
        <v>32854.673800000062</v>
      </c>
      <c r="G115" s="82">
        <f>Summary!N17</f>
        <v>3.8148085929620837E-2</v>
      </c>
      <c r="H115" s="1"/>
    </row>
    <row r="116" spans="3:8" x14ac:dyDescent="0.25">
      <c r="C116" s="102" t="str">
        <f>Summary!C18</f>
        <v>STL-DSTL-OLS</v>
      </c>
      <c r="D116" s="3" t="str">
        <f>Summary!B18</f>
        <v>Lighting</v>
      </c>
      <c r="F116" s="81">
        <f>Summary!L18</f>
        <v>151268.70999999903</v>
      </c>
      <c r="G116" s="82">
        <f>Summary!N18</f>
        <v>3.7294556479610934E-2</v>
      </c>
      <c r="H116" s="1"/>
    </row>
    <row r="117" spans="3:8" x14ac:dyDescent="0.25">
      <c r="C117" s="103" t="s">
        <v>59</v>
      </c>
      <c r="D117" s="83"/>
      <c r="E117" s="83"/>
      <c r="F117" s="84">
        <f>Summary!L30</f>
        <v>4647086.3333499879</v>
      </c>
      <c r="G117" s="85">
        <f>Summary!N30</f>
        <v>3.7808588311749519E-2</v>
      </c>
    </row>
    <row r="118" spans="3:8" x14ac:dyDescent="0.25">
      <c r="C118" s="102"/>
      <c r="D118" s="2"/>
      <c r="F118" s="86"/>
      <c r="G118" s="87"/>
    </row>
    <row r="119" spans="3:8" x14ac:dyDescent="0.25">
      <c r="D119" s="2"/>
    </row>
    <row r="120" spans="3:8" ht="40.200000000000003" customHeight="1" x14ac:dyDescent="0.25">
      <c r="C120" s="157" t="s">
        <v>60</v>
      </c>
      <c r="D120" s="157"/>
      <c r="E120" s="157"/>
      <c r="F120" s="157"/>
      <c r="G120" s="157"/>
      <c r="H120" s="157"/>
    </row>
    <row r="121" spans="3:8" x14ac:dyDescent="0.25">
      <c r="D121" s="2"/>
      <c r="E121" s="88" t="s">
        <v>18</v>
      </c>
      <c r="F121" s="158" t="s">
        <v>55</v>
      </c>
      <c r="G121" s="158"/>
    </row>
    <row r="122" spans="3:8" x14ac:dyDescent="0.25">
      <c r="C122" s="101" t="s">
        <v>56</v>
      </c>
      <c r="D122" s="79"/>
      <c r="E122" s="89" t="s">
        <v>61</v>
      </c>
      <c r="F122" s="80" t="s">
        <v>57</v>
      </c>
      <c r="G122" s="80" t="s">
        <v>58</v>
      </c>
    </row>
    <row r="123" spans="3:8" x14ac:dyDescent="0.25">
      <c r="C123" s="37" t="str">
        <f>Summary!C8</f>
        <v xml:space="preserve">A </v>
      </c>
      <c r="D123" s="95" t="str">
        <f>Summary!B8</f>
        <v>Residential, Farm and Non-Farm Service</v>
      </c>
      <c r="E123" s="90">
        <f>'Billing Detail'!E17</f>
        <v>1041.3187696212237</v>
      </c>
      <c r="F123" s="92">
        <f>'Billing Detail'!N17</f>
        <v>3.9875915028386686</v>
      </c>
      <c r="G123" s="98">
        <f>Summary!N8</f>
        <v>3.7645210449505605E-2</v>
      </c>
    </row>
    <row r="124" spans="3:8" x14ac:dyDescent="0.25">
      <c r="C124" s="37" t="str">
        <f>Summary!C9</f>
        <v>A-ETS</v>
      </c>
      <c r="D124" s="95" t="str">
        <f>Summary!B9</f>
        <v>Residential, Farm and Non-Farm Service (ETS)</v>
      </c>
      <c r="E124" s="90">
        <f>'Billing Detail'!E29</f>
        <v>364.94244008159103</v>
      </c>
      <c r="F124" s="92">
        <f>'Billing Detail'!N29</f>
        <v>0.87951128059663375</v>
      </c>
      <c r="G124" s="98">
        <f>Summary!N9</f>
        <v>3.8169888328169338E-2</v>
      </c>
    </row>
    <row r="125" spans="3:8" x14ac:dyDescent="0.25">
      <c r="C125" s="37" t="str">
        <f>Summary!C10</f>
        <v>B</v>
      </c>
      <c r="D125" s="95" t="str">
        <f>Summary!B10</f>
        <v>Small Commercial Rate</v>
      </c>
      <c r="E125" s="90">
        <f>'Billing Detail'!E41</f>
        <v>1282.9411420740064</v>
      </c>
      <c r="F125" s="92">
        <f>'Billing Detail'!N41</f>
        <v>5.8580057513019881</v>
      </c>
      <c r="G125" s="98">
        <f>Summary!N10</f>
        <v>3.7779840134257663E-2</v>
      </c>
    </row>
    <row r="126" spans="3:8" x14ac:dyDescent="0.25">
      <c r="C126" s="37" t="str">
        <f>Summary!C11</f>
        <v>B-ETS</v>
      </c>
      <c r="D126" s="95" t="str">
        <f>Summary!B11</f>
        <v>Small Commercial Rate (ETS)</v>
      </c>
      <c r="E126" s="90">
        <f>'Billing Detail'!E53</f>
        <v>332.10344827586209</v>
      </c>
      <c r="F126" s="92">
        <f>'Billing Detail'!N53</f>
        <v>0.89667931034482429</v>
      </c>
      <c r="G126" s="98">
        <f>Summary!N11</f>
        <v>3.8149622214767663E-2</v>
      </c>
    </row>
    <row r="127" spans="3:8" x14ac:dyDescent="0.25">
      <c r="C127" s="37" t="str">
        <f>Summary!C12</f>
        <v>LP</v>
      </c>
      <c r="D127" s="95" t="str">
        <f>Summary!B12</f>
        <v>Large Power Rate (Excess of 50 kVA)</v>
      </c>
      <c r="E127" s="90">
        <f>'Billing Detail'!E66</f>
        <v>37706.370536585368</v>
      </c>
      <c r="F127" s="92">
        <f>'Billing Detail'!N66</f>
        <v>123.83629018731745</v>
      </c>
      <c r="G127" s="98">
        <f>Summary!N12</f>
        <v>3.8246362314729616E-2</v>
      </c>
    </row>
    <row r="128" spans="3:8" x14ac:dyDescent="0.25">
      <c r="C128" s="37" t="str">
        <f>Summary!C13</f>
        <v>LP-1</v>
      </c>
      <c r="D128" s="95" t="str">
        <f>Summary!B13</f>
        <v>Large Power Rate (500 KW to 4,999 KW)</v>
      </c>
      <c r="E128" s="90">
        <f>'Billing Detail'!E82</f>
        <v>1868668.2631578948</v>
      </c>
      <c r="F128" s="92">
        <f>'Billing Detail'!N82</f>
        <v>5020.7870710526186</v>
      </c>
      <c r="G128" s="98">
        <f>Summary!N13</f>
        <v>3.8244165845972837E-2</v>
      </c>
    </row>
    <row r="129" spans="3:7" x14ac:dyDescent="0.25">
      <c r="C129" s="37" t="str">
        <f>Summary!C14</f>
        <v>LP-2</v>
      </c>
      <c r="D129" s="95" t="str">
        <f>Summary!B14</f>
        <v>Large Power Rate (5,000 KW to 9,999 KW)</v>
      </c>
      <c r="E129" s="90">
        <f>'Billing Detail'!E98</f>
        <v>3620603.2352941176</v>
      </c>
      <c r="F129" s="92">
        <f>'Billing Detail'!N98</f>
        <v>8785.4453735294519</v>
      </c>
      <c r="G129" s="98">
        <f>Summary!N14</f>
        <v>3.866427879872715E-2</v>
      </c>
    </row>
    <row r="130" spans="3:7" x14ac:dyDescent="0.25">
      <c r="C130" s="37" t="str">
        <f>Summary!C15</f>
        <v>LP-3</v>
      </c>
      <c r="D130" s="95" t="str">
        <f>Summary!B15</f>
        <v>Large Power Rate (500 KW to 2,999 KW)</v>
      </c>
      <c r="E130" s="90">
        <f>'Billing Detail'!E114</f>
        <v>705084.41666666663</v>
      </c>
      <c r="F130" s="92">
        <f>'Billing Detail'!N114</f>
        <v>1781.0958516666724</v>
      </c>
      <c r="G130" s="98">
        <f>Summary!N15</f>
        <v>3.8575225790766665E-2</v>
      </c>
    </row>
    <row r="131" spans="3:7" x14ac:dyDescent="0.25">
      <c r="C131" s="37" t="str">
        <f>Summary!C16</f>
        <v>OPS</v>
      </c>
      <c r="D131" s="95" t="str">
        <f>Summary!B16</f>
        <v>Optional Power Service</v>
      </c>
      <c r="E131" s="90">
        <f>'Billing Detail'!E126</f>
        <v>7034.280040221217</v>
      </c>
      <c r="F131" s="92">
        <f>'Billing Detail'!N126</f>
        <v>30.890548164906818</v>
      </c>
      <c r="G131" s="98">
        <f>Summary!N16</f>
        <v>3.7773511726569502E-2</v>
      </c>
    </row>
    <row r="132" spans="3:7" x14ac:dyDescent="0.25">
      <c r="C132" s="37" t="str">
        <f>Summary!C17</f>
        <v>AES</v>
      </c>
      <c r="D132" s="95" t="str">
        <f>Summary!B17</f>
        <v>All Electric Schools</v>
      </c>
      <c r="E132" s="90">
        <f>'Billing Detail'!E138</f>
        <v>55758.395721925132</v>
      </c>
      <c r="F132" s="92">
        <f>'Billing Detail'!N138</f>
        <v>175.69344278074914</v>
      </c>
      <c r="G132" s="98">
        <f>Summary!N17</f>
        <v>3.8148085929620837E-2</v>
      </c>
    </row>
    <row r="133" spans="3:7" x14ac:dyDescent="0.25">
      <c r="C133" s="37" t="str">
        <f>Summary!C18</f>
        <v>STL-DSTL-OLS</v>
      </c>
      <c r="D133" s="95" t="str">
        <f>Summary!B18</f>
        <v>Lighting</v>
      </c>
      <c r="E133" s="93" t="s">
        <v>62</v>
      </c>
      <c r="F133" s="92" t="s">
        <v>62</v>
      </c>
      <c r="G133" s="98">
        <f>Summary!N18</f>
        <v>3.7294556479610934E-2</v>
      </c>
    </row>
  </sheetData>
  <mergeCells count="4">
    <mergeCell ref="C103:G103"/>
    <mergeCell ref="F104:G104"/>
    <mergeCell ref="C120:H120"/>
    <mergeCell ref="F121:G121"/>
  </mergeCells>
  <printOptions horizontalCentered="1"/>
  <pageMargins left="0.7" right="0.7" top="0.75" bottom="0.75" header="0.3" footer="0.3"/>
  <pageSetup paperSize="9" scale="74" fitToHeight="2" orientation="portrait" r:id="rId1"/>
  <headerFooter>
    <oddHeader>&amp;R&amp;"Arial,Bold"&amp;10Exhibit 2
Page &amp;P of &amp;N</oddHeader>
  </headerFooter>
  <rowBreaks count="1" manualBreakCount="1">
    <brk id="4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2021-05-26T16:28:29Z</cp:lastPrinted>
  <dcterms:created xsi:type="dcterms:W3CDTF">2021-02-09T02:13:44Z</dcterms:created>
  <dcterms:modified xsi:type="dcterms:W3CDTF">2021-05-26T16:35:09Z</dcterms:modified>
</cp:coreProperties>
</file>