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w\Documents\CATALYST Consulting\Clients\EKPC\A_EKPC 2021 Rate Case - PassThru Cases\Shelby\Analysis\"/>
    </mc:Choice>
  </mc:AlternateContent>
  <xr:revisionPtr revIDLastSave="0" documentId="13_ncr:1_{BAE8DF17-9F84-4A65-BB90-E3E2B274C612}" xr6:coauthVersionLast="47" xr6:coauthVersionMax="47" xr10:uidLastSave="{00000000-0000-0000-0000-000000000000}"/>
  <bookViews>
    <workbookView xWindow="-108" yWindow="-108" windowWidth="23256" windowHeight="12576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Detail'!$A$1:$R$141</definedName>
    <definedName name="_xlnm.Print_Area" localSheetId="2">'Notice Table'!$A$1:$G$68</definedName>
    <definedName name="_xlnm.Print_Area" localSheetId="0">Summary!$A$1:$O$29</definedName>
    <definedName name="_xlnm.Print_Titles" localSheetId="1">'Billing Detail'!$1:$5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3" i="1" l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I76" i="1"/>
  <c r="I62" i="1"/>
  <c r="I48" i="1"/>
  <c r="I35" i="1"/>
  <c r="I22" i="1"/>
  <c r="G12" i="1" l="1"/>
  <c r="G11" i="1"/>
  <c r="I11" i="1" s="1"/>
  <c r="E9" i="1"/>
  <c r="E8" i="1"/>
  <c r="E25" i="3" l="1"/>
  <c r="F25" i="3"/>
  <c r="E26" i="3"/>
  <c r="F26" i="3"/>
  <c r="E27" i="3"/>
  <c r="F27" i="3"/>
  <c r="E20" i="3"/>
  <c r="F20" i="3"/>
  <c r="E21" i="3"/>
  <c r="F21" i="3"/>
  <c r="E22" i="3"/>
  <c r="F22" i="3"/>
  <c r="E19" i="3"/>
  <c r="F19" i="3"/>
  <c r="E16" i="3"/>
  <c r="F16" i="3"/>
  <c r="E17" i="3"/>
  <c r="F17" i="3"/>
  <c r="E66" i="3"/>
  <c r="F66" i="3"/>
  <c r="E67" i="3"/>
  <c r="F67" i="3"/>
  <c r="E68" i="3"/>
  <c r="F68" i="3"/>
  <c r="F65" i="3"/>
  <c r="E65" i="3"/>
  <c r="D64" i="3"/>
  <c r="C64" i="3"/>
  <c r="E62" i="3"/>
  <c r="F62" i="3"/>
  <c r="E63" i="3"/>
  <c r="F63" i="3"/>
  <c r="F61" i="3"/>
  <c r="E61" i="3"/>
  <c r="D60" i="3"/>
  <c r="C60" i="3"/>
  <c r="E58" i="3"/>
  <c r="F58" i="3"/>
  <c r="E59" i="3"/>
  <c r="F59" i="3"/>
  <c r="F57" i="3"/>
  <c r="E57" i="3"/>
  <c r="D56" i="3"/>
  <c r="C56" i="3"/>
  <c r="E52" i="3"/>
  <c r="F52" i="3"/>
  <c r="E53" i="3"/>
  <c r="F53" i="3"/>
  <c r="E54" i="3"/>
  <c r="F54" i="3"/>
  <c r="E55" i="3"/>
  <c r="F55" i="3"/>
  <c r="F51" i="3"/>
  <c r="E51" i="3"/>
  <c r="D50" i="3"/>
  <c r="C50" i="3"/>
  <c r="F49" i="3"/>
  <c r="E49" i="3"/>
  <c r="D48" i="3"/>
  <c r="C48" i="3"/>
  <c r="E44" i="3"/>
  <c r="F44" i="3"/>
  <c r="E45" i="3"/>
  <c r="F45" i="3"/>
  <c r="E46" i="3"/>
  <c r="F46" i="3"/>
  <c r="E47" i="3"/>
  <c r="F47" i="3"/>
  <c r="F43" i="3"/>
  <c r="E43" i="3"/>
  <c r="D42" i="3"/>
  <c r="C42" i="3"/>
  <c r="G41" i="3"/>
  <c r="J41" i="3" s="1"/>
  <c r="F74" i="1" l="1"/>
  <c r="F60" i="1"/>
  <c r="F46" i="1"/>
  <c r="F32" i="1"/>
  <c r="F20" i="1"/>
  <c r="F9" i="1"/>
  <c r="F73" i="1"/>
  <c r="F72" i="1"/>
  <c r="F59" i="1"/>
  <c r="F58" i="1"/>
  <c r="F33" i="1"/>
  <c r="F71" i="1"/>
  <c r="F57" i="1"/>
  <c r="F45" i="1"/>
  <c r="F44" i="1"/>
  <c r="F49" i="1"/>
  <c r="F50" i="1"/>
  <c r="F31" i="1"/>
  <c r="F8" i="1"/>
  <c r="I96" i="1"/>
  <c r="I95" i="1"/>
  <c r="N108" i="1"/>
  <c r="G108" i="1"/>
  <c r="A14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E28" i="1"/>
  <c r="G106" i="1"/>
  <c r="G105" i="1"/>
  <c r="F13" i="1"/>
  <c r="G13" i="1" s="1"/>
  <c r="G107" i="1" s="1"/>
  <c r="E58" i="1" l="1"/>
  <c r="I58" i="1" s="1"/>
  <c r="I72" i="1"/>
  <c r="G72" i="1"/>
  <c r="I73" i="1"/>
  <c r="G73" i="1"/>
  <c r="I59" i="1"/>
  <c r="G59" i="1"/>
  <c r="I45" i="1"/>
  <c r="G45" i="1"/>
  <c r="G58" i="1" l="1"/>
  <c r="E82" i="1" l="1"/>
  <c r="E92" i="3" s="1"/>
  <c r="E68" i="1"/>
  <c r="E91" i="3" s="1"/>
  <c r="E54" i="1"/>
  <c r="E90" i="3" s="1"/>
  <c r="E41" i="1"/>
  <c r="E89" i="3" s="1"/>
  <c r="I105" i="1" l="1"/>
  <c r="E17" i="1"/>
  <c r="E87" i="3" s="1"/>
  <c r="E30" i="3" l="1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F29" i="3"/>
  <c r="E29" i="3"/>
  <c r="C28" i="3"/>
  <c r="D28" i="3"/>
  <c r="F24" i="3"/>
  <c r="E24" i="3"/>
  <c r="C23" i="3"/>
  <c r="D23" i="3"/>
  <c r="C18" i="3"/>
  <c r="D18" i="3"/>
  <c r="E15" i="3"/>
  <c r="C14" i="3"/>
  <c r="D14" i="3"/>
  <c r="E12" i="3"/>
  <c r="F12" i="3"/>
  <c r="E13" i="3"/>
  <c r="F13" i="3"/>
  <c r="F11" i="3"/>
  <c r="E11" i="3"/>
  <c r="C10" i="3"/>
  <c r="D10" i="3"/>
  <c r="E9" i="3"/>
  <c r="C8" i="3"/>
  <c r="D8" i="3"/>
  <c r="E7" i="3"/>
  <c r="F7" i="3"/>
  <c r="F40" i="3" s="1"/>
  <c r="F6" i="3"/>
  <c r="E6" i="3"/>
  <c r="C5" i="3"/>
  <c r="D5" i="3"/>
  <c r="F15" i="3" l="1"/>
  <c r="F9" i="3"/>
  <c r="H17" i="2"/>
  <c r="A1" i="3" l="1"/>
  <c r="L27" i="2" l="1"/>
  <c r="C13" i="2" l="1"/>
  <c r="B13" i="2"/>
  <c r="C11" i="2"/>
  <c r="I74" i="1"/>
  <c r="G74" i="1"/>
  <c r="C79" i="3" l="1"/>
  <c r="C92" i="3"/>
  <c r="C90" i="3"/>
  <c r="C77" i="3"/>
  <c r="D79" i="3"/>
  <c r="D92" i="3"/>
  <c r="I60" i="1"/>
  <c r="G60" i="1"/>
  <c r="I20" i="1"/>
  <c r="G20" i="1"/>
  <c r="G80" i="1" l="1"/>
  <c r="I79" i="1"/>
  <c r="M79" i="1" s="1"/>
  <c r="I78" i="1"/>
  <c r="M78" i="1" s="1"/>
  <c r="N78" i="1" s="1"/>
  <c r="I77" i="1"/>
  <c r="M77" i="1" s="1"/>
  <c r="N77" i="1" s="1"/>
  <c r="M76" i="1"/>
  <c r="I71" i="1"/>
  <c r="G71" i="1"/>
  <c r="I46" i="1"/>
  <c r="G46" i="1"/>
  <c r="I32" i="1"/>
  <c r="G32" i="1"/>
  <c r="I75" i="1" l="1"/>
  <c r="G75" i="1"/>
  <c r="N76" i="1"/>
  <c r="M80" i="1"/>
  <c r="I80" i="1"/>
  <c r="J72" i="1" l="1"/>
  <c r="X72" i="1" s="1"/>
  <c r="J73" i="1"/>
  <c r="X73" i="1" s="1"/>
  <c r="G81" i="1"/>
  <c r="G82" i="1" s="1"/>
  <c r="D13" i="2"/>
  <c r="E13" i="2"/>
  <c r="J74" i="1"/>
  <c r="X74" i="1" s="1"/>
  <c r="I81" i="1"/>
  <c r="I82" i="1" s="1"/>
  <c r="J71" i="1"/>
  <c r="X71" i="1" s="1"/>
  <c r="N80" i="1"/>
  <c r="O80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G13" i="2" l="1"/>
  <c r="J75" i="1"/>
  <c r="I65" i="1"/>
  <c r="M65" i="1" s="1"/>
  <c r="I64" i="1"/>
  <c r="M64" i="1" s="1"/>
  <c r="I63" i="1"/>
  <c r="M63" i="1" s="1"/>
  <c r="I51" i="1"/>
  <c r="M51" i="1" s="1"/>
  <c r="I50" i="1"/>
  <c r="M50" i="1" s="1"/>
  <c r="I49" i="1"/>
  <c r="M49" i="1" s="1"/>
  <c r="I38" i="1"/>
  <c r="M38" i="1" s="1"/>
  <c r="I36" i="1"/>
  <c r="I25" i="1"/>
  <c r="M25" i="1" s="1"/>
  <c r="I24" i="1"/>
  <c r="M24" i="1" s="1"/>
  <c r="I23" i="1"/>
  <c r="M23" i="1" s="1"/>
  <c r="I14" i="1"/>
  <c r="I13" i="1"/>
  <c r="I12" i="1"/>
  <c r="B23" i="2"/>
  <c r="I108" i="1" l="1"/>
  <c r="I106" i="1"/>
  <c r="E23" i="2"/>
  <c r="M13" i="1"/>
  <c r="M12" i="1"/>
  <c r="M14" i="1"/>
  <c r="M108" i="1" s="1"/>
  <c r="I26" i="1"/>
  <c r="I52" i="1"/>
  <c r="M36" i="1"/>
  <c r="G39" i="1"/>
  <c r="I37" i="1"/>
  <c r="M37" i="1" s="1"/>
  <c r="G15" i="1"/>
  <c r="G66" i="1"/>
  <c r="D23" i="2"/>
  <c r="G52" i="1"/>
  <c r="G26" i="1"/>
  <c r="I107" i="1" l="1"/>
  <c r="J23" i="2"/>
  <c r="I15" i="1"/>
  <c r="I66" i="1"/>
  <c r="I39" i="1"/>
  <c r="I93" i="1"/>
  <c r="G93" i="1"/>
  <c r="I92" i="1"/>
  <c r="G92" i="1"/>
  <c r="I91" i="1"/>
  <c r="G91" i="1"/>
  <c r="I90" i="1"/>
  <c r="G90" i="1"/>
  <c r="I89" i="1"/>
  <c r="G89" i="1"/>
  <c r="I88" i="1"/>
  <c r="G88" i="1"/>
  <c r="I87" i="1"/>
  <c r="G87" i="1"/>
  <c r="I86" i="1"/>
  <c r="G86" i="1"/>
  <c r="E22" i="2" l="1"/>
  <c r="E21" i="2"/>
  <c r="D22" i="2"/>
  <c r="D21" i="2"/>
  <c r="C10" i="2"/>
  <c r="C12" i="2"/>
  <c r="C14" i="2"/>
  <c r="B14" i="2"/>
  <c r="B12" i="2"/>
  <c r="B11" i="2"/>
  <c r="B10" i="2"/>
  <c r="C9" i="2"/>
  <c r="C8" i="2"/>
  <c r="B9" i="2"/>
  <c r="B8" i="2"/>
  <c r="N50" i="1"/>
  <c r="N49" i="1"/>
  <c r="M48" i="1"/>
  <c r="I44" i="1"/>
  <c r="G44" i="1"/>
  <c r="N24" i="1"/>
  <c r="N23" i="1"/>
  <c r="M22" i="1"/>
  <c r="N36" i="1"/>
  <c r="M35" i="1"/>
  <c r="I33" i="1"/>
  <c r="G33" i="1"/>
  <c r="I31" i="1"/>
  <c r="G31" i="1"/>
  <c r="N64" i="1"/>
  <c r="N63" i="1"/>
  <c r="M62" i="1"/>
  <c r="I57" i="1"/>
  <c r="G57" i="1"/>
  <c r="C76" i="3" l="1"/>
  <c r="C89" i="3"/>
  <c r="C88" i="3"/>
  <c r="C75" i="3"/>
  <c r="C87" i="3"/>
  <c r="C74" i="3"/>
  <c r="C93" i="3"/>
  <c r="C80" i="3"/>
  <c r="C78" i="3"/>
  <c r="C91" i="3"/>
  <c r="D80" i="3"/>
  <c r="D93" i="3"/>
  <c r="D78" i="3"/>
  <c r="D91" i="3"/>
  <c r="D77" i="3"/>
  <c r="D90" i="3"/>
  <c r="D89" i="3"/>
  <c r="D76" i="3"/>
  <c r="D88" i="3"/>
  <c r="D75" i="3"/>
  <c r="D87" i="3"/>
  <c r="D74" i="3"/>
  <c r="N22" i="1"/>
  <c r="M26" i="1"/>
  <c r="N62" i="1"/>
  <c r="M66" i="1"/>
  <c r="N48" i="1"/>
  <c r="M52" i="1"/>
  <c r="N35" i="1"/>
  <c r="M39" i="1"/>
  <c r="E20" i="2"/>
  <c r="E24" i="2" s="1"/>
  <c r="G47" i="1"/>
  <c r="D11" i="2" s="1"/>
  <c r="D20" i="2"/>
  <c r="D24" i="2" s="1"/>
  <c r="G21" i="1"/>
  <c r="D9" i="2" s="1"/>
  <c r="I47" i="1"/>
  <c r="J45" i="1" s="1"/>
  <c r="X45" i="1" s="1"/>
  <c r="I21" i="1"/>
  <c r="G34" i="1"/>
  <c r="N37" i="1"/>
  <c r="I34" i="1"/>
  <c r="J33" i="1" s="1"/>
  <c r="X33" i="1" s="1"/>
  <c r="I61" i="1"/>
  <c r="G61" i="1"/>
  <c r="G85" i="1"/>
  <c r="I85" i="1"/>
  <c r="G99" i="1"/>
  <c r="G109" i="1" s="1"/>
  <c r="M97" i="1"/>
  <c r="M107" i="1" s="1"/>
  <c r="M96" i="1"/>
  <c r="M106" i="1" s="1"/>
  <c r="M95" i="1"/>
  <c r="B21" i="2"/>
  <c r="B22" i="2"/>
  <c r="B20" i="2"/>
  <c r="M11" i="1"/>
  <c r="I9" i="1"/>
  <c r="I8" i="1"/>
  <c r="G9" i="1"/>
  <c r="G8" i="1"/>
  <c r="A2" i="1"/>
  <c r="A1" i="1"/>
  <c r="A8" i="2"/>
  <c r="A9" i="2" s="1"/>
  <c r="A10" i="2" s="1"/>
  <c r="A11" i="2" s="1"/>
  <c r="A12" i="2" s="1"/>
  <c r="A13" i="2" s="1"/>
  <c r="J58" i="1" l="1"/>
  <c r="X58" i="1" s="1"/>
  <c r="J59" i="1"/>
  <c r="X59" i="1" s="1"/>
  <c r="M105" i="1"/>
  <c r="N39" i="1"/>
  <c r="M15" i="1"/>
  <c r="N95" i="1"/>
  <c r="J20" i="1"/>
  <c r="E11" i="2"/>
  <c r="J46" i="1"/>
  <c r="X46" i="1" s="1"/>
  <c r="N96" i="1"/>
  <c r="N97" i="1"/>
  <c r="J22" i="2"/>
  <c r="J32" i="1"/>
  <c r="X32" i="1" s="1"/>
  <c r="J60" i="1"/>
  <c r="X60" i="1" s="1"/>
  <c r="J44" i="1"/>
  <c r="X44" i="1" s="1"/>
  <c r="J31" i="1"/>
  <c r="X31" i="1" s="1"/>
  <c r="J57" i="1"/>
  <c r="X57" i="1" s="1"/>
  <c r="G53" i="1"/>
  <c r="G54" i="1" s="1"/>
  <c r="G27" i="1"/>
  <c r="G28" i="1" s="1"/>
  <c r="N12" i="1"/>
  <c r="J21" i="2"/>
  <c r="N13" i="1"/>
  <c r="G40" i="1"/>
  <c r="G41" i="1" s="1"/>
  <c r="D10" i="2"/>
  <c r="I53" i="1"/>
  <c r="I54" i="1" s="1"/>
  <c r="G67" i="1"/>
  <c r="G68" i="1" s="1"/>
  <c r="D12" i="2"/>
  <c r="I67" i="1"/>
  <c r="I68" i="1" s="1"/>
  <c r="E12" i="2"/>
  <c r="I40" i="1"/>
  <c r="I41" i="1" s="1"/>
  <c r="E10" i="2"/>
  <c r="I27" i="1"/>
  <c r="I28" i="1" s="1"/>
  <c r="E9" i="2"/>
  <c r="N52" i="1"/>
  <c r="O52" i="1" s="1"/>
  <c r="N26" i="1"/>
  <c r="O26" i="1" s="1"/>
  <c r="N66" i="1"/>
  <c r="O66" i="1" s="1"/>
  <c r="G10" i="1"/>
  <c r="I10" i="1"/>
  <c r="I99" i="1"/>
  <c r="I109" i="1" s="1"/>
  <c r="I94" i="1"/>
  <c r="G94" i="1"/>
  <c r="N11" i="1"/>
  <c r="I104" i="1" l="1"/>
  <c r="I110" i="1" s="1"/>
  <c r="N106" i="1"/>
  <c r="N107" i="1"/>
  <c r="N105" i="1"/>
  <c r="G104" i="1"/>
  <c r="G110" i="1" s="1"/>
  <c r="O39" i="1"/>
  <c r="G12" i="2"/>
  <c r="G11" i="2"/>
  <c r="G9" i="2"/>
  <c r="G10" i="2"/>
  <c r="D14" i="2"/>
  <c r="J61" i="1"/>
  <c r="J47" i="1"/>
  <c r="J20" i="2"/>
  <c r="J24" i="2" s="1"/>
  <c r="J34" i="1"/>
  <c r="E14" i="2"/>
  <c r="J21" i="1"/>
  <c r="J92" i="1"/>
  <c r="J93" i="1"/>
  <c r="J90" i="1"/>
  <c r="J91" i="1"/>
  <c r="J89" i="1"/>
  <c r="J87" i="1"/>
  <c r="J88" i="1"/>
  <c r="J86" i="1"/>
  <c r="J9" i="1"/>
  <c r="X9" i="1" s="1"/>
  <c r="J8" i="1"/>
  <c r="X8" i="1" s="1"/>
  <c r="G100" i="1"/>
  <c r="E8" i="2"/>
  <c r="G16" i="1"/>
  <c r="D8" i="2"/>
  <c r="J85" i="1"/>
  <c r="I100" i="1"/>
  <c r="M99" i="1"/>
  <c r="I16" i="1"/>
  <c r="I17" i="1" s="1"/>
  <c r="N15" i="1"/>
  <c r="M109" i="1" l="1"/>
  <c r="G14" i="2"/>
  <c r="G8" i="2"/>
  <c r="D15" i="2"/>
  <c r="D17" i="2" s="1"/>
  <c r="D26" i="2" s="1"/>
  <c r="E15" i="2"/>
  <c r="G17" i="1"/>
  <c r="J94" i="1"/>
  <c r="N99" i="1"/>
  <c r="J10" i="1"/>
  <c r="O99" i="1" l="1"/>
  <c r="N109" i="1"/>
  <c r="G15" i="2"/>
  <c r="G17" i="2" s="1"/>
  <c r="E17" i="2"/>
  <c r="F13" i="2"/>
  <c r="F8" i="2"/>
  <c r="F11" i="2"/>
  <c r="F9" i="2"/>
  <c r="F14" i="2"/>
  <c r="F15" i="2"/>
  <c r="F17" i="2" s="1"/>
  <c r="F10" i="2"/>
  <c r="F12" i="2"/>
  <c r="H11" i="2" l="1"/>
  <c r="I11" i="2" s="1"/>
  <c r="K47" i="1" s="1"/>
  <c r="H12" i="2"/>
  <c r="I12" i="2" s="1"/>
  <c r="K61" i="1" s="1"/>
  <c r="H10" i="2"/>
  <c r="I10" i="2" s="1"/>
  <c r="K34" i="1" s="1"/>
  <c r="H13" i="2"/>
  <c r="I13" i="2" s="1"/>
  <c r="K75" i="1" s="1"/>
  <c r="H8" i="2"/>
  <c r="I8" i="2" s="1"/>
  <c r="K10" i="1" s="1"/>
  <c r="H14" i="2"/>
  <c r="I14" i="2" s="1"/>
  <c r="K94" i="1" s="1"/>
  <c r="H9" i="2"/>
  <c r="I9" i="2" s="1"/>
  <c r="K21" i="1" s="1"/>
  <c r="E26" i="2"/>
  <c r="S21" i="1" l="1"/>
  <c r="L20" i="1" s="1"/>
  <c r="S94" i="1"/>
  <c r="S34" i="1"/>
  <c r="S10" i="1"/>
  <c r="S61" i="1"/>
  <c r="S47" i="1"/>
  <c r="S75" i="1"/>
  <c r="I15" i="2"/>
  <c r="I17" i="2" s="1"/>
  <c r="L9" i="1" l="1"/>
  <c r="G7" i="3" s="1"/>
  <c r="G39" i="3"/>
  <c r="J39" i="3" s="1"/>
  <c r="L46" i="1"/>
  <c r="L44" i="1"/>
  <c r="L45" i="1"/>
  <c r="L73" i="1"/>
  <c r="G26" i="3" s="1"/>
  <c r="J26" i="3" s="1"/>
  <c r="L72" i="1"/>
  <c r="G25" i="3" s="1"/>
  <c r="J25" i="3" s="1"/>
  <c r="L59" i="1"/>
  <c r="L58" i="1"/>
  <c r="L31" i="1"/>
  <c r="G11" i="3" s="1"/>
  <c r="J11" i="3" s="1"/>
  <c r="L33" i="1"/>
  <c r="G13" i="3" s="1"/>
  <c r="J13" i="3" s="1"/>
  <c r="L32" i="1"/>
  <c r="G12" i="3" s="1"/>
  <c r="J12" i="3" s="1"/>
  <c r="L71" i="1"/>
  <c r="G24" i="3" s="1"/>
  <c r="J24" i="3" s="1"/>
  <c r="L74" i="1"/>
  <c r="G27" i="3" s="1"/>
  <c r="J27" i="3" s="1"/>
  <c r="L60" i="1"/>
  <c r="L90" i="1"/>
  <c r="G34" i="3" s="1"/>
  <c r="J34" i="3" s="1"/>
  <c r="L93" i="1"/>
  <c r="G37" i="3" s="1"/>
  <c r="J37" i="3" s="1"/>
  <c r="L8" i="1"/>
  <c r="G6" i="3" s="1"/>
  <c r="J6" i="3" s="1"/>
  <c r="L89" i="1"/>
  <c r="G33" i="3" s="1"/>
  <c r="J33" i="3" s="1"/>
  <c r="L91" i="1"/>
  <c r="G35" i="3" s="1"/>
  <c r="J35" i="3" s="1"/>
  <c r="L88" i="1"/>
  <c r="G32" i="3" s="1"/>
  <c r="J32" i="3" s="1"/>
  <c r="L92" i="1"/>
  <c r="G36" i="3" s="1"/>
  <c r="J36" i="3" s="1"/>
  <c r="L85" i="1"/>
  <c r="G29" i="3" s="1"/>
  <c r="J29" i="3" s="1"/>
  <c r="L86" i="1"/>
  <c r="G30" i="3" s="1"/>
  <c r="J30" i="3" s="1"/>
  <c r="L87" i="1"/>
  <c r="G31" i="3" s="1"/>
  <c r="J31" i="3" s="1"/>
  <c r="L57" i="1"/>
  <c r="G9" i="3"/>
  <c r="J9" i="3" s="1"/>
  <c r="M9" i="1" l="1"/>
  <c r="N9" i="1" s="1"/>
  <c r="O9" i="1" s="1"/>
  <c r="T9" i="1"/>
  <c r="G21" i="3"/>
  <c r="J21" i="3" s="1"/>
  <c r="L127" i="1"/>
  <c r="G22" i="3"/>
  <c r="J22" i="3" s="1"/>
  <c r="M45" i="1"/>
  <c r="N45" i="1" s="1"/>
  <c r="O45" i="1" s="1"/>
  <c r="G16" i="3"/>
  <c r="J16" i="3" s="1"/>
  <c r="G17" i="3"/>
  <c r="J17" i="3" s="1"/>
  <c r="M57" i="1"/>
  <c r="N57" i="1" s="1"/>
  <c r="O57" i="1" s="1"/>
  <c r="G19" i="3"/>
  <c r="J19" i="3" s="1"/>
  <c r="G20" i="3"/>
  <c r="J20" i="3" s="1"/>
  <c r="L126" i="1"/>
  <c r="J7" i="3"/>
  <c r="G40" i="3"/>
  <c r="J40" i="3" s="1"/>
  <c r="M59" i="1"/>
  <c r="N59" i="1" s="1"/>
  <c r="O59" i="1" s="1"/>
  <c r="T59" i="1"/>
  <c r="M72" i="1"/>
  <c r="N72" i="1" s="1"/>
  <c r="O72" i="1" s="1"/>
  <c r="T72" i="1"/>
  <c r="M73" i="1"/>
  <c r="N73" i="1" s="1"/>
  <c r="O73" i="1" s="1"/>
  <c r="T73" i="1"/>
  <c r="T58" i="1"/>
  <c r="M58" i="1"/>
  <c r="N58" i="1" s="1"/>
  <c r="O58" i="1" s="1"/>
  <c r="M71" i="1"/>
  <c r="N71" i="1" s="1"/>
  <c r="O71" i="1" s="1"/>
  <c r="T71" i="1"/>
  <c r="T31" i="1"/>
  <c r="T60" i="1"/>
  <c r="M31" i="1"/>
  <c r="N31" i="1" s="1"/>
  <c r="O31" i="1" s="1"/>
  <c r="M60" i="1"/>
  <c r="N60" i="1" s="1"/>
  <c r="O60" i="1" s="1"/>
  <c r="M90" i="1"/>
  <c r="N90" i="1" s="1"/>
  <c r="O90" i="1" s="1"/>
  <c r="T90" i="1"/>
  <c r="M93" i="1"/>
  <c r="N93" i="1" s="1"/>
  <c r="O93" i="1" s="1"/>
  <c r="T93" i="1"/>
  <c r="T91" i="1"/>
  <c r="T87" i="1"/>
  <c r="M8" i="1"/>
  <c r="N8" i="1" s="1"/>
  <c r="O8" i="1" s="1"/>
  <c r="T32" i="1"/>
  <c r="M44" i="1"/>
  <c r="N44" i="1" s="1"/>
  <c r="M74" i="1"/>
  <c r="N74" i="1" s="1"/>
  <c r="O74" i="1" s="1"/>
  <c r="M87" i="1"/>
  <c r="N87" i="1" s="1"/>
  <c r="O87" i="1" s="1"/>
  <c r="M89" i="1"/>
  <c r="N89" i="1" s="1"/>
  <c r="O89" i="1" s="1"/>
  <c r="M33" i="1"/>
  <c r="N33" i="1" s="1"/>
  <c r="O33" i="1" s="1"/>
  <c r="M92" i="1"/>
  <c r="N92" i="1" s="1"/>
  <c r="O92" i="1" s="1"/>
  <c r="M32" i="1"/>
  <c r="N32" i="1" s="1"/>
  <c r="O32" i="1" s="1"/>
  <c r="T33" i="1"/>
  <c r="T92" i="1"/>
  <c r="T89" i="1"/>
  <c r="M91" i="1"/>
  <c r="N91" i="1" s="1"/>
  <c r="O91" i="1" s="1"/>
  <c r="T74" i="1"/>
  <c r="T8" i="1"/>
  <c r="T88" i="1"/>
  <c r="M88" i="1"/>
  <c r="N88" i="1" s="1"/>
  <c r="O88" i="1" s="1"/>
  <c r="M85" i="1"/>
  <c r="N85" i="1" s="1"/>
  <c r="O85" i="1" s="1"/>
  <c r="T85" i="1"/>
  <c r="M86" i="1"/>
  <c r="N86" i="1" s="1"/>
  <c r="O86" i="1" s="1"/>
  <c r="T86" i="1"/>
  <c r="T46" i="1"/>
  <c r="M46" i="1"/>
  <c r="L140" i="1" l="1"/>
  <c r="L136" i="1"/>
  <c r="L132" i="1"/>
  <c r="M61" i="1"/>
  <c r="P58" i="1" s="1"/>
  <c r="Q58" i="1" s="1"/>
  <c r="N61" i="1"/>
  <c r="L12" i="2" s="1"/>
  <c r="N10" i="1"/>
  <c r="M10" i="1"/>
  <c r="M75" i="1"/>
  <c r="P72" i="1" s="1"/>
  <c r="Q72" i="1" s="1"/>
  <c r="N75" i="1"/>
  <c r="N34" i="1"/>
  <c r="O34" i="1" s="1"/>
  <c r="M34" i="1"/>
  <c r="R34" i="1" s="1"/>
  <c r="G15" i="3"/>
  <c r="J15" i="3" s="1"/>
  <c r="M94" i="1"/>
  <c r="N94" i="1"/>
  <c r="O94" i="1" s="1"/>
  <c r="M47" i="1"/>
  <c r="O44" i="1"/>
  <c r="N46" i="1"/>
  <c r="O46" i="1" s="1"/>
  <c r="P8" i="1" l="1"/>
  <c r="Q8" i="1" s="1"/>
  <c r="O10" i="1"/>
  <c r="M67" i="1"/>
  <c r="M68" i="1" s="1"/>
  <c r="N68" i="1" s="1"/>
  <c r="O68" i="1" s="1"/>
  <c r="P57" i="1"/>
  <c r="Q57" i="1" s="1"/>
  <c r="P59" i="1"/>
  <c r="Q59" i="1" s="1"/>
  <c r="R61" i="1"/>
  <c r="J12" i="2"/>
  <c r="O12" i="2" s="1"/>
  <c r="P60" i="1"/>
  <c r="Q60" i="1" s="1"/>
  <c r="M81" i="1"/>
  <c r="M82" i="1" s="1"/>
  <c r="N82" i="1" s="1"/>
  <c r="P73" i="1"/>
  <c r="Q73" i="1" s="1"/>
  <c r="P44" i="1"/>
  <c r="Q44" i="1" s="1"/>
  <c r="P45" i="1"/>
  <c r="Q45" i="1" s="1"/>
  <c r="J13" i="2"/>
  <c r="O13" i="2" s="1"/>
  <c r="P71" i="1"/>
  <c r="Q71" i="1" s="1"/>
  <c r="P74" i="1"/>
  <c r="Q74" i="1" s="1"/>
  <c r="R75" i="1"/>
  <c r="J11" i="2"/>
  <c r="O11" i="2" s="1"/>
  <c r="J8" i="2"/>
  <c r="O8" i="2" s="1"/>
  <c r="P9" i="1"/>
  <c r="Q9" i="1" s="1"/>
  <c r="R10" i="1"/>
  <c r="M16" i="1"/>
  <c r="M17" i="1" s="1"/>
  <c r="N17" i="1" s="1"/>
  <c r="F87" i="3" s="1"/>
  <c r="P32" i="1"/>
  <c r="Q32" i="1" s="1"/>
  <c r="J14" i="2"/>
  <c r="L14" i="2" s="1"/>
  <c r="M14" i="2" s="1"/>
  <c r="P91" i="1"/>
  <c r="Q91" i="1" s="1"/>
  <c r="P31" i="1"/>
  <c r="Q31" i="1" s="1"/>
  <c r="J10" i="2"/>
  <c r="O10" i="2" s="1"/>
  <c r="M40" i="1"/>
  <c r="M41" i="1" s="1"/>
  <c r="N41" i="1" s="1"/>
  <c r="O41" i="1" s="1"/>
  <c r="P87" i="1"/>
  <c r="Q87" i="1" s="1"/>
  <c r="P33" i="1"/>
  <c r="Q33" i="1" s="1"/>
  <c r="P93" i="1"/>
  <c r="Q93" i="1" s="1"/>
  <c r="P89" i="1"/>
  <c r="Q89" i="1" s="1"/>
  <c r="P85" i="1"/>
  <c r="Q85" i="1" s="1"/>
  <c r="M100" i="1"/>
  <c r="N100" i="1" s="1"/>
  <c r="O100" i="1" s="1"/>
  <c r="N14" i="2" s="1"/>
  <c r="P90" i="1"/>
  <c r="Q90" i="1" s="1"/>
  <c r="P88" i="1"/>
  <c r="Q88" i="1" s="1"/>
  <c r="P86" i="1"/>
  <c r="Q86" i="1" s="1"/>
  <c r="R94" i="1"/>
  <c r="P92" i="1"/>
  <c r="Q92" i="1" s="1"/>
  <c r="M53" i="1"/>
  <c r="M54" i="1" s="1"/>
  <c r="N54" i="1" s="1"/>
  <c r="P46" i="1"/>
  <c r="Q46" i="1" s="1"/>
  <c r="R47" i="1"/>
  <c r="N47" i="1"/>
  <c r="O47" i="1" s="1"/>
  <c r="M12" i="2"/>
  <c r="F78" i="3"/>
  <c r="O61" i="1"/>
  <c r="L8" i="2"/>
  <c r="L10" i="2"/>
  <c r="O75" i="1"/>
  <c r="L13" i="2"/>
  <c r="P61" i="1" l="1"/>
  <c r="Q61" i="1" s="1"/>
  <c r="N67" i="1"/>
  <c r="O67" i="1" s="1"/>
  <c r="N12" i="2" s="1"/>
  <c r="F91" i="3"/>
  <c r="N81" i="1"/>
  <c r="O81" i="1" s="1"/>
  <c r="N13" i="2" s="1"/>
  <c r="P75" i="1"/>
  <c r="Q75" i="1" s="1"/>
  <c r="P10" i="1"/>
  <c r="Q10" i="1" s="1"/>
  <c r="F80" i="3"/>
  <c r="O14" i="2"/>
  <c r="N16" i="1"/>
  <c r="O16" i="1" s="1"/>
  <c r="N8" i="2" s="1"/>
  <c r="P47" i="1"/>
  <c r="Q47" i="1" s="1"/>
  <c r="O17" i="1"/>
  <c r="N40" i="1"/>
  <c r="O40" i="1" s="1"/>
  <c r="N10" i="2" s="1"/>
  <c r="F89" i="3"/>
  <c r="P34" i="1"/>
  <c r="Q34" i="1" s="1"/>
  <c r="P94" i="1"/>
  <c r="Q94" i="1" s="1"/>
  <c r="O54" i="1"/>
  <c r="F90" i="3"/>
  <c r="O82" i="1"/>
  <c r="F92" i="3"/>
  <c r="N53" i="1"/>
  <c r="O53" i="1" s="1"/>
  <c r="N11" i="2" s="1"/>
  <c r="L11" i="2"/>
  <c r="M11" i="2" s="1"/>
  <c r="M10" i="2"/>
  <c r="F76" i="3"/>
  <c r="M8" i="2"/>
  <c r="F74" i="3"/>
  <c r="M13" i="2"/>
  <c r="F79" i="3"/>
  <c r="G80" i="3"/>
  <c r="G93" i="3"/>
  <c r="F77" i="3" l="1"/>
  <c r="G89" i="3"/>
  <c r="G76" i="3"/>
  <c r="G92" i="3"/>
  <c r="G79" i="3"/>
  <c r="G91" i="3"/>
  <c r="G78" i="3"/>
  <c r="G90" i="3"/>
  <c r="G77" i="3"/>
  <c r="G74" i="3"/>
  <c r="G87" i="3"/>
  <c r="M20" i="1"/>
  <c r="T20" i="1" l="1"/>
  <c r="N20" i="1"/>
  <c r="O20" i="1" s="1"/>
  <c r="N21" i="1" l="1"/>
  <c r="N104" i="1" s="1"/>
  <c r="N110" i="1" s="1"/>
  <c r="M21" i="1"/>
  <c r="M104" i="1" s="1"/>
  <c r="M110" i="1" s="1"/>
  <c r="J9" i="2" l="1"/>
  <c r="O9" i="2" s="1"/>
  <c r="M27" i="1"/>
  <c r="M28" i="1" s="1"/>
  <c r="R21" i="1"/>
  <c r="P20" i="1"/>
  <c r="Q20" i="1" s="1"/>
  <c r="N28" i="1" l="1"/>
  <c r="O28" i="1" s="1"/>
  <c r="J15" i="2"/>
  <c r="L9" i="2"/>
  <c r="O21" i="1"/>
  <c r="P21" i="1"/>
  <c r="Q21" i="1" s="1"/>
  <c r="N27" i="1"/>
  <c r="O104" i="1"/>
  <c r="S139" i="1" l="1"/>
  <c r="S138" i="1"/>
  <c r="L138" i="1" s="1"/>
  <c r="S134" i="1"/>
  <c r="L134" i="1" s="1"/>
  <c r="S135" i="1"/>
  <c r="S124" i="1"/>
  <c r="L124" i="1" s="1"/>
  <c r="S131" i="1"/>
  <c r="S130" i="1"/>
  <c r="L130" i="1" s="1"/>
  <c r="S116" i="1"/>
  <c r="S117" i="1" s="1"/>
  <c r="L117" i="1" s="1"/>
  <c r="S125" i="1"/>
  <c r="S122" i="1"/>
  <c r="L122" i="1" s="1"/>
  <c r="O27" i="1"/>
  <c r="N9" i="2" s="1"/>
  <c r="M9" i="2"/>
  <c r="F75" i="3"/>
  <c r="O15" i="2"/>
  <c r="O17" i="2" s="1"/>
  <c r="K9" i="2"/>
  <c r="K12" i="2"/>
  <c r="K10" i="2"/>
  <c r="K14" i="2"/>
  <c r="K13" i="2"/>
  <c r="J17" i="2"/>
  <c r="J26" i="2" s="1"/>
  <c r="L26" i="2" s="1"/>
  <c r="F81" i="3" s="1"/>
  <c r="K15" i="2"/>
  <c r="K17" i="2" s="1"/>
  <c r="K11" i="2"/>
  <c r="K8" i="2"/>
  <c r="L15" i="2"/>
  <c r="L17" i="2" s="1"/>
  <c r="N112" i="1"/>
  <c r="O110" i="1"/>
  <c r="T124" i="1" l="1"/>
  <c r="G51" i="3"/>
  <c r="J51" i="3" s="1"/>
  <c r="T134" i="1"/>
  <c r="G61" i="3"/>
  <c r="J61" i="3" s="1"/>
  <c r="T117" i="1"/>
  <c r="G44" i="3"/>
  <c r="J44" i="3" s="1"/>
  <c r="T122" i="1"/>
  <c r="G49" i="3"/>
  <c r="J49" i="3" s="1"/>
  <c r="T138" i="1"/>
  <c r="G65" i="3"/>
  <c r="J65" i="3" s="1"/>
  <c r="T130" i="1"/>
  <c r="G57" i="3"/>
  <c r="J57" i="3" s="1"/>
  <c r="S140" i="1"/>
  <c r="S141" i="1" s="1"/>
  <c r="L139" i="1"/>
  <c r="S118" i="1"/>
  <c r="L118" i="1" s="1"/>
  <c r="S136" i="1"/>
  <c r="L135" i="1"/>
  <c r="L131" i="1"/>
  <c r="S132" i="1"/>
  <c r="L116" i="1"/>
  <c r="L125" i="1"/>
  <c r="S126" i="1"/>
  <c r="G88" i="3"/>
  <c r="G75" i="3"/>
  <c r="M15" i="2"/>
  <c r="M17" i="2" s="1"/>
  <c r="L28" i="2"/>
  <c r="L29" i="2" s="1"/>
  <c r="N26" i="2"/>
  <c r="G81" i="3" s="1"/>
  <c r="S119" i="1" l="1"/>
  <c r="S120" i="1" s="1"/>
  <c r="L120" i="1" s="1"/>
  <c r="T136" i="1"/>
  <c r="G63" i="3"/>
  <c r="J63" i="3" s="1"/>
  <c r="T118" i="1"/>
  <c r="G45" i="3"/>
  <c r="J45" i="3" s="1"/>
  <c r="T116" i="1"/>
  <c r="G43" i="3"/>
  <c r="J43" i="3" s="1"/>
  <c r="T139" i="1"/>
  <c r="G66" i="3"/>
  <c r="J66" i="3" s="1"/>
  <c r="T125" i="1"/>
  <c r="G52" i="3"/>
  <c r="J52" i="3" s="1"/>
  <c r="T131" i="1"/>
  <c r="G58" i="3"/>
  <c r="J58" i="3" s="1"/>
  <c r="T135" i="1"/>
  <c r="G62" i="3"/>
  <c r="J62" i="3" s="1"/>
  <c r="S127" i="1"/>
  <c r="L119" i="1"/>
  <c r="T132" i="1" l="1"/>
  <c r="G59" i="3"/>
  <c r="J59" i="3" s="1"/>
  <c r="T120" i="1"/>
  <c r="G47" i="3"/>
  <c r="J47" i="3" s="1"/>
  <c r="T140" i="1"/>
  <c r="G67" i="3"/>
  <c r="J67" i="3" s="1"/>
  <c r="T119" i="1"/>
  <c r="G46" i="3"/>
  <c r="J46" i="3" s="1"/>
  <c r="T126" i="1"/>
  <c r="G53" i="3"/>
  <c r="J53" i="3" s="1"/>
  <c r="L141" i="1"/>
  <c r="S128" i="1"/>
  <c r="T127" i="1" l="1"/>
  <c r="G54" i="3"/>
  <c r="J54" i="3" s="1"/>
  <c r="T141" i="1"/>
  <c r="G68" i="3"/>
  <c r="J68" i="3" s="1"/>
  <c r="L128" i="1"/>
  <c r="T128" i="1" l="1"/>
  <c r="G55" i="3"/>
  <c r="J55" i="3" s="1"/>
</calcChain>
</file>

<file path=xl/sharedStrings.xml><?xml version="1.0" encoding="utf-8"?>
<sst xmlns="http://schemas.openxmlformats.org/spreadsheetml/2006/main" count="211" uniqueCount="107">
  <si>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</si>
  <si>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</si>
  <si>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</si>
  <si>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</si>
  <si>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</si>
  <si>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</si>
  <si>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</si>
  <si>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</si>
  <si>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</si>
  <si>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</si>
  <si>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</si>
  <si>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</si>
  <si>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</si>
  <si>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</si>
  <si>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</si>
  <si>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</si>
  <si>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</si>
  <si>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</si>
  <si>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</si>
  <si>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</si>
  <si>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2019 Rate</t>
  </si>
  <si>
    <t>2019 Revenue</t>
  </si>
  <si>
    <t>Present Share</t>
  </si>
  <si>
    <t>Proposed Rate</t>
  </si>
  <si>
    <t>Proposed Share</t>
  </si>
  <si>
    <t xml:space="preserve">          2019 Revenue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</si>
  <si>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</si>
  <si>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</si>
  <si>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</si>
  <si>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</si>
  <si>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</si>
  <si>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</si>
  <si>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</si>
  <si>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</si>
  <si>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</si>
  <si>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</si>
  <si>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</si>
  <si>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</si>
  <si>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</si>
  <si>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</si>
  <si>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</si>
  <si>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</si>
  <si>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 xml:space="preserve">    Prepay Daily Charges</t>
  </si>
  <si>
    <t>TOTAL Base Rates</t>
  </si>
  <si>
    <t>SubTotal Base Rates</t>
  </si>
  <si>
    <t>Base %</t>
  </si>
  <si>
    <t>Total %</t>
  </si>
  <si>
    <t>Base Rate Increase</t>
  </si>
  <si>
    <t>Present</t>
  </si>
  <si>
    <t>Proposed</t>
  </si>
  <si>
    <t>Energy Charge per kWh</t>
  </si>
  <si>
    <t>Demand Charge per kW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</si>
  <si>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</si>
  <si>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</si>
  <si>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</si>
  <si>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</si>
  <si>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</si>
  <si>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</si>
  <si>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</si>
  <si>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</si>
  <si>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</si>
  <si>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</si>
  <si>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</t>
  </si>
  <si>
    <t>SHELBY ENERGY COOPERATIVE</t>
  </si>
  <si>
    <t>Large Power Service &gt; 50 kW</t>
  </si>
  <si>
    <t>General Service &lt; 50kW</t>
  </si>
  <si>
    <t>Customer Charge Single Phase</t>
  </si>
  <si>
    <t>Customer Charge Three Phase</t>
  </si>
  <si>
    <t>Large Industrial Rate (500 kW to 4,999 kW)</t>
  </si>
  <si>
    <t>Large Industrial Rate (5,000 kW to 9,999 kW)</t>
  </si>
  <si>
    <t>100 Watt Outdoor Light</t>
  </si>
  <si>
    <t>250 Watt Directional Flood</t>
  </si>
  <si>
    <t>100 Watt Decorative Colonial</t>
  </si>
  <si>
    <t>400 Watt Directional Flood</t>
  </si>
  <si>
    <t>150 Watt Decorative Acorn</t>
  </si>
  <si>
    <t>Standard</t>
  </si>
  <si>
    <t>Decorative Colonial</t>
  </si>
  <si>
    <t>Cobra Head</t>
  </si>
  <si>
    <t>Directional Flood Light</t>
  </si>
  <si>
    <t>Demand Charge - Contract per kW</t>
  </si>
  <si>
    <t>Demand Charge - Excess per kW</t>
  </si>
  <si>
    <t>RATES WITH NO CURRENT MEMBERS</t>
  </si>
  <si>
    <t>Outdoor &amp; Street Lighting</t>
  </si>
  <si>
    <t>Off Peak Retail Marketing (ETS)</t>
  </si>
  <si>
    <t>Residential Service</t>
  </si>
  <si>
    <t>Prepay Service</t>
  </si>
  <si>
    <t>Consumer Facility Charge per day</t>
  </si>
  <si>
    <t>Prepay Service Fee per day</t>
  </si>
  <si>
    <t xml:space="preserve">Optional TOD Demand </t>
  </si>
  <si>
    <t>Energy Charge per kWh - First 100</t>
  </si>
  <si>
    <t>Energy Charge per kWh - Next 100</t>
  </si>
  <si>
    <t>Energy Charge per kWh - All Over 200</t>
  </si>
  <si>
    <t>Special Outdoor Lighting</t>
  </si>
  <si>
    <t>Energy Rate</t>
  </si>
  <si>
    <t>Large Industrial Rate</t>
  </si>
  <si>
    <t>B3</t>
  </si>
  <si>
    <t>B2</t>
  </si>
  <si>
    <t>B1</t>
  </si>
  <si>
    <t>Customer Charge Transformer 10,000 - 14,999 kVA</t>
  </si>
  <si>
    <t>Customer Charge Transformer 15,000+ kVA</t>
  </si>
  <si>
    <t>C1</t>
  </si>
  <si>
    <t>C2</t>
  </si>
  <si>
    <t>C3</t>
  </si>
  <si>
    <t>Same as B1</t>
  </si>
  <si>
    <t>LRO</t>
  </si>
  <si>
    <t>TYR</t>
  </si>
  <si>
    <t>Present &amp; Proposed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</si>
</sst>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* #,##0.000000_);_(* \(#,##0.000000\);_(* &quot;-&quot;??_);_(@_)"/>
    <numFmt numFmtId="168" formatCode="0.00000%"/>
    <numFmt numFmtId="169" formatCode="_(* #,##0.0000_);_(* \(#,##0.0000\);_(* &quot;-&quot;??_);_(@_)"/>
    <numFmt numFmtId="170" formatCode="_(&quot;$&quot;* #,##0.00000_);_(&quot;$&quot;* \(#,##0.00000\);_(&quot;$&quot;* &quot;-&quot;??_);_(@_)"/>
    <numFmt numFmtId="171" formatCode="&quot;$&quot;#,##0"/>
    <numFmt numFmtId="172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  <font>
      <b/>
      <sz val="10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0" fontId="3" fillId="0" borderId="0" xfId="0" applyNumberFormat="1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165" fontId="7" fillId="0" borderId="5" xfId="2" applyNumberFormat="1" applyFont="1" applyFill="1" applyBorder="1" applyAlignment="1">
      <alignment vertic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Fill="1"/>
    <xf numFmtId="165" fontId="7" fillId="0" borderId="0" xfId="0" applyNumberFormat="1" applyFont="1"/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right" wrapText="1"/>
    </xf>
    <xf numFmtId="165" fontId="7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Alignme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0" fontId="3" fillId="0" borderId="0" xfId="0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165" fontId="3" fillId="0" borderId="0" xfId="0" applyNumberFormat="1" applyFont="1" applyAlignment="1"/>
    <xf numFmtId="0" fontId="3" fillId="0" borderId="2" xfId="0" applyFont="1" applyBorder="1" applyAlignment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 applyAlignment="1"/>
    <xf numFmtId="0" fontId="3" fillId="0" borderId="0" xfId="0" applyFont="1" applyBorder="1" applyAlignment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0" xfId="0" applyNumberFormat="1" applyFont="1" applyBorder="1" applyAlignment="1"/>
    <xf numFmtId="0" fontId="3" fillId="0" borderId="5" xfId="0" applyFont="1" applyBorder="1" applyAlignment="1"/>
    <xf numFmtId="165" fontId="3" fillId="0" borderId="5" xfId="2" applyNumberFormat="1" applyFont="1" applyBorder="1" applyAlignment="1"/>
    <xf numFmtId="164" fontId="3" fillId="2" borderId="0" xfId="1" applyNumberFormat="1" applyFont="1" applyFill="1" applyAlignment="1"/>
    <xf numFmtId="0" fontId="3" fillId="2" borderId="0" xfId="0" applyFont="1" applyFill="1" applyAlignment="1"/>
    <xf numFmtId="165" fontId="3" fillId="2" borderId="0" xfId="2" applyNumberFormat="1" applyFont="1" applyFill="1" applyAlignment="1"/>
    <xf numFmtId="0" fontId="3" fillId="2" borderId="2" xfId="0" applyFont="1" applyFill="1" applyBorder="1" applyAlignment="1"/>
    <xf numFmtId="165" fontId="3" fillId="2" borderId="2" xfId="2" applyNumberFormat="1" applyFont="1" applyFill="1" applyBorder="1" applyAlignment="1"/>
    <xf numFmtId="0" fontId="3" fillId="0" borderId="3" xfId="0" applyFont="1" applyBorder="1" applyAlignment="1"/>
    <xf numFmtId="165" fontId="3" fillId="0" borderId="3" xfId="0" applyNumberFormat="1" applyFont="1" applyBorder="1" applyAlignment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2" borderId="0" xfId="0" applyFont="1" applyFill="1" applyBorder="1" applyAlignment="1"/>
    <xf numFmtId="0" fontId="3" fillId="2" borderId="4" xfId="0" applyFont="1" applyFill="1" applyBorder="1" applyAlignme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4" fontId="3" fillId="0" borderId="0" xfId="2" applyFont="1"/>
    <xf numFmtId="170" fontId="3" fillId="0" borderId="0" xfId="2" applyNumberFormat="1" applyFont="1"/>
    <xf numFmtId="0" fontId="2" fillId="0" borderId="4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44" fontId="3" fillId="0" borderId="0" xfId="2" applyNumberFormat="1" applyFont="1"/>
    <xf numFmtId="0" fontId="10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2" xfId="0" applyFont="1" applyBorder="1"/>
    <xf numFmtId="171" fontId="3" fillId="0" borderId="2" xfId="0" applyNumberFormat="1" applyFont="1" applyBorder="1"/>
    <xf numFmtId="10" fontId="3" fillId="0" borderId="2" xfId="3" applyNumberFormat="1" applyFont="1" applyBorder="1"/>
    <xf numFmtId="171" fontId="3" fillId="0" borderId="0" xfId="0" applyNumberFormat="1" applyFont="1"/>
    <xf numFmtId="10" fontId="3" fillId="0" borderId="0" xfId="3" applyNumberFormat="1" applyFont="1" applyBorder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/>
    <xf numFmtId="164" fontId="7" fillId="0" borderId="0" xfId="1" applyNumberFormat="1" applyFont="1" applyAlignment="1">
      <alignment horizontal="right"/>
    </xf>
    <xf numFmtId="0" fontId="11" fillId="0" borderId="0" xfId="0" applyFont="1"/>
    <xf numFmtId="0" fontId="7" fillId="0" borderId="2" xfId="0" applyFont="1" applyBorder="1" applyAlignment="1">
      <alignment horizontal="center"/>
    </xf>
    <xf numFmtId="44" fontId="3" fillId="0" borderId="0" xfId="2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169" fontId="7" fillId="0" borderId="0" xfId="1" applyNumberFormat="1" applyFont="1" applyAlignment="1">
      <alignment vertical="center"/>
    </xf>
    <xf numFmtId="10" fontId="3" fillId="0" borderId="5" xfId="3" applyNumberFormat="1" applyFont="1" applyBorder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4" borderId="0" xfId="0" applyFont="1" applyFill="1" applyAlignment="1">
      <alignment horizontal="center"/>
    </xf>
    <xf numFmtId="10" fontId="4" fillId="4" borderId="0" xfId="3" applyNumberFormat="1" applyFont="1" applyFill="1"/>
    <xf numFmtId="169" fontId="3" fillId="0" borderId="0" xfId="1" applyNumberFormat="1" applyFont="1"/>
    <xf numFmtId="169" fontId="3" fillId="0" borderId="0" xfId="1" applyNumberFormat="1" applyFont="1" applyFill="1"/>
    <xf numFmtId="169" fontId="3" fillId="0" borderId="0" xfId="1" applyNumberFormat="1" applyFont="1" applyAlignment="1">
      <alignment vertical="center"/>
    </xf>
    <xf numFmtId="0" fontId="3" fillId="5" borderId="0" xfId="0" applyFont="1" applyFill="1"/>
    <xf numFmtId="167" fontId="8" fillId="0" borderId="0" xfId="1" applyNumberFormat="1" applyFont="1"/>
    <xf numFmtId="0" fontId="7" fillId="0" borderId="0" xfId="0" applyFont="1"/>
    <xf numFmtId="165" fontId="7" fillId="0" borderId="0" xfId="2" applyNumberFormat="1" applyFont="1" applyFill="1" applyAlignment="1">
      <alignment horizontal="center"/>
    </xf>
    <xf numFmtId="10" fontId="7" fillId="0" borderId="0" xfId="3" applyNumberFormat="1" applyFont="1" applyFill="1" applyAlignment="1"/>
    <xf numFmtId="165" fontId="7" fillId="0" borderId="0" xfId="2" applyNumberFormat="1" applyFont="1" applyFill="1" applyAlignment="1"/>
    <xf numFmtId="0" fontId="7" fillId="0" borderId="0" xfId="0" applyFont="1" applyFill="1"/>
    <xf numFmtId="43" fontId="7" fillId="0" borderId="0" xfId="1" applyFont="1" applyFill="1"/>
    <xf numFmtId="167" fontId="7" fillId="0" borderId="0" xfId="1" applyNumberFormat="1" applyFont="1" applyFill="1"/>
    <xf numFmtId="166" fontId="7" fillId="0" borderId="0" xfId="1" applyNumberFormat="1" applyFont="1" applyFill="1"/>
    <xf numFmtId="0" fontId="7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4" xfId="0" applyFont="1" applyFill="1" applyBorder="1" applyAlignment="1">
      <alignment horizontal="right" wrapText="1"/>
    </xf>
    <xf numFmtId="0" fontId="10" fillId="0" borderId="4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right" wrapText="1"/>
    </xf>
    <xf numFmtId="0" fontId="10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center" wrapText="1"/>
    </xf>
    <xf numFmtId="0" fontId="7" fillId="0" borderId="6" xfId="0" applyFont="1" applyFill="1" applyBorder="1"/>
    <xf numFmtId="164" fontId="7" fillId="0" borderId="0" xfId="1" applyNumberFormat="1" applyFont="1" applyFill="1"/>
    <xf numFmtId="165" fontId="7" fillId="0" borderId="0" xfId="2" applyNumberFormat="1" applyFont="1" applyFill="1"/>
    <xf numFmtId="10" fontId="7" fillId="0" borderId="0" xfId="3" applyNumberFormat="1" applyFont="1" applyFill="1"/>
    <xf numFmtId="10" fontId="7" fillId="0" borderId="0" xfId="0" applyNumberFormat="1" applyFont="1" applyFill="1"/>
    <xf numFmtId="172" fontId="7" fillId="0" borderId="0" xfId="0" applyNumberFormat="1" applyFont="1" applyFill="1"/>
    <xf numFmtId="0" fontId="7" fillId="0" borderId="5" xfId="0" applyFont="1" applyFill="1" applyBorder="1" applyAlignment="1">
      <alignment vertical="center"/>
    </xf>
    <xf numFmtId="10" fontId="7" fillId="0" borderId="5" xfId="3" applyNumberFormat="1" applyFont="1" applyFill="1" applyBorder="1" applyAlignment="1">
      <alignment vertical="center"/>
    </xf>
    <xf numFmtId="165" fontId="7" fillId="0" borderId="5" xfId="3" applyNumberFormat="1" applyFont="1" applyFill="1" applyBorder="1" applyAlignment="1">
      <alignment vertical="center"/>
    </xf>
    <xf numFmtId="10" fontId="7" fillId="0" borderId="5" xfId="0" applyNumberFormat="1" applyFont="1" applyFill="1" applyBorder="1" applyAlignment="1">
      <alignment vertical="center"/>
    </xf>
    <xf numFmtId="44" fontId="7" fillId="0" borderId="5" xfId="2" applyFont="1" applyFill="1" applyBorder="1" applyAlignment="1">
      <alignment vertical="center"/>
    </xf>
    <xf numFmtId="165" fontId="7" fillId="0" borderId="0" xfId="0" applyNumberFormat="1" applyFont="1" applyFill="1"/>
    <xf numFmtId="168" fontId="7" fillId="0" borderId="0" xfId="3" applyNumberFormat="1" applyFont="1" applyFill="1"/>
    <xf numFmtId="0" fontId="7" fillId="0" borderId="5" xfId="0" applyFont="1" applyFill="1" applyBorder="1"/>
    <xf numFmtId="165" fontId="7" fillId="0" borderId="5" xfId="2" applyNumberFormat="1" applyFont="1" applyFill="1" applyBorder="1"/>
    <xf numFmtId="43" fontId="7" fillId="0" borderId="5" xfId="1" applyFont="1" applyFill="1" applyBorder="1"/>
    <xf numFmtId="0" fontId="7" fillId="0" borderId="3" xfId="0" applyFont="1" applyFill="1" applyBorder="1" applyAlignment="1">
      <alignment vertical="center"/>
    </xf>
    <xf numFmtId="165" fontId="7" fillId="0" borderId="3" xfId="2" applyNumberFormat="1" applyFont="1" applyFill="1" applyBorder="1" applyAlignment="1">
      <alignment vertical="center"/>
    </xf>
    <xf numFmtId="165" fontId="7" fillId="0" borderId="3" xfId="0" applyNumberFormat="1" applyFont="1" applyFill="1" applyBorder="1" applyAlignment="1">
      <alignment vertical="center"/>
    </xf>
    <xf numFmtId="10" fontId="7" fillId="0" borderId="3" xfId="3" applyNumberFormat="1" applyFont="1" applyFill="1" applyBorder="1" applyAlignment="1">
      <alignment vertical="center"/>
    </xf>
    <xf numFmtId="44" fontId="7" fillId="0" borderId="0" xfId="0" applyNumberFormat="1" applyFont="1" applyFill="1"/>
    <xf numFmtId="43" fontId="7" fillId="0" borderId="4" xfId="1" applyFont="1" applyFill="1" applyBorder="1"/>
    <xf numFmtId="164" fontId="7" fillId="0" borderId="0" xfId="0" applyNumberFormat="1" applyFont="1" applyFill="1"/>
    <xf numFmtId="165" fontId="7" fillId="0" borderId="5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65" fontId="7" fillId="0" borderId="5" xfId="0" applyNumberFormat="1" applyFont="1" applyFill="1" applyBorder="1"/>
    <xf numFmtId="0" fontId="7" fillId="0" borderId="0" xfId="0" applyFont="1" applyFill="1" applyAlignment="1">
      <alignment horizontal="center"/>
    </xf>
    <xf numFmtId="0" fontId="7" fillId="3" borderId="0" xfId="0" applyFont="1" applyFill="1"/>
    <xf numFmtId="165" fontId="7" fillId="3" borderId="0" xfId="0" applyNumberFormat="1" applyFont="1" applyFill="1"/>
    <xf numFmtId="6" fontId="4" fillId="6" borderId="1" xfId="0" applyNumberFormat="1" applyFont="1" applyFill="1" applyBorder="1"/>
    <xf numFmtId="0" fontId="10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30"/>
  <sheetViews>
    <sheetView tabSelected="1" zoomScale="75" zoomScaleNormal="75" workbookViewId="0">
      <selection activeCell="O4" sqref="O4"/>
    </sheetView>
  </sheetViews>
  <sheetFormatPr defaultColWidth="8.88671875" defaultRowHeight="13.2" x14ac:dyDescent="0.25"/>
  <cols>
    <col min="1" max="1" width="6" style="2" customWidth="1"/>
    <col min="2" max="2" width="40.88671875" style="2" bestFit="1" customWidth="1"/>
    <col min="3" max="3" width="5.88671875" style="13" bestFit="1" customWidth="1"/>
    <col min="4" max="4" width="14.21875" style="2" hidden="1" customWidth="1"/>
    <col min="5" max="5" width="12.6640625" style="2" bestFit="1" customWidth="1"/>
    <col min="6" max="6" width="8.5546875" style="2" bestFit="1" customWidth="1"/>
    <col min="7" max="7" width="12.6640625" style="2" bestFit="1" customWidth="1"/>
    <col min="8" max="8" width="10.44140625" style="2" bestFit="1" customWidth="1"/>
    <col min="9" max="9" width="11.6640625" style="2" bestFit="1" customWidth="1"/>
    <col min="10" max="10" width="12.6640625" style="2" bestFit="1" customWidth="1"/>
    <col min="11" max="11" width="11.33203125" style="2" customWidth="1"/>
    <col min="12" max="12" width="11.6640625" style="2" bestFit="1" customWidth="1"/>
    <col min="13" max="13" width="7.6640625" style="2" bestFit="1" customWidth="1"/>
    <col min="14" max="14" width="7.77734375" style="2" bestFit="1" customWidth="1"/>
    <col min="15" max="15" width="10" style="2" bestFit="1" customWidth="1"/>
    <col min="16" max="16" width="24.77734375" style="25" customWidth="1"/>
    <col min="17" max="17" width="9" style="2" bestFit="1" customWidth="1"/>
    <col min="18" max="18" width="14.5546875" style="2" customWidth="1"/>
    <col min="19" max="19" width="9" style="2" customWidth="1"/>
    <col min="20" max="20" width="14.6640625" style="2" customWidth="1"/>
    <col min="21" max="21" width="10" style="2" customWidth="1"/>
    <col min="22" max="16384" width="8.88671875" style="2"/>
  </cols>
  <sheetData>
    <row r="1" spans="1:22" x14ac:dyDescent="0.25">
      <c r="A1" s="1" t="s">
        <v>63</v>
      </c>
    </row>
    <row r="2" spans="1:22" x14ac:dyDescent="0.25">
      <c r="A2" s="1" t="s">
        <v>0</v>
      </c>
    </row>
    <row r="3" spans="1:22" x14ac:dyDescent="0.25">
      <c r="A3" s="1"/>
    </row>
    <row r="4" spans="1:22" x14ac:dyDescent="0.25">
      <c r="A4" s="1"/>
      <c r="K4" s="24" t="s">
        <v>38</v>
      </c>
      <c r="L4" s="152">
        <v>1443780</v>
      </c>
      <c r="M4" s="4"/>
    </row>
    <row r="5" spans="1:22" x14ac:dyDescent="0.25">
      <c r="M5" s="4"/>
      <c r="N5" s="4"/>
    </row>
    <row r="6" spans="1:22" s="9" customFormat="1" ht="31.95" customHeight="1" x14ac:dyDescent="0.25">
      <c r="A6" s="7" t="s">
        <v>1</v>
      </c>
      <c r="B6" s="7" t="s">
        <v>2</v>
      </c>
      <c r="C6" s="8" t="s">
        <v>11</v>
      </c>
      <c r="D6" s="28" t="s">
        <v>21</v>
      </c>
      <c r="E6" s="28" t="s">
        <v>3</v>
      </c>
      <c r="F6" s="28" t="s">
        <v>22</v>
      </c>
      <c r="G6" s="28" t="s">
        <v>33</v>
      </c>
      <c r="H6" s="28" t="s">
        <v>34</v>
      </c>
      <c r="I6" s="28" t="s">
        <v>35</v>
      </c>
      <c r="J6" s="28" t="s">
        <v>4</v>
      </c>
      <c r="K6" s="28" t="s">
        <v>24</v>
      </c>
      <c r="L6" s="28" t="s">
        <v>47</v>
      </c>
      <c r="M6" s="74" t="s">
        <v>45</v>
      </c>
      <c r="N6" s="74" t="s">
        <v>46</v>
      </c>
      <c r="O6" s="10" t="s">
        <v>37</v>
      </c>
      <c r="P6" s="25"/>
      <c r="Q6" s="2"/>
      <c r="R6" s="2"/>
      <c r="S6" s="2"/>
      <c r="T6" s="2"/>
      <c r="U6" s="2"/>
      <c r="V6" s="2"/>
    </row>
    <row r="7" spans="1:22" s="38" customFormat="1" x14ac:dyDescent="0.25">
      <c r="A7" s="3">
        <v>1</v>
      </c>
      <c r="B7" s="34" t="s">
        <v>5</v>
      </c>
      <c r="C7" s="69"/>
      <c r="D7" s="34"/>
      <c r="E7" s="35"/>
      <c r="F7" s="36"/>
      <c r="G7" s="36"/>
      <c r="H7" s="9"/>
      <c r="I7" s="9"/>
      <c r="J7" s="35"/>
      <c r="K7" s="36"/>
      <c r="L7" s="35"/>
      <c r="M7" s="37"/>
      <c r="N7" s="37"/>
      <c r="P7" s="25"/>
      <c r="Q7" s="2"/>
      <c r="R7" s="2"/>
      <c r="S7" s="2"/>
      <c r="T7" s="2"/>
      <c r="U7" s="2"/>
      <c r="V7" s="2"/>
    </row>
    <row r="8" spans="1:22" s="38" customFormat="1" x14ac:dyDescent="0.25">
      <c r="A8" s="3">
        <f>A7+1</f>
        <v>2</v>
      </c>
      <c r="B8" s="38" t="str">
        <f>'Billing Detail'!B7</f>
        <v>Residential Service</v>
      </c>
      <c r="C8" s="13">
        <f>'Billing Detail'!C7</f>
        <v>12</v>
      </c>
      <c r="D8" s="39">
        <f>'Billing Detail'!G10</f>
        <v>22497974.06436</v>
      </c>
      <c r="E8" s="39">
        <f>'Billing Detail'!I10</f>
        <v>22141097.684640002</v>
      </c>
      <c r="F8" s="37">
        <f t="shared" ref="F8:F15" si="0">E8/E$15</f>
        <v>0.51176954363161897</v>
      </c>
      <c r="G8" s="109">
        <f>E8</f>
        <v>22141097.684640002</v>
      </c>
      <c r="H8" s="110">
        <f t="shared" ref="H8:H14" si="1">G8/G$15</f>
        <v>0.51176954363161897</v>
      </c>
      <c r="I8" s="111">
        <f t="shared" ref="I8:I14" si="2">ROUND(L$4*H8,2)</f>
        <v>738882.63</v>
      </c>
      <c r="J8" s="39">
        <f>'Billing Detail'!M10</f>
        <v>22880346.593040001</v>
      </c>
      <c r="K8" s="37">
        <f t="shared" ref="K8:K15" si="3">J8/J$15</f>
        <v>0.51177461085871578</v>
      </c>
      <c r="L8" s="39">
        <f>'Billing Detail'!N10</f>
        <v>739248.90839999914</v>
      </c>
      <c r="M8" s="37">
        <f>IF(E8=0,0,L8/E8)</f>
        <v>3.3388087570420687E-2</v>
      </c>
      <c r="N8" s="37">
        <f>'Billing Detail'!O16</f>
        <v>3.1083291785179844E-2</v>
      </c>
      <c r="O8" s="41">
        <f>J8-I8-E8</f>
        <v>366.27840000018477</v>
      </c>
      <c r="P8" s="25"/>
      <c r="Q8" s="2"/>
      <c r="R8" s="2"/>
      <c r="S8" s="2"/>
      <c r="T8" s="2"/>
      <c r="U8" s="2"/>
      <c r="V8" s="2"/>
    </row>
    <row r="9" spans="1:22" s="38" customFormat="1" x14ac:dyDescent="0.25">
      <c r="A9" s="3">
        <f t="shared" ref="A9:A29" si="4">A8+1</f>
        <v>3</v>
      </c>
      <c r="B9" s="38" t="str">
        <f>'Billing Detail'!B19</f>
        <v>Off Peak Retail Marketing (ETS)</v>
      </c>
      <c r="C9" s="13">
        <f>'Billing Detail'!C19</f>
        <v>9</v>
      </c>
      <c r="D9" s="39">
        <f>'Billing Detail'!G21</f>
        <v>11901.823640000001</v>
      </c>
      <c r="E9" s="39">
        <f>'Billing Detail'!I21</f>
        <v>11592.147420000001</v>
      </c>
      <c r="F9" s="37">
        <f t="shared" si="0"/>
        <v>2.6794100632867099E-4</v>
      </c>
      <c r="G9" s="109">
        <f t="shared" ref="G9:G14" si="5">E9</f>
        <v>11592.147420000001</v>
      </c>
      <c r="H9" s="110">
        <f t="shared" si="1"/>
        <v>2.6794100632867099E-4</v>
      </c>
      <c r="I9" s="111">
        <f t="shared" si="2"/>
        <v>386.85</v>
      </c>
      <c r="J9" s="39">
        <f>'Billing Detail'!M21</f>
        <v>11978.74958</v>
      </c>
      <c r="K9" s="37">
        <f t="shared" si="3"/>
        <v>2.6793387416357251E-4</v>
      </c>
      <c r="L9" s="39">
        <f>'Billing Detail'!N21</f>
        <v>386.60215999999855</v>
      </c>
      <c r="M9" s="37">
        <f t="shared" ref="M9:M14" si="6">IF(E9=0,0,L9/E9)</f>
        <v>3.3350348817423728E-2</v>
      </c>
      <c r="N9" s="37">
        <f>'Billing Detail'!O27</f>
        <v>3.2482598607888505E-2</v>
      </c>
      <c r="O9" s="41">
        <f t="shared" ref="O9:O15" si="7">J9-I9-E9</f>
        <v>-0.2478400000018155</v>
      </c>
      <c r="P9" s="25"/>
      <c r="Q9" s="2"/>
      <c r="R9" s="2"/>
      <c r="S9" s="2"/>
      <c r="T9" s="2"/>
      <c r="U9" s="2"/>
      <c r="V9" s="2"/>
    </row>
    <row r="10" spans="1:22" s="38" customFormat="1" x14ac:dyDescent="0.25">
      <c r="A10" s="3">
        <f t="shared" si="4"/>
        <v>4</v>
      </c>
      <c r="B10" s="38" t="str">
        <f>'Billing Detail'!B30</f>
        <v>Large Power Service &gt; 50 kW</v>
      </c>
      <c r="C10" s="13">
        <f>'Billing Detail'!C30</f>
        <v>2</v>
      </c>
      <c r="D10" s="39">
        <f>'Billing Detail'!G34</f>
        <v>4175389.0060000001</v>
      </c>
      <c r="E10" s="39">
        <f>'Billing Detail'!I34</f>
        <v>4093851.37</v>
      </c>
      <c r="F10" s="37">
        <f t="shared" si="0"/>
        <v>9.4625319718182846E-2</v>
      </c>
      <c r="G10" s="109">
        <f t="shared" si="5"/>
        <v>4093851.37</v>
      </c>
      <c r="H10" s="110">
        <f t="shared" si="1"/>
        <v>9.4625319718182846E-2</v>
      </c>
      <c r="I10" s="111">
        <f t="shared" si="2"/>
        <v>136618.14000000001</v>
      </c>
      <c r="J10" s="39">
        <f>'Billing Detail'!M34</f>
        <v>4230695.8711000001</v>
      </c>
      <c r="K10" s="37">
        <f t="shared" si="3"/>
        <v>9.46298048541101E-2</v>
      </c>
      <c r="L10" s="39">
        <f>'Billing Detail'!N34</f>
        <v>136844.50109999994</v>
      </c>
      <c r="M10" s="37">
        <f t="shared" si="6"/>
        <v>3.3426836670917032E-2</v>
      </c>
      <c r="N10" s="37">
        <f>'Billing Detail'!O40</f>
        <v>3.1426733745572095E-2</v>
      </c>
      <c r="O10" s="41">
        <f t="shared" si="7"/>
        <v>226.36109999986365</v>
      </c>
      <c r="P10" s="25"/>
      <c r="Q10" s="2"/>
      <c r="R10" s="2"/>
      <c r="S10" s="2"/>
      <c r="T10" s="2"/>
      <c r="U10" s="2"/>
      <c r="V10" s="2"/>
    </row>
    <row r="11" spans="1:22" s="38" customFormat="1" x14ac:dyDescent="0.25">
      <c r="A11" s="3">
        <f t="shared" si="4"/>
        <v>5</v>
      </c>
      <c r="B11" s="38" t="str">
        <f>'Billing Detail'!B43</f>
        <v>General Service &lt; 50kW</v>
      </c>
      <c r="C11" s="13">
        <f>'Billing Detail'!C43</f>
        <v>11</v>
      </c>
      <c r="D11" s="39">
        <f>'Billing Detail'!G47</f>
        <v>4226312.3053399995</v>
      </c>
      <c r="E11" s="39">
        <f>'Billing Detail'!I47</f>
        <v>4167074.8017599997</v>
      </c>
      <c r="F11" s="37">
        <f t="shared" si="0"/>
        <v>9.6317806820163901E-2</v>
      </c>
      <c r="G11" s="109">
        <f t="shared" si="5"/>
        <v>4167074.8017599997</v>
      </c>
      <c r="H11" s="110">
        <f t="shared" si="1"/>
        <v>9.6317806820163901E-2</v>
      </c>
      <c r="I11" s="111">
        <f t="shared" si="2"/>
        <v>139061.72</v>
      </c>
      <c r="J11" s="39">
        <f>'Billing Detail'!M47</f>
        <v>4306043.1269399999</v>
      </c>
      <c r="K11" s="37">
        <f t="shared" si="3"/>
        <v>9.6315129522597326E-2</v>
      </c>
      <c r="L11" s="39">
        <f>'Billing Detail'!N47</f>
        <v>138968.32517999993</v>
      </c>
      <c r="M11" s="37">
        <f t="shared" si="6"/>
        <v>3.3349131414992947E-2</v>
      </c>
      <c r="N11" s="37">
        <f>'Billing Detail'!O53</f>
        <v>3.1054051550890364E-2</v>
      </c>
      <c r="O11" s="41">
        <f t="shared" si="7"/>
        <v>-93.394820000045002</v>
      </c>
      <c r="P11" s="25"/>
      <c r="Q11" s="2"/>
      <c r="R11" s="2"/>
      <c r="S11" s="2"/>
      <c r="T11" s="2"/>
      <c r="U11" s="2"/>
      <c r="V11" s="2"/>
    </row>
    <row r="12" spans="1:22" s="38" customFormat="1" x14ac:dyDescent="0.25">
      <c r="A12" s="3">
        <f t="shared" si="4"/>
        <v>6</v>
      </c>
      <c r="B12" s="38" t="str">
        <f>'Billing Detail'!B56</f>
        <v>Large Industrial Rate (500 kW to 4,999 kW)</v>
      </c>
      <c r="C12" s="13" t="str">
        <f>'Billing Detail'!C56</f>
        <v>B1</v>
      </c>
      <c r="D12" s="39">
        <f>'Billing Detail'!G61</f>
        <v>8792338.9519400001</v>
      </c>
      <c r="E12" s="39">
        <f>'Billing Detail'!I61</f>
        <v>8584102.7586800009</v>
      </c>
      <c r="F12" s="37">
        <f t="shared" si="0"/>
        <v>0.19841303325915088</v>
      </c>
      <c r="G12" s="109">
        <f t="shared" si="5"/>
        <v>8584102.7586800009</v>
      </c>
      <c r="H12" s="110">
        <f t="shared" si="1"/>
        <v>0.19841303325915088</v>
      </c>
      <c r="I12" s="111">
        <f t="shared" si="2"/>
        <v>286464.77</v>
      </c>
      <c r="J12" s="39">
        <f>'Billing Detail'!M61</f>
        <v>8870619.4326600004</v>
      </c>
      <c r="K12" s="37">
        <f t="shared" si="3"/>
        <v>0.19841298250290876</v>
      </c>
      <c r="L12" s="39">
        <f>'Billing Detail'!N61</f>
        <v>286516.67397999985</v>
      </c>
      <c r="M12" s="37">
        <f>IF(E12=0,0,L12/E12)</f>
        <v>3.3377591349344267E-2</v>
      </c>
      <c r="N12" s="37">
        <f>'Billing Detail'!O67</f>
        <v>3.1523271138906864E-2</v>
      </c>
      <c r="O12" s="41">
        <f>J12-I12-E12</f>
        <v>51.903979999944568</v>
      </c>
      <c r="P12" s="25"/>
      <c r="Q12" s="2"/>
      <c r="R12" s="2"/>
      <c r="S12" s="2"/>
      <c r="T12" s="2"/>
      <c r="U12" s="2"/>
      <c r="V12" s="2"/>
    </row>
    <row r="13" spans="1:22" s="38" customFormat="1" x14ac:dyDescent="0.25">
      <c r="A13" s="3">
        <f t="shared" si="4"/>
        <v>7</v>
      </c>
      <c r="B13" s="38" t="str">
        <f>'Billing Detail'!B70</f>
        <v>Large Industrial Rate (5,000 kW to 9,999 kW)</v>
      </c>
      <c r="C13" s="13" t="str">
        <f>'Billing Detail'!C70</f>
        <v>B2</v>
      </c>
      <c r="D13" s="39">
        <f>'Billing Detail'!G75</f>
        <v>3760706.9264099998</v>
      </c>
      <c r="E13" s="39">
        <f>'Billing Detail'!I75</f>
        <v>3684981.2781199999</v>
      </c>
      <c r="F13" s="37">
        <f t="shared" si="0"/>
        <v>8.5174692504193933E-2</v>
      </c>
      <c r="G13" s="109">
        <f t="shared" si="5"/>
        <v>3684981.2781199999</v>
      </c>
      <c r="H13" s="110">
        <f t="shared" si="1"/>
        <v>8.5174692504193933E-2</v>
      </c>
      <c r="I13" s="111">
        <f t="shared" si="2"/>
        <v>122973.52</v>
      </c>
      <c r="J13" s="39">
        <f>'Billing Detail'!M75</f>
        <v>3807718.8539200001</v>
      </c>
      <c r="K13" s="37">
        <f t="shared" si="3"/>
        <v>8.5168894920371468E-2</v>
      </c>
      <c r="L13" s="39">
        <f>'Billing Detail'!N75</f>
        <v>122737.57580000043</v>
      </c>
      <c r="M13" s="37">
        <f t="shared" ref="M13" si="8">IF(E13=0,0,L13/E13)</f>
        <v>3.3307516792220604E-2</v>
      </c>
      <c r="N13" s="37">
        <f>'Billing Detail'!O81</f>
        <v>3.2000081155435726E-2</v>
      </c>
      <c r="O13" s="41">
        <f t="shared" ref="O13" si="9">J13-I13-E13</f>
        <v>-235.94419999979436</v>
      </c>
      <c r="P13" s="25"/>
      <c r="Q13" s="2"/>
      <c r="R13" s="2"/>
      <c r="S13" s="2"/>
      <c r="T13" s="2"/>
      <c r="U13" s="2"/>
      <c r="V13" s="2"/>
    </row>
    <row r="14" spans="1:22" s="38" customFormat="1" x14ac:dyDescent="0.25">
      <c r="A14" s="3">
        <f t="shared" si="4"/>
        <v>8</v>
      </c>
      <c r="B14" s="38" t="str">
        <f>'Billing Detail'!B84</f>
        <v>Outdoor &amp; Street Lighting</v>
      </c>
      <c r="C14" s="13">
        <f>'Billing Detail'!C84</f>
        <v>3</v>
      </c>
      <c r="D14" s="39">
        <f>'Billing Detail'!G94</f>
        <v>582421.26</v>
      </c>
      <c r="E14" s="39">
        <f>'Billing Detail'!I94</f>
        <v>581104.85</v>
      </c>
      <c r="F14" s="37">
        <f t="shared" si="0"/>
        <v>1.3431663060360855E-2</v>
      </c>
      <c r="G14" s="109">
        <f t="shared" si="5"/>
        <v>581104.85</v>
      </c>
      <c r="H14" s="110">
        <f t="shared" si="1"/>
        <v>1.3431663060360855E-2</v>
      </c>
      <c r="I14" s="111">
        <f t="shared" si="2"/>
        <v>19392.37</v>
      </c>
      <c r="J14" s="39">
        <f>'Billing Detail'!M94</f>
        <v>600455.30000000005</v>
      </c>
      <c r="K14" s="37">
        <f t="shared" si="3"/>
        <v>1.3430643467133086E-2</v>
      </c>
      <c r="L14" s="39">
        <f t="shared" ref="L14:L15" si="10">J14-E14</f>
        <v>19350.45000000007</v>
      </c>
      <c r="M14" s="37">
        <f t="shared" si="6"/>
        <v>3.3299412317759985E-2</v>
      </c>
      <c r="N14" s="37">
        <f>'Billing Detail'!O100</f>
        <v>3.3164097537198962E-2</v>
      </c>
      <c r="O14" s="41">
        <f t="shared" si="7"/>
        <v>-41.919999999925494</v>
      </c>
      <c r="P14" s="25"/>
      <c r="Q14" s="2"/>
      <c r="R14" s="2"/>
      <c r="S14" s="2"/>
      <c r="T14" s="2"/>
      <c r="U14" s="2"/>
      <c r="V14" s="2"/>
    </row>
    <row r="15" spans="1:22" s="38" customFormat="1" ht="16.2" customHeight="1" x14ac:dyDescent="0.25">
      <c r="A15" s="3">
        <f t="shared" si="4"/>
        <v>9</v>
      </c>
      <c r="B15" s="42" t="s">
        <v>44</v>
      </c>
      <c r="C15" s="70"/>
      <c r="D15" s="43">
        <f>SUM(D8:D14)</f>
        <v>44047044.337689996</v>
      </c>
      <c r="E15" s="43">
        <f>SUM(E8:E14)</f>
        <v>43263804.890620001</v>
      </c>
      <c r="F15" s="44">
        <f t="shared" si="0"/>
        <v>1</v>
      </c>
      <c r="G15" s="43">
        <f>SUM(G8:G14)</f>
        <v>43263804.890620001</v>
      </c>
      <c r="H15" s="44">
        <v>1</v>
      </c>
      <c r="I15" s="43">
        <f>SUM(I8:I14)</f>
        <v>1443780</v>
      </c>
      <c r="J15" s="43">
        <f>SUM(J8:J14)</f>
        <v>44707857.927239999</v>
      </c>
      <c r="K15" s="44">
        <f t="shared" si="3"/>
        <v>1</v>
      </c>
      <c r="L15" s="43">
        <f t="shared" si="10"/>
        <v>1444053.0366199985</v>
      </c>
      <c r="M15" s="44">
        <f t="shared" ref="M15" si="11">L15/E15</f>
        <v>3.3377855698796449E-2</v>
      </c>
      <c r="N15" s="44"/>
      <c r="O15" s="45">
        <f t="shared" si="7"/>
        <v>273.03661999851465</v>
      </c>
      <c r="P15" s="25"/>
      <c r="Q15" s="2"/>
      <c r="R15" s="2"/>
      <c r="S15" s="2"/>
      <c r="T15" s="2"/>
      <c r="U15" s="2"/>
      <c r="V15" s="2"/>
    </row>
    <row r="16" spans="1:22" s="38" customFormat="1" ht="16.2" customHeight="1" x14ac:dyDescent="0.25">
      <c r="A16" s="3">
        <f t="shared" si="4"/>
        <v>10</v>
      </c>
      <c r="B16" s="46"/>
      <c r="C16" s="71"/>
      <c r="D16" s="47"/>
      <c r="E16" s="47"/>
      <c r="F16" s="48"/>
      <c r="G16" s="47"/>
      <c r="H16" s="48"/>
      <c r="I16" s="47"/>
      <c r="J16" s="47"/>
      <c r="K16" s="48"/>
      <c r="L16" s="47"/>
      <c r="M16" s="48"/>
      <c r="N16" s="48"/>
      <c r="O16" s="49"/>
      <c r="P16" s="25"/>
      <c r="Q16" s="2"/>
      <c r="R16" s="2"/>
      <c r="S16" s="2"/>
      <c r="T16" s="2"/>
      <c r="U16" s="2"/>
      <c r="V16" s="2"/>
    </row>
    <row r="17" spans="1:22" s="38" customFormat="1" ht="16.2" customHeight="1" x14ac:dyDescent="0.25">
      <c r="A17" s="3">
        <f t="shared" si="4"/>
        <v>11</v>
      </c>
      <c r="B17" s="50" t="s">
        <v>43</v>
      </c>
      <c r="C17" s="72"/>
      <c r="D17" s="51">
        <f>D15</f>
        <v>44047044.337689996</v>
      </c>
      <c r="E17" s="51">
        <f t="shared" ref="E17:O17" si="12">E15</f>
        <v>43263804.890620001</v>
      </c>
      <c r="F17" s="98">
        <f t="shared" si="12"/>
        <v>1</v>
      </c>
      <c r="G17" s="51">
        <f t="shared" si="12"/>
        <v>43263804.890620001</v>
      </c>
      <c r="H17" s="98">
        <f t="shared" si="12"/>
        <v>1</v>
      </c>
      <c r="I17" s="51">
        <f t="shared" si="12"/>
        <v>1443780</v>
      </c>
      <c r="J17" s="51">
        <f t="shared" si="12"/>
        <v>44707857.927239999</v>
      </c>
      <c r="K17" s="98">
        <f t="shared" si="12"/>
        <v>1</v>
      </c>
      <c r="L17" s="51">
        <f t="shared" si="12"/>
        <v>1444053.0366199985</v>
      </c>
      <c r="M17" s="98">
        <f t="shared" si="12"/>
        <v>3.3377855698796449E-2</v>
      </c>
      <c r="N17" s="51"/>
      <c r="O17" s="51">
        <f t="shared" si="12"/>
        <v>273.03661999851465</v>
      </c>
      <c r="P17" s="25"/>
      <c r="Q17" s="2"/>
      <c r="R17" s="2"/>
      <c r="S17" s="2"/>
      <c r="T17" s="2"/>
      <c r="U17" s="2"/>
      <c r="V17" s="2"/>
    </row>
    <row r="18" spans="1:22" s="38" customFormat="1" ht="12.6" customHeight="1" x14ac:dyDescent="0.25">
      <c r="A18" s="3">
        <f t="shared" si="4"/>
        <v>12</v>
      </c>
      <c r="C18" s="13"/>
      <c r="P18" s="25"/>
      <c r="S18" s="39"/>
    </row>
    <row r="19" spans="1:22" s="38" customFormat="1" x14ac:dyDescent="0.25">
      <c r="A19" s="3">
        <f t="shared" si="4"/>
        <v>13</v>
      </c>
      <c r="B19" s="34" t="s">
        <v>7</v>
      </c>
      <c r="C19" s="69"/>
      <c r="D19" s="34"/>
      <c r="P19" s="25"/>
    </row>
    <row r="20" spans="1:22" s="38" customFormat="1" x14ac:dyDescent="0.25">
      <c r="A20" s="3">
        <f t="shared" si="4"/>
        <v>14</v>
      </c>
      <c r="B20" s="38" t="str">
        <f>'Billing Detail'!D11</f>
        <v xml:space="preserve">    FAC</v>
      </c>
      <c r="C20" s="13"/>
      <c r="D20" s="39">
        <f>'Billing Detail'!G105</f>
        <v>-1482022.18</v>
      </c>
      <c r="E20" s="39">
        <f>'Billing Detail'!I105</f>
        <v>-700099.14292999997</v>
      </c>
      <c r="F20" s="52"/>
      <c r="G20" s="53"/>
      <c r="H20" s="53"/>
      <c r="I20" s="53"/>
      <c r="J20" s="39">
        <f>'Billing Detail'!M105</f>
        <v>-700099.14292999997</v>
      </c>
      <c r="K20" s="54"/>
      <c r="L20" s="54"/>
      <c r="M20" s="53"/>
      <c r="N20" s="53"/>
      <c r="P20" s="25"/>
    </row>
    <row r="21" spans="1:22" s="38" customFormat="1" x14ac:dyDescent="0.25">
      <c r="A21" s="3">
        <f t="shared" si="4"/>
        <v>15</v>
      </c>
      <c r="B21" s="38" t="str">
        <f>'Billing Detail'!D12</f>
        <v xml:space="preserve">    ES</v>
      </c>
      <c r="C21" s="13"/>
      <c r="D21" s="39">
        <f>'Billing Detail'!G106</f>
        <v>3567579.77</v>
      </c>
      <c r="E21" s="39">
        <f>'Billing Detail'!I106</f>
        <v>3567579.77</v>
      </c>
      <c r="F21" s="53"/>
      <c r="G21" s="53"/>
      <c r="H21" s="53"/>
      <c r="I21" s="53"/>
      <c r="J21" s="39">
        <f>'Billing Detail'!M106</f>
        <v>3567579.77</v>
      </c>
      <c r="K21" s="54"/>
      <c r="L21" s="54"/>
      <c r="M21" s="53"/>
      <c r="N21" s="53"/>
      <c r="P21" s="25"/>
    </row>
    <row r="22" spans="1:22" s="38" customFormat="1" x14ac:dyDescent="0.25">
      <c r="A22" s="3">
        <f t="shared" si="4"/>
        <v>16</v>
      </c>
      <c r="B22" s="38" t="str">
        <f>'Billing Detail'!D13</f>
        <v xml:space="preserve">    Prepay Daily Charges</v>
      </c>
      <c r="C22" s="13"/>
      <c r="D22" s="39">
        <f>'Billing Detail'!G107</f>
        <v>967.25</v>
      </c>
      <c r="E22" s="39">
        <f>'Billing Detail'!I107</f>
        <v>967.25</v>
      </c>
      <c r="F22" s="53"/>
      <c r="G22" s="53"/>
      <c r="H22" s="53"/>
      <c r="I22" s="53"/>
      <c r="J22" s="39">
        <f>'Billing Detail'!M107</f>
        <v>967.25</v>
      </c>
      <c r="K22" s="54"/>
      <c r="L22" s="54"/>
      <c r="M22" s="53"/>
      <c r="N22" s="53"/>
      <c r="P22" s="25"/>
    </row>
    <row r="23" spans="1:22" s="38" customFormat="1" x14ac:dyDescent="0.25">
      <c r="A23" s="3">
        <f t="shared" si="4"/>
        <v>17</v>
      </c>
      <c r="B23" s="38" t="str">
        <f>'Billing Detail'!D14</f>
        <v xml:space="preserve">    Other</v>
      </c>
      <c r="C23" s="13"/>
      <c r="D23" s="39">
        <f>'Billing Detail'!G108</f>
        <v>0</v>
      </c>
      <c r="E23" s="39">
        <f>'Billing Detail'!I108</f>
        <v>0</v>
      </c>
      <c r="F23" s="53"/>
      <c r="G23" s="53"/>
      <c r="H23" s="53"/>
      <c r="I23" s="53"/>
      <c r="J23" s="39">
        <f>'Billing Detail'!M108</f>
        <v>0</v>
      </c>
      <c r="K23" s="54"/>
      <c r="L23" s="54"/>
      <c r="M23" s="53"/>
      <c r="N23" s="63"/>
      <c r="P23" s="25"/>
    </row>
    <row r="24" spans="1:22" s="38" customFormat="1" x14ac:dyDescent="0.25">
      <c r="A24" s="3">
        <f t="shared" si="4"/>
        <v>18</v>
      </c>
      <c r="B24" s="42" t="s">
        <v>8</v>
      </c>
      <c r="C24" s="70"/>
      <c r="D24" s="43">
        <f>SUM(D20:D23)</f>
        <v>2086524.84</v>
      </c>
      <c r="E24" s="43">
        <f>SUM(E20:E23)</f>
        <v>2868447.8770699999</v>
      </c>
      <c r="F24" s="55"/>
      <c r="G24" s="55"/>
      <c r="H24" s="55"/>
      <c r="I24" s="55"/>
      <c r="J24" s="43">
        <f>SUM(J20:J23)</f>
        <v>2868447.8770699999</v>
      </c>
      <c r="K24" s="56"/>
      <c r="L24" s="56"/>
      <c r="M24" s="55"/>
      <c r="N24" s="62"/>
      <c r="P24" s="25"/>
    </row>
    <row r="25" spans="1:22" s="38" customFormat="1" x14ac:dyDescent="0.25">
      <c r="A25" s="3">
        <f t="shared" si="4"/>
        <v>19</v>
      </c>
      <c r="C25" s="13"/>
      <c r="P25" s="25"/>
    </row>
    <row r="26" spans="1:22" s="38" customFormat="1" ht="18" customHeight="1" thickBot="1" x14ac:dyDescent="0.3">
      <c r="A26" s="3">
        <f t="shared" si="4"/>
        <v>20</v>
      </c>
      <c r="B26" s="57" t="s">
        <v>9</v>
      </c>
      <c r="C26" s="73"/>
      <c r="D26" s="58">
        <f>D17+D24</f>
        <v>46133569.177689999</v>
      </c>
      <c r="E26" s="58">
        <f>E17+E24</f>
        <v>46132252.767690003</v>
      </c>
      <c r="F26" s="59"/>
      <c r="G26" s="59"/>
      <c r="H26" s="59"/>
      <c r="I26" s="59"/>
      <c r="J26" s="58">
        <f>J17+J24</f>
        <v>47576305.804310001</v>
      </c>
      <c r="K26" s="60"/>
      <c r="L26" s="59">
        <f t="shared" ref="L26" si="13">J26-E26</f>
        <v>1444053.0366199985</v>
      </c>
      <c r="M26" s="57"/>
      <c r="N26" s="61">
        <f>L26/E26</f>
        <v>3.1302460859474454E-2</v>
      </c>
      <c r="P26" s="25"/>
    </row>
    <row r="27" spans="1:22" s="38" customFormat="1" ht="18" customHeight="1" thickTop="1" x14ac:dyDescent="0.25">
      <c r="A27" s="3">
        <f t="shared" si="4"/>
        <v>21</v>
      </c>
      <c r="B27" s="38" t="s">
        <v>10</v>
      </c>
      <c r="C27" s="13"/>
      <c r="D27" s="40"/>
      <c r="L27" s="47">
        <f>L4</f>
        <v>1443780</v>
      </c>
      <c r="P27" s="25"/>
    </row>
    <row r="28" spans="1:22" s="38" customFormat="1" ht="15" customHeight="1" x14ac:dyDescent="0.25">
      <c r="A28" s="3">
        <f t="shared" si="4"/>
        <v>22</v>
      </c>
      <c r="B28" s="42" t="s">
        <v>39</v>
      </c>
      <c r="C28" s="70"/>
      <c r="D28" s="43"/>
      <c r="E28" s="42"/>
      <c r="F28" s="42"/>
      <c r="G28" s="42"/>
      <c r="H28" s="42"/>
      <c r="I28" s="42"/>
      <c r="J28" s="42"/>
      <c r="K28" s="42"/>
      <c r="L28" s="43">
        <f>L26-L27</f>
        <v>273.03661999851465</v>
      </c>
      <c r="P28" s="25"/>
    </row>
    <row r="29" spans="1:22" s="38" customFormat="1" ht="15" customHeight="1" x14ac:dyDescent="0.25">
      <c r="A29" s="3">
        <f t="shared" si="4"/>
        <v>23</v>
      </c>
      <c r="B29" s="38" t="s">
        <v>39</v>
      </c>
      <c r="C29" s="13"/>
      <c r="D29" s="37"/>
      <c r="L29" s="37">
        <f>L28/L27</f>
        <v>1.8911234398489703E-4</v>
      </c>
      <c r="P29" s="25"/>
    </row>
    <row r="30" spans="1:22" x14ac:dyDescent="0.25">
      <c r="A30" s="3"/>
    </row>
  </sheetData>
  <printOptions horizontalCentered="1"/>
  <pageMargins left="0.7" right="0.7" top="0.75" bottom="0.75" header="0.3" footer="0.3"/>
  <pageSetup scale="72" orientation="landscape" r:id="rId1"/>
  <headerFooter>
    <oddHeader>&amp;R&amp;"Arial,Bold"&amp;10Exhibit 3
Page &amp;P of &amp;N</oddHeader>
  </headerFooter>
  <ignoredErrors>
    <ignoredError sqref="J15 F15 J8:J11 G8:G13 G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Y143"/>
  <sheetViews>
    <sheetView view="pageBreakPreview" zoomScale="75" zoomScaleNormal="75" zoomScaleSheetLayoutView="75" workbookViewId="0">
      <pane xSplit="4" ySplit="5" topLeftCell="E6" activePane="bottomRight" state="frozen"/>
      <selection activeCell="B32" sqref="B32:B37"/>
      <selection pane="topRight" activeCell="B32" sqref="B32:B37"/>
      <selection pane="bottomLeft" activeCell="B32" sqref="B32:B37"/>
      <selection pane="bottomRight" activeCell="P13" sqref="P13"/>
    </sheetView>
  </sheetViews>
  <sheetFormatPr defaultColWidth="8.88671875" defaultRowHeight="13.2" x14ac:dyDescent="0.25"/>
  <cols>
    <col min="1" max="1" width="7.44140625" style="5" customWidth="1"/>
    <col min="2" max="2" width="36.44140625" style="2" customWidth="1"/>
    <col min="3" max="3" width="6.6640625" style="13" customWidth="1"/>
    <col min="4" max="4" width="30.44140625" style="2" customWidth="1"/>
    <col min="5" max="5" width="17.44140625" style="112" customWidth="1"/>
    <col min="6" max="6" width="17.6640625" style="112" hidden="1" customWidth="1"/>
    <col min="7" max="7" width="16.6640625" style="112" hidden="1" customWidth="1"/>
    <col min="8" max="8" width="12.21875" style="112" bestFit="1" customWidth="1"/>
    <col min="9" max="9" width="15.33203125" style="112" bestFit="1" customWidth="1"/>
    <col min="10" max="10" width="8.5546875" style="112" bestFit="1" customWidth="1"/>
    <col min="11" max="11" width="12.6640625" style="112" bestFit="1" customWidth="1"/>
    <col min="12" max="12" width="10" style="112" bestFit="1" customWidth="1"/>
    <col min="13" max="13" width="12.6640625" style="112" bestFit="1" customWidth="1"/>
    <col min="14" max="14" width="11.6640625" style="112" bestFit="1" customWidth="1"/>
    <col min="15" max="15" width="6.44140625" style="112" bestFit="1" customWidth="1"/>
    <col min="16" max="16" width="9.88671875" style="112" bestFit="1" customWidth="1"/>
    <col min="17" max="17" width="9.44140625" style="112" bestFit="1" customWidth="1"/>
    <col min="18" max="18" width="11.88671875" style="112" customWidth="1"/>
    <col min="19" max="19" width="12.44140625" style="103" customWidth="1"/>
    <col min="20" max="20" width="14.109375" style="2" customWidth="1"/>
    <col min="21" max="21" width="8.88671875" style="2" customWidth="1"/>
    <col min="22" max="22" width="9.33203125" style="2" customWidth="1"/>
    <col min="23" max="23" width="15.33203125" style="2" customWidth="1"/>
    <col min="24" max="24" width="11.6640625" style="2" customWidth="1"/>
    <col min="25" max="16384" width="8.88671875" style="2"/>
  </cols>
  <sheetData>
    <row r="1" spans="1:24" x14ac:dyDescent="0.25">
      <c r="A1" s="30" t="str">
        <f>Summary!A1</f>
        <v>SHELBY ENERGY COOPERATIVE</v>
      </c>
      <c r="F1" s="113"/>
    </row>
    <row r="2" spans="1:24" ht="14.4" customHeight="1" x14ac:dyDescent="0.25">
      <c r="A2" s="30" t="str">
        <f>Summary!A2</f>
        <v>Billing Analysis for Pass-Through Rate Increase</v>
      </c>
      <c r="F2" s="114"/>
      <c r="G2" s="115"/>
      <c r="H2" s="95"/>
      <c r="I2" s="116"/>
      <c r="P2" s="117"/>
      <c r="S2" s="104"/>
      <c r="T2" s="25"/>
    </row>
    <row r="3" spans="1:24" x14ac:dyDescent="0.25">
      <c r="S3" s="104"/>
      <c r="T3" s="25"/>
    </row>
    <row r="4" spans="1:24" x14ac:dyDescent="0.25">
      <c r="D4" s="25"/>
      <c r="S4" s="104"/>
      <c r="T4" s="25"/>
      <c r="W4" s="101" t="s">
        <v>104</v>
      </c>
      <c r="X4" s="2" t="s">
        <v>105</v>
      </c>
    </row>
    <row r="5" spans="1:24" ht="38.4" customHeight="1" x14ac:dyDescent="0.25">
      <c r="A5" s="15" t="s">
        <v>1</v>
      </c>
      <c r="B5" s="15" t="s">
        <v>12</v>
      </c>
      <c r="C5" s="8" t="s">
        <v>11</v>
      </c>
      <c r="D5" s="15" t="s">
        <v>13</v>
      </c>
      <c r="E5" s="118" t="s">
        <v>14</v>
      </c>
      <c r="F5" s="118" t="s">
        <v>20</v>
      </c>
      <c r="G5" s="118" t="s">
        <v>25</v>
      </c>
      <c r="H5" s="118" t="s">
        <v>26</v>
      </c>
      <c r="I5" s="118" t="s">
        <v>27</v>
      </c>
      <c r="J5" s="118" t="s">
        <v>52</v>
      </c>
      <c r="K5" s="118" t="s">
        <v>10</v>
      </c>
      <c r="L5" s="118" t="s">
        <v>23</v>
      </c>
      <c r="M5" s="118" t="s">
        <v>4</v>
      </c>
      <c r="N5" s="118" t="s">
        <v>15</v>
      </c>
      <c r="O5" s="119" t="s">
        <v>16</v>
      </c>
      <c r="P5" s="118" t="s">
        <v>24</v>
      </c>
      <c r="Q5" s="118" t="s">
        <v>28</v>
      </c>
      <c r="R5" s="118" t="s">
        <v>40</v>
      </c>
      <c r="T5" s="10" t="s">
        <v>36</v>
      </c>
      <c r="W5" s="101" t="s">
        <v>52</v>
      </c>
      <c r="X5" s="2" t="s">
        <v>52</v>
      </c>
    </row>
    <row r="6" spans="1:24" ht="30.6" customHeight="1" thickBot="1" x14ac:dyDescent="0.3">
      <c r="A6" s="31"/>
      <c r="B6" s="20"/>
      <c r="C6" s="21"/>
      <c r="D6" s="20"/>
      <c r="E6" s="120"/>
      <c r="F6" s="121"/>
      <c r="G6" s="121"/>
      <c r="H6" s="121"/>
      <c r="I6" s="121"/>
      <c r="J6" s="121"/>
      <c r="K6" s="121"/>
      <c r="L6" s="121"/>
      <c r="M6" s="121"/>
      <c r="N6" s="121"/>
      <c r="O6" s="122"/>
      <c r="P6" s="121"/>
      <c r="Q6" s="121"/>
      <c r="R6" s="121"/>
    </row>
    <row r="7" spans="1:24" x14ac:dyDescent="0.25">
      <c r="A7" s="32">
        <v>1</v>
      </c>
      <c r="B7" s="22" t="s">
        <v>84</v>
      </c>
      <c r="C7" s="23">
        <v>12</v>
      </c>
      <c r="D7" s="2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</row>
    <row r="8" spans="1:24" x14ac:dyDescent="0.25">
      <c r="A8" s="32">
        <f>A7+1</f>
        <v>2</v>
      </c>
      <c r="B8" s="108"/>
      <c r="C8" s="2"/>
      <c r="D8" s="2" t="s">
        <v>17</v>
      </c>
      <c r="E8" s="124">
        <f>159566+535</f>
        <v>160101</v>
      </c>
      <c r="F8" s="113">
        <f>H8</f>
        <v>15</v>
      </c>
      <c r="G8" s="125">
        <f>F8*E8</f>
        <v>2401515</v>
      </c>
      <c r="H8" s="113">
        <v>15</v>
      </c>
      <c r="I8" s="125">
        <f>H8*E8</f>
        <v>2401515</v>
      </c>
      <c r="J8" s="126">
        <f>I8/I10</f>
        <v>0.10846413462445491</v>
      </c>
      <c r="K8" s="126"/>
      <c r="L8" s="113">
        <f>ROUND(H8*S10,2)</f>
        <v>15.5</v>
      </c>
      <c r="M8" s="125">
        <f>L8*E8</f>
        <v>2481565.5</v>
      </c>
      <c r="N8" s="125">
        <f t="shared" ref="N8:N13" si="0">M8-I8</f>
        <v>80050.5</v>
      </c>
      <c r="O8" s="126">
        <f>IF(I8=0,0,N8/I8)</f>
        <v>3.3333333333333333E-2</v>
      </c>
      <c r="P8" s="126">
        <f>M8/M10</f>
        <v>0.10845838763451557</v>
      </c>
      <c r="Q8" s="127">
        <f>P8-J8</f>
        <v>-5.7469899393397528E-6</v>
      </c>
      <c r="R8" s="127"/>
      <c r="T8" s="4">
        <f>L8/H8-1</f>
        <v>3.3333333333333437E-2</v>
      </c>
      <c r="W8" s="102">
        <v>0.11418659269070748</v>
      </c>
      <c r="X8" s="11">
        <f>J8</f>
        <v>0.10846413462445491</v>
      </c>
    </row>
    <row r="9" spans="1:24" x14ac:dyDescent="0.25">
      <c r="A9" s="32">
        <f t="shared" ref="A9:A75" si="1">A8+1</f>
        <v>3</v>
      </c>
      <c r="B9" s="107"/>
      <c r="D9" s="2" t="s">
        <v>50</v>
      </c>
      <c r="E9" s="124">
        <f>227080102+229694</f>
        <v>227309796</v>
      </c>
      <c r="F9" s="115">
        <f>H9+0.00157</f>
        <v>8.8410000000000002E-2</v>
      </c>
      <c r="G9" s="125">
        <f t="shared" ref="G9" si="2">F9*E9</f>
        <v>20096459.06436</v>
      </c>
      <c r="H9" s="115">
        <v>8.6840000000000001E-2</v>
      </c>
      <c r="I9" s="125">
        <f t="shared" ref="I9" si="3">H9*E9</f>
        <v>19739582.684640002</v>
      </c>
      <c r="J9" s="126">
        <f>I9/I10</f>
        <v>0.89153586537554508</v>
      </c>
      <c r="K9" s="126"/>
      <c r="L9" s="128">
        <f>ROUND(H9*S10,5)</f>
        <v>8.974E-2</v>
      </c>
      <c r="M9" s="125">
        <f t="shared" ref="M9" si="4">L9*E9</f>
        <v>20398781.093040001</v>
      </c>
      <c r="N9" s="125">
        <f t="shared" si="0"/>
        <v>659198.40839999914</v>
      </c>
      <c r="O9" s="126">
        <f t="shared" ref="O9" si="5">IF(I9=0,0,N9/I9)</f>
        <v>3.3394748963611193E-2</v>
      </c>
      <c r="P9" s="126">
        <f>M9/M10</f>
        <v>0.89154161236548446</v>
      </c>
      <c r="Q9" s="127">
        <f t="shared" ref="Q9:Q10" si="6">P9-J9</f>
        <v>5.7469899393813861E-6</v>
      </c>
      <c r="R9" s="127"/>
      <c r="T9" s="4">
        <f>L9/H9-1</f>
        <v>3.3394748963611276E-2</v>
      </c>
      <c r="W9" s="102">
        <v>0.88581340730929248</v>
      </c>
      <c r="X9" s="11">
        <f>J9</f>
        <v>0.89153586537554508</v>
      </c>
    </row>
    <row r="10" spans="1:24" s="5" customFormat="1" ht="20.399999999999999" customHeight="1" x14ac:dyDescent="0.3">
      <c r="A10" s="32">
        <f t="shared" si="1"/>
        <v>4</v>
      </c>
      <c r="C10" s="14"/>
      <c r="D10" s="16" t="s">
        <v>6</v>
      </c>
      <c r="E10" s="129"/>
      <c r="F10" s="129"/>
      <c r="G10" s="17">
        <f>SUM(G8:G9)</f>
        <v>22497974.06436</v>
      </c>
      <c r="H10" s="129"/>
      <c r="I10" s="17">
        <f>SUM(I8:I9)</f>
        <v>22141097.684640002</v>
      </c>
      <c r="J10" s="130">
        <f>SUM(J8:J9)</f>
        <v>1</v>
      </c>
      <c r="K10" s="131">
        <f>I10+Summary!I8</f>
        <v>22879980.31464</v>
      </c>
      <c r="L10" s="129"/>
      <c r="M10" s="17">
        <f>SUM(M8:M9)</f>
        <v>22880346.593040001</v>
      </c>
      <c r="N10" s="17">
        <f>SUM(N8:N9)</f>
        <v>739248.90839999914</v>
      </c>
      <c r="O10" s="130">
        <f t="shared" ref="O10" si="7">N10/I10</f>
        <v>3.3388087570420687E-2</v>
      </c>
      <c r="P10" s="130">
        <f>SUM(P8:P9)</f>
        <v>1</v>
      </c>
      <c r="Q10" s="132">
        <f t="shared" si="6"/>
        <v>0</v>
      </c>
      <c r="R10" s="133">
        <f>M10-K10</f>
        <v>366.27840000018477</v>
      </c>
      <c r="S10" s="105">
        <f>K10/I10</f>
        <v>1.033371544650769</v>
      </c>
    </row>
    <row r="11" spans="1:24" x14ac:dyDescent="0.25">
      <c r="A11" s="32">
        <f t="shared" si="1"/>
        <v>5</v>
      </c>
      <c r="D11" s="2" t="s">
        <v>29</v>
      </c>
      <c r="G11" s="125">
        <f>-642999.53-543</f>
        <v>-643542.53</v>
      </c>
      <c r="I11" s="134">
        <f>G11+(0.00157*E9)</f>
        <v>-286666.15028</v>
      </c>
      <c r="K11" s="134"/>
      <c r="M11" s="125">
        <f>I11</f>
        <v>-286666.15028</v>
      </c>
      <c r="N11" s="125">
        <f t="shared" si="0"/>
        <v>0</v>
      </c>
      <c r="O11" s="113">
        <v>0</v>
      </c>
      <c r="R11" s="135"/>
    </row>
    <row r="12" spans="1:24" x14ac:dyDescent="0.25">
      <c r="A12" s="32">
        <f t="shared" si="1"/>
        <v>6</v>
      </c>
      <c r="D12" s="2" t="s">
        <v>30</v>
      </c>
      <c r="G12" s="125">
        <f>1926304.71+1135</f>
        <v>1927439.71</v>
      </c>
      <c r="I12" s="134">
        <f>G12</f>
        <v>1927439.71</v>
      </c>
      <c r="M12" s="125">
        <f t="shared" ref="M12:M14" si="8">I12</f>
        <v>1927439.71</v>
      </c>
      <c r="N12" s="125">
        <f t="shared" si="0"/>
        <v>0</v>
      </c>
      <c r="O12" s="113">
        <v>0</v>
      </c>
    </row>
    <row r="13" spans="1:24" x14ac:dyDescent="0.25">
      <c r="A13" s="32">
        <f t="shared" si="1"/>
        <v>7</v>
      </c>
      <c r="D13" s="2" t="s">
        <v>42</v>
      </c>
      <c r="E13" s="112">
        <v>318</v>
      </c>
      <c r="F13" s="113">
        <f>0.1*365/12</f>
        <v>3.0416666666666665</v>
      </c>
      <c r="G13" s="125">
        <f>F13*E13</f>
        <v>967.25</v>
      </c>
      <c r="I13" s="134">
        <f>G13</f>
        <v>967.25</v>
      </c>
      <c r="M13" s="125">
        <f t="shared" si="8"/>
        <v>967.25</v>
      </c>
      <c r="N13" s="125">
        <f t="shared" si="0"/>
        <v>0</v>
      </c>
      <c r="O13" s="113">
        <v>0</v>
      </c>
    </row>
    <row r="14" spans="1:24" x14ac:dyDescent="0.25">
      <c r="A14" s="32">
        <f t="shared" si="1"/>
        <v>8</v>
      </c>
      <c r="D14" s="2" t="s">
        <v>41</v>
      </c>
      <c r="G14" s="125">
        <v>0</v>
      </c>
      <c r="I14" s="134">
        <f>G14</f>
        <v>0</v>
      </c>
      <c r="M14" s="125">
        <f t="shared" si="8"/>
        <v>0</v>
      </c>
      <c r="N14" s="125"/>
      <c r="O14" s="113">
        <v>0</v>
      </c>
    </row>
    <row r="15" spans="1:24" x14ac:dyDescent="0.25">
      <c r="A15" s="32">
        <f t="shared" si="1"/>
        <v>9</v>
      </c>
      <c r="D15" s="12" t="s">
        <v>8</v>
      </c>
      <c r="E15" s="136"/>
      <c r="F15" s="136"/>
      <c r="G15" s="137">
        <f>SUM(G11:G14)</f>
        <v>1284864.43</v>
      </c>
      <c r="H15" s="136"/>
      <c r="I15" s="137">
        <f>SUM(I11:I14)</f>
        <v>1641740.80972</v>
      </c>
      <c r="J15" s="136"/>
      <c r="K15" s="136"/>
      <c r="L15" s="136"/>
      <c r="M15" s="137">
        <f>SUM(M11:M14)</f>
        <v>1641740.80972</v>
      </c>
      <c r="N15" s="137">
        <f>M15-I15</f>
        <v>0</v>
      </c>
      <c r="O15" s="138">
        <v>0</v>
      </c>
    </row>
    <row r="16" spans="1:24" s="5" customFormat="1" ht="26.4" customHeight="1" thickBot="1" x14ac:dyDescent="0.3">
      <c r="A16" s="32">
        <f t="shared" si="1"/>
        <v>10</v>
      </c>
      <c r="C16" s="14"/>
      <c r="D16" s="6" t="s">
        <v>19</v>
      </c>
      <c r="E16" s="139"/>
      <c r="F16" s="139"/>
      <c r="G16" s="140">
        <f>G10+G15</f>
        <v>23782838.49436</v>
      </c>
      <c r="H16" s="139"/>
      <c r="I16" s="141">
        <f>I15+I10</f>
        <v>23782838.49436</v>
      </c>
      <c r="J16" s="139"/>
      <c r="K16" s="139"/>
      <c r="L16" s="139"/>
      <c r="M16" s="140">
        <f>M15+M10</f>
        <v>24522087.402759999</v>
      </c>
      <c r="N16" s="140">
        <f>M16-I16</f>
        <v>739248.90839999914</v>
      </c>
      <c r="O16" s="142">
        <f>N16/I16</f>
        <v>3.1083291785179844E-2</v>
      </c>
      <c r="P16" s="112"/>
      <c r="Q16" s="112"/>
      <c r="R16" s="112"/>
      <c r="S16" s="105"/>
    </row>
    <row r="17" spans="1:24" ht="13.8" thickTop="1" x14ac:dyDescent="0.25">
      <c r="A17" s="32">
        <f t="shared" si="1"/>
        <v>11</v>
      </c>
      <c r="D17" s="2" t="s">
        <v>18</v>
      </c>
      <c r="E17" s="113">
        <f>E9/E8</f>
        <v>1419.7899825735005</v>
      </c>
      <c r="G17" s="143">
        <f>G16/E8</f>
        <v>148.54896905303528</v>
      </c>
      <c r="I17" s="143">
        <f>I16/E8</f>
        <v>148.54896905303528</v>
      </c>
      <c r="M17" s="143">
        <f>M16/E8</f>
        <v>153.16636000249841</v>
      </c>
      <c r="N17" s="143">
        <f>M17-I17</f>
        <v>4.6173909494631289</v>
      </c>
      <c r="O17" s="126">
        <f>N17/I17</f>
        <v>3.1083291785179726E-2</v>
      </c>
    </row>
    <row r="18" spans="1:24" ht="13.8" thickBot="1" x14ac:dyDescent="0.3">
      <c r="A18" s="32">
        <f t="shared" si="1"/>
        <v>12</v>
      </c>
    </row>
    <row r="19" spans="1:24" x14ac:dyDescent="0.25">
      <c r="A19" s="32">
        <f t="shared" si="1"/>
        <v>13</v>
      </c>
      <c r="B19" s="22" t="s">
        <v>83</v>
      </c>
      <c r="C19" s="23">
        <v>9</v>
      </c>
      <c r="D19" s="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</row>
    <row r="20" spans="1:24" x14ac:dyDescent="0.25">
      <c r="A20" s="32">
        <f t="shared" si="1"/>
        <v>14</v>
      </c>
      <c r="D20" s="2" t="s">
        <v>50</v>
      </c>
      <c r="E20" s="124">
        <v>197246</v>
      </c>
      <c r="F20" s="115">
        <f>H20+0.00157</f>
        <v>6.0340000000000005E-2</v>
      </c>
      <c r="G20" s="125">
        <f t="shared" ref="G20" si="9">F20*E20</f>
        <v>11901.823640000001</v>
      </c>
      <c r="H20" s="115">
        <v>5.8770000000000003E-2</v>
      </c>
      <c r="I20" s="125">
        <f t="shared" ref="I20" si="10">H20*E20</f>
        <v>11592.147420000001</v>
      </c>
      <c r="J20" s="126">
        <f>I20/I21</f>
        <v>1</v>
      </c>
      <c r="K20" s="126"/>
      <c r="L20" s="128">
        <f>ROUND(H20*S21,5)</f>
        <v>6.0729999999999999E-2</v>
      </c>
      <c r="M20" s="125">
        <f t="shared" ref="M20" si="11">L20*E20</f>
        <v>11978.74958</v>
      </c>
      <c r="N20" s="125">
        <f t="shared" ref="N20" si="12">M20-I20</f>
        <v>386.60215999999855</v>
      </c>
      <c r="O20" s="126">
        <f t="shared" ref="O20" si="13">IF(I20=0,0,N20/I20)</f>
        <v>3.3350348817423728E-2</v>
      </c>
      <c r="P20" s="126">
        <f>M20/M$21</f>
        <v>1</v>
      </c>
      <c r="Q20" s="127">
        <f t="shared" ref="Q20" si="14">P20-J20</f>
        <v>0</v>
      </c>
      <c r="R20" s="127"/>
      <c r="T20" s="4">
        <f>L20/H20-1</f>
        <v>3.3350348817423825E-2</v>
      </c>
    </row>
    <row r="21" spans="1:24" s="5" customFormat="1" ht="20.399999999999999" customHeight="1" x14ac:dyDescent="0.25">
      <c r="A21" s="32">
        <f t="shared" si="1"/>
        <v>15</v>
      </c>
      <c r="C21" s="14"/>
      <c r="D21" s="16" t="s">
        <v>6</v>
      </c>
      <c r="E21" s="129"/>
      <c r="F21" s="129"/>
      <c r="G21" s="17">
        <f>SUM(G20:G20)</f>
        <v>11901.823640000001</v>
      </c>
      <c r="H21" s="129"/>
      <c r="I21" s="17">
        <f>SUM(I20:I20)</f>
        <v>11592.147420000001</v>
      </c>
      <c r="J21" s="130">
        <f>SUM(J20:J20)</f>
        <v>1</v>
      </c>
      <c r="K21" s="131">
        <f>I21+Summary!I9</f>
        <v>11978.997420000002</v>
      </c>
      <c r="L21" s="129"/>
      <c r="M21" s="17">
        <f>SUM(M20:M20)</f>
        <v>11978.74958</v>
      </c>
      <c r="N21" s="17">
        <f>SUM(N20:N20)</f>
        <v>386.60215999999855</v>
      </c>
      <c r="O21" s="130">
        <f t="shared" ref="O21" si="15">N21/I21</f>
        <v>3.3350348817423728E-2</v>
      </c>
      <c r="P21" s="130">
        <f>SUM(P20:P20)</f>
        <v>1</v>
      </c>
      <c r="Q21" s="132">
        <f t="shared" ref="Q21" si="16">P21-J21</f>
        <v>0</v>
      </c>
      <c r="R21" s="133">
        <f>M21-K21</f>
        <v>-0.2478400000018155</v>
      </c>
      <c r="S21" s="105">
        <f>K21/I21</f>
        <v>1.0333717288077759</v>
      </c>
      <c r="W21" s="2"/>
    </row>
    <row r="22" spans="1:24" x14ac:dyDescent="0.25">
      <c r="A22" s="32">
        <f t="shared" si="1"/>
        <v>16</v>
      </c>
      <c r="D22" s="2" t="s">
        <v>29</v>
      </c>
      <c r="G22" s="125">
        <v>0</v>
      </c>
      <c r="I22" s="134">
        <f>G22+(0.00157*E20)</f>
        <v>309.67622</v>
      </c>
      <c r="K22" s="134"/>
      <c r="M22" s="125">
        <f>I22</f>
        <v>309.67622</v>
      </c>
      <c r="N22" s="125">
        <f t="shared" ref="N22:N27" si="17">M22-I22</f>
        <v>0</v>
      </c>
      <c r="O22" s="113">
        <v>0</v>
      </c>
    </row>
    <row r="23" spans="1:24" x14ac:dyDescent="0.25">
      <c r="A23" s="32">
        <f t="shared" si="1"/>
        <v>17</v>
      </c>
      <c r="D23" s="2" t="s">
        <v>30</v>
      </c>
      <c r="G23" s="125">
        <v>0</v>
      </c>
      <c r="I23" s="134">
        <f t="shared" ref="I23:I25" si="18">G23</f>
        <v>0</v>
      </c>
      <c r="M23" s="125">
        <f t="shared" ref="M23:M25" si="19">I23</f>
        <v>0</v>
      </c>
      <c r="N23" s="125">
        <f t="shared" si="17"/>
        <v>0</v>
      </c>
      <c r="O23" s="113">
        <v>0</v>
      </c>
    </row>
    <row r="24" spans="1:24" x14ac:dyDescent="0.25">
      <c r="A24" s="32">
        <f t="shared" si="1"/>
        <v>18</v>
      </c>
      <c r="D24" s="2" t="s">
        <v>32</v>
      </c>
      <c r="G24" s="125">
        <v>0</v>
      </c>
      <c r="I24" s="134">
        <f t="shared" si="18"/>
        <v>0</v>
      </c>
      <c r="M24" s="125">
        <f t="shared" si="19"/>
        <v>0</v>
      </c>
      <c r="N24" s="125">
        <f t="shared" si="17"/>
        <v>0</v>
      </c>
      <c r="O24" s="113">
        <v>0</v>
      </c>
    </row>
    <row r="25" spans="1:24" x14ac:dyDescent="0.25">
      <c r="A25" s="32">
        <f t="shared" si="1"/>
        <v>19</v>
      </c>
      <c r="D25" s="2" t="s">
        <v>41</v>
      </c>
      <c r="G25" s="125">
        <v>0</v>
      </c>
      <c r="I25" s="134">
        <f t="shared" si="18"/>
        <v>0</v>
      </c>
      <c r="M25" s="125">
        <f t="shared" si="19"/>
        <v>0</v>
      </c>
      <c r="N25" s="125"/>
      <c r="O25" s="113"/>
    </row>
    <row r="26" spans="1:24" x14ac:dyDescent="0.25">
      <c r="A26" s="32">
        <f t="shared" si="1"/>
        <v>20</v>
      </c>
      <c r="D26" s="12" t="s">
        <v>8</v>
      </c>
      <c r="E26" s="136"/>
      <c r="F26" s="136"/>
      <c r="G26" s="137">
        <f>SUM(G22:G25)</f>
        <v>0</v>
      </c>
      <c r="H26" s="136"/>
      <c r="I26" s="137">
        <f>SUM(I22:I25)</f>
        <v>309.67622</v>
      </c>
      <c r="J26" s="136"/>
      <c r="K26" s="136"/>
      <c r="L26" s="136"/>
      <c r="M26" s="137">
        <f>SUM(M22:M25)</f>
        <v>309.67622</v>
      </c>
      <c r="N26" s="137">
        <f t="shared" si="17"/>
        <v>0</v>
      </c>
      <c r="O26" s="138">
        <f t="shared" ref="O26" si="20">N26-J26</f>
        <v>0</v>
      </c>
    </row>
    <row r="27" spans="1:24" s="5" customFormat="1" ht="26.4" customHeight="1" thickBot="1" x14ac:dyDescent="0.3">
      <c r="A27" s="32">
        <f t="shared" si="1"/>
        <v>21</v>
      </c>
      <c r="C27" s="14"/>
      <c r="D27" s="6" t="s">
        <v>19</v>
      </c>
      <c r="E27" s="139"/>
      <c r="F27" s="139"/>
      <c r="G27" s="140">
        <f>G21+G26</f>
        <v>11901.823640000001</v>
      </c>
      <c r="H27" s="139"/>
      <c r="I27" s="141">
        <f>I26+I21</f>
        <v>11901.823640000001</v>
      </c>
      <c r="J27" s="139"/>
      <c r="K27" s="139"/>
      <c r="L27" s="139"/>
      <c r="M27" s="140">
        <f>M26+M21</f>
        <v>12288.425799999999</v>
      </c>
      <c r="N27" s="140">
        <f t="shared" si="17"/>
        <v>386.60215999999855</v>
      </c>
      <c r="O27" s="142">
        <f>N27/I27</f>
        <v>3.2482598607888505E-2</v>
      </c>
      <c r="P27" s="112"/>
      <c r="Q27" s="112"/>
      <c r="R27" s="112"/>
      <c r="S27" s="105"/>
    </row>
    <row r="28" spans="1:24" ht="13.8" thickTop="1" x14ac:dyDescent="0.25">
      <c r="A28" s="32">
        <f t="shared" si="1"/>
        <v>22</v>
      </c>
      <c r="D28" s="2" t="s">
        <v>18</v>
      </c>
      <c r="E28" s="113">
        <f>E20/E13</f>
        <v>620.27044025157238</v>
      </c>
      <c r="G28" s="143">
        <f>G27/E13</f>
        <v>37.427118364779879</v>
      </c>
      <c r="I28" s="143">
        <f>I27/E13</f>
        <v>37.427118364779879</v>
      </c>
      <c r="M28" s="143">
        <f>M27/E13</f>
        <v>38.642848427672952</v>
      </c>
      <c r="N28" s="143">
        <f>M28-I28</f>
        <v>1.2157300628930727</v>
      </c>
      <c r="O28" s="126">
        <f>N28/I28</f>
        <v>3.2482598607888387E-2</v>
      </c>
    </row>
    <row r="29" spans="1:24" ht="13.8" thickBot="1" x14ac:dyDescent="0.3">
      <c r="A29" s="32">
        <f t="shared" si="1"/>
        <v>23</v>
      </c>
    </row>
    <row r="30" spans="1:24" x14ac:dyDescent="0.25">
      <c r="A30" s="32">
        <f t="shared" si="1"/>
        <v>24</v>
      </c>
      <c r="B30" s="22" t="s">
        <v>64</v>
      </c>
      <c r="C30" s="23">
        <v>2</v>
      </c>
      <c r="D30" s="22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</row>
    <row r="31" spans="1:24" x14ac:dyDescent="0.25">
      <c r="A31" s="32">
        <f t="shared" si="1"/>
        <v>25</v>
      </c>
      <c r="C31" s="2"/>
      <c r="D31" s="2" t="s">
        <v>17</v>
      </c>
      <c r="E31" s="124">
        <v>708</v>
      </c>
      <c r="F31" s="113">
        <f>H31</f>
        <v>52.18</v>
      </c>
      <c r="G31" s="125">
        <f>F31*E31</f>
        <v>36943.440000000002</v>
      </c>
      <c r="H31" s="113">
        <v>52.18</v>
      </c>
      <c r="I31" s="125">
        <f>H31*E31</f>
        <v>36943.440000000002</v>
      </c>
      <c r="J31" s="126">
        <f>I31/I34</f>
        <v>9.024128299020294E-3</v>
      </c>
      <c r="K31" s="126"/>
      <c r="L31" s="113">
        <f>ROUND(H31*S34,2)</f>
        <v>53.92</v>
      </c>
      <c r="M31" s="125">
        <f>L31*E31</f>
        <v>38175.360000000001</v>
      </c>
      <c r="N31" s="125">
        <f>M31-I31</f>
        <v>1231.9199999999983</v>
      </c>
      <c r="O31" s="126">
        <f>IF(I31=0,0,N31/I31)</f>
        <v>3.3346109620544219E-2</v>
      </c>
      <c r="P31" s="126">
        <f>M31/M$34</f>
        <v>9.023423371265455E-3</v>
      </c>
      <c r="Q31" s="127">
        <f>P31-J31</f>
        <v>-7.0492775483890768E-7</v>
      </c>
      <c r="R31" s="127"/>
      <c r="T31" s="4">
        <f>L31/H31-1</f>
        <v>3.3346109620544295E-2</v>
      </c>
      <c r="W31" s="102">
        <v>8.0080411123525253E-3</v>
      </c>
      <c r="X31" s="11">
        <f>J31</f>
        <v>9.024128299020294E-3</v>
      </c>
    </row>
    <row r="32" spans="1:24" x14ac:dyDescent="0.25">
      <c r="A32" s="32">
        <f t="shared" si="1"/>
        <v>26</v>
      </c>
      <c r="D32" s="2" t="s">
        <v>50</v>
      </c>
      <c r="E32" s="124">
        <v>51934800</v>
      </c>
      <c r="F32" s="115">
        <f>H32+0.00157</f>
        <v>6.1670000000000003E-2</v>
      </c>
      <c r="G32" s="125">
        <f t="shared" ref="G32" si="21">F32*E32</f>
        <v>3202819.1159999999</v>
      </c>
      <c r="H32" s="115">
        <v>6.0100000000000001E-2</v>
      </c>
      <c r="I32" s="125">
        <f t="shared" ref="I32" si="22">H32*E32</f>
        <v>3121281.48</v>
      </c>
      <c r="J32" s="126">
        <f>I32/I34</f>
        <v>0.76243155842758403</v>
      </c>
      <c r="K32" s="126"/>
      <c r="L32" s="128">
        <f>ROUND(H32*S34,5)</f>
        <v>6.2109999999999999E-2</v>
      </c>
      <c r="M32" s="125">
        <f t="shared" ref="M32" si="23">L32*E32</f>
        <v>3225670.4279999998</v>
      </c>
      <c r="N32" s="125">
        <f t="shared" ref="N32" si="24">M32-I32</f>
        <v>104388.94799999986</v>
      </c>
      <c r="O32" s="126">
        <f t="shared" ref="O32" si="25">IF(I32=0,0,N32/I32)</f>
        <v>3.3444259567387641E-2</v>
      </c>
      <c r="P32" s="126">
        <f t="shared" ref="P32:P33" si="26">M32/M$34</f>
        <v>0.76244441252197859</v>
      </c>
      <c r="Q32" s="127">
        <f t="shared" ref="Q32" si="27">P32-J32</f>
        <v>1.2854094394554316E-5</v>
      </c>
      <c r="R32" s="127"/>
      <c r="T32" s="4">
        <f>L32/H32-1</f>
        <v>3.3444259567387613E-2</v>
      </c>
      <c r="W32" s="102">
        <v>0.7625978012803436</v>
      </c>
      <c r="X32" s="11">
        <f t="shared" ref="X32:X33" si="28">J32</f>
        <v>0.76243155842758403</v>
      </c>
    </row>
    <row r="33" spans="1:24" x14ac:dyDescent="0.25">
      <c r="A33" s="32">
        <f t="shared" si="1"/>
        <v>27</v>
      </c>
      <c r="D33" s="2" t="s">
        <v>51</v>
      </c>
      <c r="E33" s="124">
        <v>154649</v>
      </c>
      <c r="F33" s="144">
        <f>H33</f>
        <v>6.05</v>
      </c>
      <c r="G33" s="125">
        <f t="shared" ref="G33" si="29">F33*E33</f>
        <v>935626.45</v>
      </c>
      <c r="H33" s="113">
        <v>6.05</v>
      </c>
      <c r="I33" s="125">
        <f t="shared" ref="I33" si="30">H33*E33</f>
        <v>935626.45</v>
      </c>
      <c r="J33" s="126">
        <f>I33/I34</f>
        <v>0.22854431327339564</v>
      </c>
      <c r="K33" s="126"/>
      <c r="L33" s="113">
        <f>ROUND(H33*S34,5)</f>
        <v>6.2519</v>
      </c>
      <c r="M33" s="125">
        <f t="shared" ref="M33" si="31">L33*E33</f>
        <v>966850.08310000005</v>
      </c>
      <c r="N33" s="125">
        <f t="shared" ref="N33:N41" si="32">M33-I33</f>
        <v>31223.633100000094</v>
      </c>
      <c r="O33" s="126">
        <f t="shared" ref="O33" si="33">IF(I33=0,0,N33/I33)</f>
        <v>3.337190082644638E-2</v>
      </c>
      <c r="P33" s="126">
        <f t="shared" si="26"/>
        <v>0.22853216410675595</v>
      </c>
      <c r="Q33" s="127">
        <f t="shared" ref="Q33:Q34" si="34">P33-J33</f>
        <v>-1.2149166639691122E-5</v>
      </c>
      <c r="R33" s="127"/>
      <c r="T33" s="4">
        <f>L33/H33-1</f>
        <v>3.3371900826446366E-2</v>
      </c>
      <c r="W33" s="102">
        <v>0.22939415760730394</v>
      </c>
      <c r="X33" s="11">
        <f t="shared" si="28"/>
        <v>0.22854431327339564</v>
      </c>
    </row>
    <row r="34" spans="1:24" s="5" customFormat="1" ht="20.399999999999999" customHeight="1" x14ac:dyDescent="0.25">
      <c r="A34" s="32">
        <f t="shared" si="1"/>
        <v>28</v>
      </c>
      <c r="C34" s="14"/>
      <c r="D34" s="16" t="s">
        <v>6</v>
      </c>
      <c r="E34" s="129"/>
      <c r="F34" s="138">
        <v>15</v>
      </c>
      <c r="G34" s="17">
        <f>SUM(G31:G33)</f>
        <v>4175389.0060000001</v>
      </c>
      <c r="H34" s="129"/>
      <c r="I34" s="17">
        <f>SUM(I31:I33)</f>
        <v>4093851.37</v>
      </c>
      <c r="J34" s="130">
        <f>SUM(J31:J33)</f>
        <v>1</v>
      </c>
      <c r="K34" s="131">
        <f>I34+Summary!I10</f>
        <v>4230469.51</v>
      </c>
      <c r="L34" s="129"/>
      <c r="M34" s="17">
        <f>SUM(M31:M33)</f>
        <v>4230695.8711000001</v>
      </c>
      <c r="N34" s="17">
        <f>SUM(N31:N33)</f>
        <v>136844.50109999994</v>
      </c>
      <c r="O34" s="130">
        <f t="shared" ref="O34" si="35">N34/I34</f>
        <v>3.3426836670917032E-2</v>
      </c>
      <c r="P34" s="130">
        <f>SUM(P31:P33)</f>
        <v>1</v>
      </c>
      <c r="Q34" s="132">
        <f t="shared" si="34"/>
        <v>0</v>
      </c>
      <c r="R34" s="133">
        <f>M34-K34</f>
        <v>226.36110000032932</v>
      </c>
      <c r="S34" s="105">
        <f>K34/I34</f>
        <v>1.0333715437255846</v>
      </c>
    </row>
    <row r="35" spans="1:24" x14ac:dyDescent="0.25">
      <c r="A35" s="32">
        <f t="shared" si="1"/>
        <v>29</v>
      </c>
      <c r="D35" s="2" t="s">
        <v>29</v>
      </c>
      <c r="G35" s="125">
        <v>-159207.82</v>
      </c>
      <c r="I35" s="134">
        <f>G35+(0.00157*(E32))</f>
        <v>-77670.184000000008</v>
      </c>
      <c r="K35" s="134"/>
      <c r="M35" s="125">
        <f>I35</f>
        <v>-77670.184000000008</v>
      </c>
      <c r="N35" s="125">
        <f t="shared" si="32"/>
        <v>0</v>
      </c>
      <c r="O35" s="113">
        <v>0</v>
      </c>
    </row>
    <row r="36" spans="1:24" x14ac:dyDescent="0.25">
      <c r="A36" s="32">
        <f t="shared" si="1"/>
        <v>30</v>
      </c>
      <c r="D36" s="2" t="s">
        <v>30</v>
      </c>
      <c r="G36" s="125">
        <v>338216.64</v>
      </c>
      <c r="I36" s="134">
        <f t="shared" ref="I36:I38" si="36">G36</f>
        <v>338216.64</v>
      </c>
      <c r="M36" s="125">
        <f t="shared" ref="M36:M38" si="37">I36</f>
        <v>338216.64</v>
      </c>
      <c r="N36" s="125">
        <f t="shared" si="32"/>
        <v>0</v>
      </c>
      <c r="O36" s="113">
        <v>0</v>
      </c>
    </row>
    <row r="37" spans="1:24" x14ac:dyDescent="0.25">
      <c r="A37" s="32">
        <f t="shared" si="1"/>
        <v>31</v>
      </c>
      <c r="D37" s="2" t="s">
        <v>32</v>
      </c>
      <c r="G37" s="125">
        <v>0</v>
      </c>
      <c r="I37" s="134">
        <f t="shared" si="36"/>
        <v>0</v>
      </c>
      <c r="M37" s="125">
        <f t="shared" si="37"/>
        <v>0</v>
      </c>
      <c r="N37" s="125">
        <f t="shared" si="32"/>
        <v>0</v>
      </c>
      <c r="O37" s="113">
        <v>0</v>
      </c>
    </row>
    <row r="38" spans="1:24" x14ac:dyDescent="0.25">
      <c r="A38" s="32">
        <f t="shared" si="1"/>
        <v>32</v>
      </c>
      <c r="D38" s="2" t="s">
        <v>41</v>
      </c>
      <c r="G38" s="125">
        <v>0</v>
      </c>
      <c r="I38" s="134">
        <f t="shared" si="36"/>
        <v>0</v>
      </c>
      <c r="M38" s="125">
        <f t="shared" si="37"/>
        <v>0</v>
      </c>
      <c r="N38" s="125"/>
      <c r="O38" s="113"/>
    </row>
    <row r="39" spans="1:24" x14ac:dyDescent="0.25">
      <c r="A39" s="32">
        <f t="shared" si="1"/>
        <v>33</v>
      </c>
      <c r="D39" s="12" t="s">
        <v>8</v>
      </c>
      <c r="E39" s="136"/>
      <c r="F39" s="136"/>
      <c r="G39" s="137">
        <f>SUM(G35:G38)</f>
        <v>179008.82</v>
      </c>
      <c r="H39" s="136"/>
      <c r="I39" s="137">
        <f>SUM(I35:I38)</f>
        <v>260546.45600000001</v>
      </c>
      <c r="J39" s="136"/>
      <c r="K39" s="136"/>
      <c r="L39" s="136"/>
      <c r="M39" s="137">
        <f>SUM(M35:M38)</f>
        <v>260546.45600000001</v>
      </c>
      <c r="N39" s="137">
        <f t="shared" si="32"/>
        <v>0</v>
      </c>
      <c r="O39" s="138">
        <f t="shared" ref="O39" si="38">N39-J39</f>
        <v>0</v>
      </c>
    </row>
    <row r="40" spans="1:24" s="5" customFormat="1" ht="26.4" customHeight="1" thickBot="1" x14ac:dyDescent="0.3">
      <c r="A40" s="32">
        <f t="shared" si="1"/>
        <v>34</v>
      </c>
      <c r="C40" s="14"/>
      <c r="D40" s="6" t="s">
        <v>19</v>
      </c>
      <c r="E40" s="139"/>
      <c r="F40" s="139"/>
      <c r="G40" s="140">
        <f>G34+G39</f>
        <v>4354397.8260000004</v>
      </c>
      <c r="H40" s="139"/>
      <c r="I40" s="141">
        <f>I39+I34</f>
        <v>4354397.8260000004</v>
      </c>
      <c r="J40" s="139"/>
      <c r="K40" s="139"/>
      <c r="L40" s="139"/>
      <c r="M40" s="140">
        <f>M39+M34</f>
        <v>4491242.3271000003</v>
      </c>
      <c r="N40" s="140">
        <f t="shared" si="32"/>
        <v>136844.50109999999</v>
      </c>
      <c r="O40" s="142">
        <f>N40/I40</f>
        <v>3.1426733745572095E-2</v>
      </c>
      <c r="P40" s="112"/>
      <c r="Q40" s="112"/>
      <c r="R40" s="112"/>
      <c r="S40" s="105"/>
    </row>
    <row r="41" spans="1:24" ht="13.8" thickTop="1" x14ac:dyDescent="0.25">
      <c r="A41" s="32">
        <f t="shared" si="1"/>
        <v>35</v>
      </c>
      <c r="D41" s="2" t="s">
        <v>18</v>
      </c>
      <c r="E41" s="113">
        <f>(E32+E33)/E31</f>
        <v>73572.668079096038</v>
      </c>
      <c r="G41" s="143">
        <f>G40/E31</f>
        <v>6150.2794152542374</v>
      </c>
      <c r="I41" s="143">
        <f>I40/E31</f>
        <v>6150.2794152542374</v>
      </c>
      <c r="M41" s="143">
        <f>M40/E31</f>
        <v>6343.5626088983054</v>
      </c>
      <c r="N41" s="143">
        <f t="shared" si="32"/>
        <v>193.28319364406798</v>
      </c>
      <c r="O41" s="126">
        <f>N41/I41</f>
        <v>3.142673374557213E-2</v>
      </c>
    </row>
    <row r="42" spans="1:24" ht="13.8" thickBot="1" x14ac:dyDescent="0.3">
      <c r="A42" s="32">
        <f t="shared" si="1"/>
        <v>36</v>
      </c>
    </row>
    <row r="43" spans="1:24" x14ac:dyDescent="0.25">
      <c r="A43" s="32">
        <f t="shared" si="1"/>
        <v>37</v>
      </c>
      <c r="B43" s="22" t="s">
        <v>65</v>
      </c>
      <c r="C43" s="23">
        <v>11</v>
      </c>
      <c r="D43" s="22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</row>
    <row r="44" spans="1:24" x14ac:dyDescent="0.25">
      <c r="A44" s="32">
        <f t="shared" si="1"/>
        <v>38</v>
      </c>
      <c r="C44" s="2"/>
      <c r="D44" s="2" t="s">
        <v>66</v>
      </c>
      <c r="E44" s="124">
        <v>38442</v>
      </c>
      <c r="F44" s="113">
        <f>H44</f>
        <v>18</v>
      </c>
      <c r="G44" s="125">
        <f>F44*E44</f>
        <v>691956</v>
      </c>
      <c r="H44" s="113">
        <v>18</v>
      </c>
      <c r="I44" s="125">
        <f>H44*E44</f>
        <v>691956</v>
      </c>
      <c r="J44" s="126">
        <f>I44/I47</f>
        <v>0.16605317468929198</v>
      </c>
      <c r="K44" s="126"/>
      <c r="L44" s="113">
        <f>ROUND(H44*S47,2)</f>
        <v>18.600000000000001</v>
      </c>
      <c r="M44" s="125">
        <f>L44*E44</f>
        <v>715021.20000000007</v>
      </c>
      <c r="N44" s="125">
        <f>M44-I44</f>
        <v>23065.20000000007</v>
      </c>
      <c r="O44" s="126">
        <f>IF(I44=0,0,N44/I44)</f>
        <v>3.3333333333333437E-2</v>
      </c>
      <c r="P44" s="126">
        <f>M44/M$47</f>
        <v>0.16605063602976847</v>
      </c>
      <c r="Q44" s="127">
        <f>P44-J44</f>
        <v>-2.5386595235155074E-6</v>
      </c>
      <c r="R44" s="127"/>
      <c r="W44" s="102">
        <v>0.18011407642461161</v>
      </c>
      <c r="X44" s="11">
        <f t="shared" ref="X44:X46" si="39">J44</f>
        <v>0.16605317468929198</v>
      </c>
    </row>
    <row r="45" spans="1:24" x14ac:dyDescent="0.25">
      <c r="A45" s="32">
        <f t="shared" si="1"/>
        <v>39</v>
      </c>
      <c r="C45" s="2"/>
      <c r="D45" s="2" t="s">
        <v>67</v>
      </c>
      <c r="E45" s="124">
        <v>2889</v>
      </c>
      <c r="F45" s="113">
        <f>H45</f>
        <v>40</v>
      </c>
      <c r="G45" s="125">
        <f>F45*E45</f>
        <v>115560</v>
      </c>
      <c r="H45" s="113">
        <v>40</v>
      </c>
      <c r="I45" s="125">
        <f>H45*E45</f>
        <v>115560</v>
      </c>
      <c r="J45" s="126">
        <f>I45/I47</f>
        <v>2.7731683614412739E-2</v>
      </c>
      <c r="K45" s="126"/>
      <c r="L45" s="113">
        <f>ROUND(H45*S47,2)</f>
        <v>41.33</v>
      </c>
      <c r="M45" s="125">
        <f>L45*E45</f>
        <v>119402.37</v>
      </c>
      <c r="N45" s="125">
        <f>M45-I45</f>
        <v>3842.3699999999953</v>
      </c>
      <c r="O45" s="126">
        <f>IF(I45=0,0,N45/I45)</f>
        <v>3.324999999999996E-2</v>
      </c>
      <c r="P45" s="126">
        <f>M45/M$47</f>
        <v>2.7729023254082177E-2</v>
      </c>
      <c r="Q45" s="127">
        <f>P45-J45</f>
        <v>-2.6603603305620782E-6</v>
      </c>
      <c r="R45" s="127"/>
      <c r="W45" s="102">
        <v>3.096708716633995E-2</v>
      </c>
      <c r="X45" s="11">
        <f t="shared" si="39"/>
        <v>2.7731683614412739E-2</v>
      </c>
    </row>
    <row r="46" spans="1:24" x14ac:dyDescent="0.25">
      <c r="A46" s="32">
        <f t="shared" si="1"/>
        <v>40</v>
      </c>
      <c r="D46" s="2" t="s">
        <v>50</v>
      </c>
      <c r="E46" s="124">
        <v>37730894</v>
      </c>
      <c r="F46" s="115">
        <f>H46+0.00157</f>
        <v>9.0609999999999996E-2</v>
      </c>
      <c r="G46" s="125">
        <f t="shared" ref="G46" si="40">F46*E46</f>
        <v>3418796.30534</v>
      </c>
      <c r="H46" s="115">
        <v>8.9039999999999994E-2</v>
      </c>
      <c r="I46" s="125">
        <f t="shared" ref="I46" si="41">H46*E46</f>
        <v>3359558.8017599997</v>
      </c>
      <c r="J46" s="126">
        <f>I46/I47</f>
        <v>0.80621514169629527</v>
      </c>
      <c r="K46" s="126"/>
      <c r="L46" s="128">
        <f>ROUND(H46*S47,5)</f>
        <v>9.2009999999999995E-2</v>
      </c>
      <c r="M46" s="125">
        <f t="shared" ref="M46" si="42">L46*E46</f>
        <v>3471619.5569399996</v>
      </c>
      <c r="N46" s="125">
        <f t="shared" ref="N46" si="43">M46-I46</f>
        <v>112060.75517999986</v>
      </c>
      <c r="O46" s="126">
        <f t="shared" ref="O46" si="44">IF(I46=0,0,N46/I46)</f>
        <v>3.3355795148247942E-2</v>
      </c>
      <c r="P46" s="126">
        <f>M46/M$47</f>
        <v>0.80622034071614934</v>
      </c>
      <c r="Q46" s="127">
        <f t="shared" ref="Q46" si="45">P46-J46</f>
        <v>5.1990198540741162E-6</v>
      </c>
      <c r="R46" s="127"/>
      <c r="T46" s="4">
        <f>L46/H46-1</f>
        <v>3.3355795148247935E-2</v>
      </c>
      <c r="W46" s="102">
        <v>0.78891883640904847</v>
      </c>
      <c r="X46" s="11">
        <f t="shared" si="39"/>
        <v>0.80621514169629527</v>
      </c>
    </row>
    <row r="47" spans="1:24" s="5" customFormat="1" ht="20.399999999999999" customHeight="1" x14ac:dyDescent="0.25">
      <c r="A47" s="32">
        <f t="shared" si="1"/>
        <v>41</v>
      </c>
      <c r="C47" s="14"/>
      <c r="D47" s="16" t="s">
        <v>6</v>
      </c>
      <c r="E47" s="129"/>
      <c r="F47" s="129"/>
      <c r="G47" s="17">
        <f>SUM(G44:G46)</f>
        <v>4226312.3053399995</v>
      </c>
      <c r="H47" s="129"/>
      <c r="I47" s="17">
        <f>SUM(I44:I46)</f>
        <v>4167074.8017599997</v>
      </c>
      <c r="J47" s="130">
        <f>SUM(J44:J46)</f>
        <v>1</v>
      </c>
      <c r="K47" s="131">
        <f>I47+Summary!I11</f>
        <v>4306136.5217599999</v>
      </c>
      <c r="L47" s="129"/>
      <c r="M47" s="17">
        <f>SUM(M44:M46)</f>
        <v>4306043.1269399999</v>
      </c>
      <c r="N47" s="17">
        <f>SUM(N44:N46)</f>
        <v>138968.32517999993</v>
      </c>
      <c r="O47" s="130">
        <f t="shared" ref="O47" si="46">N47/I47</f>
        <v>3.3349131414992947E-2</v>
      </c>
      <c r="P47" s="130">
        <f>SUM(P44:P46)</f>
        <v>1</v>
      </c>
      <c r="Q47" s="132">
        <f t="shared" ref="Q47" si="47">P47-J47</f>
        <v>0</v>
      </c>
      <c r="R47" s="133">
        <f>M47-K47</f>
        <v>-93.394820000045002</v>
      </c>
      <c r="S47" s="105">
        <f>K47/I47</f>
        <v>1.0333715439764284</v>
      </c>
      <c r="W47" s="2"/>
    </row>
    <row r="48" spans="1:24" x14ac:dyDescent="0.25">
      <c r="A48" s="32">
        <f t="shared" si="1"/>
        <v>42</v>
      </c>
      <c r="D48" s="2" t="s">
        <v>29</v>
      </c>
      <c r="G48" s="125">
        <v>-107896.25</v>
      </c>
      <c r="I48" s="134">
        <f>G48+(0.00157*E46)</f>
        <v>-48658.746420000003</v>
      </c>
      <c r="K48" s="134"/>
      <c r="M48" s="125">
        <f>I48</f>
        <v>-48658.746420000003</v>
      </c>
      <c r="N48" s="125">
        <f t="shared" ref="N48:N54" si="48">M48-I48</f>
        <v>0</v>
      </c>
      <c r="O48" s="113">
        <v>0</v>
      </c>
    </row>
    <row r="49" spans="1:24" x14ac:dyDescent="0.25">
      <c r="A49" s="32">
        <f t="shared" si="1"/>
        <v>43</v>
      </c>
      <c r="D49" s="2" t="s">
        <v>30</v>
      </c>
      <c r="F49" s="113">
        <f>H49</f>
        <v>0</v>
      </c>
      <c r="G49" s="125">
        <v>356630.45999999996</v>
      </c>
      <c r="I49" s="134">
        <f t="shared" ref="I49:I51" si="49">G49</f>
        <v>356630.45999999996</v>
      </c>
      <c r="M49" s="125">
        <f t="shared" ref="M49:M51" si="50">I49</f>
        <v>356630.45999999996</v>
      </c>
      <c r="N49" s="125">
        <f t="shared" si="48"/>
        <v>0</v>
      </c>
      <c r="O49" s="113">
        <v>0</v>
      </c>
    </row>
    <row r="50" spans="1:24" x14ac:dyDescent="0.25">
      <c r="A50" s="32">
        <f t="shared" si="1"/>
        <v>44</v>
      </c>
      <c r="D50" s="2" t="s">
        <v>32</v>
      </c>
      <c r="F50" s="113">
        <f>H50</f>
        <v>0</v>
      </c>
      <c r="G50" s="125">
        <v>0</v>
      </c>
      <c r="I50" s="134">
        <f t="shared" si="49"/>
        <v>0</v>
      </c>
      <c r="M50" s="125">
        <f t="shared" si="50"/>
        <v>0</v>
      </c>
      <c r="N50" s="125">
        <f t="shared" si="48"/>
        <v>0</v>
      </c>
      <c r="O50" s="113">
        <v>0</v>
      </c>
    </row>
    <row r="51" spans="1:24" x14ac:dyDescent="0.25">
      <c r="A51" s="32">
        <f t="shared" si="1"/>
        <v>45</v>
      </c>
      <c r="D51" s="2" t="s">
        <v>41</v>
      </c>
      <c r="G51" s="125">
        <v>0</v>
      </c>
      <c r="I51" s="134">
        <f t="shared" si="49"/>
        <v>0</v>
      </c>
      <c r="M51" s="125">
        <f t="shared" si="50"/>
        <v>0</v>
      </c>
      <c r="N51" s="125"/>
      <c r="O51" s="113"/>
    </row>
    <row r="52" spans="1:24" x14ac:dyDescent="0.25">
      <c r="A52" s="32">
        <f t="shared" si="1"/>
        <v>46</v>
      </c>
      <c r="D52" s="12" t="s">
        <v>8</v>
      </c>
      <c r="E52" s="136"/>
      <c r="F52" s="136"/>
      <c r="G52" s="137">
        <f>SUM(G48:G51)</f>
        <v>248734.20999999996</v>
      </c>
      <c r="H52" s="136"/>
      <c r="I52" s="137">
        <f>SUM(I48:I51)</f>
        <v>307971.71357999998</v>
      </c>
      <c r="J52" s="136"/>
      <c r="K52" s="136"/>
      <c r="L52" s="136"/>
      <c r="M52" s="137">
        <f>SUM(M48:M51)</f>
        <v>307971.71357999998</v>
      </c>
      <c r="N52" s="137">
        <f t="shared" si="48"/>
        <v>0</v>
      </c>
      <c r="O52" s="138">
        <f t="shared" ref="O52" si="51">N52-J52</f>
        <v>0</v>
      </c>
    </row>
    <row r="53" spans="1:24" s="5" customFormat="1" ht="26.4" customHeight="1" thickBot="1" x14ac:dyDescent="0.3">
      <c r="A53" s="32">
        <f t="shared" si="1"/>
        <v>47</v>
      </c>
      <c r="C53" s="14"/>
      <c r="D53" s="6" t="s">
        <v>19</v>
      </c>
      <c r="E53" s="139"/>
      <c r="F53" s="139"/>
      <c r="G53" s="140">
        <f>G47+G52</f>
        <v>4475046.5153399995</v>
      </c>
      <c r="H53" s="139"/>
      <c r="I53" s="141">
        <f>I52+I47</f>
        <v>4475046.5153399995</v>
      </c>
      <c r="J53" s="139"/>
      <c r="K53" s="139"/>
      <c r="L53" s="139"/>
      <c r="M53" s="140">
        <f>M52+M47</f>
        <v>4614014.8405200001</v>
      </c>
      <c r="N53" s="140">
        <f t="shared" si="48"/>
        <v>138968.32518000063</v>
      </c>
      <c r="O53" s="142">
        <f>N53/I53</f>
        <v>3.1054051550890364E-2</v>
      </c>
      <c r="P53" s="112"/>
      <c r="Q53" s="112"/>
      <c r="R53" s="112"/>
      <c r="S53" s="105"/>
    </row>
    <row r="54" spans="1:24" ht="13.8" thickTop="1" x14ac:dyDescent="0.25">
      <c r="A54" s="32">
        <f t="shared" si="1"/>
        <v>48</v>
      </c>
      <c r="D54" s="2" t="s">
        <v>18</v>
      </c>
      <c r="E54" s="113">
        <f>E46/E44</f>
        <v>981.50184693824463</v>
      </c>
      <c r="G54" s="143">
        <f>G53/E44</f>
        <v>116.41034585453409</v>
      </c>
      <c r="I54" s="143">
        <f>I53/E44</f>
        <v>116.41034585453409</v>
      </c>
      <c r="M54" s="143">
        <f>M53/E44</f>
        <v>120.02535873575776</v>
      </c>
      <c r="N54" s="143">
        <f t="shared" si="48"/>
        <v>3.6150128812236773</v>
      </c>
      <c r="O54" s="126">
        <f>N54/I54</f>
        <v>3.105405155089036E-2</v>
      </c>
    </row>
    <row r="55" spans="1:24" ht="13.8" thickBot="1" x14ac:dyDescent="0.3">
      <c r="A55" s="32">
        <f t="shared" si="1"/>
        <v>49</v>
      </c>
    </row>
    <row r="56" spans="1:24" x14ac:dyDescent="0.25">
      <c r="A56" s="32">
        <f t="shared" si="1"/>
        <v>50</v>
      </c>
      <c r="B56" s="22" t="s">
        <v>68</v>
      </c>
      <c r="C56" s="23" t="s">
        <v>97</v>
      </c>
      <c r="D56" s="22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</row>
    <row r="57" spans="1:24" x14ac:dyDescent="0.25">
      <c r="A57" s="32">
        <f t="shared" si="1"/>
        <v>51</v>
      </c>
      <c r="C57" s="2"/>
      <c r="D57" s="2" t="s">
        <v>17</v>
      </c>
      <c r="E57" s="124">
        <v>169</v>
      </c>
      <c r="F57" s="113">
        <f>H57</f>
        <v>614.28</v>
      </c>
      <c r="G57" s="125">
        <f>F57*E57</f>
        <v>103813.31999999999</v>
      </c>
      <c r="H57" s="113">
        <v>614.28</v>
      </c>
      <c r="I57" s="125">
        <f>H57*E57</f>
        <v>103813.31999999999</v>
      </c>
      <c r="J57" s="126">
        <f>I57/I61</f>
        <v>1.2093671629807427E-2</v>
      </c>
      <c r="K57" s="126"/>
      <c r="L57" s="113">
        <f>ROUND(H57*S61,2)</f>
        <v>634.78</v>
      </c>
      <c r="M57" s="125">
        <f>L57*E57</f>
        <v>107277.81999999999</v>
      </c>
      <c r="N57" s="125">
        <f>M57-I57</f>
        <v>3464.5</v>
      </c>
      <c r="O57" s="126">
        <f>IF(I57=0,0,N57/I57)</f>
        <v>3.3372403464218277E-2</v>
      </c>
      <c r="P57" s="126">
        <f>M57/M$61</f>
        <v>1.2093610915718315E-2</v>
      </c>
      <c r="Q57" s="127">
        <f>P57-J57</f>
        <v>-6.0714089112137715E-8</v>
      </c>
      <c r="R57" s="127"/>
      <c r="T57" s="4"/>
      <c r="W57" s="102">
        <v>1.2563812009514742E-2</v>
      </c>
      <c r="X57" s="11">
        <f t="shared" ref="X57:X60" si="52">J57</f>
        <v>1.2093671629807427E-2</v>
      </c>
    </row>
    <row r="58" spans="1:24" x14ac:dyDescent="0.25">
      <c r="A58" s="32">
        <f t="shared" si="1"/>
        <v>52</v>
      </c>
      <c r="D58" s="2" t="s">
        <v>79</v>
      </c>
      <c r="E58" s="124">
        <f>281220-E59</f>
        <v>258800</v>
      </c>
      <c r="F58" s="113">
        <f>H58</f>
        <v>7.17</v>
      </c>
      <c r="G58" s="125">
        <f t="shared" ref="G58" si="53">F58*E58</f>
        <v>1855596</v>
      </c>
      <c r="H58" s="113">
        <v>7.17</v>
      </c>
      <c r="I58" s="125">
        <f t="shared" ref="I58" si="54">H58*E58</f>
        <v>1855596</v>
      </c>
      <c r="J58" s="126">
        <f>I58/I61</f>
        <v>0.21616656419026137</v>
      </c>
      <c r="K58" s="126"/>
      <c r="L58" s="113">
        <f>ROUND(H58*S61,2)</f>
        <v>7.41</v>
      </c>
      <c r="M58" s="125">
        <f t="shared" ref="M58" si="55">L58*E58</f>
        <v>1917708</v>
      </c>
      <c r="N58" s="125">
        <f t="shared" ref="N58" si="56">M58-I58</f>
        <v>62112</v>
      </c>
      <c r="O58" s="126">
        <f t="shared" ref="O58" si="57">IF(I58=0,0,N58/I58)</f>
        <v>3.3472803347280332E-2</v>
      </c>
      <c r="P58" s="126">
        <f>M58/M$61</f>
        <v>0.21618648106346999</v>
      </c>
      <c r="Q58" s="127">
        <f t="shared" ref="Q58" si="58">P58-J58</f>
        <v>1.991687320862523E-5</v>
      </c>
      <c r="R58" s="127"/>
      <c r="T58" s="4">
        <f>L58/H58-1</f>
        <v>3.3472803347280422E-2</v>
      </c>
      <c r="W58" s="102">
        <v>0.21083849062164584</v>
      </c>
      <c r="X58" s="11">
        <f t="shared" si="52"/>
        <v>0.21616656419026137</v>
      </c>
    </row>
    <row r="59" spans="1:24" x14ac:dyDescent="0.25">
      <c r="A59" s="32">
        <f t="shared" si="1"/>
        <v>53</v>
      </c>
      <c r="D59" s="2" t="s">
        <v>80</v>
      </c>
      <c r="E59" s="124">
        <v>22420</v>
      </c>
      <c r="F59" s="113">
        <f>H59</f>
        <v>9.98</v>
      </c>
      <c r="G59" s="125">
        <f t="shared" ref="G59" si="59">F59*E59</f>
        <v>223751.6</v>
      </c>
      <c r="H59" s="113">
        <v>9.98</v>
      </c>
      <c r="I59" s="125">
        <f t="shared" ref="I59" si="60">H59*E59</f>
        <v>223751.6</v>
      </c>
      <c r="J59" s="126">
        <f>I59/I61</f>
        <v>2.6065810986914007E-2</v>
      </c>
      <c r="K59" s="126"/>
      <c r="L59" s="113">
        <f>ROUND(H59*S61,2)</f>
        <v>10.31</v>
      </c>
      <c r="M59" s="125">
        <f t="shared" ref="M59" si="61">L59*E59</f>
        <v>231150.2</v>
      </c>
      <c r="N59" s="125">
        <f t="shared" ref="N59" si="62">M59-I59</f>
        <v>7398.6000000000058</v>
      </c>
      <c r="O59" s="126">
        <f t="shared" ref="O59" si="63">IF(I59=0,0,N59/I59)</f>
        <v>3.3066132264529084E-2</v>
      </c>
      <c r="P59" s="126">
        <f>M59/M$61</f>
        <v>2.6057954774719248E-2</v>
      </c>
      <c r="Q59" s="127">
        <f t="shared" ref="Q59" si="64">P59-J59</f>
        <v>-7.8562121947588215E-6</v>
      </c>
      <c r="R59" s="127"/>
      <c r="T59" s="4">
        <f>L59/H59-1</f>
        <v>3.3066132264529147E-2</v>
      </c>
      <c r="W59" s="102">
        <v>3.0864902165052367E-2</v>
      </c>
      <c r="X59" s="11">
        <f t="shared" si="52"/>
        <v>2.6065810986914007E-2</v>
      </c>
    </row>
    <row r="60" spans="1:24" x14ac:dyDescent="0.25">
      <c r="A60" s="32">
        <f t="shared" si="1"/>
        <v>54</v>
      </c>
      <c r="D60" s="2" t="s">
        <v>50</v>
      </c>
      <c r="E60" s="124">
        <v>132634518</v>
      </c>
      <c r="F60" s="115">
        <f>H60+0.00157</f>
        <v>4.9829999999999999E-2</v>
      </c>
      <c r="G60" s="125">
        <f t="shared" ref="G60" si="65">F60*E60</f>
        <v>6609178.0319400001</v>
      </c>
      <c r="H60" s="115">
        <v>4.8259999999999997E-2</v>
      </c>
      <c r="I60" s="125">
        <f t="shared" ref="I60" si="66">H60*E60</f>
        <v>6400941.83868</v>
      </c>
      <c r="J60" s="126">
        <f>I60/I61</f>
        <v>0.7456739531930171</v>
      </c>
      <c r="K60" s="126"/>
      <c r="L60" s="128">
        <f>ROUND(H60*S61,5)</f>
        <v>4.9869999999999998E-2</v>
      </c>
      <c r="M60" s="125">
        <f t="shared" ref="M60" si="67">L60*E60</f>
        <v>6614483.4126599999</v>
      </c>
      <c r="N60" s="125">
        <f t="shared" ref="N60" si="68">M60-I60</f>
        <v>213541.57397999987</v>
      </c>
      <c r="O60" s="126">
        <f t="shared" ref="O60" si="69">IF(I60=0,0,N60/I60)</f>
        <v>3.3360961458765E-2</v>
      </c>
      <c r="P60" s="126">
        <f>M60/M$61</f>
        <v>0.74566195324609241</v>
      </c>
      <c r="Q60" s="127">
        <f t="shared" ref="Q60" si="70">P60-J60</f>
        <v>-1.1999946924690086E-5</v>
      </c>
      <c r="R60" s="127"/>
      <c r="T60" s="4">
        <f>L60/H60-1</f>
        <v>3.3360961458765104E-2</v>
      </c>
      <c r="W60" s="102">
        <v>0.7457327952037871</v>
      </c>
      <c r="X60" s="11">
        <f t="shared" si="52"/>
        <v>0.7456739531930171</v>
      </c>
    </row>
    <row r="61" spans="1:24" s="5" customFormat="1" ht="20.399999999999999" customHeight="1" x14ac:dyDescent="0.3">
      <c r="A61" s="32">
        <f t="shared" si="1"/>
        <v>55</v>
      </c>
      <c r="C61" s="14"/>
      <c r="D61" s="16" t="s">
        <v>6</v>
      </c>
      <c r="E61" s="129"/>
      <c r="F61" s="129"/>
      <c r="G61" s="17">
        <f>SUM(G57:G60)</f>
        <v>8792338.9519400001</v>
      </c>
      <c r="H61" s="129"/>
      <c r="I61" s="17">
        <f>SUM(I57:I60)</f>
        <v>8584102.7586800009</v>
      </c>
      <c r="J61" s="130">
        <f>SUM(J57:J60)</f>
        <v>0.99999999999999989</v>
      </c>
      <c r="K61" s="131">
        <f>I61+Summary!I12</f>
        <v>8870567.5286800005</v>
      </c>
      <c r="L61" s="129"/>
      <c r="M61" s="17">
        <f>SUM(M57:M60)</f>
        <v>8870619.4326600004</v>
      </c>
      <c r="N61" s="17">
        <f>SUM(N57:N60)</f>
        <v>286516.67397999985</v>
      </c>
      <c r="O61" s="130">
        <f t="shared" ref="O61" si="71">N61/I61</f>
        <v>3.3377591349344267E-2</v>
      </c>
      <c r="P61" s="130">
        <f>SUM(P57:P60)</f>
        <v>1</v>
      </c>
      <c r="Q61" s="132">
        <f t="shared" ref="Q61" si="72">P61-J61</f>
        <v>0</v>
      </c>
      <c r="R61" s="133">
        <f>M61-K61</f>
        <v>51.903979999944568</v>
      </c>
      <c r="S61" s="105">
        <f>K61/I61</f>
        <v>1.0333715448257343</v>
      </c>
    </row>
    <row r="62" spans="1:24" x14ac:dyDescent="0.25">
      <c r="A62" s="32">
        <f t="shared" si="1"/>
        <v>56</v>
      </c>
      <c r="D62" s="2" t="s">
        <v>29</v>
      </c>
      <c r="G62" s="125">
        <v>-419246.86</v>
      </c>
      <c r="I62" s="134">
        <f>G62+(0.00157*(E60))</f>
        <v>-211010.66673999999</v>
      </c>
      <c r="K62" s="134"/>
      <c r="M62" s="125">
        <f>I62</f>
        <v>-211010.66673999999</v>
      </c>
      <c r="N62" s="125">
        <f t="shared" ref="N62:N68" si="73">M62-I62</f>
        <v>0</v>
      </c>
      <c r="O62" s="113">
        <v>0</v>
      </c>
    </row>
    <row r="63" spans="1:24" x14ac:dyDescent="0.25">
      <c r="A63" s="32">
        <f t="shared" si="1"/>
        <v>57</v>
      </c>
      <c r="D63" s="2" t="s">
        <v>30</v>
      </c>
      <c r="G63" s="125">
        <v>715960.65</v>
      </c>
      <c r="I63" s="134">
        <f t="shared" ref="I63:I65" si="74">G63</f>
        <v>715960.65</v>
      </c>
      <c r="M63" s="125">
        <f t="shared" ref="M63:M65" si="75">I63</f>
        <v>715960.65</v>
      </c>
      <c r="N63" s="125">
        <f t="shared" si="73"/>
        <v>0</v>
      </c>
      <c r="O63" s="113">
        <v>0</v>
      </c>
    </row>
    <row r="64" spans="1:24" x14ac:dyDescent="0.25">
      <c r="A64" s="32">
        <f t="shared" si="1"/>
        <v>58</v>
      </c>
      <c r="D64" s="2" t="s">
        <v>32</v>
      </c>
      <c r="G64" s="125">
        <v>0</v>
      </c>
      <c r="I64" s="134">
        <f t="shared" si="74"/>
        <v>0</v>
      </c>
      <c r="M64" s="125">
        <f t="shared" si="75"/>
        <v>0</v>
      </c>
      <c r="N64" s="125">
        <f t="shared" si="73"/>
        <v>0</v>
      </c>
      <c r="O64" s="113">
        <v>0</v>
      </c>
    </row>
    <row r="65" spans="1:25" x14ac:dyDescent="0.25">
      <c r="A65" s="32">
        <f t="shared" si="1"/>
        <v>59</v>
      </c>
      <c r="D65" s="2" t="s">
        <v>41</v>
      </c>
      <c r="G65" s="125">
        <v>0</v>
      </c>
      <c r="I65" s="134">
        <f t="shared" si="74"/>
        <v>0</v>
      </c>
      <c r="M65" s="125">
        <f t="shared" si="75"/>
        <v>0</v>
      </c>
      <c r="N65" s="125"/>
      <c r="O65" s="113"/>
    </row>
    <row r="66" spans="1:25" x14ac:dyDescent="0.25">
      <c r="A66" s="32">
        <f t="shared" si="1"/>
        <v>60</v>
      </c>
      <c r="D66" s="12" t="s">
        <v>8</v>
      </c>
      <c r="E66" s="136"/>
      <c r="F66" s="136"/>
      <c r="G66" s="137">
        <f>SUM(G62:G65)</f>
        <v>296713.79000000004</v>
      </c>
      <c r="H66" s="136"/>
      <c r="I66" s="137">
        <f>SUM(I62:I65)</f>
        <v>504949.98326000001</v>
      </c>
      <c r="J66" s="136"/>
      <c r="K66" s="136"/>
      <c r="L66" s="136"/>
      <c r="M66" s="137">
        <f>SUM(M62:M65)</f>
        <v>504949.98326000001</v>
      </c>
      <c r="N66" s="137">
        <f t="shared" si="73"/>
        <v>0</v>
      </c>
      <c r="O66" s="138">
        <f t="shared" ref="O66" si="76">N66-J66</f>
        <v>0</v>
      </c>
    </row>
    <row r="67" spans="1:25" s="5" customFormat="1" ht="26.4" customHeight="1" thickBot="1" x14ac:dyDescent="0.3">
      <c r="A67" s="32">
        <f t="shared" si="1"/>
        <v>61</v>
      </c>
      <c r="C67" s="14"/>
      <c r="D67" s="6" t="s">
        <v>19</v>
      </c>
      <c r="E67" s="139"/>
      <c r="F67" s="139"/>
      <c r="G67" s="140">
        <f>G61+G66</f>
        <v>9089052.7419399992</v>
      </c>
      <c r="H67" s="139"/>
      <c r="I67" s="141">
        <f>I66+I61</f>
        <v>9089052.741940001</v>
      </c>
      <c r="J67" s="139"/>
      <c r="K67" s="139"/>
      <c r="L67" s="139"/>
      <c r="M67" s="140">
        <f>M66+M61</f>
        <v>9375569.4159200005</v>
      </c>
      <c r="N67" s="140">
        <f t="shared" si="73"/>
        <v>286516.6739799995</v>
      </c>
      <c r="O67" s="142">
        <f>N67/I67</f>
        <v>3.1523271138906864E-2</v>
      </c>
      <c r="P67" s="112"/>
      <c r="Q67" s="112"/>
      <c r="R67" s="112"/>
      <c r="S67" s="105"/>
    </row>
    <row r="68" spans="1:25" ht="13.8" thickTop="1" x14ac:dyDescent="0.25">
      <c r="A68" s="32">
        <f t="shared" si="1"/>
        <v>62</v>
      </c>
      <c r="D68" s="2" t="s">
        <v>18</v>
      </c>
      <c r="E68" s="113">
        <f>E60/E57</f>
        <v>784819.63313609466</v>
      </c>
      <c r="G68" s="143">
        <f>G67/E57</f>
        <v>53781.377171242595</v>
      </c>
      <c r="I68" s="143">
        <f>I67/E57</f>
        <v>53781.37717124261</v>
      </c>
      <c r="M68" s="143">
        <f>M67/E57</f>
        <v>55476.742106035505</v>
      </c>
      <c r="N68" s="143">
        <f t="shared" si="73"/>
        <v>1695.3649347928949</v>
      </c>
      <c r="O68" s="126">
        <f>N68/I68</f>
        <v>3.1523271138906829E-2</v>
      </c>
    </row>
    <row r="69" spans="1:25" ht="13.8" thickBot="1" x14ac:dyDescent="0.3">
      <c r="A69" s="32">
        <f t="shared" si="1"/>
        <v>63</v>
      </c>
      <c r="B69" s="25"/>
      <c r="C69" s="27"/>
      <c r="D69" s="25"/>
    </row>
    <row r="70" spans="1:25" x14ac:dyDescent="0.25">
      <c r="A70" s="32">
        <f t="shared" si="1"/>
        <v>64</v>
      </c>
      <c r="B70" s="22" t="s">
        <v>69</v>
      </c>
      <c r="C70" s="23" t="s">
        <v>96</v>
      </c>
      <c r="D70" s="22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</row>
    <row r="71" spans="1:25" x14ac:dyDescent="0.25">
      <c r="A71" s="32">
        <f t="shared" si="1"/>
        <v>65</v>
      </c>
      <c r="C71" s="25"/>
      <c r="D71" s="2" t="s">
        <v>17</v>
      </c>
      <c r="E71" s="124">
        <v>12</v>
      </c>
      <c r="F71" s="113">
        <f>H71</f>
        <v>1227.4100000000001</v>
      </c>
      <c r="G71" s="125">
        <f>F71*E71</f>
        <v>14728.920000000002</v>
      </c>
      <c r="H71" s="113">
        <v>1227.4100000000001</v>
      </c>
      <c r="I71" s="125">
        <f>H71*E71</f>
        <v>14728.920000000002</v>
      </c>
      <c r="J71" s="126">
        <f>I71/I75</f>
        <v>3.9970135228242975E-3</v>
      </c>
      <c r="K71" s="126"/>
      <c r="L71" s="113">
        <f>ROUND(H71*S75,2)</f>
        <v>1268.3699999999999</v>
      </c>
      <c r="M71" s="125">
        <f>L71*E71</f>
        <v>15220.439999999999</v>
      </c>
      <c r="N71" s="125">
        <f>M71-I71</f>
        <v>491.5199999999968</v>
      </c>
      <c r="O71" s="126">
        <f>IF(I71=0,0,N71/I71)</f>
        <v>3.3371082197472507E-2</v>
      </c>
      <c r="P71" s="126">
        <f>M71/M$75</f>
        <v>3.9972594048877166E-3</v>
      </c>
      <c r="Q71" s="127">
        <f>P71-J71</f>
        <v>2.4588206341911306E-7</v>
      </c>
      <c r="R71" s="127"/>
      <c r="T71" s="4">
        <f>L71/H71-1</f>
        <v>3.3371082197472646E-2</v>
      </c>
      <c r="W71" s="102">
        <v>4.3135007893280227E-3</v>
      </c>
      <c r="X71" s="11">
        <f t="shared" ref="X71:X74" si="77">J71</f>
        <v>3.9970135228242975E-3</v>
      </c>
    </row>
    <row r="72" spans="1:25" x14ac:dyDescent="0.25">
      <c r="A72" s="32">
        <f t="shared" si="1"/>
        <v>66</v>
      </c>
      <c r="C72" s="27"/>
      <c r="D72" s="2" t="s">
        <v>79</v>
      </c>
      <c r="E72" s="124">
        <v>96000</v>
      </c>
      <c r="F72" s="113">
        <f>H72</f>
        <v>7.17</v>
      </c>
      <c r="G72" s="125">
        <f t="shared" ref="G72" si="78">F72*E72</f>
        <v>688320</v>
      </c>
      <c r="H72" s="113">
        <v>7.17</v>
      </c>
      <c r="I72" s="125">
        <f t="shared" ref="I72" si="79">H72*E72</f>
        <v>688320</v>
      </c>
      <c r="J72" s="126">
        <f>I72/I75</f>
        <v>0.18679063692588593</v>
      </c>
      <c r="K72" s="126"/>
      <c r="L72" s="113">
        <f>ROUND(H72*S75,2)</f>
        <v>7.41</v>
      </c>
      <c r="M72" s="125">
        <f t="shared" ref="M72" si="80">L72*E72</f>
        <v>711360</v>
      </c>
      <c r="N72" s="125">
        <f t="shared" ref="N72" si="81">M72-I72</f>
        <v>23040</v>
      </c>
      <c r="O72" s="126">
        <f t="shared" ref="O72" si="82">IF(I72=0,0,N72/I72)</f>
        <v>3.3472803347280332E-2</v>
      </c>
      <c r="P72" s="126">
        <f>M72/M$75</f>
        <v>0.18682051571839753</v>
      </c>
      <c r="Q72" s="127">
        <f t="shared" ref="Q72" si="83">P72-J72</f>
        <v>2.9878792511595087E-5</v>
      </c>
      <c r="R72" s="127"/>
      <c r="T72" s="4">
        <f>L72/H72-1</f>
        <v>3.3472803347280422E-2</v>
      </c>
      <c r="W72" s="102">
        <v>0.20473059561050552</v>
      </c>
      <c r="X72" s="11">
        <f t="shared" si="77"/>
        <v>0.18679063692588593</v>
      </c>
    </row>
    <row r="73" spans="1:25" x14ac:dyDescent="0.25">
      <c r="A73" s="32">
        <f t="shared" si="1"/>
        <v>67</v>
      </c>
      <c r="C73" s="27"/>
      <c r="D73" s="2" t="s">
        <v>80</v>
      </c>
      <c r="E73" s="124">
        <v>96000</v>
      </c>
      <c r="F73" s="113">
        <f>H73</f>
        <v>9.98</v>
      </c>
      <c r="G73" s="125">
        <f t="shared" ref="G73" si="84">F73*E73</f>
        <v>958080</v>
      </c>
      <c r="H73" s="113">
        <v>9.98</v>
      </c>
      <c r="I73" s="125">
        <f t="shared" ref="I73" si="85">H73*E73</f>
        <v>958080</v>
      </c>
      <c r="J73" s="126">
        <f>I73/I75</f>
        <v>0.25999589351748142</v>
      </c>
      <c r="K73" s="126"/>
      <c r="L73" s="113">
        <f>ROUND(H73*S75,2)</f>
        <v>10.31</v>
      </c>
      <c r="M73" s="125">
        <f t="shared" ref="M73" si="86">L73*E73</f>
        <v>989760</v>
      </c>
      <c r="N73" s="125">
        <f t="shared" ref="N73" si="87">M73-I73</f>
        <v>31680</v>
      </c>
      <c r="O73" s="126">
        <f t="shared" ref="O73" si="88">IF(I73=0,0,N73/I73)</f>
        <v>3.3066132264529056E-2</v>
      </c>
      <c r="P73" s="126">
        <f>M73/M$75</f>
        <v>0.25993515749752744</v>
      </c>
      <c r="Q73" s="127">
        <f t="shared" ref="Q73" si="89">P73-J73</f>
        <v>-6.0736019953988585E-5</v>
      </c>
      <c r="R73" s="127"/>
      <c r="T73" s="4">
        <f>L73/H73-1</f>
        <v>3.3066132264529147E-2</v>
      </c>
      <c r="W73" s="102">
        <v>9.9051507284190574E-3</v>
      </c>
      <c r="X73" s="11">
        <f t="shared" si="77"/>
        <v>0.25999589351748142</v>
      </c>
      <c r="Y73" s="106"/>
    </row>
    <row r="74" spans="1:25" x14ac:dyDescent="0.25">
      <c r="A74" s="32">
        <f t="shared" si="1"/>
        <v>68</v>
      </c>
      <c r="C74" s="27"/>
      <c r="D74" s="2" t="s">
        <v>50</v>
      </c>
      <c r="E74" s="124">
        <v>48232897</v>
      </c>
      <c r="F74" s="115">
        <f>H74+0.00157</f>
        <v>4.3529999999999999E-2</v>
      </c>
      <c r="G74" s="125">
        <f t="shared" ref="G74" si="90">F74*E74</f>
        <v>2099578.0064099999</v>
      </c>
      <c r="H74" s="114">
        <v>4.1959999999999997E-2</v>
      </c>
      <c r="I74" s="125">
        <f t="shared" ref="I74" si="91">H74*E74</f>
        <v>2023852.3581199998</v>
      </c>
      <c r="J74" s="126">
        <f>I74/I75</f>
        <v>0.54921645603380831</v>
      </c>
      <c r="K74" s="126"/>
      <c r="L74" s="128">
        <f>ROUND(H74*S75,5)</f>
        <v>4.3360000000000003E-2</v>
      </c>
      <c r="M74" s="125">
        <f t="shared" ref="M74" si="92">L74*E74</f>
        <v>2091378.4139200002</v>
      </c>
      <c r="N74" s="125">
        <f t="shared" ref="N74" si="93">M74-I74</f>
        <v>67526.055800000438</v>
      </c>
      <c r="O74" s="126">
        <f t="shared" ref="O74" si="94">IF(I74=0,0,N74/I74)</f>
        <v>3.3365109628217572E-2</v>
      </c>
      <c r="P74" s="126">
        <f>M74/M$75</f>
        <v>0.54924706737918727</v>
      </c>
      <c r="Q74" s="127">
        <f t="shared" ref="Q74" si="95">P74-J74</f>
        <v>3.0611345378961374E-5</v>
      </c>
      <c r="R74" s="127"/>
      <c r="T74" s="4">
        <f>L74/H74-1</f>
        <v>3.3365109628217482E-2</v>
      </c>
      <c r="W74" s="102">
        <v>0.78105075287174741</v>
      </c>
      <c r="X74" s="11">
        <f t="shared" si="77"/>
        <v>0.54921645603380831</v>
      </c>
    </row>
    <row r="75" spans="1:25" s="5" customFormat="1" ht="20.399999999999999" customHeight="1" x14ac:dyDescent="0.3">
      <c r="A75" s="32">
        <f t="shared" si="1"/>
        <v>69</v>
      </c>
      <c r="C75" s="33"/>
      <c r="D75" s="16" t="s">
        <v>6</v>
      </c>
      <c r="E75" s="129"/>
      <c r="F75" s="129"/>
      <c r="G75" s="17">
        <f>SUM(G71:G74)</f>
        <v>3760706.9264099998</v>
      </c>
      <c r="H75" s="129"/>
      <c r="I75" s="17">
        <f>SUM(I71:I74)</f>
        <v>3684981.2781199999</v>
      </c>
      <c r="J75" s="130">
        <f>SUM(J71:J74)</f>
        <v>1</v>
      </c>
      <c r="K75" s="131">
        <f>I75+Summary!I13</f>
        <v>3807954.7981199999</v>
      </c>
      <c r="L75" s="129"/>
      <c r="M75" s="17">
        <f>SUM(M71:M74)</f>
        <v>3807718.8539200001</v>
      </c>
      <c r="N75" s="17">
        <f>SUM(N71:N74)</f>
        <v>122737.57580000043</v>
      </c>
      <c r="O75" s="130">
        <f t="shared" ref="O75" si="96">N75/I75</f>
        <v>3.3307516792220604E-2</v>
      </c>
      <c r="P75" s="130">
        <f>SUM(P71:P74)</f>
        <v>1</v>
      </c>
      <c r="Q75" s="132">
        <f t="shared" ref="Q75" si="97">P75-J75</f>
        <v>0</v>
      </c>
      <c r="R75" s="133">
        <f>M75-K75</f>
        <v>-235.94419999979436</v>
      </c>
      <c r="S75" s="105">
        <f>K75/I75</f>
        <v>1.0333715453943197</v>
      </c>
    </row>
    <row r="76" spans="1:25" x14ac:dyDescent="0.25">
      <c r="A76" s="32">
        <f t="shared" ref="A76:A139" si="98">A75+1</f>
        <v>70</v>
      </c>
      <c r="C76" s="27"/>
      <c r="D76" s="2" t="s">
        <v>29</v>
      </c>
      <c r="G76" s="125">
        <v>-152364.72</v>
      </c>
      <c r="I76" s="134">
        <f>G76+(0.00157*(E74))</f>
        <v>-76639.071710000004</v>
      </c>
      <c r="K76" s="134"/>
      <c r="M76" s="125">
        <f>I76</f>
        <v>-76639.071710000004</v>
      </c>
      <c r="N76" s="125">
        <f t="shared" ref="N76:N78" si="99">M76-I76</f>
        <v>0</v>
      </c>
      <c r="O76" s="113">
        <v>0</v>
      </c>
    </row>
    <row r="77" spans="1:25" x14ac:dyDescent="0.25">
      <c r="A77" s="32">
        <f t="shared" si="98"/>
        <v>71</v>
      </c>
      <c r="D77" s="2" t="s">
        <v>30</v>
      </c>
      <c r="G77" s="125">
        <v>227197.31</v>
      </c>
      <c r="I77" s="134">
        <f t="shared" ref="I77:I79" si="100">G77</f>
        <v>227197.31</v>
      </c>
      <c r="M77" s="125">
        <f t="shared" ref="M77:M79" si="101">I77</f>
        <v>227197.31</v>
      </c>
      <c r="N77" s="125">
        <f t="shared" si="99"/>
        <v>0</v>
      </c>
      <c r="O77" s="113">
        <v>0</v>
      </c>
    </row>
    <row r="78" spans="1:25" x14ac:dyDescent="0.25">
      <c r="A78" s="32">
        <f t="shared" si="98"/>
        <v>72</v>
      </c>
      <c r="D78" s="2" t="s">
        <v>32</v>
      </c>
      <c r="G78" s="125">
        <v>0</v>
      </c>
      <c r="I78" s="134">
        <f t="shared" si="100"/>
        <v>0</v>
      </c>
      <c r="M78" s="125">
        <f t="shared" si="101"/>
        <v>0</v>
      </c>
      <c r="N78" s="125">
        <f t="shared" si="99"/>
        <v>0</v>
      </c>
      <c r="O78" s="113">
        <v>0</v>
      </c>
    </row>
    <row r="79" spans="1:25" x14ac:dyDescent="0.25">
      <c r="A79" s="32">
        <f t="shared" si="98"/>
        <v>73</v>
      </c>
      <c r="D79" s="2" t="s">
        <v>41</v>
      </c>
      <c r="G79" s="125">
        <v>0</v>
      </c>
      <c r="I79" s="134">
        <f t="shared" si="100"/>
        <v>0</v>
      </c>
      <c r="M79" s="125">
        <f t="shared" si="101"/>
        <v>0</v>
      </c>
      <c r="N79" s="125"/>
      <c r="O79" s="113"/>
    </row>
    <row r="80" spans="1:25" x14ac:dyDescent="0.25">
      <c r="A80" s="32">
        <f t="shared" si="98"/>
        <v>74</v>
      </c>
      <c r="D80" s="12" t="s">
        <v>8</v>
      </c>
      <c r="E80" s="136"/>
      <c r="F80" s="136"/>
      <c r="G80" s="137">
        <f>SUM(G76:G79)</f>
        <v>74832.59</v>
      </c>
      <c r="H80" s="136"/>
      <c r="I80" s="137">
        <f>SUM(I76:I79)</f>
        <v>150558.23829000001</v>
      </c>
      <c r="J80" s="136"/>
      <c r="K80" s="136"/>
      <c r="L80" s="136"/>
      <c r="M80" s="137">
        <f>SUM(M76:M79)</f>
        <v>150558.23829000001</v>
      </c>
      <c r="N80" s="137">
        <f t="shared" ref="N80:N82" si="102">M80-I80</f>
        <v>0</v>
      </c>
      <c r="O80" s="138">
        <f t="shared" ref="O80" si="103">N80-J80</f>
        <v>0</v>
      </c>
    </row>
    <row r="81" spans="1:20" s="5" customFormat="1" ht="26.4" customHeight="1" thickBot="1" x14ac:dyDescent="0.3">
      <c r="A81" s="32">
        <f t="shared" si="98"/>
        <v>75</v>
      </c>
      <c r="C81" s="14"/>
      <c r="D81" s="6" t="s">
        <v>19</v>
      </c>
      <c r="E81" s="139"/>
      <c r="F81" s="139"/>
      <c r="G81" s="140">
        <f>G75+G80</f>
        <v>3835539.5164099997</v>
      </c>
      <c r="H81" s="139"/>
      <c r="I81" s="141">
        <f>I80+I75</f>
        <v>3835539.5164099997</v>
      </c>
      <c r="J81" s="139"/>
      <c r="K81" s="139"/>
      <c r="L81" s="139"/>
      <c r="M81" s="140">
        <f>M80+M75</f>
        <v>3958277.0922100004</v>
      </c>
      <c r="N81" s="140">
        <f t="shared" si="102"/>
        <v>122737.57580000069</v>
      </c>
      <c r="O81" s="142">
        <f>N81/I81</f>
        <v>3.2000081155435726E-2</v>
      </c>
      <c r="P81" s="112"/>
      <c r="Q81" s="112"/>
      <c r="R81" s="112"/>
      <c r="S81" s="105"/>
    </row>
    <row r="82" spans="1:20" ht="13.8" thickTop="1" x14ac:dyDescent="0.25">
      <c r="A82" s="32">
        <f t="shared" si="98"/>
        <v>76</v>
      </c>
      <c r="D82" s="2" t="s">
        <v>18</v>
      </c>
      <c r="E82" s="113">
        <f>E74/E71</f>
        <v>4019408.0833333335</v>
      </c>
      <c r="G82" s="143">
        <f>G81/E71</f>
        <v>319628.29303416662</v>
      </c>
      <c r="I82" s="143">
        <f>I81/E71</f>
        <v>319628.29303416662</v>
      </c>
      <c r="M82" s="143">
        <f>M81/E71</f>
        <v>329856.42435083335</v>
      </c>
      <c r="N82" s="143">
        <f t="shared" si="102"/>
        <v>10228.131316666724</v>
      </c>
      <c r="O82" s="126">
        <f>N82/I82</f>
        <v>3.2000081155435726E-2</v>
      </c>
    </row>
    <row r="83" spans="1:20" ht="13.8" thickBot="1" x14ac:dyDescent="0.3">
      <c r="A83" s="32">
        <f t="shared" si="98"/>
        <v>77</v>
      </c>
    </row>
    <row r="84" spans="1:20" x14ac:dyDescent="0.25">
      <c r="A84" s="32">
        <f t="shared" si="98"/>
        <v>78</v>
      </c>
      <c r="B84" s="22" t="s">
        <v>82</v>
      </c>
      <c r="C84" s="23">
        <v>3</v>
      </c>
      <c r="D84" s="22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</row>
    <row r="85" spans="1:20" x14ac:dyDescent="0.25">
      <c r="A85" s="32">
        <f t="shared" si="98"/>
        <v>79</v>
      </c>
      <c r="B85" s="29"/>
      <c r="C85" s="26"/>
      <c r="D85" s="2" t="s">
        <v>70</v>
      </c>
      <c r="E85" s="124">
        <v>22664</v>
      </c>
      <c r="F85" s="113">
        <v>10.07</v>
      </c>
      <c r="G85" s="125">
        <f t="shared" ref="G85" si="104">F85*E85</f>
        <v>228226.48</v>
      </c>
      <c r="H85" s="113">
        <v>10.01</v>
      </c>
      <c r="I85" s="125">
        <f t="shared" ref="I85" si="105">H85*E85</f>
        <v>226866.63999999998</v>
      </c>
      <c r="J85" s="126">
        <f t="shared" ref="J85:J93" si="106">I85/I$94</f>
        <v>0.39040569012631715</v>
      </c>
      <c r="K85" s="126"/>
      <c r="L85" s="113">
        <f t="shared" ref="L85:L93" si="107">ROUND(H85*S$94,2)</f>
        <v>10.34</v>
      </c>
      <c r="M85" s="125">
        <f t="shared" ref="M85" si="108">L85*E85</f>
        <v>234345.76</v>
      </c>
      <c r="N85" s="125">
        <f t="shared" ref="N85" si="109">M85-I85</f>
        <v>7479.1200000000244</v>
      </c>
      <c r="O85" s="126">
        <f t="shared" ref="O85" si="110">IF(I85=0,0,N85/I85)</f>
        <v>3.2967032967033079E-2</v>
      </c>
      <c r="P85" s="126">
        <f t="shared" ref="P85:P93" si="111">M85/M$94</f>
        <v>0.39028010911053662</v>
      </c>
      <c r="Q85" s="127">
        <f t="shared" ref="Q85" si="112">P85-J85</f>
        <v>-1.2558101578052927E-4</v>
      </c>
      <c r="R85" s="127"/>
      <c r="T85" s="4">
        <f>L85/H85-1</f>
        <v>3.2967032967033072E-2</v>
      </c>
    </row>
    <row r="86" spans="1:20" x14ac:dyDescent="0.25">
      <c r="A86" s="32">
        <f t="shared" si="98"/>
        <v>80</v>
      </c>
      <c r="B86" s="29"/>
      <c r="C86" s="26"/>
      <c r="D86" s="2" t="s">
        <v>71</v>
      </c>
      <c r="E86" s="124">
        <v>2295</v>
      </c>
      <c r="F86" s="113">
        <v>13.59</v>
      </c>
      <c r="G86" s="125">
        <f t="shared" ref="G86:G89" si="113">F86*E86</f>
        <v>31189.05</v>
      </c>
      <c r="H86" s="113">
        <v>14.64</v>
      </c>
      <c r="I86" s="125">
        <f t="shared" ref="I86:I89" si="114">H86*E86</f>
        <v>33598.800000000003</v>
      </c>
      <c r="J86" s="126">
        <f t="shared" si="106"/>
        <v>5.7818825638781032E-2</v>
      </c>
      <c r="K86" s="126"/>
      <c r="L86" s="113">
        <f t="shared" si="107"/>
        <v>15.13</v>
      </c>
      <c r="M86" s="125">
        <f t="shared" ref="M86:M89" si="115">L86*E86</f>
        <v>34723.35</v>
      </c>
      <c r="N86" s="125">
        <f t="shared" ref="N86:N89" si="116">M86-I86</f>
        <v>1124.5499999999956</v>
      </c>
      <c r="O86" s="126">
        <f t="shared" ref="O86:O89" si="117">IF(I86=0,0,N86/I86)</f>
        <v>3.3469945355191127E-2</v>
      </c>
      <c r="P86" s="126">
        <f t="shared" si="111"/>
        <v>5.7828367906820034E-2</v>
      </c>
      <c r="Q86" s="127">
        <f t="shared" ref="Q86:Q89" si="118">P86-J86</f>
        <v>9.5422680390019887E-6</v>
      </c>
      <c r="R86" s="127"/>
      <c r="T86" s="4">
        <f t="shared" ref="T86:T93" si="119">L86/H86-1</f>
        <v>3.3469945355191211E-2</v>
      </c>
    </row>
    <row r="87" spans="1:20" x14ac:dyDescent="0.25">
      <c r="A87" s="32">
        <f t="shared" si="98"/>
        <v>81</v>
      </c>
      <c r="B87" s="29"/>
      <c r="C87" s="26"/>
      <c r="D87" s="2" t="s">
        <v>72</v>
      </c>
      <c r="E87" s="124">
        <v>894</v>
      </c>
      <c r="F87" s="113">
        <v>20.34</v>
      </c>
      <c r="G87" s="125">
        <f t="shared" si="113"/>
        <v>18183.96</v>
      </c>
      <c r="H87" s="113">
        <v>13.53</v>
      </c>
      <c r="I87" s="125">
        <f t="shared" si="114"/>
        <v>12095.82</v>
      </c>
      <c r="J87" s="126">
        <f t="shared" si="106"/>
        <v>2.0815210886641199E-2</v>
      </c>
      <c r="K87" s="126"/>
      <c r="L87" s="113">
        <f t="shared" si="107"/>
        <v>13.98</v>
      </c>
      <c r="M87" s="125">
        <f t="shared" si="115"/>
        <v>12498.12</v>
      </c>
      <c r="N87" s="125">
        <f t="shared" si="116"/>
        <v>402.30000000000109</v>
      </c>
      <c r="O87" s="126">
        <f t="shared" si="117"/>
        <v>3.325942350332603E-2</v>
      </c>
      <c r="P87" s="126">
        <f t="shared" si="111"/>
        <v>2.0814405335417972E-2</v>
      </c>
      <c r="Q87" s="127">
        <f t="shared" si="118"/>
        <v>-8.0555122322634176E-7</v>
      </c>
      <c r="R87" s="127"/>
      <c r="T87" s="4">
        <f t="shared" si="119"/>
        <v>3.3259423503326113E-2</v>
      </c>
    </row>
    <row r="88" spans="1:20" x14ac:dyDescent="0.25">
      <c r="A88" s="32">
        <f t="shared" si="98"/>
        <v>82</v>
      </c>
      <c r="B88" s="29"/>
      <c r="C88" s="26"/>
      <c r="D88" s="2" t="s">
        <v>73</v>
      </c>
      <c r="E88" s="124">
        <v>920</v>
      </c>
      <c r="F88" s="113">
        <v>14.78</v>
      </c>
      <c r="G88" s="125">
        <f t="shared" si="113"/>
        <v>13597.599999999999</v>
      </c>
      <c r="H88" s="113">
        <v>20.09</v>
      </c>
      <c r="I88" s="125">
        <f t="shared" si="114"/>
        <v>18482.8</v>
      </c>
      <c r="J88" s="126">
        <f t="shared" si="106"/>
        <v>3.1806308276380757E-2</v>
      </c>
      <c r="K88" s="126"/>
      <c r="L88" s="113">
        <f t="shared" si="107"/>
        <v>20.76</v>
      </c>
      <c r="M88" s="125">
        <f t="shared" si="115"/>
        <v>19099.2</v>
      </c>
      <c r="N88" s="125">
        <f t="shared" si="116"/>
        <v>616.40000000000146</v>
      </c>
      <c r="O88" s="126">
        <f t="shared" si="117"/>
        <v>3.3349925335988136E-2</v>
      </c>
      <c r="P88" s="126">
        <f t="shared" si="111"/>
        <v>3.1807863133192428E-2</v>
      </c>
      <c r="Q88" s="127">
        <f t="shared" si="118"/>
        <v>1.554856811671057E-6</v>
      </c>
      <c r="R88" s="127"/>
      <c r="T88" s="4">
        <f t="shared" si="119"/>
        <v>3.3349925335988129E-2</v>
      </c>
    </row>
    <row r="89" spans="1:20" x14ac:dyDescent="0.25">
      <c r="A89" s="32">
        <f t="shared" si="98"/>
        <v>83</v>
      </c>
      <c r="B89" s="29"/>
      <c r="C89" s="26"/>
      <c r="D89" s="2" t="s">
        <v>74</v>
      </c>
      <c r="E89" s="124">
        <v>132</v>
      </c>
      <c r="F89" s="113">
        <v>16.22</v>
      </c>
      <c r="G89" s="125">
        <f t="shared" si="113"/>
        <v>2141.04</v>
      </c>
      <c r="H89" s="113">
        <v>16.13</v>
      </c>
      <c r="I89" s="125">
        <f t="shared" si="114"/>
        <v>2129.16</v>
      </c>
      <c r="J89" s="126">
        <f t="shared" si="106"/>
        <v>3.663985939886752E-3</v>
      </c>
      <c r="K89" s="126"/>
      <c r="L89" s="113">
        <f t="shared" si="107"/>
        <v>16.670000000000002</v>
      </c>
      <c r="M89" s="125">
        <f t="shared" si="115"/>
        <v>2200.44</v>
      </c>
      <c r="N89" s="125">
        <f t="shared" si="116"/>
        <v>71.2800000000002</v>
      </c>
      <c r="O89" s="126">
        <f t="shared" si="117"/>
        <v>3.3477991320520865E-2</v>
      </c>
      <c r="P89" s="126">
        <f t="shared" si="111"/>
        <v>3.6646191648237593E-3</v>
      </c>
      <c r="Q89" s="127">
        <f t="shared" si="118"/>
        <v>6.3322493700727206E-7</v>
      </c>
      <c r="R89" s="127"/>
      <c r="T89" s="4">
        <f t="shared" si="119"/>
        <v>3.3477991320520983E-2</v>
      </c>
    </row>
    <row r="90" spans="1:20" x14ac:dyDescent="0.25">
      <c r="A90" s="32">
        <f t="shared" si="98"/>
        <v>84</v>
      </c>
      <c r="B90" s="29"/>
      <c r="C90" s="26"/>
      <c r="D90" s="2" t="s">
        <v>75</v>
      </c>
      <c r="E90" s="124">
        <v>17983</v>
      </c>
      <c r="F90" s="113">
        <v>10.76</v>
      </c>
      <c r="G90" s="125">
        <f t="shared" ref="G90:G93" si="120">F90*E90</f>
        <v>193497.08</v>
      </c>
      <c r="H90" s="113">
        <v>10.72</v>
      </c>
      <c r="I90" s="125">
        <f t="shared" ref="I90:I93" si="121">H90*E90</f>
        <v>192777.76</v>
      </c>
      <c r="J90" s="126">
        <f t="shared" si="106"/>
        <v>0.33174350549646936</v>
      </c>
      <c r="K90" s="126"/>
      <c r="L90" s="113">
        <f t="shared" si="107"/>
        <v>11.08</v>
      </c>
      <c r="M90" s="125">
        <f t="shared" ref="M90:M93" si="122">L90*E90</f>
        <v>199251.64</v>
      </c>
      <c r="N90" s="125">
        <f t="shared" ref="N90:N93" si="123">M90-I90</f>
        <v>6473.8800000000047</v>
      </c>
      <c r="O90" s="126">
        <f t="shared" ref="O90:O93" si="124">IF(I90=0,0,N90/I90)</f>
        <v>3.3582089552238827E-2</v>
      </c>
      <c r="P90" s="126">
        <f t="shared" si="111"/>
        <v>0.33183425976921177</v>
      </c>
      <c r="Q90" s="127">
        <f t="shared" ref="Q90:Q93" si="125">P90-J90</f>
        <v>9.0754272742410436E-5</v>
      </c>
      <c r="R90" s="127"/>
      <c r="T90" s="4">
        <f t="shared" si="119"/>
        <v>3.3582089552238736E-2</v>
      </c>
    </row>
    <row r="91" spans="1:20" x14ac:dyDescent="0.25">
      <c r="A91" s="32">
        <f t="shared" si="98"/>
        <v>85</v>
      </c>
      <c r="B91" s="29"/>
      <c r="C91" s="26"/>
      <c r="D91" s="2" t="s">
        <v>76</v>
      </c>
      <c r="E91" s="124">
        <v>1913</v>
      </c>
      <c r="F91" s="113">
        <v>13.4</v>
      </c>
      <c r="G91" s="125">
        <f t="shared" si="120"/>
        <v>25634.2</v>
      </c>
      <c r="H91" s="113">
        <v>13.36</v>
      </c>
      <c r="I91" s="125">
        <f t="shared" si="121"/>
        <v>25557.68</v>
      </c>
      <c r="J91" s="126">
        <f t="shared" si="106"/>
        <v>4.3981185151010183E-2</v>
      </c>
      <c r="K91" s="126"/>
      <c r="L91" s="113">
        <f t="shared" si="107"/>
        <v>13.81</v>
      </c>
      <c r="M91" s="125">
        <f t="shared" si="122"/>
        <v>26418.530000000002</v>
      </c>
      <c r="N91" s="125">
        <f t="shared" si="123"/>
        <v>860.85000000000218</v>
      </c>
      <c r="O91" s="126">
        <f t="shared" si="124"/>
        <v>3.3682634730539007E-2</v>
      </c>
      <c r="P91" s="126">
        <f t="shared" si="111"/>
        <v>4.3997496566355564E-2</v>
      </c>
      <c r="Q91" s="127">
        <f t="shared" si="125"/>
        <v>1.6311415345381108E-5</v>
      </c>
      <c r="R91" s="127"/>
      <c r="T91" s="4">
        <f t="shared" si="119"/>
        <v>3.3682634730539007E-2</v>
      </c>
    </row>
    <row r="92" spans="1:20" x14ac:dyDescent="0.25">
      <c r="A92" s="32">
        <f t="shared" si="98"/>
        <v>86</v>
      </c>
      <c r="B92" s="29"/>
      <c r="C92" s="26"/>
      <c r="D92" s="2" t="s">
        <v>77</v>
      </c>
      <c r="E92" s="124">
        <v>1447</v>
      </c>
      <c r="F92" s="113">
        <v>14.63</v>
      </c>
      <c r="G92" s="125">
        <f t="shared" si="120"/>
        <v>21169.61</v>
      </c>
      <c r="H92" s="113">
        <v>14.57</v>
      </c>
      <c r="I92" s="125">
        <f t="shared" si="121"/>
        <v>21082.79</v>
      </c>
      <c r="J92" s="126">
        <f t="shared" si="106"/>
        <v>3.6280526655387578E-2</v>
      </c>
      <c r="K92" s="126"/>
      <c r="L92" s="113">
        <f t="shared" si="107"/>
        <v>15.06</v>
      </c>
      <c r="M92" s="125">
        <f t="shared" si="122"/>
        <v>21791.82</v>
      </c>
      <c r="N92" s="125">
        <f t="shared" si="123"/>
        <v>709.02999999999884</v>
      </c>
      <c r="O92" s="126">
        <f t="shared" si="124"/>
        <v>3.3630748112559998E-2</v>
      </c>
      <c r="P92" s="126">
        <f t="shared" si="111"/>
        <v>3.6292160299026419E-2</v>
      </c>
      <c r="Q92" s="127">
        <f t="shared" si="125"/>
        <v>1.1633643638840618E-5</v>
      </c>
      <c r="R92" s="127"/>
      <c r="T92" s="4">
        <f t="shared" si="119"/>
        <v>3.3630748112560171E-2</v>
      </c>
    </row>
    <row r="93" spans="1:20" x14ac:dyDescent="0.25">
      <c r="A93" s="32">
        <f t="shared" si="98"/>
        <v>87</v>
      </c>
      <c r="B93" s="29"/>
      <c r="C93" s="26"/>
      <c r="D93" s="2" t="s">
        <v>78</v>
      </c>
      <c r="E93" s="124">
        <v>2444</v>
      </c>
      <c r="F93" s="113">
        <v>19.96</v>
      </c>
      <c r="G93" s="125">
        <f t="shared" si="120"/>
        <v>48782.240000000005</v>
      </c>
      <c r="H93" s="113">
        <v>19.850000000000001</v>
      </c>
      <c r="I93" s="125">
        <f t="shared" si="121"/>
        <v>48513.4</v>
      </c>
      <c r="J93" s="126">
        <f t="shared" si="106"/>
        <v>8.3484761829126022E-2</v>
      </c>
      <c r="K93" s="126"/>
      <c r="L93" s="113">
        <f t="shared" si="107"/>
        <v>20.51</v>
      </c>
      <c r="M93" s="125">
        <f t="shared" si="122"/>
        <v>50126.44</v>
      </c>
      <c r="N93" s="125">
        <f t="shared" si="123"/>
        <v>1613.0400000000009</v>
      </c>
      <c r="O93" s="126">
        <f t="shared" si="124"/>
        <v>3.3249370277078104E-2</v>
      </c>
      <c r="P93" s="126">
        <f t="shared" si="111"/>
        <v>8.348071871461539E-2</v>
      </c>
      <c r="Q93" s="127">
        <f t="shared" si="125"/>
        <v>-4.0431145106323285E-6</v>
      </c>
      <c r="R93" s="127"/>
      <c r="T93" s="4">
        <f t="shared" si="119"/>
        <v>3.3249370277078194E-2</v>
      </c>
    </row>
    <row r="94" spans="1:20" s="5" customFormat="1" ht="24.6" customHeight="1" x14ac:dyDescent="0.3">
      <c r="A94" s="32">
        <f t="shared" si="98"/>
        <v>88</v>
      </c>
      <c r="C94" s="14"/>
      <c r="D94" s="16" t="s">
        <v>6</v>
      </c>
      <c r="E94" s="129"/>
      <c r="F94" s="129"/>
      <c r="G94" s="17">
        <f>SUM(G85:G93)</f>
        <v>582421.26</v>
      </c>
      <c r="H94" s="129"/>
      <c r="I94" s="17">
        <f>SUM(I85:I93)</f>
        <v>581104.85</v>
      </c>
      <c r="J94" s="130">
        <f>SUM(J85:J93)</f>
        <v>0.99999999999999989</v>
      </c>
      <c r="K94" s="131">
        <f>I94+Summary!I14</f>
        <v>600497.22</v>
      </c>
      <c r="L94" s="129"/>
      <c r="M94" s="17">
        <f>SUM(M85:M93)</f>
        <v>600455.30000000005</v>
      </c>
      <c r="N94" s="17">
        <f>SUM(N85:N93)</f>
        <v>19350.45000000003</v>
      </c>
      <c r="O94" s="130">
        <f t="shared" ref="O94" si="126">N94/I94</f>
        <v>3.3299412317759923E-2</v>
      </c>
      <c r="P94" s="130">
        <f>SUM(P85:P93)</f>
        <v>0.99999999999999989</v>
      </c>
      <c r="Q94" s="132">
        <f t="shared" ref="Q94" si="127">P94-J94</f>
        <v>0</v>
      </c>
      <c r="R94" s="133">
        <f>M94-K94</f>
        <v>-41.919999999925494</v>
      </c>
      <c r="S94" s="105">
        <f>K94/I94</f>
        <v>1.0333715507623107</v>
      </c>
    </row>
    <row r="95" spans="1:20" x14ac:dyDescent="0.25">
      <c r="A95" s="32">
        <f t="shared" si="98"/>
        <v>89</v>
      </c>
      <c r="D95" s="2" t="s">
        <v>29</v>
      </c>
      <c r="G95" s="125">
        <v>236</v>
      </c>
      <c r="I95" s="134">
        <f>G95</f>
        <v>236</v>
      </c>
      <c r="K95" s="134"/>
      <c r="M95" s="125">
        <f>I95</f>
        <v>236</v>
      </c>
      <c r="N95" s="125">
        <f>M95-I95</f>
        <v>0</v>
      </c>
      <c r="O95" s="113">
        <v>0</v>
      </c>
    </row>
    <row r="96" spans="1:20" x14ac:dyDescent="0.25">
      <c r="A96" s="32">
        <f t="shared" si="98"/>
        <v>90</v>
      </c>
      <c r="D96" s="2" t="s">
        <v>30</v>
      </c>
      <c r="G96" s="125">
        <v>2135</v>
      </c>
      <c r="I96" s="134">
        <f>G96</f>
        <v>2135</v>
      </c>
      <c r="M96" s="125">
        <f t="shared" ref="M96:M97" si="128">I96</f>
        <v>2135</v>
      </c>
      <c r="N96" s="125">
        <f>M96-I96</f>
        <v>0</v>
      </c>
      <c r="O96" s="113">
        <v>0</v>
      </c>
    </row>
    <row r="97" spans="1:25" x14ac:dyDescent="0.25">
      <c r="A97" s="32">
        <f t="shared" si="98"/>
        <v>91</v>
      </c>
      <c r="D97" s="2" t="s">
        <v>32</v>
      </c>
      <c r="G97" s="125">
        <v>0</v>
      </c>
      <c r="I97" s="134">
        <v>0</v>
      </c>
      <c r="M97" s="125">
        <f t="shared" si="128"/>
        <v>0</v>
      </c>
      <c r="N97" s="125">
        <f>M97-I97</f>
        <v>0</v>
      </c>
      <c r="O97" s="113">
        <v>0</v>
      </c>
    </row>
    <row r="98" spans="1:25" x14ac:dyDescent="0.25">
      <c r="A98" s="32">
        <f t="shared" si="98"/>
        <v>92</v>
      </c>
      <c r="D98" s="2" t="s">
        <v>41</v>
      </c>
      <c r="G98" s="125"/>
      <c r="I98" s="134"/>
      <c r="M98" s="125"/>
      <c r="N98" s="125"/>
      <c r="O98" s="113"/>
    </row>
    <row r="99" spans="1:25" x14ac:dyDescent="0.25">
      <c r="A99" s="32">
        <f t="shared" si="98"/>
        <v>93</v>
      </c>
      <c r="D99" s="12" t="s">
        <v>8</v>
      </c>
      <c r="E99" s="136"/>
      <c r="F99" s="136"/>
      <c r="G99" s="137">
        <f>SUM(G95:G97)</f>
        <v>2371</v>
      </c>
      <c r="H99" s="136"/>
      <c r="I99" s="137">
        <f>SUM(I95:I97)</f>
        <v>2371</v>
      </c>
      <c r="J99" s="136"/>
      <c r="K99" s="136"/>
      <c r="L99" s="136"/>
      <c r="M99" s="137">
        <f>SUM(M95:M97)</f>
        <v>2371</v>
      </c>
      <c r="N99" s="137">
        <f>M99-I99</f>
        <v>0</v>
      </c>
      <c r="O99" s="138">
        <f>N99-J99</f>
        <v>0</v>
      </c>
    </row>
    <row r="100" spans="1:25" s="5" customFormat="1" ht="26.4" customHeight="1" thickBot="1" x14ac:dyDescent="0.3">
      <c r="A100" s="32">
        <f t="shared" si="98"/>
        <v>94</v>
      </c>
      <c r="C100" s="14"/>
      <c r="D100" s="6" t="s">
        <v>19</v>
      </c>
      <c r="E100" s="139"/>
      <c r="F100" s="139"/>
      <c r="G100" s="140">
        <f>G94+G99</f>
        <v>584792.26</v>
      </c>
      <c r="H100" s="139"/>
      <c r="I100" s="141">
        <f>I99+I94</f>
        <v>583475.85</v>
      </c>
      <c r="J100" s="139"/>
      <c r="K100" s="139"/>
      <c r="L100" s="139"/>
      <c r="M100" s="140">
        <f>M99+M94</f>
        <v>602826.30000000005</v>
      </c>
      <c r="N100" s="140">
        <f>M100-I100</f>
        <v>19350.45000000007</v>
      </c>
      <c r="O100" s="142">
        <f>N100/I100</f>
        <v>3.3164097537198962E-2</v>
      </c>
      <c r="P100" s="112"/>
      <c r="Q100" s="112"/>
      <c r="R100" s="112"/>
      <c r="S100" s="105"/>
    </row>
    <row r="101" spans="1:25" ht="13.8" thickTop="1" x14ac:dyDescent="0.25">
      <c r="A101" s="32">
        <f t="shared" si="98"/>
        <v>95</v>
      </c>
      <c r="E101" s="145"/>
      <c r="G101" s="143"/>
      <c r="I101" s="143"/>
      <c r="M101" s="143"/>
      <c r="N101" s="143"/>
      <c r="O101" s="126"/>
      <c r="X101" s="5"/>
      <c r="Y101" s="5"/>
    </row>
    <row r="102" spans="1:25" x14ac:dyDescent="0.25">
      <c r="A102" s="32">
        <f t="shared" si="98"/>
        <v>96</v>
      </c>
      <c r="B102" s="18"/>
      <c r="C102" s="19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</row>
    <row r="103" spans="1:25" x14ac:dyDescent="0.25">
      <c r="A103" s="32">
        <f t="shared" si="98"/>
        <v>97</v>
      </c>
    </row>
    <row r="104" spans="1:25" s="5" customFormat="1" ht="19.95" customHeight="1" x14ac:dyDescent="0.3">
      <c r="A104" s="32">
        <f t="shared" si="98"/>
        <v>98</v>
      </c>
      <c r="B104" s="5" t="s">
        <v>31</v>
      </c>
      <c r="C104" s="33"/>
      <c r="D104" s="16" t="s">
        <v>6</v>
      </c>
      <c r="E104" s="129"/>
      <c r="F104" s="129"/>
      <c r="G104" s="146">
        <f t="shared" ref="G104:G109" si="129">G10+G21+G34+G47+G61+G94+G75</f>
        <v>44047044.337689996</v>
      </c>
      <c r="H104" s="146"/>
      <c r="I104" s="146">
        <f t="shared" ref="I104:I109" si="130">I10+I21+I34+I47+I61+I94+I75</f>
        <v>43263804.890620008</v>
      </c>
      <c r="J104" s="129"/>
      <c r="K104" s="129"/>
      <c r="L104" s="129"/>
      <c r="M104" s="146">
        <f t="shared" ref="M104:N109" si="131">M10+M21+M34+M47+M61+M94+M75</f>
        <v>44707857.927239999</v>
      </c>
      <c r="N104" s="146">
        <f t="shared" si="131"/>
        <v>1444053.0366199994</v>
      </c>
      <c r="O104" s="130">
        <f>N104/I104</f>
        <v>3.3377855698796463E-2</v>
      </c>
      <c r="P104" s="147"/>
      <c r="Q104" s="147"/>
      <c r="R104" s="147"/>
      <c r="S104" s="105"/>
    </row>
    <row r="105" spans="1:25" x14ac:dyDescent="0.25">
      <c r="A105" s="32">
        <f t="shared" si="98"/>
        <v>99</v>
      </c>
      <c r="C105" s="27"/>
      <c r="D105" s="2" t="s">
        <v>29</v>
      </c>
      <c r="G105" s="134">
        <f t="shared" si="129"/>
        <v>-1482022.18</v>
      </c>
      <c r="H105" s="134"/>
      <c r="I105" s="134">
        <f t="shared" si="130"/>
        <v>-700099.14292999997</v>
      </c>
      <c r="M105" s="134">
        <f t="shared" si="131"/>
        <v>-700099.14292999997</v>
      </c>
      <c r="N105" s="134">
        <f t="shared" si="131"/>
        <v>0</v>
      </c>
    </row>
    <row r="106" spans="1:25" x14ac:dyDescent="0.25">
      <c r="A106" s="32">
        <f t="shared" si="98"/>
        <v>100</v>
      </c>
      <c r="C106" s="27"/>
      <c r="D106" s="2" t="s">
        <v>30</v>
      </c>
      <c r="G106" s="134">
        <f t="shared" si="129"/>
        <v>3567579.77</v>
      </c>
      <c r="H106" s="134"/>
      <c r="I106" s="134">
        <f t="shared" si="130"/>
        <v>3567579.77</v>
      </c>
      <c r="M106" s="134">
        <f t="shared" si="131"/>
        <v>3567579.77</v>
      </c>
      <c r="N106" s="134">
        <f t="shared" si="131"/>
        <v>0</v>
      </c>
    </row>
    <row r="107" spans="1:25" x14ac:dyDescent="0.25">
      <c r="A107" s="32">
        <f t="shared" si="98"/>
        <v>101</v>
      </c>
      <c r="C107" s="27"/>
      <c r="D107" s="2" t="s">
        <v>32</v>
      </c>
      <c r="G107" s="134">
        <f t="shared" si="129"/>
        <v>967.25</v>
      </c>
      <c r="H107" s="134"/>
      <c r="I107" s="134">
        <f t="shared" si="130"/>
        <v>967.25</v>
      </c>
      <c r="M107" s="134">
        <f t="shared" si="131"/>
        <v>967.25</v>
      </c>
      <c r="N107" s="134">
        <f t="shared" si="131"/>
        <v>0</v>
      </c>
    </row>
    <row r="108" spans="1:25" x14ac:dyDescent="0.25">
      <c r="A108" s="32">
        <f t="shared" si="98"/>
        <v>102</v>
      </c>
      <c r="C108" s="27"/>
      <c r="D108" s="2" t="s">
        <v>41</v>
      </c>
      <c r="G108" s="134">
        <f t="shared" si="129"/>
        <v>0</v>
      </c>
      <c r="I108" s="134">
        <f t="shared" si="130"/>
        <v>0</v>
      </c>
      <c r="M108" s="134">
        <f t="shared" si="131"/>
        <v>0</v>
      </c>
      <c r="N108" s="134">
        <f t="shared" si="131"/>
        <v>0</v>
      </c>
      <c r="O108" s="113"/>
    </row>
    <row r="109" spans="1:25" x14ac:dyDescent="0.25">
      <c r="A109" s="32">
        <f t="shared" si="98"/>
        <v>103</v>
      </c>
      <c r="C109" s="27"/>
      <c r="D109" s="12" t="s">
        <v>8</v>
      </c>
      <c r="E109" s="136"/>
      <c r="F109" s="136"/>
      <c r="G109" s="148">
        <f t="shared" si="129"/>
        <v>2086524.84</v>
      </c>
      <c r="H109" s="148"/>
      <c r="I109" s="148">
        <f t="shared" si="130"/>
        <v>2868447.8770700004</v>
      </c>
      <c r="J109" s="136"/>
      <c r="K109" s="136"/>
      <c r="L109" s="136"/>
      <c r="M109" s="148">
        <f t="shared" si="131"/>
        <v>2868447.8770700004</v>
      </c>
      <c r="N109" s="148">
        <f t="shared" si="131"/>
        <v>0</v>
      </c>
      <c r="O109" s="136"/>
    </row>
    <row r="110" spans="1:25" s="5" customFormat="1" ht="21" customHeight="1" thickBot="1" x14ac:dyDescent="0.35">
      <c r="A110" s="32">
        <f t="shared" si="98"/>
        <v>104</v>
      </c>
      <c r="C110" s="33"/>
      <c r="D110" s="6" t="s">
        <v>19</v>
      </c>
      <c r="E110" s="139"/>
      <c r="F110" s="139"/>
      <c r="G110" s="141">
        <f>G109+G104</f>
        <v>46133569.177689999</v>
      </c>
      <c r="H110" s="141"/>
      <c r="I110" s="141">
        <f>I109+I104</f>
        <v>46132252.76769001</v>
      </c>
      <c r="J110" s="139"/>
      <c r="K110" s="139"/>
      <c r="L110" s="139"/>
      <c r="M110" s="141">
        <f>M109+M104</f>
        <v>47576305.804310001</v>
      </c>
      <c r="N110" s="141">
        <f>N109+N104</f>
        <v>1444053.0366199994</v>
      </c>
      <c r="O110" s="142">
        <f>N110/I110</f>
        <v>3.1302460859474475E-2</v>
      </c>
      <c r="P110" s="147"/>
      <c r="Q110" s="147"/>
      <c r="R110" s="147"/>
      <c r="S110" s="105"/>
    </row>
    <row r="111" spans="1:25" ht="13.8" thickTop="1" x14ac:dyDescent="0.25">
      <c r="A111" s="32">
        <f t="shared" si="98"/>
        <v>105</v>
      </c>
      <c r="C111" s="27"/>
    </row>
    <row r="112" spans="1:25" x14ac:dyDescent="0.25">
      <c r="A112" s="32">
        <f t="shared" si="98"/>
        <v>106</v>
      </c>
      <c r="D112" s="2" t="s">
        <v>39</v>
      </c>
      <c r="N112" s="134">
        <f>N110-Summary!L4</f>
        <v>273.03661999944597</v>
      </c>
    </row>
    <row r="113" spans="1:23" x14ac:dyDescent="0.25">
      <c r="A113" s="32">
        <f t="shared" si="98"/>
        <v>107</v>
      </c>
      <c r="B113" s="1" t="s">
        <v>81</v>
      </c>
      <c r="D113" s="18"/>
      <c r="E113" s="150"/>
      <c r="F113" s="150"/>
      <c r="G113" s="150"/>
      <c r="H113" s="150"/>
      <c r="I113" s="150"/>
      <c r="J113" s="150"/>
      <c r="K113" s="150"/>
      <c r="L113" s="150"/>
      <c r="M113" s="150"/>
      <c r="N113" s="151"/>
      <c r="O113" s="150"/>
      <c r="P113" s="150"/>
      <c r="Q113" s="150"/>
      <c r="R113" s="150"/>
    </row>
    <row r="114" spans="1:23" ht="13.8" thickBot="1" x14ac:dyDescent="0.3">
      <c r="A114" s="32">
        <f t="shared" si="98"/>
        <v>108</v>
      </c>
      <c r="D114" s="13"/>
      <c r="E114" s="149"/>
      <c r="F114" s="149"/>
      <c r="G114" s="149"/>
    </row>
    <row r="115" spans="1:23" x14ac:dyDescent="0.25">
      <c r="A115" s="32">
        <f t="shared" si="98"/>
        <v>109</v>
      </c>
      <c r="B115" s="22" t="s">
        <v>88</v>
      </c>
      <c r="C115" s="23">
        <v>22</v>
      </c>
      <c r="D115" s="22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</row>
    <row r="116" spans="1:23" ht="12.6" customHeight="1" x14ac:dyDescent="0.25">
      <c r="A116" s="32">
        <f t="shared" si="98"/>
        <v>110</v>
      </c>
      <c r="D116" s="2" t="s">
        <v>17</v>
      </c>
      <c r="E116" s="124"/>
      <c r="F116" s="113"/>
      <c r="G116" s="125"/>
      <c r="H116" s="113">
        <v>45.92</v>
      </c>
      <c r="I116" s="125"/>
      <c r="J116" s="126"/>
      <c r="K116" s="126"/>
      <c r="L116" s="113">
        <f>H116*S116</f>
        <v>47.452711133688737</v>
      </c>
      <c r="M116" s="125"/>
      <c r="N116" s="125"/>
      <c r="O116" s="126"/>
      <c r="P116" s="126"/>
      <c r="Q116" s="127"/>
      <c r="R116" s="127"/>
      <c r="S116" s="97">
        <f>(1+$O$104)</f>
        <v>1.0333778556987965</v>
      </c>
      <c r="T116" s="4">
        <f t="shared" ref="T116:T120" si="132">L116/H116-1</f>
        <v>3.3377855698796477E-2</v>
      </c>
    </row>
    <row r="117" spans="1:23" x14ac:dyDescent="0.25">
      <c r="A117" s="32">
        <f t="shared" si="98"/>
        <v>111</v>
      </c>
      <c r="D117" s="2" t="s">
        <v>89</v>
      </c>
      <c r="E117" s="124"/>
      <c r="F117" s="128"/>
      <c r="G117" s="125"/>
      <c r="H117" s="128">
        <v>6.9180000000000005E-2</v>
      </c>
      <c r="I117" s="125"/>
      <c r="J117" s="126"/>
      <c r="K117" s="126"/>
      <c r="L117" s="115">
        <f>H117*S117</f>
        <v>7.1489080057242749E-2</v>
      </c>
      <c r="M117" s="125"/>
      <c r="N117" s="125"/>
      <c r="O117" s="126"/>
      <c r="P117" s="126"/>
      <c r="Q117" s="127"/>
      <c r="R117" s="127"/>
      <c r="S117" s="103">
        <f>S116</f>
        <v>1.0333778556987965</v>
      </c>
      <c r="T117" s="4">
        <f t="shared" ref="T117" si="133">L117/H117-1</f>
        <v>3.3377855698796477E-2</v>
      </c>
    </row>
    <row r="118" spans="1:23" x14ac:dyDescent="0.25">
      <c r="A118" s="32">
        <f t="shared" si="98"/>
        <v>112</v>
      </c>
      <c r="D118" s="2" t="s">
        <v>90</v>
      </c>
      <c r="E118" s="124"/>
      <c r="F118" s="128"/>
      <c r="G118" s="125"/>
      <c r="H118" s="128">
        <v>6.2780000000000002E-2</v>
      </c>
      <c r="I118" s="125"/>
      <c r="J118" s="126"/>
      <c r="K118" s="126"/>
      <c r="L118" s="115">
        <f>H118*S118</f>
        <v>6.4875461780770444E-2</v>
      </c>
      <c r="M118" s="125"/>
      <c r="N118" s="125"/>
      <c r="O118" s="126"/>
      <c r="P118" s="126"/>
      <c r="Q118" s="127"/>
      <c r="R118" s="127"/>
      <c r="S118" s="103">
        <f>S117</f>
        <v>1.0333778556987965</v>
      </c>
      <c r="T118" s="4">
        <f t="shared" ref="T118" si="134">L118/H118-1</f>
        <v>3.3377855698796477E-2</v>
      </c>
    </row>
    <row r="119" spans="1:23" x14ac:dyDescent="0.25">
      <c r="A119" s="32">
        <f t="shared" si="98"/>
        <v>113</v>
      </c>
      <c r="D119" s="2" t="s">
        <v>91</v>
      </c>
      <c r="E119" s="124"/>
      <c r="F119" s="128"/>
      <c r="G119" s="125"/>
      <c r="H119" s="128">
        <v>5.6399999999999999E-2</v>
      </c>
      <c r="I119" s="125"/>
      <c r="J119" s="126"/>
      <c r="K119" s="126"/>
      <c r="L119" s="115">
        <f>H119*S119</f>
        <v>5.8282511061412121E-2</v>
      </c>
      <c r="M119" s="125"/>
      <c r="N119" s="125"/>
      <c r="O119" s="126"/>
      <c r="P119" s="126"/>
      <c r="Q119" s="127"/>
      <c r="R119" s="127"/>
      <c r="S119" s="103">
        <f>S118</f>
        <v>1.0333778556987965</v>
      </c>
      <c r="T119" s="4">
        <f t="shared" si="132"/>
        <v>3.3377855698796477E-2</v>
      </c>
    </row>
    <row r="120" spans="1:23" ht="13.8" thickBot="1" x14ac:dyDescent="0.3">
      <c r="A120" s="32">
        <f t="shared" si="98"/>
        <v>114</v>
      </c>
      <c r="D120" s="2" t="s">
        <v>79</v>
      </c>
      <c r="E120" s="124"/>
      <c r="F120" s="113"/>
      <c r="G120" s="125"/>
      <c r="H120" s="113">
        <v>6.02</v>
      </c>
      <c r="I120" s="125"/>
      <c r="J120" s="126"/>
      <c r="K120" s="126"/>
      <c r="L120" s="113">
        <f>H120*S120</f>
        <v>6.2209346913067547</v>
      </c>
      <c r="M120" s="125"/>
      <c r="N120" s="125"/>
      <c r="O120" s="126"/>
      <c r="P120" s="126"/>
      <c r="Q120" s="127"/>
      <c r="R120" s="127"/>
      <c r="S120" s="103">
        <f>S119</f>
        <v>1.0333778556987965</v>
      </c>
      <c r="T120" s="4">
        <f t="shared" si="132"/>
        <v>3.3377855698796477E-2</v>
      </c>
    </row>
    <row r="121" spans="1:23" x14ac:dyDescent="0.25">
      <c r="A121" s="32">
        <f t="shared" si="98"/>
        <v>115</v>
      </c>
      <c r="B121" s="22" t="s">
        <v>92</v>
      </c>
      <c r="C121" s="23">
        <v>33</v>
      </c>
      <c r="D121" s="22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</row>
    <row r="122" spans="1:23" ht="12.6" customHeight="1" thickBot="1" x14ac:dyDescent="0.3">
      <c r="A122" s="32">
        <f t="shared" si="98"/>
        <v>116</v>
      </c>
      <c r="D122" s="2" t="s">
        <v>93</v>
      </c>
      <c r="E122" s="124"/>
      <c r="F122" s="113"/>
      <c r="G122" s="125"/>
      <c r="H122" s="115">
        <v>5.6320000000000002E-2</v>
      </c>
      <c r="I122" s="125"/>
      <c r="J122" s="126"/>
      <c r="K122" s="126"/>
      <c r="L122" s="114">
        <f>H122*S122</f>
        <v>5.8199840832956221E-2</v>
      </c>
      <c r="M122" s="125"/>
      <c r="N122" s="125"/>
      <c r="O122" s="126"/>
      <c r="P122" s="126"/>
      <c r="Q122" s="127"/>
      <c r="R122" s="127"/>
      <c r="S122" s="97">
        <f>(1+$O$104)</f>
        <v>1.0333778556987965</v>
      </c>
      <c r="T122" s="4">
        <f t="shared" ref="T122" si="135">L122/H122-1</f>
        <v>3.3377855698796477E-2</v>
      </c>
    </row>
    <row r="123" spans="1:23" x14ac:dyDescent="0.25">
      <c r="A123" s="32">
        <f t="shared" si="98"/>
        <v>117</v>
      </c>
      <c r="B123" s="22" t="s">
        <v>94</v>
      </c>
      <c r="C123" s="23" t="s">
        <v>95</v>
      </c>
      <c r="D123" s="22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</row>
    <row r="124" spans="1:23" ht="12.6" customHeight="1" x14ac:dyDescent="0.25">
      <c r="A124" s="32">
        <f t="shared" si="98"/>
        <v>118</v>
      </c>
      <c r="D124" s="2" t="s">
        <v>98</v>
      </c>
      <c r="E124" s="124"/>
      <c r="F124" s="113"/>
      <c r="G124" s="125"/>
      <c r="H124" s="113">
        <v>3421.59</v>
      </c>
      <c r="I124" s="125"/>
      <c r="J124" s="126"/>
      <c r="K124" s="126"/>
      <c r="L124" s="113">
        <f>H124*S124</f>
        <v>3535.795337280445</v>
      </c>
      <c r="M124" s="125"/>
      <c r="N124" s="125"/>
      <c r="O124" s="126"/>
      <c r="P124" s="126"/>
      <c r="Q124" s="127"/>
      <c r="R124" s="127"/>
      <c r="S124" s="97">
        <f>(1+$O$104)</f>
        <v>1.0333778556987965</v>
      </c>
      <c r="T124" s="4">
        <f t="shared" ref="T124" si="136">L124/H124-1</f>
        <v>3.3377855698796477E-2</v>
      </c>
    </row>
    <row r="125" spans="1:23" ht="12.6" customHeight="1" x14ac:dyDescent="0.25">
      <c r="A125" s="32">
        <f t="shared" si="98"/>
        <v>119</v>
      </c>
      <c r="D125" s="2" t="s">
        <v>99</v>
      </c>
      <c r="E125" s="124"/>
      <c r="F125" s="113"/>
      <c r="G125" s="125"/>
      <c r="H125" s="113">
        <v>5430.92</v>
      </c>
      <c r="I125" s="125"/>
      <c r="J125" s="126"/>
      <c r="K125" s="126"/>
      <c r="L125" s="113">
        <f>H125*S125</f>
        <v>5612.1924640717079</v>
      </c>
      <c r="M125" s="125"/>
      <c r="N125" s="125"/>
      <c r="O125" s="126"/>
      <c r="P125" s="126"/>
      <c r="Q125" s="127"/>
      <c r="R125" s="127"/>
      <c r="S125" s="97">
        <f>(1+$O$104)</f>
        <v>1.0333778556987965</v>
      </c>
      <c r="T125" s="4">
        <f t="shared" ref="T125:T128" si="137">L125/H125-1</f>
        <v>3.3377855698796477E-2</v>
      </c>
    </row>
    <row r="126" spans="1:23" x14ac:dyDescent="0.25">
      <c r="A126" s="32">
        <f t="shared" si="98"/>
        <v>120</v>
      </c>
      <c r="D126" s="2" t="s">
        <v>79</v>
      </c>
      <c r="E126" s="124"/>
      <c r="F126" s="128"/>
      <c r="G126" s="125"/>
      <c r="H126" s="113">
        <v>7.17</v>
      </c>
      <c r="I126" s="125"/>
      <c r="J126" s="126"/>
      <c r="K126" s="126"/>
      <c r="L126" s="113">
        <f>L58</f>
        <v>7.41</v>
      </c>
      <c r="M126" s="125"/>
      <c r="N126" s="125"/>
      <c r="O126" s="126"/>
      <c r="P126" s="126"/>
      <c r="Q126" s="127"/>
      <c r="R126" s="127"/>
      <c r="S126" s="103">
        <f>S125</f>
        <v>1.0333778556987965</v>
      </c>
      <c r="T126" s="4">
        <f t="shared" si="137"/>
        <v>3.3472803347280422E-2</v>
      </c>
      <c r="W126" s="2" t="s">
        <v>103</v>
      </c>
    </row>
    <row r="127" spans="1:23" x14ac:dyDescent="0.25">
      <c r="A127" s="32">
        <f t="shared" si="98"/>
        <v>121</v>
      </c>
      <c r="D127" s="2" t="s">
        <v>80</v>
      </c>
      <c r="E127" s="124"/>
      <c r="F127" s="128"/>
      <c r="G127" s="125"/>
      <c r="H127" s="113">
        <v>9.98</v>
      </c>
      <c r="I127" s="125"/>
      <c r="J127" s="126"/>
      <c r="K127" s="126"/>
      <c r="L127" s="113">
        <f>L59</f>
        <v>10.31</v>
      </c>
      <c r="M127" s="125"/>
      <c r="N127" s="125"/>
      <c r="O127" s="126"/>
      <c r="P127" s="126"/>
      <c r="Q127" s="127"/>
      <c r="R127" s="127"/>
      <c r="S127" s="103">
        <f>S126</f>
        <v>1.0333778556987965</v>
      </c>
      <c r="T127" s="4">
        <f t="shared" si="137"/>
        <v>3.3066132264529147E-2</v>
      </c>
      <c r="W127" s="2" t="s">
        <v>103</v>
      </c>
    </row>
    <row r="128" spans="1:23" ht="13.8" thickBot="1" x14ac:dyDescent="0.3">
      <c r="A128" s="32">
        <f t="shared" si="98"/>
        <v>122</v>
      </c>
      <c r="D128" s="2" t="s">
        <v>91</v>
      </c>
      <c r="E128" s="124"/>
      <c r="F128" s="128"/>
      <c r="G128" s="125"/>
      <c r="H128" s="128">
        <v>4.1360000000000001E-2</v>
      </c>
      <c r="I128" s="125"/>
      <c r="J128" s="126"/>
      <c r="K128" s="126"/>
      <c r="L128" s="115">
        <f>H128*S128</f>
        <v>4.274050811170222E-2</v>
      </c>
      <c r="M128" s="125"/>
      <c r="N128" s="125"/>
      <c r="O128" s="126"/>
      <c r="P128" s="126"/>
      <c r="Q128" s="127"/>
      <c r="R128" s="127"/>
      <c r="S128" s="103">
        <f>S127</f>
        <v>1.0333778556987965</v>
      </c>
      <c r="T128" s="4">
        <f t="shared" si="137"/>
        <v>3.3377855698796477E-2</v>
      </c>
    </row>
    <row r="129" spans="1:23" x14ac:dyDescent="0.25">
      <c r="A129" s="32">
        <f t="shared" si="98"/>
        <v>123</v>
      </c>
      <c r="B129" s="22" t="s">
        <v>94</v>
      </c>
      <c r="C129" s="23" t="s">
        <v>100</v>
      </c>
      <c r="D129" s="22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</row>
    <row r="130" spans="1:23" ht="12.6" customHeight="1" x14ac:dyDescent="0.25">
      <c r="A130" s="32">
        <f t="shared" si="98"/>
        <v>124</v>
      </c>
      <c r="D130" s="2" t="s">
        <v>17</v>
      </c>
      <c r="E130" s="124"/>
      <c r="F130" s="113"/>
      <c r="G130" s="125"/>
      <c r="H130" s="113">
        <v>614.28</v>
      </c>
      <c r="I130" s="125"/>
      <c r="J130" s="126"/>
      <c r="K130" s="126"/>
      <c r="L130" s="113">
        <f>H130*S130</f>
        <v>634.78334919865665</v>
      </c>
      <c r="M130" s="125"/>
      <c r="N130" s="125"/>
      <c r="O130" s="126"/>
      <c r="P130" s="126"/>
      <c r="Q130" s="127"/>
      <c r="R130" s="127"/>
      <c r="S130" s="97">
        <f>(1+$O$104)</f>
        <v>1.0333778556987965</v>
      </c>
      <c r="T130" s="4">
        <f t="shared" ref="T130:T132" si="138">L130/H130-1</f>
        <v>3.3377855698796477E-2</v>
      </c>
    </row>
    <row r="131" spans="1:23" ht="12.6" customHeight="1" x14ac:dyDescent="0.25">
      <c r="A131" s="32">
        <f t="shared" si="98"/>
        <v>125</v>
      </c>
      <c r="D131" s="2" t="s">
        <v>50</v>
      </c>
      <c r="E131" s="124"/>
      <c r="F131" s="113"/>
      <c r="G131" s="125"/>
      <c r="H131" s="115">
        <v>4.8259999999999997E-2</v>
      </c>
      <c r="I131" s="125"/>
      <c r="J131" s="126"/>
      <c r="K131" s="126"/>
      <c r="L131" s="113">
        <f>H131*S131</f>
        <v>4.9870815316023914E-2</v>
      </c>
      <c r="M131" s="125"/>
      <c r="N131" s="125"/>
      <c r="O131" s="126"/>
      <c r="P131" s="126"/>
      <c r="Q131" s="127"/>
      <c r="R131" s="127"/>
      <c r="S131" s="97">
        <f>(1+$O$104)</f>
        <v>1.0333778556987965</v>
      </c>
      <c r="T131" s="4">
        <f t="shared" si="138"/>
        <v>3.3377855698796477E-2</v>
      </c>
    </row>
    <row r="132" spans="1:23" ht="13.8" thickBot="1" x14ac:dyDescent="0.3">
      <c r="A132" s="32">
        <f t="shared" si="98"/>
        <v>126</v>
      </c>
      <c r="D132" s="2" t="s">
        <v>51</v>
      </c>
      <c r="E132" s="124"/>
      <c r="F132" s="128"/>
      <c r="G132" s="125"/>
      <c r="H132" s="113">
        <v>7.17</v>
      </c>
      <c r="I132" s="125"/>
      <c r="J132" s="126"/>
      <c r="K132" s="126"/>
      <c r="L132" s="113">
        <f>L126</f>
        <v>7.41</v>
      </c>
      <c r="M132" s="125"/>
      <c r="N132" s="125"/>
      <c r="O132" s="126"/>
      <c r="P132" s="126"/>
      <c r="Q132" s="127"/>
      <c r="R132" s="127"/>
      <c r="S132" s="103">
        <f>S131</f>
        <v>1.0333778556987965</v>
      </c>
      <c r="T132" s="4">
        <f t="shared" si="138"/>
        <v>3.3472803347280422E-2</v>
      </c>
      <c r="W132" s="2" t="s">
        <v>103</v>
      </c>
    </row>
    <row r="133" spans="1:23" x14ac:dyDescent="0.25">
      <c r="A133" s="32">
        <f t="shared" si="98"/>
        <v>127</v>
      </c>
      <c r="B133" s="22" t="s">
        <v>94</v>
      </c>
      <c r="C133" s="23" t="s">
        <v>101</v>
      </c>
      <c r="D133" s="22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</row>
    <row r="134" spans="1:23" ht="12.6" customHeight="1" x14ac:dyDescent="0.25">
      <c r="A134" s="32">
        <f t="shared" si="98"/>
        <v>128</v>
      </c>
      <c r="D134" s="2" t="s">
        <v>17</v>
      </c>
      <c r="E134" s="124"/>
      <c r="F134" s="113"/>
      <c r="G134" s="125"/>
      <c r="H134" s="113">
        <v>1227.4100000000001</v>
      </c>
      <c r="I134" s="125"/>
      <c r="J134" s="126"/>
      <c r="K134" s="126"/>
      <c r="L134" s="113">
        <f>H134*S134</f>
        <v>1268.3783138632598</v>
      </c>
      <c r="M134" s="125"/>
      <c r="N134" s="125"/>
      <c r="O134" s="126"/>
      <c r="P134" s="126"/>
      <c r="Q134" s="127"/>
      <c r="R134" s="127"/>
      <c r="S134" s="97">
        <f>(1+$O$104)</f>
        <v>1.0333778556987965</v>
      </c>
      <c r="T134" s="4">
        <f t="shared" ref="T134:T136" si="139">L134/H134-1</f>
        <v>3.3377855698796477E-2</v>
      </c>
    </row>
    <row r="135" spans="1:23" ht="12.6" customHeight="1" x14ac:dyDescent="0.25">
      <c r="A135" s="32">
        <f t="shared" si="98"/>
        <v>129</v>
      </c>
      <c r="D135" s="2" t="s">
        <v>50</v>
      </c>
      <c r="E135" s="124"/>
      <c r="F135" s="113"/>
      <c r="G135" s="125"/>
      <c r="H135" s="115">
        <v>4.1959999999999997E-2</v>
      </c>
      <c r="I135" s="125"/>
      <c r="J135" s="126"/>
      <c r="K135" s="126"/>
      <c r="L135" s="113">
        <f>H135*S135</f>
        <v>4.3360534825121498E-2</v>
      </c>
      <c r="M135" s="125"/>
      <c r="N135" s="125"/>
      <c r="O135" s="126"/>
      <c r="P135" s="126"/>
      <c r="Q135" s="127"/>
      <c r="R135" s="127"/>
      <c r="S135" s="97">
        <f>(1+$O$104)</f>
        <v>1.0333778556987965</v>
      </c>
      <c r="T135" s="4">
        <f t="shared" si="139"/>
        <v>3.3377855698796477E-2</v>
      </c>
    </row>
    <row r="136" spans="1:23" ht="13.8" thickBot="1" x14ac:dyDescent="0.3">
      <c r="A136" s="32">
        <f t="shared" si="98"/>
        <v>130</v>
      </c>
      <c r="D136" s="2" t="s">
        <v>51</v>
      </c>
      <c r="E136" s="124"/>
      <c r="F136" s="128"/>
      <c r="G136" s="125"/>
      <c r="H136" s="113">
        <v>7.17</v>
      </c>
      <c r="I136" s="125"/>
      <c r="J136" s="126"/>
      <c r="K136" s="126"/>
      <c r="L136" s="113">
        <f>L126</f>
        <v>7.41</v>
      </c>
      <c r="M136" s="125"/>
      <c r="N136" s="125"/>
      <c r="O136" s="126"/>
      <c r="P136" s="126"/>
      <c r="Q136" s="127"/>
      <c r="R136" s="127"/>
      <c r="S136" s="103">
        <f>S135</f>
        <v>1.0333778556987965</v>
      </c>
      <c r="T136" s="4">
        <f t="shared" si="139"/>
        <v>3.3472803347280422E-2</v>
      </c>
      <c r="W136" s="2" t="s">
        <v>103</v>
      </c>
    </row>
    <row r="137" spans="1:23" x14ac:dyDescent="0.25">
      <c r="A137" s="32">
        <f t="shared" si="98"/>
        <v>131</v>
      </c>
      <c r="B137" s="22" t="s">
        <v>94</v>
      </c>
      <c r="C137" s="23" t="s">
        <v>102</v>
      </c>
      <c r="D137" s="22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</row>
    <row r="138" spans="1:23" ht="12.6" customHeight="1" x14ac:dyDescent="0.25">
      <c r="A138" s="32">
        <f t="shared" si="98"/>
        <v>132</v>
      </c>
      <c r="D138" s="2" t="s">
        <v>98</v>
      </c>
      <c r="E138" s="124"/>
      <c r="F138" s="113"/>
      <c r="G138" s="125"/>
      <c r="H138" s="113">
        <v>3421.59</v>
      </c>
      <c r="I138" s="125"/>
      <c r="J138" s="126"/>
      <c r="K138" s="126"/>
      <c r="L138" s="113">
        <f>H138*S138</f>
        <v>3535.795337280445</v>
      </c>
      <c r="M138" s="125"/>
      <c r="N138" s="125"/>
      <c r="O138" s="126"/>
      <c r="P138" s="126"/>
      <c r="Q138" s="127"/>
      <c r="R138" s="127"/>
      <c r="S138" s="97">
        <f>(1+$O$104)</f>
        <v>1.0333778556987965</v>
      </c>
      <c r="T138" s="4">
        <f t="shared" ref="T138:T140" si="140">L138/H138-1</f>
        <v>3.3377855698796477E-2</v>
      </c>
    </row>
    <row r="139" spans="1:23" ht="12.6" customHeight="1" x14ac:dyDescent="0.25">
      <c r="A139" s="32">
        <f t="shared" si="98"/>
        <v>133</v>
      </c>
      <c r="D139" s="2" t="s">
        <v>99</v>
      </c>
      <c r="E139" s="124"/>
      <c r="F139" s="113"/>
      <c r="G139" s="125"/>
      <c r="H139" s="113">
        <v>5430.92</v>
      </c>
      <c r="I139" s="125"/>
      <c r="J139" s="126"/>
      <c r="K139" s="126"/>
      <c r="L139" s="113">
        <f>H139*S139</f>
        <v>5612.1924640717079</v>
      </c>
      <c r="M139" s="125"/>
      <c r="N139" s="125"/>
      <c r="O139" s="126"/>
      <c r="P139" s="126"/>
      <c r="Q139" s="127"/>
      <c r="R139" s="127"/>
      <c r="S139" s="97">
        <f>(1+$O$104)</f>
        <v>1.0333778556987965</v>
      </c>
      <c r="T139" s="4">
        <f t="shared" si="140"/>
        <v>3.3377855698796477E-2</v>
      </c>
    </row>
    <row r="140" spans="1:23" x14ac:dyDescent="0.25">
      <c r="A140" s="32">
        <f t="shared" ref="A140:A141" si="141">A139+1</f>
        <v>134</v>
      </c>
      <c r="D140" s="2" t="s">
        <v>79</v>
      </c>
      <c r="E140" s="124"/>
      <c r="F140" s="128"/>
      <c r="G140" s="125"/>
      <c r="H140" s="113">
        <v>7.17</v>
      </c>
      <c r="I140" s="125"/>
      <c r="J140" s="126"/>
      <c r="K140" s="126"/>
      <c r="L140" s="113">
        <f>L126</f>
        <v>7.41</v>
      </c>
      <c r="M140" s="125"/>
      <c r="N140" s="125"/>
      <c r="O140" s="126"/>
      <c r="P140" s="126"/>
      <c r="Q140" s="127"/>
      <c r="R140" s="127"/>
      <c r="S140" s="103">
        <f>S139</f>
        <v>1.0333778556987965</v>
      </c>
      <c r="T140" s="4">
        <f t="shared" si="140"/>
        <v>3.3472803347280422E-2</v>
      </c>
      <c r="W140" s="2" t="s">
        <v>103</v>
      </c>
    </row>
    <row r="141" spans="1:23" x14ac:dyDescent="0.25">
      <c r="A141" s="32">
        <f t="shared" si="141"/>
        <v>135</v>
      </c>
      <c r="D141" s="2" t="s">
        <v>91</v>
      </c>
      <c r="E141" s="124"/>
      <c r="F141" s="128"/>
      <c r="G141" s="125"/>
      <c r="H141" s="128">
        <v>4.1360000000000001E-2</v>
      </c>
      <c r="I141" s="125"/>
      <c r="J141" s="126"/>
      <c r="K141" s="126"/>
      <c r="L141" s="115">
        <f>H141*S141</f>
        <v>4.274050811170222E-2</v>
      </c>
      <c r="M141" s="125"/>
      <c r="N141" s="125"/>
      <c r="O141" s="126"/>
      <c r="P141" s="126"/>
      <c r="Q141" s="127"/>
      <c r="R141" s="127"/>
      <c r="S141" s="103">
        <f>S140</f>
        <v>1.0333778556987965</v>
      </c>
      <c r="T141" s="4">
        <f t="shared" ref="T141" si="142">L141/H141-1</f>
        <v>3.3377855698796477E-2</v>
      </c>
    </row>
    <row r="142" spans="1:23" x14ac:dyDescent="0.25">
      <c r="A142" s="32"/>
    </row>
    <row r="143" spans="1:23" x14ac:dyDescent="0.25">
      <c r="A143" s="32"/>
    </row>
  </sheetData>
  <phoneticPr fontId="9" type="noConversion"/>
  <printOptions horizontalCentered="1"/>
  <pageMargins left="0.7" right="0.7" top="0.75" bottom="0.75" header="0.3" footer="0.3"/>
  <pageSetup scale="53" fitToHeight="6" orientation="landscape" r:id="rId1"/>
  <headerFooter>
    <oddHeader>&amp;R&amp;"Arial,Bold"&amp;10Exhibit 3
Page &amp;P of &amp;N</oddHeader>
  </headerFooter>
  <rowBreaks count="2" manualBreakCount="2">
    <brk id="55" max="17" man="1"/>
    <brk id="112" max="17" man="1"/>
  </rowBreaks>
  <ignoredErrors>
    <ignoredError sqref="M10 F32 L140 N10:N110 O94 O75 O47 O10:O46 O48:O74 O76:O93 O95:O1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sheetPr>
    <pageSetUpPr fitToPage="1"/>
  </sheetPr>
  <dimension ref="A1:J93"/>
  <sheetViews>
    <sheetView view="pageBreakPreview" zoomScale="60" zoomScaleNormal="85" workbookViewId="0">
      <selection activeCell="J71" sqref="J70:J71"/>
    </sheetView>
  </sheetViews>
  <sheetFormatPr defaultRowHeight="13.2" x14ac:dyDescent="0.25"/>
  <cols>
    <col min="1" max="1" width="1.77734375" style="2" customWidth="1"/>
    <col min="2" max="2" width="1.21875" style="2" customWidth="1"/>
    <col min="3" max="3" width="8" style="13" customWidth="1"/>
    <col min="4" max="4" width="39.109375" style="13" bestFit="1" customWidth="1"/>
    <col min="5" max="5" width="33.77734375" style="2" bestFit="1" customWidth="1"/>
    <col min="6" max="6" width="14.6640625" style="2" customWidth="1"/>
    <col min="7" max="7" width="12.5546875" style="2" customWidth="1"/>
    <col min="8" max="16384" width="8.88671875" style="2"/>
  </cols>
  <sheetData>
    <row r="1" spans="1:10" x14ac:dyDescent="0.25">
      <c r="A1" s="1" t="str">
        <f>Summary!A1</f>
        <v>SHELBY ENERGY COOPERATIVE</v>
      </c>
    </row>
    <row r="2" spans="1:10" x14ac:dyDescent="0.25">
      <c r="A2" s="1" t="s">
        <v>106</v>
      </c>
    </row>
    <row r="4" spans="1:10" x14ac:dyDescent="0.25">
      <c r="C4" s="65" t="s">
        <v>62</v>
      </c>
      <c r="D4" s="64"/>
      <c r="E4" s="64" t="s">
        <v>2</v>
      </c>
      <c r="F4" s="68" t="s">
        <v>48</v>
      </c>
      <c r="G4" s="68" t="s">
        <v>49</v>
      </c>
    </row>
    <row r="5" spans="1:10" x14ac:dyDescent="0.25">
      <c r="C5" s="13">
        <f>'Billing Detail'!C7</f>
        <v>12</v>
      </c>
      <c r="D5" s="91" t="str">
        <f>'Billing Detail'!B7</f>
        <v>Residential Service</v>
      </c>
    </row>
    <row r="6" spans="1:10" x14ac:dyDescent="0.25">
      <c r="D6" s="91"/>
      <c r="E6" s="2" t="str">
        <f>'Billing Detail'!D8</f>
        <v>Customer Charge</v>
      </c>
      <c r="F6" s="66">
        <f>'Billing Detail'!H8</f>
        <v>15</v>
      </c>
      <c r="G6" s="66">
        <f>'Billing Detail'!L8</f>
        <v>15.5</v>
      </c>
      <c r="J6" s="4">
        <f>G6/F6-1</f>
        <v>3.3333333333333437E-2</v>
      </c>
    </row>
    <row r="7" spans="1:10" x14ac:dyDescent="0.25">
      <c r="D7" s="91"/>
      <c r="E7" s="2" t="str">
        <f>'Billing Detail'!D9</f>
        <v>Energy Charge per kWh</v>
      </c>
      <c r="F7" s="67">
        <f>'Billing Detail'!H9</f>
        <v>8.6840000000000001E-2</v>
      </c>
      <c r="G7" s="67">
        <f>'Billing Detail'!L9</f>
        <v>8.974E-2</v>
      </c>
      <c r="J7" s="4">
        <f t="shared" ref="J7:J43" si="0">G7/F7-1</f>
        <v>3.3394748963611276E-2</v>
      </c>
    </row>
    <row r="8" spans="1:10" x14ac:dyDescent="0.25">
      <c r="C8" s="13">
        <f>'Billing Detail'!C19</f>
        <v>9</v>
      </c>
      <c r="D8" s="91" t="str">
        <f>'Billing Detail'!B19</f>
        <v>Off Peak Retail Marketing (ETS)</v>
      </c>
      <c r="F8" s="66"/>
      <c r="G8" s="66"/>
      <c r="J8" s="4"/>
    </row>
    <row r="9" spans="1:10" x14ac:dyDescent="0.25">
      <c r="D9" s="91"/>
      <c r="E9" s="2" t="str">
        <f>'Billing Detail'!D20</f>
        <v>Energy Charge per kWh</v>
      </c>
      <c r="F9" s="67">
        <f>'Billing Detail'!H20</f>
        <v>5.8770000000000003E-2</v>
      </c>
      <c r="G9" s="67">
        <f>'Billing Detail'!L20</f>
        <v>6.0729999999999999E-2</v>
      </c>
      <c r="J9" s="4">
        <f t="shared" si="0"/>
        <v>3.3350348817423825E-2</v>
      </c>
    </row>
    <row r="10" spans="1:10" x14ac:dyDescent="0.25">
      <c r="C10" s="13">
        <f>'Billing Detail'!C30</f>
        <v>2</v>
      </c>
      <c r="D10" s="91" t="str">
        <f>'Billing Detail'!B30</f>
        <v>Large Power Service &gt; 50 kW</v>
      </c>
      <c r="F10" s="67"/>
      <c r="G10" s="67"/>
      <c r="J10" s="4"/>
    </row>
    <row r="11" spans="1:10" x14ac:dyDescent="0.25">
      <c r="D11" s="91"/>
      <c r="E11" s="2" t="str">
        <f>'Billing Detail'!D31</f>
        <v>Customer Charge</v>
      </c>
      <c r="F11" s="66">
        <f>'Billing Detail'!H31</f>
        <v>52.18</v>
      </c>
      <c r="G11" s="66">
        <f>'Billing Detail'!L31</f>
        <v>53.92</v>
      </c>
      <c r="J11" s="4">
        <f t="shared" si="0"/>
        <v>3.3346109620544295E-2</v>
      </c>
    </row>
    <row r="12" spans="1:10" x14ac:dyDescent="0.25">
      <c r="D12" s="91"/>
      <c r="E12" s="2" t="str">
        <f>'Billing Detail'!D32</f>
        <v>Energy Charge per kWh</v>
      </c>
      <c r="F12" s="67">
        <f>'Billing Detail'!H32</f>
        <v>6.0100000000000001E-2</v>
      </c>
      <c r="G12" s="67">
        <f>'Billing Detail'!L32</f>
        <v>6.2109999999999999E-2</v>
      </c>
      <c r="J12" s="4">
        <f t="shared" si="0"/>
        <v>3.3444259567387613E-2</v>
      </c>
    </row>
    <row r="13" spans="1:10" x14ac:dyDescent="0.25">
      <c r="D13" s="91"/>
      <c r="E13" s="2" t="str">
        <f>'Billing Detail'!D33</f>
        <v>Demand Charge per kW</v>
      </c>
      <c r="F13" s="75">
        <f>'Billing Detail'!H33</f>
        <v>6.05</v>
      </c>
      <c r="G13" s="75">
        <f>'Billing Detail'!L33</f>
        <v>6.2519</v>
      </c>
      <c r="J13" s="4">
        <f t="shared" si="0"/>
        <v>3.3371900826446366E-2</v>
      </c>
    </row>
    <row r="14" spans="1:10" x14ac:dyDescent="0.25">
      <c r="C14" s="13">
        <f>'Billing Detail'!C43</f>
        <v>11</v>
      </c>
      <c r="D14" s="91" t="str">
        <f>'Billing Detail'!B43</f>
        <v>General Service &lt; 50kW</v>
      </c>
      <c r="F14" s="66"/>
      <c r="G14" s="66"/>
      <c r="J14" s="4"/>
    </row>
    <row r="15" spans="1:10" x14ac:dyDescent="0.25">
      <c r="D15" s="91"/>
      <c r="E15" s="2" t="str">
        <f>'Billing Detail'!D44</f>
        <v>Customer Charge Single Phase</v>
      </c>
      <c r="F15" s="66">
        <f>'Billing Detail'!H44</f>
        <v>18</v>
      </c>
      <c r="G15" s="66">
        <f>'Billing Detail'!L44</f>
        <v>18.600000000000001</v>
      </c>
      <c r="J15" s="4">
        <f t="shared" si="0"/>
        <v>3.3333333333333437E-2</v>
      </c>
    </row>
    <row r="16" spans="1:10" x14ac:dyDescent="0.25">
      <c r="D16" s="91"/>
      <c r="E16" s="2" t="str">
        <f>'Billing Detail'!D45</f>
        <v>Customer Charge Three Phase</v>
      </c>
      <c r="F16" s="66">
        <f>'Billing Detail'!H45</f>
        <v>40</v>
      </c>
      <c r="G16" s="66">
        <f>'Billing Detail'!L45</f>
        <v>41.33</v>
      </c>
      <c r="J16" s="4">
        <f t="shared" si="0"/>
        <v>3.3250000000000002E-2</v>
      </c>
    </row>
    <row r="17" spans="3:10" x14ac:dyDescent="0.25">
      <c r="D17" s="91"/>
      <c r="E17" s="2" t="str">
        <f>'Billing Detail'!D46</f>
        <v>Energy Charge per kWh</v>
      </c>
      <c r="F17" s="67">
        <f>'Billing Detail'!H46</f>
        <v>8.9039999999999994E-2</v>
      </c>
      <c r="G17" s="67">
        <f>'Billing Detail'!L46</f>
        <v>9.2009999999999995E-2</v>
      </c>
      <c r="J17" s="4">
        <f t="shared" si="0"/>
        <v>3.3355795148247935E-2</v>
      </c>
    </row>
    <row r="18" spans="3:10" x14ac:dyDescent="0.25">
      <c r="C18" s="13" t="str">
        <f>'Billing Detail'!C56</f>
        <v>B1</v>
      </c>
      <c r="D18" s="91" t="str">
        <f>'Billing Detail'!B56</f>
        <v>Large Industrial Rate (500 kW to 4,999 kW)</v>
      </c>
      <c r="F18" s="67"/>
      <c r="G18" s="67"/>
      <c r="J18" s="4"/>
    </row>
    <row r="19" spans="3:10" x14ac:dyDescent="0.25">
      <c r="D19" s="91"/>
      <c r="E19" s="2" t="str">
        <f>'Billing Detail'!D57</f>
        <v>Customer Charge</v>
      </c>
      <c r="F19" s="75">
        <f>'Billing Detail'!H57</f>
        <v>614.28</v>
      </c>
      <c r="G19" s="75">
        <f>'Billing Detail'!L57</f>
        <v>634.78</v>
      </c>
      <c r="J19" s="4">
        <f t="shared" si="0"/>
        <v>3.3372403464218214E-2</v>
      </c>
    </row>
    <row r="20" spans="3:10" x14ac:dyDescent="0.25">
      <c r="D20" s="91"/>
      <c r="E20" s="2" t="str">
        <f>'Billing Detail'!D58</f>
        <v>Demand Charge - Contract per kW</v>
      </c>
      <c r="F20" s="75">
        <f>'Billing Detail'!H58</f>
        <v>7.17</v>
      </c>
      <c r="G20" s="75">
        <f>'Billing Detail'!L58</f>
        <v>7.41</v>
      </c>
      <c r="J20" s="4">
        <f t="shared" ref="J20:J22" si="1">G20/F20-1</f>
        <v>3.3472803347280422E-2</v>
      </c>
    </row>
    <row r="21" spans="3:10" x14ac:dyDescent="0.25">
      <c r="D21" s="91"/>
      <c r="E21" s="2" t="str">
        <f>'Billing Detail'!D59</f>
        <v>Demand Charge - Excess per kW</v>
      </c>
      <c r="F21" s="75">
        <f>'Billing Detail'!H59</f>
        <v>9.98</v>
      </c>
      <c r="G21" s="75">
        <f>'Billing Detail'!L59</f>
        <v>10.31</v>
      </c>
      <c r="J21" s="4">
        <f t="shared" si="1"/>
        <v>3.3066132264529147E-2</v>
      </c>
    </row>
    <row r="22" spans="3:10" x14ac:dyDescent="0.25">
      <c r="D22" s="91"/>
      <c r="E22" s="2" t="str">
        <f>'Billing Detail'!D60</f>
        <v>Energy Charge per kWh</v>
      </c>
      <c r="F22" s="67">
        <f>'Billing Detail'!H60</f>
        <v>4.8259999999999997E-2</v>
      </c>
      <c r="G22" s="67">
        <f>'Billing Detail'!L60</f>
        <v>4.9869999999999998E-2</v>
      </c>
      <c r="J22" s="4">
        <f t="shared" si="1"/>
        <v>3.3360961458765104E-2</v>
      </c>
    </row>
    <row r="23" spans="3:10" x14ac:dyDescent="0.25">
      <c r="C23" s="13" t="str">
        <f>'Billing Detail'!C70</f>
        <v>B2</v>
      </c>
      <c r="D23" s="91" t="str">
        <f>'Billing Detail'!B70</f>
        <v>Large Industrial Rate (5,000 kW to 9,999 kW)</v>
      </c>
      <c r="F23" s="66"/>
      <c r="G23" s="66"/>
      <c r="J23" s="4"/>
    </row>
    <row r="24" spans="3:10" x14ac:dyDescent="0.25">
      <c r="D24" s="91"/>
      <c r="E24" s="2" t="str">
        <f>'Billing Detail'!D71</f>
        <v>Customer Charge</v>
      </c>
      <c r="F24" s="66">
        <f>'Billing Detail'!H71</f>
        <v>1227.4100000000001</v>
      </c>
      <c r="G24" s="66">
        <f>'Billing Detail'!L71</f>
        <v>1268.3699999999999</v>
      </c>
      <c r="J24" s="4">
        <f t="shared" si="0"/>
        <v>3.3371082197472646E-2</v>
      </c>
    </row>
    <row r="25" spans="3:10" x14ac:dyDescent="0.25">
      <c r="D25" s="91"/>
      <c r="E25" s="2" t="str">
        <f>'Billing Detail'!D72</f>
        <v>Demand Charge - Contract per kW</v>
      </c>
      <c r="F25" s="66">
        <f>'Billing Detail'!H72</f>
        <v>7.17</v>
      </c>
      <c r="G25" s="66">
        <f>'Billing Detail'!L72</f>
        <v>7.41</v>
      </c>
      <c r="J25" s="4">
        <f t="shared" ref="J25:J27" si="2">G25/F25-1</f>
        <v>3.3472803347280422E-2</v>
      </c>
    </row>
    <row r="26" spans="3:10" x14ac:dyDescent="0.25">
      <c r="D26" s="91"/>
      <c r="E26" s="2" t="str">
        <f>'Billing Detail'!D73</f>
        <v>Demand Charge - Excess per kW</v>
      </c>
      <c r="F26" s="66">
        <f>'Billing Detail'!H73</f>
        <v>9.98</v>
      </c>
      <c r="G26" s="66">
        <f>'Billing Detail'!L73</f>
        <v>10.31</v>
      </c>
      <c r="J26" s="4">
        <f t="shared" si="2"/>
        <v>3.3066132264529147E-2</v>
      </c>
    </row>
    <row r="27" spans="3:10" x14ac:dyDescent="0.25">
      <c r="D27" s="91"/>
      <c r="E27" s="2" t="str">
        <f>'Billing Detail'!D74</f>
        <v>Energy Charge per kWh</v>
      </c>
      <c r="F27" s="67">
        <f>'Billing Detail'!H74</f>
        <v>4.1959999999999997E-2</v>
      </c>
      <c r="G27" s="67">
        <f>'Billing Detail'!L74</f>
        <v>4.3360000000000003E-2</v>
      </c>
      <c r="J27" s="4">
        <f t="shared" si="2"/>
        <v>3.3365109628217482E-2</v>
      </c>
    </row>
    <row r="28" spans="3:10" x14ac:dyDescent="0.25">
      <c r="C28" s="13">
        <f>'Billing Detail'!C84</f>
        <v>3</v>
      </c>
      <c r="D28" s="91" t="str">
        <f>'Billing Detail'!B84</f>
        <v>Outdoor &amp; Street Lighting</v>
      </c>
      <c r="F28" s="66"/>
      <c r="G28" s="66"/>
      <c r="J28" s="4"/>
    </row>
    <row r="29" spans="3:10" x14ac:dyDescent="0.25">
      <c r="D29" s="91"/>
      <c r="E29" s="2" t="str">
        <f>'Billing Detail'!D85</f>
        <v>100 Watt Outdoor Light</v>
      </c>
      <c r="F29" s="66">
        <f>'Billing Detail'!H85</f>
        <v>10.01</v>
      </c>
      <c r="G29" s="66">
        <f>'Billing Detail'!L85</f>
        <v>10.34</v>
      </c>
      <c r="J29" s="4">
        <f t="shared" si="0"/>
        <v>3.2967032967033072E-2</v>
      </c>
    </row>
    <row r="30" spans="3:10" x14ac:dyDescent="0.25">
      <c r="D30" s="2"/>
      <c r="E30" s="2" t="str">
        <f>'Billing Detail'!D86</f>
        <v>250 Watt Directional Flood</v>
      </c>
      <c r="F30" s="66">
        <f>'Billing Detail'!H86</f>
        <v>14.64</v>
      </c>
      <c r="G30" s="66">
        <f>'Billing Detail'!L86</f>
        <v>15.13</v>
      </c>
      <c r="J30" s="4">
        <f t="shared" si="0"/>
        <v>3.3469945355191211E-2</v>
      </c>
    </row>
    <row r="31" spans="3:10" x14ac:dyDescent="0.25">
      <c r="D31" s="2"/>
      <c r="E31" s="2" t="str">
        <f>'Billing Detail'!D87</f>
        <v>100 Watt Decorative Colonial</v>
      </c>
      <c r="F31" s="66">
        <f>'Billing Detail'!H87</f>
        <v>13.53</v>
      </c>
      <c r="G31" s="66">
        <f>'Billing Detail'!L87</f>
        <v>13.98</v>
      </c>
      <c r="J31" s="4">
        <f t="shared" si="0"/>
        <v>3.3259423503326113E-2</v>
      </c>
    </row>
    <row r="32" spans="3:10" x14ac:dyDescent="0.25">
      <c r="D32" s="2"/>
      <c r="E32" s="2" t="str">
        <f>'Billing Detail'!D88</f>
        <v>400 Watt Directional Flood</v>
      </c>
      <c r="F32" s="66">
        <f>'Billing Detail'!H88</f>
        <v>20.09</v>
      </c>
      <c r="G32" s="66">
        <f>'Billing Detail'!L88</f>
        <v>20.76</v>
      </c>
      <c r="J32" s="4">
        <f t="shared" si="0"/>
        <v>3.3349925335988129E-2</v>
      </c>
    </row>
    <row r="33" spans="3:10" x14ac:dyDescent="0.25">
      <c r="D33" s="2"/>
      <c r="E33" s="2" t="str">
        <f>'Billing Detail'!D89</f>
        <v>150 Watt Decorative Acorn</v>
      </c>
      <c r="F33" s="66">
        <f>'Billing Detail'!H89</f>
        <v>16.13</v>
      </c>
      <c r="G33" s="66">
        <f>'Billing Detail'!L89</f>
        <v>16.670000000000002</v>
      </c>
      <c r="J33" s="4">
        <f t="shared" si="0"/>
        <v>3.3477991320520983E-2</v>
      </c>
    </row>
    <row r="34" spans="3:10" x14ac:dyDescent="0.25">
      <c r="D34" s="2"/>
      <c r="E34" s="2" t="str">
        <f>'Billing Detail'!D90</f>
        <v>Standard</v>
      </c>
      <c r="F34" s="66">
        <f>'Billing Detail'!H90</f>
        <v>10.72</v>
      </c>
      <c r="G34" s="66">
        <f>'Billing Detail'!L90</f>
        <v>11.08</v>
      </c>
      <c r="J34" s="4">
        <f t="shared" si="0"/>
        <v>3.3582089552238736E-2</v>
      </c>
    </row>
    <row r="35" spans="3:10" x14ac:dyDescent="0.25">
      <c r="D35" s="2"/>
      <c r="E35" s="2" t="str">
        <f>'Billing Detail'!D91</f>
        <v>Decorative Colonial</v>
      </c>
      <c r="F35" s="66">
        <f>'Billing Detail'!H91</f>
        <v>13.36</v>
      </c>
      <c r="G35" s="66">
        <f>'Billing Detail'!L91</f>
        <v>13.81</v>
      </c>
      <c r="J35" s="4">
        <f t="shared" si="0"/>
        <v>3.3682634730539007E-2</v>
      </c>
    </row>
    <row r="36" spans="3:10" x14ac:dyDescent="0.25">
      <c r="D36" s="2"/>
      <c r="E36" s="2" t="str">
        <f>'Billing Detail'!D92</f>
        <v>Cobra Head</v>
      </c>
      <c r="F36" s="66">
        <f>'Billing Detail'!H92</f>
        <v>14.57</v>
      </c>
      <c r="G36" s="66">
        <f>'Billing Detail'!L92</f>
        <v>15.06</v>
      </c>
      <c r="J36" s="4">
        <f t="shared" si="0"/>
        <v>3.3630748112560171E-2</v>
      </c>
    </row>
    <row r="37" spans="3:10" x14ac:dyDescent="0.25">
      <c r="D37" s="2"/>
      <c r="E37" s="2" t="str">
        <f>'Billing Detail'!D93</f>
        <v>Directional Flood Light</v>
      </c>
      <c r="F37" s="66">
        <f>'Billing Detail'!H93</f>
        <v>19.850000000000001</v>
      </c>
      <c r="G37" s="66">
        <f>'Billing Detail'!L93</f>
        <v>20.51</v>
      </c>
      <c r="J37" s="4">
        <f t="shared" si="0"/>
        <v>3.3249370277078194E-2</v>
      </c>
    </row>
    <row r="38" spans="3:10" x14ac:dyDescent="0.25">
      <c r="C38" s="13">
        <v>15</v>
      </c>
      <c r="D38" s="91" t="s">
        <v>85</v>
      </c>
      <c r="F38" s="66"/>
      <c r="G38" s="66"/>
      <c r="J38" s="4"/>
    </row>
    <row r="39" spans="3:10" x14ac:dyDescent="0.25">
      <c r="D39" s="2"/>
      <c r="E39" s="2" t="s">
        <v>86</v>
      </c>
      <c r="F39" s="66">
        <v>0.5</v>
      </c>
      <c r="G39" s="66">
        <f>F39*('Billing Detail'!S10)</f>
        <v>0.51668577232538448</v>
      </c>
      <c r="J39" s="4">
        <f t="shared" si="0"/>
        <v>3.3371544650768969E-2</v>
      </c>
    </row>
    <row r="40" spans="3:10" x14ac:dyDescent="0.25">
      <c r="D40" s="2"/>
      <c r="E40" s="2" t="s">
        <v>50</v>
      </c>
      <c r="F40" s="67">
        <f>F7</f>
        <v>8.6840000000000001E-2</v>
      </c>
      <c r="G40" s="67">
        <f>G7</f>
        <v>8.974E-2</v>
      </c>
      <c r="J40" s="4">
        <f t="shared" si="0"/>
        <v>3.3394748963611276E-2</v>
      </c>
    </row>
    <row r="41" spans="3:10" x14ac:dyDescent="0.25">
      <c r="D41" s="2"/>
      <c r="E41" s="2" t="s">
        <v>87</v>
      </c>
      <c r="F41" s="66">
        <v>0.1</v>
      </c>
      <c r="G41" s="66">
        <f>F41</f>
        <v>0.1</v>
      </c>
      <c r="J41" s="4">
        <f t="shared" si="0"/>
        <v>0</v>
      </c>
    </row>
    <row r="42" spans="3:10" x14ac:dyDescent="0.25">
      <c r="C42" s="13">
        <f>'Billing Detail'!C115</f>
        <v>22</v>
      </c>
      <c r="D42" s="91" t="str">
        <f>'Billing Detail'!B115</f>
        <v xml:space="preserve">Optional TOD Demand </v>
      </c>
      <c r="F42" s="66"/>
      <c r="G42" s="66"/>
      <c r="J42" s="4"/>
    </row>
    <row r="43" spans="3:10" x14ac:dyDescent="0.25">
      <c r="D43" s="91"/>
      <c r="E43" s="2" t="str">
        <f>'Billing Detail'!D116</f>
        <v>Customer Charge</v>
      </c>
      <c r="F43" s="66">
        <f>'Billing Detail'!H116</f>
        <v>45.92</v>
      </c>
      <c r="G43" s="66">
        <f>'Billing Detail'!L116</f>
        <v>47.452711133688737</v>
      </c>
      <c r="J43" s="4">
        <f t="shared" si="0"/>
        <v>3.3377855698796477E-2</v>
      </c>
    </row>
    <row r="44" spans="3:10" x14ac:dyDescent="0.25">
      <c r="D44" s="91"/>
      <c r="E44" s="2" t="str">
        <f>'Billing Detail'!D117</f>
        <v>Energy Charge per kWh - First 100</v>
      </c>
      <c r="F44" s="67">
        <f>'Billing Detail'!H117</f>
        <v>6.9180000000000005E-2</v>
      </c>
      <c r="G44" s="67">
        <f>'Billing Detail'!L117</f>
        <v>7.1489080057242749E-2</v>
      </c>
      <c r="J44" s="4">
        <f t="shared" ref="J44:J68" si="3">G44/F44-1</f>
        <v>3.3377855698796477E-2</v>
      </c>
    </row>
    <row r="45" spans="3:10" x14ac:dyDescent="0.25">
      <c r="D45" s="91"/>
      <c r="E45" s="2" t="str">
        <f>'Billing Detail'!D118</f>
        <v>Energy Charge per kWh - Next 100</v>
      </c>
      <c r="F45" s="67">
        <f>'Billing Detail'!H118</f>
        <v>6.2780000000000002E-2</v>
      </c>
      <c r="G45" s="67">
        <f>'Billing Detail'!L118</f>
        <v>6.4875461780770444E-2</v>
      </c>
      <c r="J45" s="4">
        <f t="shared" si="3"/>
        <v>3.3377855698796477E-2</v>
      </c>
    </row>
    <row r="46" spans="3:10" x14ac:dyDescent="0.25">
      <c r="D46" s="91"/>
      <c r="E46" s="2" t="str">
        <f>'Billing Detail'!D119</f>
        <v>Energy Charge per kWh - All Over 200</v>
      </c>
      <c r="F46" s="67">
        <f>'Billing Detail'!H119</f>
        <v>5.6399999999999999E-2</v>
      </c>
      <c r="G46" s="67">
        <f>'Billing Detail'!L119</f>
        <v>5.8282511061412121E-2</v>
      </c>
      <c r="J46" s="4">
        <f t="shared" si="3"/>
        <v>3.3377855698796477E-2</v>
      </c>
    </row>
    <row r="47" spans="3:10" ht="13.2" customHeight="1" x14ac:dyDescent="0.25">
      <c r="D47" s="99"/>
      <c r="E47" s="2" t="str">
        <f>'Billing Detail'!D120</f>
        <v>Demand Charge - Contract per kW</v>
      </c>
      <c r="F47" s="66">
        <f>'Billing Detail'!H120</f>
        <v>6.02</v>
      </c>
      <c r="G47" s="66">
        <f>'Billing Detail'!L120</f>
        <v>6.2209346913067547</v>
      </c>
      <c r="J47" s="4">
        <f t="shared" si="3"/>
        <v>3.3377855698796477E-2</v>
      </c>
    </row>
    <row r="48" spans="3:10" ht="13.2" customHeight="1" x14ac:dyDescent="0.25">
      <c r="C48" s="13">
        <f>'Billing Detail'!C121</f>
        <v>33</v>
      </c>
      <c r="D48" s="100" t="str">
        <f>'Billing Detail'!B121</f>
        <v>Special Outdoor Lighting</v>
      </c>
      <c r="J48" s="4"/>
    </row>
    <row r="49" spans="3:10" ht="13.2" customHeight="1" x14ac:dyDescent="0.25">
      <c r="D49" s="100"/>
      <c r="E49" s="2" t="str">
        <f>'Billing Detail'!D122</f>
        <v>Energy Rate</v>
      </c>
      <c r="F49" s="67">
        <f>'Billing Detail'!H122</f>
        <v>5.6320000000000002E-2</v>
      </c>
      <c r="G49" s="67">
        <f>'Billing Detail'!L122</f>
        <v>5.8199840832956221E-2</v>
      </c>
      <c r="J49" s="4">
        <f t="shared" si="3"/>
        <v>3.3377855698796477E-2</v>
      </c>
    </row>
    <row r="50" spans="3:10" ht="13.2" customHeight="1" x14ac:dyDescent="0.25">
      <c r="C50" s="13" t="str">
        <f>'Billing Detail'!C123</f>
        <v>B3</v>
      </c>
      <c r="D50" s="100" t="str">
        <f>'Billing Detail'!B123</f>
        <v>Large Industrial Rate</v>
      </c>
      <c r="F50" s="66"/>
      <c r="G50" s="66"/>
      <c r="J50" s="4"/>
    </row>
    <row r="51" spans="3:10" ht="13.2" customHeight="1" x14ac:dyDescent="0.25">
      <c r="D51" s="100"/>
      <c r="E51" s="2" t="str">
        <f>'Billing Detail'!D124</f>
        <v>Customer Charge Transformer 10,000 - 14,999 kVA</v>
      </c>
      <c r="F51" s="66">
        <f>'Billing Detail'!H124</f>
        <v>3421.59</v>
      </c>
      <c r="G51" s="66">
        <f>'Billing Detail'!L124</f>
        <v>3535.795337280445</v>
      </c>
      <c r="J51" s="4">
        <f t="shared" si="3"/>
        <v>3.3377855698796477E-2</v>
      </c>
    </row>
    <row r="52" spans="3:10" ht="13.2" customHeight="1" x14ac:dyDescent="0.25">
      <c r="D52" s="100"/>
      <c r="E52" s="2" t="str">
        <f>'Billing Detail'!D125</f>
        <v>Customer Charge Transformer 15,000+ kVA</v>
      </c>
      <c r="F52" s="66">
        <f>'Billing Detail'!H125</f>
        <v>5430.92</v>
      </c>
      <c r="G52" s="66">
        <f>'Billing Detail'!L125</f>
        <v>5612.1924640717079</v>
      </c>
      <c r="J52" s="4">
        <f t="shared" si="3"/>
        <v>3.3377855698796477E-2</v>
      </c>
    </row>
    <row r="53" spans="3:10" ht="13.2" customHeight="1" x14ac:dyDescent="0.25">
      <c r="D53" s="100"/>
      <c r="E53" s="2" t="str">
        <f>'Billing Detail'!D126</f>
        <v>Demand Charge - Contract per kW</v>
      </c>
      <c r="F53" s="66">
        <f>'Billing Detail'!H126</f>
        <v>7.17</v>
      </c>
      <c r="G53" s="66">
        <f>'Billing Detail'!L126</f>
        <v>7.41</v>
      </c>
      <c r="J53" s="4">
        <f t="shared" si="3"/>
        <v>3.3472803347280422E-2</v>
      </c>
    </row>
    <row r="54" spans="3:10" ht="13.2" customHeight="1" x14ac:dyDescent="0.25">
      <c r="D54" s="100"/>
      <c r="E54" s="2" t="str">
        <f>'Billing Detail'!D127</f>
        <v>Demand Charge - Excess per kW</v>
      </c>
      <c r="F54" s="66">
        <f>'Billing Detail'!H127</f>
        <v>9.98</v>
      </c>
      <c r="G54" s="66">
        <f>'Billing Detail'!L127</f>
        <v>10.31</v>
      </c>
      <c r="J54" s="4">
        <f t="shared" si="3"/>
        <v>3.3066132264529147E-2</v>
      </c>
    </row>
    <row r="55" spans="3:10" ht="13.2" customHeight="1" x14ac:dyDescent="0.25">
      <c r="D55" s="100"/>
      <c r="E55" s="2" t="str">
        <f>'Billing Detail'!D128</f>
        <v>Energy Charge per kWh - All Over 200</v>
      </c>
      <c r="F55" s="67">
        <f>'Billing Detail'!H128</f>
        <v>4.1360000000000001E-2</v>
      </c>
      <c r="G55" s="67">
        <f>'Billing Detail'!L128</f>
        <v>4.274050811170222E-2</v>
      </c>
      <c r="J55" s="4">
        <f t="shared" si="3"/>
        <v>3.3377855698796477E-2</v>
      </c>
    </row>
    <row r="56" spans="3:10" ht="13.2" customHeight="1" x14ac:dyDescent="0.25">
      <c r="C56" s="13" t="str">
        <f>'Billing Detail'!C129</f>
        <v>C1</v>
      </c>
      <c r="D56" s="100" t="str">
        <f>'Billing Detail'!B129</f>
        <v>Large Industrial Rate</v>
      </c>
      <c r="F56" s="66"/>
      <c r="G56" s="66"/>
      <c r="J56" s="4"/>
    </row>
    <row r="57" spans="3:10" ht="13.2" customHeight="1" x14ac:dyDescent="0.25">
      <c r="D57" s="100"/>
      <c r="E57" s="2" t="str">
        <f>'Billing Detail'!D130</f>
        <v>Customer Charge</v>
      </c>
      <c r="F57" s="66">
        <f>'Billing Detail'!H130</f>
        <v>614.28</v>
      </c>
      <c r="G57" s="66">
        <f>'Billing Detail'!L130</f>
        <v>634.78334919865665</v>
      </c>
      <c r="J57" s="4">
        <f t="shared" si="3"/>
        <v>3.3377855698796477E-2</v>
      </c>
    </row>
    <row r="58" spans="3:10" ht="13.2" customHeight="1" x14ac:dyDescent="0.25">
      <c r="D58" s="100"/>
      <c r="E58" s="2" t="str">
        <f>'Billing Detail'!D131</f>
        <v>Energy Charge per kWh</v>
      </c>
      <c r="F58" s="67">
        <f>'Billing Detail'!H131</f>
        <v>4.8259999999999997E-2</v>
      </c>
      <c r="G58" s="67">
        <f>'Billing Detail'!L131</f>
        <v>4.9870815316023914E-2</v>
      </c>
      <c r="J58" s="4">
        <f t="shared" si="3"/>
        <v>3.3377855698796477E-2</v>
      </c>
    </row>
    <row r="59" spans="3:10" ht="13.2" customHeight="1" x14ac:dyDescent="0.25">
      <c r="D59" s="100"/>
      <c r="E59" s="2" t="str">
        <f>'Billing Detail'!D132</f>
        <v>Demand Charge per kW</v>
      </c>
      <c r="F59" s="66">
        <f>'Billing Detail'!H132</f>
        <v>7.17</v>
      </c>
      <c r="G59" s="66">
        <f>'Billing Detail'!L132</f>
        <v>7.41</v>
      </c>
      <c r="J59" s="4">
        <f t="shared" si="3"/>
        <v>3.3472803347280422E-2</v>
      </c>
    </row>
    <row r="60" spans="3:10" ht="13.2" customHeight="1" x14ac:dyDescent="0.25">
      <c r="C60" s="13" t="str">
        <f>'Billing Detail'!C133</f>
        <v>C2</v>
      </c>
      <c r="D60" s="100" t="str">
        <f>'Billing Detail'!B133</f>
        <v>Large Industrial Rate</v>
      </c>
      <c r="F60" s="66"/>
      <c r="G60" s="66"/>
      <c r="J60" s="4"/>
    </row>
    <row r="61" spans="3:10" ht="13.2" customHeight="1" x14ac:dyDescent="0.25">
      <c r="D61" s="100"/>
      <c r="E61" s="2" t="str">
        <f>'Billing Detail'!D134</f>
        <v>Customer Charge</v>
      </c>
      <c r="F61" s="66">
        <f>'Billing Detail'!H134</f>
        <v>1227.4100000000001</v>
      </c>
      <c r="G61" s="66">
        <f>'Billing Detail'!L134</f>
        <v>1268.3783138632598</v>
      </c>
      <c r="J61" s="4">
        <f t="shared" si="3"/>
        <v>3.3377855698796477E-2</v>
      </c>
    </row>
    <row r="62" spans="3:10" ht="13.2" customHeight="1" x14ac:dyDescent="0.25">
      <c r="D62" s="100"/>
      <c r="E62" s="2" t="str">
        <f>'Billing Detail'!D135</f>
        <v>Energy Charge per kWh</v>
      </c>
      <c r="F62" s="67">
        <f>'Billing Detail'!H135</f>
        <v>4.1959999999999997E-2</v>
      </c>
      <c r="G62" s="67">
        <f>'Billing Detail'!L135</f>
        <v>4.3360534825121498E-2</v>
      </c>
      <c r="J62" s="4">
        <f t="shared" si="3"/>
        <v>3.3377855698796477E-2</v>
      </c>
    </row>
    <row r="63" spans="3:10" ht="13.2" customHeight="1" x14ac:dyDescent="0.25">
      <c r="D63" s="100"/>
      <c r="E63" s="2" t="str">
        <f>'Billing Detail'!D136</f>
        <v>Demand Charge per kW</v>
      </c>
      <c r="F63" s="66">
        <f>'Billing Detail'!H136</f>
        <v>7.17</v>
      </c>
      <c r="G63" s="66">
        <f>'Billing Detail'!L136</f>
        <v>7.41</v>
      </c>
      <c r="J63" s="4">
        <f t="shared" si="3"/>
        <v>3.3472803347280422E-2</v>
      </c>
    </row>
    <row r="64" spans="3:10" ht="13.2" customHeight="1" x14ac:dyDescent="0.25">
      <c r="C64" s="13" t="str">
        <f>'Billing Detail'!C137</f>
        <v>C3</v>
      </c>
      <c r="D64" s="100" t="str">
        <f>'Billing Detail'!B137</f>
        <v>Large Industrial Rate</v>
      </c>
      <c r="F64" s="66"/>
      <c r="G64" s="66"/>
      <c r="J64" s="4"/>
    </row>
    <row r="65" spans="3:10" ht="13.2" customHeight="1" x14ac:dyDescent="0.25">
      <c r="D65" s="100"/>
      <c r="E65" s="2" t="str">
        <f>'Billing Detail'!D138</f>
        <v>Customer Charge Transformer 10,000 - 14,999 kVA</v>
      </c>
      <c r="F65" s="66">
        <f>'Billing Detail'!H138</f>
        <v>3421.59</v>
      </c>
      <c r="G65" s="66">
        <f>'Billing Detail'!L138</f>
        <v>3535.795337280445</v>
      </c>
      <c r="J65" s="4">
        <f t="shared" si="3"/>
        <v>3.3377855698796477E-2</v>
      </c>
    </row>
    <row r="66" spans="3:10" ht="13.2" customHeight="1" x14ac:dyDescent="0.25">
      <c r="D66" s="100"/>
      <c r="E66" s="2" t="str">
        <f>'Billing Detail'!D139</f>
        <v>Customer Charge Transformer 15,000+ kVA</v>
      </c>
      <c r="F66" s="66">
        <f>'Billing Detail'!H139</f>
        <v>5430.92</v>
      </c>
      <c r="G66" s="66">
        <f>'Billing Detail'!L139</f>
        <v>5612.1924640717079</v>
      </c>
      <c r="J66" s="4">
        <f t="shared" si="3"/>
        <v>3.3377855698796477E-2</v>
      </c>
    </row>
    <row r="67" spans="3:10" ht="13.2" customHeight="1" x14ac:dyDescent="0.25">
      <c r="E67" s="2" t="str">
        <f>'Billing Detail'!D140</f>
        <v>Demand Charge - Contract per kW</v>
      </c>
      <c r="F67" s="66">
        <f>'Billing Detail'!H140</f>
        <v>7.17</v>
      </c>
      <c r="G67" s="66">
        <f>'Billing Detail'!L140</f>
        <v>7.41</v>
      </c>
      <c r="J67" s="4">
        <f t="shared" si="3"/>
        <v>3.3472803347280422E-2</v>
      </c>
    </row>
    <row r="68" spans="3:10" ht="13.2" customHeight="1" x14ac:dyDescent="0.25">
      <c r="E68" s="2" t="str">
        <f>'Billing Detail'!D141</f>
        <v>Energy Charge per kWh - All Over 200</v>
      </c>
      <c r="F68" s="67">
        <f>'Billing Detail'!H141</f>
        <v>4.1360000000000001E-2</v>
      </c>
      <c r="G68" s="67">
        <f>'Billing Detail'!L141</f>
        <v>4.274050811170222E-2</v>
      </c>
      <c r="J68" s="4">
        <f t="shared" si="3"/>
        <v>3.3377855698796477E-2</v>
      </c>
    </row>
    <row r="69" spans="3:10" ht="13.2" customHeight="1" x14ac:dyDescent="0.25">
      <c r="F69" s="66"/>
      <c r="G69" s="66"/>
    </row>
    <row r="70" spans="3:10" ht="13.2" customHeight="1" x14ac:dyDescent="0.25">
      <c r="F70" s="66"/>
      <c r="G70" s="66"/>
    </row>
    <row r="71" spans="3:10" ht="41.4" customHeight="1" x14ac:dyDescent="0.25">
      <c r="C71" s="153" t="s">
        <v>53</v>
      </c>
      <c r="D71" s="153"/>
      <c r="E71" s="153"/>
      <c r="F71" s="153"/>
      <c r="G71" s="153"/>
    </row>
    <row r="72" spans="3:10" x14ac:dyDescent="0.25">
      <c r="D72" s="2"/>
      <c r="F72" s="154" t="s">
        <v>54</v>
      </c>
      <c r="G72" s="154"/>
    </row>
    <row r="73" spans="3:10" x14ac:dyDescent="0.25">
      <c r="C73" s="87" t="s">
        <v>55</v>
      </c>
      <c r="D73" s="76"/>
      <c r="E73" s="77"/>
      <c r="F73" s="78" t="s">
        <v>56</v>
      </c>
      <c r="G73" s="78" t="s">
        <v>57</v>
      </c>
    </row>
    <row r="74" spans="3:10" x14ac:dyDescent="0.25">
      <c r="C74" s="88">
        <f>Summary!C8</f>
        <v>12</v>
      </c>
      <c r="D74" s="3" t="str">
        <f>Summary!B8</f>
        <v>Residential Service</v>
      </c>
      <c r="F74" s="79">
        <f>Summary!L8</f>
        <v>739248.90839999914</v>
      </c>
      <c r="G74" s="80">
        <f>Summary!N8</f>
        <v>3.1083291785179844E-2</v>
      </c>
    </row>
    <row r="75" spans="3:10" x14ac:dyDescent="0.25">
      <c r="C75" s="88">
        <f>Summary!C9</f>
        <v>9</v>
      </c>
      <c r="D75" s="3" t="str">
        <f>Summary!B9</f>
        <v>Off Peak Retail Marketing (ETS)</v>
      </c>
      <c r="F75" s="79">
        <f>Summary!L9</f>
        <v>386.60215999999855</v>
      </c>
      <c r="G75" s="80">
        <f>Summary!N9</f>
        <v>3.2482598607888505E-2</v>
      </c>
      <c r="H75" s="1"/>
    </row>
    <row r="76" spans="3:10" x14ac:dyDescent="0.25">
      <c r="C76" s="88">
        <f>Summary!C10</f>
        <v>2</v>
      </c>
      <c r="D76" s="3" t="str">
        <f>Summary!B10</f>
        <v>Large Power Service &gt; 50 kW</v>
      </c>
      <c r="F76" s="79">
        <f>Summary!L10</f>
        <v>136844.50109999994</v>
      </c>
      <c r="G76" s="80">
        <f>Summary!N10</f>
        <v>3.1426733745572095E-2</v>
      </c>
      <c r="H76" s="1"/>
    </row>
    <row r="77" spans="3:10" x14ac:dyDescent="0.25">
      <c r="C77" s="88">
        <f>Summary!C11</f>
        <v>11</v>
      </c>
      <c r="D77" s="3" t="str">
        <f>Summary!B11</f>
        <v>General Service &lt; 50kW</v>
      </c>
      <c r="F77" s="79">
        <f>Summary!L11</f>
        <v>138968.32517999993</v>
      </c>
      <c r="G77" s="80">
        <f>Summary!N11</f>
        <v>3.1054051550890364E-2</v>
      </c>
      <c r="H77" s="1"/>
    </row>
    <row r="78" spans="3:10" x14ac:dyDescent="0.25">
      <c r="C78" s="88" t="str">
        <f>Summary!C12</f>
        <v>B1</v>
      </c>
      <c r="D78" s="3" t="str">
        <f>Summary!B12</f>
        <v>Large Industrial Rate (500 kW to 4,999 kW)</v>
      </c>
      <c r="F78" s="79">
        <f>Summary!L12</f>
        <v>286516.67397999985</v>
      </c>
      <c r="G78" s="80">
        <f>Summary!N12</f>
        <v>3.1523271138906864E-2</v>
      </c>
      <c r="H78" s="1"/>
    </row>
    <row r="79" spans="3:10" x14ac:dyDescent="0.25">
      <c r="C79" s="88" t="str">
        <f>Summary!C13</f>
        <v>B2</v>
      </c>
      <c r="D79" s="3" t="str">
        <f>Summary!B13</f>
        <v>Large Industrial Rate (5,000 kW to 9,999 kW)</v>
      </c>
      <c r="F79" s="79">
        <f>Summary!L13</f>
        <v>122737.57580000043</v>
      </c>
      <c r="G79" s="80">
        <f>Summary!N13</f>
        <v>3.2000081155435726E-2</v>
      </c>
      <c r="H79" s="1"/>
    </row>
    <row r="80" spans="3:10" x14ac:dyDescent="0.25">
      <c r="C80" s="88">
        <f>Summary!C14</f>
        <v>3</v>
      </c>
      <c r="D80" s="3" t="str">
        <f>Summary!B14</f>
        <v>Outdoor &amp; Street Lighting</v>
      </c>
      <c r="F80" s="79">
        <f>Summary!L14</f>
        <v>19350.45000000007</v>
      </c>
      <c r="G80" s="80">
        <f>Summary!N14</f>
        <v>3.3164097537198962E-2</v>
      </c>
      <c r="H80" s="1"/>
    </row>
    <row r="81" spans="3:8" x14ac:dyDescent="0.25">
      <c r="C81" s="92" t="s">
        <v>58</v>
      </c>
      <c r="D81" s="81"/>
      <c r="E81" s="81"/>
      <c r="F81" s="82">
        <f>Summary!L26</f>
        <v>1444053.0366199985</v>
      </c>
      <c r="G81" s="83">
        <f>Summary!N26</f>
        <v>3.1302460859474454E-2</v>
      </c>
    </row>
    <row r="82" spans="3:8" x14ac:dyDescent="0.25">
      <c r="C82" s="88"/>
      <c r="D82" s="2"/>
      <c r="F82" s="84"/>
      <c r="G82" s="85"/>
    </row>
    <row r="83" spans="3:8" x14ac:dyDescent="0.25">
      <c r="D83" s="2"/>
    </row>
    <row r="84" spans="3:8" ht="40.200000000000003" customHeight="1" x14ac:dyDescent="0.25">
      <c r="C84" s="153" t="s">
        <v>59</v>
      </c>
      <c r="D84" s="153"/>
      <c r="E84" s="153"/>
      <c r="F84" s="153"/>
      <c r="G84" s="153"/>
      <c r="H84" s="153"/>
    </row>
    <row r="85" spans="3:8" x14ac:dyDescent="0.25">
      <c r="D85" s="2"/>
      <c r="E85" s="86" t="s">
        <v>18</v>
      </c>
      <c r="F85" s="154" t="s">
        <v>54</v>
      </c>
      <c r="G85" s="154"/>
    </row>
    <row r="86" spans="3:8" x14ac:dyDescent="0.25">
      <c r="C86" s="87" t="s">
        <v>55</v>
      </c>
      <c r="D86" s="77"/>
      <c r="E86" s="87" t="s">
        <v>60</v>
      </c>
      <c r="F86" s="78" t="s">
        <v>56</v>
      </c>
      <c r="G86" s="78" t="s">
        <v>57</v>
      </c>
    </row>
    <row r="87" spans="3:8" x14ac:dyDescent="0.25">
      <c r="C87" s="13">
        <f>Summary!C8</f>
        <v>12</v>
      </c>
      <c r="D87" s="96" t="str">
        <f>Summary!B8</f>
        <v>Residential Service</v>
      </c>
      <c r="E87" s="89">
        <f>'Billing Detail'!E17</f>
        <v>1419.7899825735005</v>
      </c>
      <c r="F87" s="66">
        <f>'Billing Detail'!N17</f>
        <v>4.6173909494631289</v>
      </c>
      <c r="G87" s="4">
        <f>Summary!N8</f>
        <v>3.1083291785179844E-2</v>
      </c>
    </row>
    <row r="88" spans="3:8" x14ac:dyDescent="0.25">
      <c r="C88" s="13">
        <f>Summary!C9</f>
        <v>9</v>
      </c>
      <c r="D88" s="96" t="str">
        <f>Summary!B9</f>
        <v>Off Peak Retail Marketing (ETS)</v>
      </c>
      <c r="E88" s="90" t="s">
        <v>61</v>
      </c>
      <c r="F88" s="66">
        <v>0</v>
      </c>
      <c r="G88" s="4">
        <f>Summary!N9</f>
        <v>3.2482598607888505E-2</v>
      </c>
    </row>
    <row r="89" spans="3:8" x14ac:dyDescent="0.25">
      <c r="C89" s="13">
        <f>Summary!C10</f>
        <v>2</v>
      </c>
      <c r="D89" s="96" t="str">
        <f>Summary!B10</f>
        <v>Large Power Service &gt; 50 kW</v>
      </c>
      <c r="E89" s="89">
        <f>'Billing Detail'!E41</f>
        <v>73572.668079096038</v>
      </c>
      <c r="F89" s="66">
        <f>'Billing Detail'!N41</f>
        <v>193.28319364406798</v>
      </c>
      <c r="G89" s="4">
        <f>Summary!N10</f>
        <v>3.1426733745572095E-2</v>
      </c>
    </row>
    <row r="90" spans="3:8" x14ac:dyDescent="0.25">
      <c r="C90" s="13">
        <f>Summary!C11</f>
        <v>11</v>
      </c>
      <c r="D90" s="96" t="str">
        <f>Summary!B11</f>
        <v>General Service &lt; 50kW</v>
      </c>
      <c r="E90" s="89">
        <f>'Billing Detail'!E54</f>
        <v>981.50184693824463</v>
      </c>
      <c r="F90" s="66">
        <f>'Billing Detail'!N54</f>
        <v>3.6150128812236773</v>
      </c>
      <c r="G90" s="4">
        <f>Summary!N11</f>
        <v>3.1054051550890364E-2</v>
      </c>
    </row>
    <row r="91" spans="3:8" x14ac:dyDescent="0.25">
      <c r="C91" s="13" t="str">
        <f>Summary!C12</f>
        <v>B1</v>
      </c>
      <c r="D91" s="96" t="str">
        <f>Summary!B12</f>
        <v>Large Industrial Rate (500 kW to 4,999 kW)</v>
      </c>
      <c r="E91" s="89">
        <f>'Billing Detail'!E68</f>
        <v>784819.63313609466</v>
      </c>
      <c r="F91" s="66">
        <f>'Billing Detail'!N68</f>
        <v>1695.3649347928949</v>
      </c>
      <c r="G91" s="4">
        <f>Summary!N12</f>
        <v>3.1523271138906864E-2</v>
      </c>
    </row>
    <row r="92" spans="3:8" x14ac:dyDescent="0.25">
      <c r="C92" s="13" t="str">
        <f>Summary!C13</f>
        <v>B2</v>
      </c>
      <c r="D92" s="96" t="str">
        <f>Summary!B13</f>
        <v>Large Industrial Rate (5,000 kW to 9,999 kW)</v>
      </c>
      <c r="E92" s="89">
        <f>'Billing Detail'!E82</f>
        <v>4019408.0833333335</v>
      </c>
      <c r="F92" s="66">
        <f>'Billing Detail'!N82</f>
        <v>10228.131316666724</v>
      </c>
      <c r="G92" s="4">
        <f>Summary!N13</f>
        <v>3.2000081155435726E-2</v>
      </c>
    </row>
    <row r="93" spans="3:8" x14ac:dyDescent="0.25">
      <c r="C93" s="13">
        <f>Summary!C14</f>
        <v>3</v>
      </c>
      <c r="D93" s="96" t="str">
        <f>Summary!B14</f>
        <v>Outdoor &amp; Street Lighting</v>
      </c>
      <c r="E93" s="94" t="s">
        <v>61</v>
      </c>
      <c r="F93" s="93" t="s">
        <v>61</v>
      </c>
      <c r="G93" s="4">
        <f>Summary!N14</f>
        <v>3.3164097537198962E-2</v>
      </c>
    </row>
  </sheetData>
  <mergeCells count="4">
    <mergeCell ref="C71:G71"/>
    <mergeCell ref="F72:G72"/>
    <mergeCell ref="C84:H84"/>
    <mergeCell ref="F85:G85"/>
  </mergeCells>
  <printOptions horizontalCentered="1"/>
  <pageMargins left="0.7" right="0.7" top="0.75" bottom="0.75" header="0.3" footer="0.3"/>
  <pageSetup paperSize="9" scale="78" orientation="portrait" r:id="rId1"/>
  <headerFooter>
    <oddHeader>&amp;R&amp;"Arial,Bold"&amp;10Exhibit 2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2021-03-24T17:39:53Z</cp:lastPrinted>
  <dcterms:created xsi:type="dcterms:W3CDTF">2021-02-09T02:13:44Z</dcterms:created>
  <dcterms:modified xsi:type="dcterms:W3CDTF">2021-07-27T15:16:15Z</dcterms:modified>
</cp:coreProperties>
</file>