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helby\Analysis\"/>
    </mc:Choice>
  </mc:AlternateContent>
  <xr:revisionPtr revIDLastSave="0" documentId="13_ncr:1_{BA217011-9B0E-42F2-BE14-7A902F74BC8E}" xr6:coauthVersionLast="46" xr6:coauthVersionMax="46" xr10:uidLastSave="{00000000-0000-0000-0000-000000000000}"/>
  <bookViews>
    <workbookView xWindow="-108" yWindow="-108" windowWidth="23256" windowHeight="12576" activeTab="3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Detail'!$A$1:$R$113</definedName>
    <definedName name="_xlnm.Print_Area" localSheetId="2">'Notice Table'!$A$1:$G$37</definedName>
    <definedName name="_xlnm.Print_Area" localSheetId="0">Summary!$A$1:$O$29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I62" i="1"/>
  <c r="I48" i="1"/>
  <c r="I35" i="1"/>
  <c r="I22" i="1"/>
  <c r="I11" i="1"/>
  <c r="E82" i="1"/>
  <c r="E68" i="1"/>
  <c r="E58" i="1"/>
  <c r="E54" i="1"/>
  <c r="E41" i="1"/>
  <c r="E28" i="1"/>
  <c r="E9" i="1"/>
  <c r="E17" i="1" s="1"/>
  <c r="E8" i="1"/>
  <c r="E101" i="1" l="1"/>
  <c r="E25" i="3"/>
  <c r="F25" i="3"/>
  <c r="E26" i="3"/>
  <c r="F26" i="3"/>
  <c r="E27" i="3"/>
  <c r="F27" i="3"/>
  <c r="E20" i="3"/>
  <c r="F20" i="3"/>
  <c r="E21" i="3"/>
  <c r="F21" i="3"/>
  <c r="E22" i="3"/>
  <c r="F22" i="3"/>
  <c r="E19" i="3"/>
  <c r="F19" i="3"/>
  <c r="E16" i="3"/>
  <c r="F16" i="3"/>
  <c r="E17" i="3"/>
  <c r="F17" i="3"/>
  <c r="E66" i="3"/>
  <c r="F66" i="3"/>
  <c r="E67" i="3"/>
  <c r="F67" i="3"/>
  <c r="E68" i="3"/>
  <c r="F68" i="3"/>
  <c r="F65" i="3"/>
  <c r="E65" i="3"/>
  <c r="D64" i="3"/>
  <c r="C64" i="3"/>
  <c r="E62" i="3"/>
  <c r="F62" i="3"/>
  <c r="E63" i="3"/>
  <c r="F63" i="3"/>
  <c r="F61" i="3"/>
  <c r="E61" i="3"/>
  <c r="D60" i="3"/>
  <c r="C60" i="3"/>
  <c r="E58" i="3"/>
  <c r="F58" i="3"/>
  <c r="E59" i="3"/>
  <c r="F59" i="3"/>
  <c r="F57" i="3"/>
  <c r="E57" i="3"/>
  <c r="D56" i="3"/>
  <c r="C56" i="3"/>
  <c r="E52" i="3"/>
  <c r="F52" i="3"/>
  <c r="E53" i="3"/>
  <c r="F53" i="3"/>
  <c r="E54" i="3"/>
  <c r="F54" i="3"/>
  <c r="E55" i="3"/>
  <c r="F55" i="3"/>
  <c r="F51" i="3"/>
  <c r="E51" i="3"/>
  <c r="D50" i="3"/>
  <c r="C50" i="3"/>
  <c r="F49" i="3"/>
  <c r="E49" i="3"/>
  <c r="D48" i="3"/>
  <c r="C48" i="3"/>
  <c r="E44" i="3"/>
  <c r="F44" i="3"/>
  <c r="E45" i="3"/>
  <c r="F45" i="3"/>
  <c r="E46" i="3"/>
  <c r="F46" i="3"/>
  <c r="E47" i="3"/>
  <c r="F47" i="3"/>
  <c r="F43" i="3"/>
  <c r="E43" i="3"/>
  <c r="D42" i="3"/>
  <c r="C42" i="3"/>
  <c r="A140" i="1"/>
  <c r="A141" i="1"/>
  <c r="A142" i="1" s="1"/>
  <c r="A143" i="1" s="1"/>
  <c r="A144" i="1" s="1"/>
  <c r="G41" i="3"/>
  <c r="J41" i="3" s="1"/>
  <c r="F74" i="1" l="1"/>
  <c r="F60" i="1"/>
  <c r="F46" i="1"/>
  <c r="F32" i="1"/>
  <c r="F20" i="1"/>
  <c r="F9" i="1"/>
  <c r="F73" i="1"/>
  <c r="F72" i="1"/>
  <c r="F59" i="1"/>
  <c r="F58" i="1"/>
  <c r="F33" i="1"/>
  <c r="F71" i="1"/>
  <c r="F57" i="1"/>
  <c r="F45" i="1"/>
  <c r="F44" i="1"/>
  <c r="F49" i="1"/>
  <c r="F50" i="1"/>
  <c r="F31" i="1"/>
  <c r="F8" i="1"/>
  <c r="I96" i="1"/>
  <c r="I95" i="1"/>
  <c r="N108" i="1"/>
  <c r="G108" i="1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G12" i="1"/>
  <c r="G106" i="1" s="1"/>
  <c r="G11" i="1"/>
  <c r="G105" i="1" s="1"/>
  <c r="F13" i="1"/>
  <c r="G13" i="1" s="1"/>
  <c r="G107" i="1" s="1"/>
  <c r="I58" i="1" l="1"/>
  <c r="I72" i="1"/>
  <c r="G72" i="1"/>
  <c r="I73" i="1"/>
  <c r="G73" i="1"/>
  <c r="I59" i="1"/>
  <c r="G59" i="1"/>
  <c r="I45" i="1"/>
  <c r="G45" i="1"/>
  <c r="G58" i="1" l="1"/>
  <c r="E92" i="3" l="1"/>
  <c r="E91" i="3"/>
  <c r="E90" i="3"/>
  <c r="E89" i="3"/>
  <c r="I105" i="1" l="1"/>
  <c r="E87" i="3"/>
  <c r="E30" i="3" l="1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F29" i="3"/>
  <c r="E29" i="3"/>
  <c r="C28" i="3"/>
  <c r="D28" i="3"/>
  <c r="F24" i="3"/>
  <c r="E24" i="3"/>
  <c r="C23" i="3"/>
  <c r="D23" i="3"/>
  <c r="C18" i="3"/>
  <c r="D18" i="3"/>
  <c r="E15" i="3"/>
  <c r="C14" i="3"/>
  <c r="D14" i="3"/>
  <c r="E12" i="3"/>
  <c r="F12" i="3"/>
  <c r="E13" i="3"/>
  <c r="F13" i="3"/>
  <c r="F11" i="3"/>
  <c r="E11" i="3"/>
  <c r="C10" i="3"/>
  <c r="D10" i="3"/>
  <c r="E9" i="3"/>
  <c r="C8" i="3"/>
  <c r="D8" i="3"/>
  <c r="E7" i="3"/>
  <c r="F7" i="3"/>
  <c r="F40" i="3" s="1"/>
  <c r="F6" i="3"/>
  <c r="E6" i="3"/>
  <c r="C5" i="3"/>
  <c r="D5" i="3"/>
  <c r="R15" i="2"/>
  <c r="S14" i="2" l="1"/>
  <c r="S9" i="2"/>
  <c r="S10" i="2"/>
  <c r="S11" i="2"/>
  <c r="S12" i="2"/>
  <c r="S13" i="2"/>
  <c r="S8" i="2"/>
  <c r="S15" i="2"/>
  <c r="F15" i="3" l="1"/>
  <c r="F9" i="3"/>
  <c r="H17" i="2"/>
  <c r="A1" i="3" l="1"/>
  <c r="L27" i="2" l="1"/>
  <c r="C13" i="2" l="1"/>
  <c r="B13" i="2"/>
  <c r="C11" i="2"/>
  <c r="I74" i="1"/>
  <c r="G74" i="1"/>
  <c r="C79" i="3" l="1"/>
  <c r="C92" i="3"/>
  <c r="Q13" i="2"/>
  <c r="C90" i="3"/>
  <c r="Q11" i="2"/>
  <c r="C77" i="3"/>
  <c r="D79" i="3"/>
  <c r="D92" i="3"/>
  <c r="I60" i="1"/>
  <c r="G60" i="1"/>
  <c r="I20" i="1"/>
  <c r="G20" i="1"/>
  <c r="G80" i="1" l="1"/>
  <c r="I79" i="1"/>
  <c r="M79" i="1" s="1"/>
  <c r="I78" i="1"/>
  <c r="M78" i="1" s="1"/>
  <c r="N78" i="1" s="1"/>
  <c r="I77" i="1"/>
  <c r="M77" i="1" s="1"/>
  <c r="N77" i="1" s="1"/>
  <c r="M76" i="1"/>
  <c r="I71" i="1"/>
  <c r="G71" i="1"/>
  <c r="I46" i="1"/>
  <c r="G46" i="1"/>
  <c r="I32" i="1"/>
  <c r="G32" i="1"/>
  <c r="I75" i="1" l="1"/>
  <c r="G75" i="1"/>
  <c r="N76" i="1"/>
  <c r="M80" i="1"/>
  <c r="I80" i="1"/>
  <c r="G81" i="1" l="1"/>
  <c r="G82" i="1" s="1"/>
  <c r="D13" i="2"/>
  <c r="E13" i="2"/>
  <c r="I81" i="1"/>
  <c r="I82" i="1" s="1"/>
  <c r="N80" i="1"/>
  <c r="O8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l="1"/>
  <c r="A119" i="1" s="1"/>
  <c r="A118" i="1"/>
  <c r="A121" i="1" s="1"/>
  <c r="A122" i="1" s="1"/>
  <c r="A123" i="1" s="1"/>
  <c r="A124" i="1" s="1"/>
  <c r="A125" i="1" s="1"/>
  <c r="A126" i="1" s="1"/>
  <c r="A127" i="1" s="1"/>
  <c r="A128" i="1" s="1"/>
  <c r="A129" i="1" s="1"/>
  <c r="T13" i="2"/>
  <c r="J75" i="1"/>
  <c r="I65" i="1"/>
  <c r="M65" i="1" s="1"/>
  <c r="I64" i="1"/>
  <c r="M64" i="1" s="1"/>
  <c r="I63" i="1"/>
  <c r="M63" i="1" s="1"/>
  <c r="I51" i="1"/>
  <c r="M51" i="1" s="1"/>
  <c r="I50" i="1"/>
  <c r="M50" i="1" s="1"/>
  <c r="I49" i="1"/>
  <c r="M49" i="1" s="1"/>
  <c r="I38" i="1"/>
  <c r="M38" i="1" s="1"/>
  <c r="I36" i="1"/>
  <c r="I25" i="1"/>
  <c r="M25" i="1" s="1"/>
  <c r="I24" i="1"/>
  <c r="M24" i="1" s="1"/>
  <c r="I23" i="1"/>
  <c r="M23" i="1" s="1"/>
  <c r="I14" i="1"/>
  <c r="I13" i="1"/>
  <c r="I12" i="1"/>
  <c r="B23" i="2"/>
  <c r="A117" i="1" l="1"/>
  <c r="A120" i="1" s="1"/>
  <c r="A130" i="1"/>
  <c r="A131" i="1" s="1"/>
  <c r="A132" i="1" s="1"/>
  <c r="A133" i="1" s="1"/>
  <c r="A134" i="1" s="1"/>
  <c r="A135" i="1" s="1"/>
  <c r="A136" i="1" s="1"/>
  <c r="A137" i="1" s="1"/>
  <c r="A138" i="1" s="1"/>
  <c r="A139" i="1" s="1"/>
  <c r="I108" i="1"/>
  <c r="I106" i="1"/>
  <c r="E23" i="2"/>
  <c r="M13" i="1"/>
  <c r="M12" i="1"/>
  <c r="M14" i="1"/>
  <c r="M108" i="1" s="1"/>
  <c r="I26" i="1"/>
  <c r="I52" i="1"/>
  <c r="M36" i="1"/>
  <c r="G39" i="1"/>
  <c r="I37" i="1"/>
  <c r="M37" i="1" s="1"/>
  <c r="G15" i="1"/>
  <c r="G66" i="1"/>
  <c r="D23" i="2"/>
  <c r="G52" i="1"/>
  <c r="G26" i="1"/>
  <c r="I107" i="1" l="1"/>
  <c r="J23" i="2"/>
  <c r="I15" i="1"/>
  <c r="I66" i="1"/>
  <c r="I39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E22" i="2" l="1"/>
  <c r="E21" i="2"/>
  <c r="D22" i="2"/>
  <c r="D21" i="2"/>
  <c r="C10" i="2"/>
  <c r="C12" i="2"/>
  <c r="C14" i="2"/>
  <c r="B14" i="2"/>
  <c r="B12" i="2"/>
  <c r="B11" i="2"/>
  <c r="B10" i="2"/>
  <c r="C9" i="2"/>
  <c r="C8" i="2"/>
  <c r="B9" i="2"/>
  <c r="B8" i="2"/>
  <c r="N50" i="1"/>
  <c r="N49" i="1"/>
  <c r="M48" i="1"/>
  <c r="I44" i="1"/>
  <c r="G44" i="1"/>
  <c r="N24" i="1"/>
  <c r="N23" i="1"/>
  <c r="M22" i="1"/>
  <c r="N36" i="1"/>
  <c r="M35" i="1"/>
  <c r="I33" i="1"/>
  <c r="G33" i="1"/>
  <c r="I31" i="1"/>
  <c r="G31" i="1"/>
  <c r="N64" i="1"/>
  <c r="N63" i="1"/>
  <c r="M62" i="1"/>
  <c r="I57" i="1"/>
  <c r="G57" i="1"/>
  <c r="C76" i="3" l="1"/>
  <c r="C89" i="3"/>
  <c r="Q10" i="2"/>
  <c r="C88" i="3"/>
  <c r="Q9" i="2"/>
  <c r="C75" i="3"/>
  <c r="Q8" i="2"/>
  <c r="C87" i="3"/>
  <c r="C74" i="3"/>
  <c r="C93" i="3"/>
  <c r="Q14" i="2"/>
  <c r="C80" i="3"/>
  <c r="C78" i="3"/>
  <c r="Q12" i="2"/>
  <c r="C91" i="3"/>
  <c r="D80" i="3"/>
  <c r="D93" i="3"/>
  <c r="D78" i="3"/>
  <c r="D91" i="3"/>
  <c r="D77" i="3"/>
  <c r="D90" i="3"/>
  <c r="D89" i="3"/>
  <c r="D76" i="3"/>
  <c r="D88" i="3"/>
  <c r="D75" i="3"/>
  <c r="D87" i="3"/>
  <c r="D74" i="3"/>
  <c r="N22" i="1"/>
  <c r="M26" i="1"/>
  <c r="N62" i="1"/>
  <c r="M66" i="1"/>
  <c r="N48" i="1"/>
  <c r="M52" i="1"/>
  <c r="N35" i="1"/>
  <c r="M39" i="1"/>
  <c r="E20" i="2"/>
  <c r="E24" i="2" s="1"/>
  <c r="G47" i="1"/>
  <c r="D11" i="2" s="1"/>
  <c r="D20" i="2"/>
  <c r="D24" i="2" s="1"/>
  <c r="G21" i="1"/>
  <c r="D9" i="2" s="1"/>
  <c r="I47" i="1"/>
  <c r="I21" i="1"/>
  <c r="G34" i="1"/>
  <c r="N37" i="1"/>
  <c r="I34" i="1"/>
  <c r="J33" i="1" s="1"/>
  <c r="I61" i="1"/>
  <c r="G61" i="1"/>
  <c r="G85" i="1"/>
  <c r="I85" i="1"/>
  <c r="G99" i="1"/>
  <c r="G109" i="1" s="1"/>
  <c r="M97" i="1"/>
  <c r="M107" i="1" s="1"/>
  <c r="M96" i="1"/>
  <c r="M106" i="1" s="1"/>
  <c r="M95" i="1"/>
  <c r="B21" i="2"/>
  <c r="B22" i="2"/>
  <c r="B20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M105" i="1" l="1"/>
  <c r="N39" i="1"/>
  <c r="M15" i="1"/>
  <c r="N95" i="1"/>
  <c r="J20" i="1"/>
  <c r="E11" i="2"/>
  <c r="N96" i="1"/>
  <c r="N97" i="1"/>
  <c r="J22" i="2"/>
  <c r="J32" i="1"/>
  <c r="J31" i="1"/>
  <c r="G53" i="1"/>
  <c r="G54" i="1" s="1"/>
  <c r="G27" i="1"/>
  <c r="G28" i="1" s="1"/>
  <c r="N12" i="1"/>
  <c r="J21" i="2"/>
  <c r="N13" i="1"/>
  <c r="G40" i="1"/>
  <c r="G41" i="1" s="1"/>
  <c r="D10" i="2"/>
  <c r="I53" i="1"/>
  <c r="I54" i="1" s="1"/>
  <c r="G67" i="1"/>
  <c r="G68" i="1" s="1"/>
  <c r="D12" i="2"/>
  <c r="I67" i="1"/>
  <c r="I68" i="1" s="1"/>
  <c r="E12" i="2"/>
  <c r="I40" i="1"/>
  <c r="I41" i="1" s="1"/>
  <c r="E10" i="2"/>
  <c r="I27" i="1"/>
  <c r="I28" i="1" s="1"/>
  <c r="E9" i="2"/>
  <c r="N52" i="1"/>
  <c r="O52" i="1" s="1"/>
  <c r="N26" i="1"/>
  <c r="O26" i="1" s="1"/>
  <c r="N66" i="1"/>
  <c r="O66" i="1" s="1"/>
  <c r="G10" i="1"/>
  <c r="I10" i="1"/>
  <c r="I99" i="1"/>
  <c r="I109" i="1" s="1"/>
  <c r="I94" i="1"/>
  <c r="G94" i="1"/>
  <c r="N11" i="1"/>
  <c r="I104" i="1" l="1"/>
  <c r="I110" i="1" s="1"/>
  <c r="N106" i="1"/>
  <c r="N107" i="1"/>
  <c r="N105" i="1"/>
  <c r="G104" i="1"/>
  <c r="G110" i="1" s="1"/>
  <c r="O39" i="1"/>
  <c r="T12" i="2"/>
  <c r="T11" i="2"/>
  <c r="T9" i="2"/>
  <c r="T10" i="2"/>
  <c r="D14" i="2"/>
  <c r="J61" i="1"/>
  <c r="J47" i="1"/>
  <c r="J20" i="2"/>
  <c r="J24" i="2" s="1"/>
  <c r="J34" i="1"/>
  <c r="E14" i="2"/>
  <c r="J21" i="1"/>
  <c r="J92" i="1"/>
  <c r="J93" i="1"/>
  <c r="J90" i="1"/>
  <c r="J91" i="1"/>
  <c r="J89" i="1"/>
  <c r="J87" i="1"/>
  <c r="J88" i="1"/>
  <c r="J86" i="1"/>
  <c r="J9" i="1"/>
  <c r="J8" i="1"/>
  <c r="G100" i="1"/>
  <c r="E8" i="2"/>
  <c r="G16" i="1"/>
  <c r="D8" i="2"/>
  <c r="J85" i="1"/>
  <c r="I100" i="1"/>
  <c r="M99" i="1"/>
  <c r="I16" i="1"/>
  <c r="I17" i="1" s="1"/>
  <c r="N15" i="1"/>
  <c r="M109" i="1" l="1"/>
  <c r="T14" i="2"/>
  <c r="T8" i="2"/>
  <c r="D15" i="2"/>
  <c r="D17" i="2" s="1"/>
  <c r="D26" i="2" s="1"/>
  <c r="E15" i="2"/>
  <c r="G17" i="1"/>
  <c r="J94" i="1"/>
  <c r="N99" i="1"/>
  <c r="J10" i="1"/>
  <c r="O99" i="1" l="1"/>
  <c r="N109" i="1"/>
  <c r="G15" i="2"/>
  <c r="G17" i="2" s="1"/>
  <c r="T15" i="2"/>
  <c r="U8" i="2" s="1"/>
  <c r="E17" i="2"/>
  <c r="F13" i="2"/>
  <c r="F8" i="2"/>
  <c r="F11" i="2"/>
  <c r="F9" i="2"/>
  <c r="F14" i="2"/>
  <c r="F15" i="2"/>
  <c r="F17" i="2" s="1"/>
  <c r="F10" i="2"/>
  <c r="F12" i="2"/>
  <c r="H11" i="2" l="1"/>
  <c r="I11" i="2" s="1"/>
  <c r="K47" i="1" s="1"/>
  <c r="H12" i="2"/>
  <c r="I12" i="2" s="1"/>
  <c r="K61" i="1" s="1"/>
  <c r="H10" i="2"/>
  <c r="I10" i="2" s="1"/>
  <c r="K34" i="1" s="1"/>
  <c r="H13" i="2"/>
  <c r="I13" i="2" s="1"/>
  <c r="K75" i="1" s="1"/>
  <c r="H8" i="2"/>
  <c r="I8" i="2" s="1"/>
  <c r="K10" i="1" s="1"/>
  <c r="H14" i="2"/>
  <c r="I14" i="2" s="1"/>
  <c r="K94" i="1" s="1"/>
  <c r="H9" i="2"/>
  <c r="I9" i="2" s="1"/>
  <c r="K21" i="1" s="1"/>
  <c r="U14" i="2"/>
  <c r="V14" i="2" s="1"/>
  <c r="U10" i="2"/>
  <c r="V10" i="2" s="1"/>
  <c r="U12" i="2"/>
  <c r="V12" i="2" s="1"/>
  <c r="U13" i="2"/>
  <c r="V13" i="2" s="1"/>
  <c r="U11" i="2"/>
  <c r="V11" i="2" s="1"/>
  <c r="U9" i="2"/>
  <c r="V9" i="2" s="1"/>
  <c r="V8" i="2"/>
  <c r="E26" i="2"/>
  <c r="M4" i="2"/>
  <c r="L8" i="1" l="1"/>
  <c r="L9" i="1"/>
  <c r="L74" i="1"/>
  <c r="L73" i="1"/>
  <c r="L71" i="1"/>
  <c r="L72" i="1"/>
  <c r="L33" i="1"/>
  <c r="L31" i="1"/>
  <c r="L32" i="1"/>
  <c r="L57" i="1"/>
  <c r="L59" i="1"/>
  <c r="L58" i="1"/>
  <c r="L60" i="1"/>
  <c r="L46" i="1"/>
  <c r="L44" i="1"/>
  <c r="L45" i="1"/>
  <c r="K22" i="1"/>
  <c r="S21" i="1"/>
  <c r="L20" i="1" s="1"/>
  <c r="U15" i="2"/>
  <c r="V15" i="2" s="1"/>
  <c r="S94" i="1"/>
  <c r="K95" i="1"/>
  <c r="S34" i="1"/>
  <c r="K35" i="1"/>
  <c r="S10" i="1"/>
  <c r="K11" i="1"/>
  <c r="S61" i="1"/>
  <c r="K62" i="1"/>
  <c r="S47" i="1"/>
  <c r="K48" i="1"/>
  <c r="S75" i="1"/>
  <c r="K76" i="1"/>
  <c r="I15" i="2"/>
  <c r="I17" i="2" s="1"/>
  <c r="G39" i="3" l="1"/>
  <c r="J39" i="3" s="1"/>
  <c r="G26" i="3"/>
  <c r="J26" i="3" s="1"/>
  <c r="G25" i="3"/>
  <c r="J25" i="3" s="1"/>
  <c r="G11" i="3"/>
  <c r="J11" i="3" s="1"/>
  <c r="G13" i="3"/>
  <c r="J13" i="3" s="1"/>
  <c r="G12" i="3"/>
  <c r="J12" i="3" s="1"/>
  <c r="G24" i="3"/>
  <c r="J24" i="3" s="1"/>
  <c r="G27" i="3"/>
  <c r="J27" i="3" s="1"/>
  <c r="G7" i="3"/>
  <c r="L90" i="1"/>
  <c r="G34" i="3" s="1"/>
  <c r="J34" i="3" s="1"/>
  <c r="L93" i="1"/>
  <c r="G37" i="3" s="1"/>
  <c r="J37" i="3" s="1"/>
  <c r="G6" i="3"/>
  <c r="J6" i="3" s="1"/>
  <c r="L89" i="1"/>
  <c r="G33" i="3" s="1"/>
  <c r="J33" i="3" s="1"/>
  <c r="L91" i="1"/>
  <c r="G35" i="3" s="1"/>
  <c r="J35" i="3" s="1"/>
  <c r="L88" i="1"/>
  <c r="G32" i="3" s="1"/>
  <c r="J32" i="3" s="1"/>
  <c r="L92" i="1"/>
  <c r="G36" i="3" s="1"/>
  <c r="J36" i="3" s="1"/>
  <c r="L85" i="1"/>
  <c r="G29" i="3" s="1"/>
  <c r="J29" i="3" s="1"/>
  <c r="L86" i="1"/>
  <c r="G30" i="3" s="1"/>
  <c r="J30" i="3" s="1"/>
  <c r="L87" i="1"/>
  <c r="G31" i="3" s="1"/>
  <c r="J31" i="3" s="1"/>
  <c r="G9" i="3"/>
  <c r="J9" i="3" s="1"/>
  <c r="M9" i="1"/>
  <c r="N9" i="1" s="1"/>
  <c r="O9" i="1" s="1"/>
  <c r="T9" i="1"/>
  <c r="G21" i="3" l="1"/>
  <c r="J21" i="3" s="1"/>
  <c r="L128" i="1"/>
  <c r="G22" i="3"/>
  <c r="J22" i="3" s="1"/>
  <c r="M45" i="1"/>
  <c r="N45" i="1" s="1"/>
  <c r="O45" i="1" s="1"/>
  <c r="G16" i="3"/>
  <c r="J16" i="3" s="1"/>
  <c r="G17" i="3"/>
  <c r="J17" i="3" s="1"/>
  <c r="M57" i="1"/>
  <c r="N57" i="1" s="1"/>
  <c r="O57" i="1" s="1"/>
  <c r="G19" i="3"/>
  <c r="J19" i="3" s="1"/>
  <c r="G20" i="3"/>
  <c r="J20" i="3" s="1"/>
  <c r="L127" i="1"/>
  <c r="J7" i="3"/>
  <c r="G40" i="3"/>
  <c r="J40" i="3" s="1"/>
  <c r="M59" i="1"/>
  <c r="N59" i="1" s="1"/>
  <c r="O59" i="1" s="1"/>
  <c r="T59" i="1"/>
  <c r="M72" i="1"/>
  <c r="N72" i="1" s="1"/>
  <c r="O72" i="1" s="1"/>
  <c r="T72" i="1"/>
  <c r="M73" i="1"/>
  <c r="N73" i="1" s="1"/>
  <c r="O73" i="1" s="1"/>
  <c r="T73" i="1"/>
  <c r="T58" i="1"/>
  <c r="M58" i="1"/>
  <c r="N58" i="1" s="1"/>
  <c r="O58" i="1" s="1"/>
  <c r="M71" i="1"/>
  <c r="N71" i="1" s="1"/>
  <c r="O71" i="1" s="1"/>
  <c r="T71" i="1"/>
  <c r="T31" i="1"/>
  <c r="T60" i="1"/>
  <c r="M31" i="1"/>
  <c r="N31" i="1" s="1"/>
  <c r="O31" i="1" s="1"/>
  <c r="M60" i="1"/>
  <c r="N60" i="1" s="1"/>
  <c r="O60" i="1" s="1"/>
  <c r="M90" i="1"/>
  <c r="N90" i="1" s="1"/>
  <c r="O90" i="1" s="1"/>
  <c r="T90" i="1"/>
  <c r="M93" i="1"/>
  <c r="N93" i="1" s="1"/>
  <c r="O93" i="1" s="1"/>
  <c r="T93" i="1"/>
  <c r="T91" i="1"/>
  <c r="T87" i="1"/>
  <c r="M8" i="1"/>
  <c r="N8" i="1" s="1"/>
  <c r="O8" i="1" s="1"/>
  <c r="T32" i="1"/>
  <c r="M44" i="1"/>
  <c r="N44" i="1" s="1"/>
  <c r="M74" i="1"/>
  <c r="N74" i="1" s="1"/>
  <c r="O74" i="1" s="1"/>
  <c r="M87" i="1"/>
  <c r="N87" i="1" s="1"/>
  <c r="O87" i="1" s="1"/>
  <c r="M89" i="1"/>
  <c r="N89" i="1" s="1"/>
  <c r="O89" i="1" s="1"/>
  <c r="M33" i="1"/>
  <c r="N33" i="1" s="1"/>
  <c r="O33" i="1" s="1"/>
  <c r="M92" i="1"/>
  <c r="N92" i="1" s="1"/>
  <c r="O92" i="1" s="1"/>
  <c r="M32" i="1"/>
  <c r="N32" i="1" s="1"/>
  <c r="O32" i="1" s="1"/>
  <c r="T33" i="1"/>
  <c r="T92" i="1"/>
  <c r="T89" i="1"/>
  <c r="M91" i="1"/>
  <c r="N91" i="1" s="1"/>
  <c r="O91" i="1" s="1"/>
  <c r="T74" i="1"/>
  <c r="T8" i="1"/>
  <c r="T88" i="1"/>
  <c r="M88" i="1"/>
  <c r="N88" i="1" s="1"/>
  <c r="O88" i="1" s="1"/>
  <c r="M85" i="1"/>
  <c r="N85" i="1" s="1"/>
  <c r="O85" i="1" s="1"/>
  <c r="T85" i="1"/>
  <c r="M86" i="1"/>
  <c r="N86" i="1" s="1"/>
  <c r="O86" i="1" s="1"/>
  <c r="T86" i="1"/>
  <c r="T46" i="1"/>
  <c r="M46" i="1"/>
  <c r="L141" i="1" l="1"/>
  <c r="L137" i="1"/>
  <c r="L133" i="1"/>
  <c r="M61" i="1"/>
  <c r="P58" i="1" s="1"/>
  <c r="Q58" i="1" s="1"/>
  <c r="N61" i="1"/>
  <c r="L12" i="2" s="1"/>
  <c r="N10" i="1"/>
  <c r="M10" i="1"/>
  <c r="M75" i="1"/>
  <c r="P72" i="1" s="1"/>
  <c r="Q72" i="1" s="1"/>
  <c r="N75" i="1"/>
  <c r="N34" i="1"/>
  <c r="O34" i="1" s="1"/>
  <c r="M34" i="1"/>
  <c r="R34" i="1" s="1"/>
  <c r="G15" i="3"/>
  <c r="J15" i="3" s="1"/>
  <c r="M94" i="1"/>
  <c r="N94" i="1"/>
  <c r="O94" i="1" s="1"/>
  <c r="M47" i="1"/>
  <c r="O44" i="1"/>
  <c r="N46" i="1"/>
  <c r="O46" i="1" s="1"/>
  <c r="P8" i="1" l="1"/>
  <c r="Q8" i="1" s="1"/>
  <c r="O10" i="1"/>
  <c r="M67" i="1"/>
  <c r="M68" i="1" s="1"/>
  <c r="N68" i="1" s="1"/>
  <c r="O68" i="1" s="1"/>
  <c r="P57" i="1"/>
  <c r="Q57" i="1" s="1"/>
  <c r="P59" i="1"/>
  <c r="Q59" i="1" s="1"/>
  <c r="R61" i="1"/>
  <c r="J12" i="2"/>
  <c r="O12" i="2" s="1"/>
  <c r="P60" i="1"/>
  <c r="Q60" i="1" s="1"/>
  <c r="M81" i="1"/>
  <c r="M82" i="1" s="1"/>
  <c r="N82" i="1" s="1"/>
  <c r="P73" i="1"/>
  <c r="Q73" i="1" s="1"/>
  <c r="P44" i="1"/>
  <c r="Q44" i="1" s="1"/>
  <c r="P45" i="1"/>
  <c r="Q45" i="1" s="1"/>
  <c r="J13" i="2"/>
  <c r="O13" i="2" s="1"/>
  <c r="P71" i="1"/>
  <c r="Q71" i="1" s="1"/>
  <c r="P74" i="1"/>
  <c r="Q74" i="1" s="1"/>
  <c r="R75" i="1"/>
  <c r="J11" i="2"/>
  <c r="O11" i="2" s="1"/>
  <c r="J8" i="2"/>
  <c r="O8" i="2" s="1"/>
  <c r="P9" i="1"/>
  <c r="Q9" i="1" s="1"/>
  <c r="R10" i="1"/>
  <c r="M16" i="1"/>
  <c r="M17" i="1" s="1"/>
  <c r="N17" i="1" s="1"/>
  <c r="F87" i="3" s="1"/>
  <c r="P32" i="1"/>
  <c r="Q32" i="1" s="1"/>
  <c r="J14" i="2"/>
  <c r="L14" i="2" s="1"/>
  <c r="M14" i="2" s="1"/>
  <c r="P91" i="1"/>
  <c r="Q91" i="1" s="1"/>
  <c r="P31" i="1"/>
  <c r="Q31" i="1" s="1"/>
  <c r="J10" i="2"/>
  <c r="O10" i="2" s="1"/>
  <c r="M40" i="1"/>
  <c r="M41" i="1" s="1"/>
  <c r="N41" i="1" s="1"/>
  <c r="O41" i="1" s="1"/>
  <c r="P87" i="1"/>
  <c r="Q87" i="1" s="1"/>
  <c r="P33" i="1"/>
  <c r="Q33" i="1" s="1"/>
  <c r="P93" i="1"/>
  <c r="Q93" i="1" s="1"/>
  <c r="P89" i="1"/>
  <c r="Q89" i="1" s="1"/>
  <c r="P85" i="1"/>
  <c r="Q85" i="1" s="1"/>
  <c r="M100" i="1"/>
  <c r="N100" i="1" s="1"/>
  <c r="O100" i="1" s="1"/>
  <c r="N14" i="2" s="1"/>
  <c r="P90" i="1"/>
  <c r="Q90" i="1" s="1"/>
  <c r="P88" i="1"/>
  <c r="Q88" i="1" s="1"/>
  <c r="P86" i="1"/>
  <c r="Q86" i="1" s="1"/>
  <c r="R94" i="1"/>
  <c r="P92" i="1"/>
  <c r="Q92" i="1" s="1"/>
  <c r="M53" i="1"/>
  <c r="M54" i="1" s="1"/>
  <c r="N54" i="1" s="1"/>
  <c r="P46" i="1"/>
  <c r="Q46" i="1" s="1"/>
  <c r="R47" i="1"/>
  <c r="N47" i="1"/>
  <c r="O47" i="1" s="1"/>
  <c r="M12" i="2"/>
  <c r="F78" i="3"/>
  <c r="O61" i="1"/>
  <c r="L8" i="2"/>
  <c r="L10" i="2"/>
  <c r="O75" i="1"/>
  <c r="L13" i="2"/>
  <c r="P61" i="1" l="1"/>
  <c r="Q61" i="1" s="1"/>
  <c r="N67" i="1"/>
  <c r="O67" i="1" s="1"/>
  <c r="N12" i="2" s="1"/>
  <c r="F91" i="3"/>
  <c r="N81" i="1"/>
  <c r="O81" i="1" s="1"/>
  <c r="N13" i="2" s="1"/>
  <c r="P75" i="1"/>
  <c r="Q75" i="1" s="1"/>
  <c r="P10" i="1"/>
  <c r="Q10" i="1" s="1"/>
  <c r="F80" i="3"/>
  <c r="O14" i="2"/>
  <c r="N16" i="1"/>
  <c r="O16" i="1" s="1"/>
  <c r="N8" i="2" s="1"/>
  <c r="P47" i="1"/>
  <c r="Q47" i="1" s="1"/>
  <c r="O17" i="1"/>
  <c r="N40" i="1"/>
  <c r="O40" i="1" s="1"/>
  <c r="N10" i="2" s="1"/>
  <c r="F89" i="3"/>
  <c r="P34" i="1"/>
  <c r="Q34" i="1" s="1"/>
  <c r="P94" i="1"/>
  <c r="Q94" i="1" s="1"/>
  <c r="O54" i="1"/>
  <c r="F90" i="3"/>
  <c r="O82" i="1"/>
  <c r="F92" i="3"/>
  <c r="N53" i="1"/>
  <c r="O53" i="1" s="1"/>
  <c r="N11" i="2" s="1"/>
  <c r="L11" i="2"/>
  <c r="M11" i="2" s="1"/>
  <c r="M10" i="2"/>
  <c r="F76" i="3"/>
  <c r="M8" i="2"/>
  <c r="F74" i="3"/>
  <c r="M13" i="2"/>
  <c r="F79" i="3"/>
  <c r="G80" i="3"/>
  <c r="G93" i="3"/>
  <c r="F77" i="3" l="1"/>
  <c r="G89" i="3"/>
  <c r="G76" i="3"/>
  <c r="G92" i="3"/>
  <c r="G79" i="3"/>
  <c r="G91" i="3"/>
  <c r="G78" i="3"/>
  <c r="G90" i="3"/>
  <c r="G77" i="3"/>
  <c r="G74" i="3"/>
  <c r="G87" i="3"/>
  <c r="M20" i="1"/>
  <c r="T20" i="1" l="1"/>
  <c r="N20" i="1"/>
  <c r="O20" i="1" s="1"/>
  <c r="N21" i="1" l="1"/>
  <c r="N104" i="1" s="1"/>
  <c r="N110" i="1" s="1"/>
  <c r="M21" i="1"/>
  <c r="M104" i="1" s="1"/>
  <c r="M110" i="1" s="1"/>
  <c r="J9" i="2" l="1"/>
  <c r="O9" i="2" s="1"/>
  <c r="M27" i="1"/>
  <c r="M28" i="1" s="1"/>
  <c r="R21" i="1"/>
  <c r="P20" i="1"/>
  <c r="Q20" i="1" s="1"/>
  <c r="N28" i="1" l="1"/>
  <c r="O28" i="1" s="1"/>
  <c r="J15" i="2"/>
  <c r="L9" i="2"/>
  <c r="O21" i="1"/>
  <c r="P21" i="1"/>
  <c r="Q21" i="1" s="1"/>
  <c r="N27" i="1"/>
  <c r="O104" i="1"/>
  <c r="S140" i="1" l="1"/>
  <c r="S139" i="1"/>
  <c r="L139" i="1" s="1"/>
  <c r="S135" i="1"/>
  <c r="L135" i="1" s="1"/>
  <c r="S136" i="1"/>
  <c r="S125" i="1"/>
  <c r="L125" i="1" s="1"/>
  <c r="S132" i="1"/>
  <c r="S131" i="1"/>
  <c r="L131" i="1" s="1"/>
  <c r="S117" i="1"/>
  <c r="S118" i="1" s="1"/>
  <c r="L118" i="1" s="1"/>
  <c r="S126" i="1"/>
  <c r="S123" i="1"/>
  <c r="L123" i="1" s="1"/>
  <c r="O27" i="1"/>
  <c r="N9" i="2" s="1"/>
  <c r="M9" i="2"/>
  <c r="F75" i="3"/>
  <c r="O15" i="2"/>
  <c r="O17" i="2" s="1"/>
  <c r="K9" i="2"/>
  <c r="K12" i="2"/>
  <c r="K10" i="2"/>
  <c r="K14" i="2"/>
  <c r="K13" i="2"/>
  <c r="J17" i="2"/>
  <c r="J26" i="2" s="1"/>
  <c r="L26" i="2" s="1"/>
  <c r="F81" i="3" s="1"/>
  <c r="K15" i="2"/>
  <c r="K17" i="2" s="1"/>
  <c r="K11" i="2"/>
  <c r="K8" i="2"/>
  <c r="L15" i="2"/>
  <c r="L17" i="2" s="1"/>
  <c r="N112" i="1"/>
  <c r="O110" i="1"/>
  <c r="T125" i="1" l="1"/>
  <c r="G51" i="3"/>
  <c r="J51" i="3" s="1"/>
  <c r="T135" i="1"/>
  <c r="G61" i="3"/>
  <c r="J61" i="3" s="1"/>
  <c r="T118" i="1"/>
  <c r="G44" i="3"/>
  <c r="J44" i="3" s="1"/>
  <c r="T123" i="1"/>
  <c r="G49" i="3"/>
  <c r="J49" i="3" s="1"/>
  <c r="T139" i="1"/>
  <c r="G65" i="3"/>
  <c r="J65" i="3" s="1"/>
  <c r="T131" i="1"/>
  <c r="G57" i="3"/>
  <c r="J57" i="3" s="1"/>
  <c r="S141" i="1"/>
  <c r="S142" i="1" s="1"/>
  <c r="L140" i="1"/>
  <c r="S119" i="1"/>
  <c r="L119" i="1" s="1"/>
  <c r="S137" i="1"/>
  <c r="L136" i="1"/>
  <c r="L132" i="1"/>
  <c r="S133" i="1"/>
  <c r="L117" i="1"/>
  <c r="L126" i="1"/>
  <c r="S127" i="1"/>
  <c r="G88" i="3"/>
  <c r="G75" i="3"/>
  <c r="M15" i="2"/>
  <c r="M17" i="2" s="1"/>
  <c r="L28" i="2"/>
  <c r="L29" i="2" s="1"/>
  <c r="N26" i="2"/>
  <c r="G81" i="3" s="1"/>
  <c r="S120" i="1" l="1"/>
  <c r="S121" i="1" s="1"/>
  <c r="L121" i="1" s="1"/>
  <c r="T137" i="1"/>
  <c r="G63" i="3"/>
  <c r="J63" i="3" s="1"/>
  <c r="T119" i="1"/>
  <c r="G45" i="3"/>
  <c r="J45" i="3" s="1"/>
  <c r="T117" i="1"/>
  <c r="G43" i="3"/>
  <c r="J43" i="3" s="1"/>
  <c r="T140" i="1"/>
  <c r="G66" i="3"/>
  <c r="J66" i="3" s="1"/>
  <c r="T126" i="1"/>
  <c r="G52" i="3"/>
  <c r="J52" i="3" s="1"/>
  <c r="T132" i="1"/>
  <c r="G58" i="3"/>
  <c r="J58" i="3" s="1"/>
  <c r="T136" i="1"/>
  <c r="G62" i="3"/>
  <c r="J62" i="3" s="1"/>
  <c r="S128" i="1"/>
  <c r="L120" i="1" l="1"/>
  <c r="T133" i="1"/>
  <c r="G59" i="3"/>
  <c r="J59" i="3" s="1"/>
  <c r="T121" i="1"/>
  <c r="G47" i="3"/>
  <c r="J47" i="3" s="1"/>
  <c r="T141" i="1"/>
  <c r="G67" i="3"/>
  <c r="J67" i="3" s="1"/>
  <c r="T120" i="1"/>
  <c r="G46" i="3"/>
  <c r="J46" i="3" s="1"/>
  <c r="T127" i="1"/>
  <c r="G53" i="3"/>
  <c r="J53" i="3" s="1"/>
  <c r="L142" i="1"/>
  <c r="S129" i="1"/>
  <c r="T128" i="1" l="1"/>
  <c r="G54" i="3"/>
  <c r="J54" i="3" s="1"/>
  <c r="T142" i="1"/>
  <c r="G68" i="3"/>
  <c r="J68" i="3" s="1"/>
  <c r="L129" i="1"/>
  <c r="T129" i="1" l="1"/>
  <c r="G55" i="3"/>
  <c r="J55" i="3" s="1"/>
</calcChain>
</file>

<file path=xl/sharedStrings.xml><?xml version="1.0" encoding="utf-8"?>
<sst xmlns="http://schemas.openxmlformats.org/spreadsheetml/2006/main" count="230" uniqueCount="122">
  <si>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</si>
  <si>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</si>
  <si>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</si>
  <si>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</si>
  <si>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</si>
  <si>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</si>
  <si>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</si>
  <si>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</si>
  <si>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</si>
  <si>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</si>
  <si>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</si>
  <si>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</si>
  <si>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</si>
  <si>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</si>
  <si>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</si>
  <si>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</si>
  <si>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</si>
  <si>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</si>
  <si>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</si>
  <si>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</si>
  <si>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</si>
  <si>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</si>
  <si>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</si>
  <si>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</si>
  <si>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</si>
  <si>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</si>
  <si>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</si>
  <si>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</si>
  <si>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</si>
  <si>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</si>
  <si>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</si>
  <si>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</si>
  <si>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</si>
  <si>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</si>
  <si>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</si>
  <si>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</si>
  <si>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</si>
  <si>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</si>
  <si>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</si>
  <si>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</si>
  <si>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</si>
  <si>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</si>
  <si>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</si>
  <si>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</si>
  <si>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</si>
  <si>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</si>
  <si>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</si>
  <si>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</si>
  <si>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</si>
  <si>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</si>
  <si>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</si>
  <si>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</si>
  <si>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Demand Charge per kW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</si>
  <si>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</si>
  <si>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</si>
  <si>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</si>
  <si>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</si>
  <si>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</si>
  <si>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</si>
  <si>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</si>
  <si>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</si>
  <si>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</si>
  <si>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</si>
  <si>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</si>
  <si>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</si>
  <si>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</si>
  <si>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</si>
  <si>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SHELBY ENERGY COOPERATIVE</t>
  </si>
  <si>
    <t>Large Power Service &gt; 50 kW</t>
  </si>
  <si>
    <t>General Service &lt; 50kW</t>
  </si>
  <si>
    <t>Customer Charge Single Phase</t>
  </si>
  <si>
    <t>Customer Charge Three Phase</t>
  </si>
  <si>
    <t>Large Industrial Rate (500 kW to 4,999 kW)</t>
  </si>
  <si>
    <t>Large Industrial Rate (5,000 kW to 9,999 kW)</t>
  </si>
  <si>
    <t>100 Watt Outdoor Light</t>
  </si>
  <si>
    <t>250 Watt Directional Flood</t>
  </si>
  <si>
    <t>100 Watt Decorative Colonial</t>
  </si>
  <si>
    <t>400 Watt Directional Flood</t>
  </si>
  <si>
    <t>150 Watt Decorative Acorn</t>
  </si>
  <si>
    <t>Standard</t>
  </si>
  <si>
    <t>Decorative Colonial</t>
  </si>
  <si>
    <t>Cobra Head</t>
  </si>
  <si>
    <t>Directional Flood Light</t>
  </si>
  <si>
    <t>Demand Charge - Contract per kW</t>
  </si>
  <si>
    <t>Demand Charge - Excess per kW</t>
  </si>
  <si>
    <t>RATES WITH NO CURRENT MEMBERS</t>
  </si>
  <si>
    <t>Outdoor &amp; Street Lighting</t>
  </si>
  <si>
    <t>Off Peak Retail Marketing (ETS)</t>
  </si>
  <si>
    <t>Residential Service</t>
  </si>
  <si>
    <t>Prepay Service</t>
  </si>
  <si>
    <t>Consumer Facility Charge per day</t>
  </si>
  <si>
    <t>Prepay Service Fee per day</t>
  </si>
  <si>
    <t xml:space="preserve">Optional TOD Demand </t>
  </si>
  <si>
    <t>Energy Charge per kWh - First 100</t>
  </si>
  <si>
    <t>Energy Charge per kWh - Next 100</t>
  </si>
  <si>
    <t>Energy Charge per kWh - All Over 200</t>
  </si>
  <si>
    <t>Special Outdoor Lighting</t>
  </si>
  <si>
    <t>Energy Rate</t>
  </si>
  <si>
    <t>Large Industrial Rate</t>
  </si>
  <si>
    <t>B3</t>
  </si>
  <si>
    <t>B2</t>
  </si>
  <si>
    <t>B1</t>
  </si>
  <si>
    <t>Customer Charge Transformer 10,000 - 14,999 kVA</t>
  </si>
  <si>
    <t>Customer Charge Transformer 15,000+ kVA</t>
  </si>
  <si>
    <t>C1</t>
  </si>
  <si>
    <t>C2</t>
  </si>
  <si>
    <t>C3</t>
  </si>
  <si>
    <t>plus ETS Cust</t>
  </si>
  <si>
    <t>Plus ETS On PK kwh</t>
  </si>
  <si>
    <t>kwh</t>
  </si>
  <si>
    <t>Same as B1</t>
  </si>
  <si>
    <t>LRO</t>
  </si>
  <si>
    <t>TYR</t>
  </si>
  <si>
    <t>Set to LRO</t>
  </si>
  <si>
    <t>Alert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</si>
  <si>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</si>
  <si>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</si>
  <si>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</si>
  <si>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</si>
  <si>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</si>
  <si>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</si>
  <si>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r>
      <t>are noted on the Notice Table tab in the cells marked</t>
    </r>
    <r>
      <rPr>
        <sz val="10"/>
        <color rgb="FFFF0000"/>
        <rFont val="Arial"/>
        <family val="2"/>
      </rPr>
      <t xml:space="preserve"> 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</si>
</sst>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%"/>
    <numFmt numFmtId="172" formatCode="&quot;$&quot;#,##0"/>
    <numFmt numFmtId="173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8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0" fontId="9" fillId="0" borderId="5" xfId="0" applyFont="1" applyBorder="1" applyAlignment="1">
      <alignment vertical="center"/>
    </xf>
    <xf numFmtId="167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0" fontId="8" fillId="0" borderId="0" xfId="0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4" xfId="0" applyFont="1" applyBorder="1" applyAlignment="1">
      <alignment horizontal="right"/>
    </xf>
    <xf numFmtId="164" fontId="4" fillId="0" borderId="0" xfId="1" applyNumberFormat="1" applyFont="1" applyFill="1"/>
    <xf numFmtId="167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11" fillId="6" borderId="0" xfId="0" applyFont="1" applyFill="1"/>
    <xf numFmtId="0" fontId="11" fillId="6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1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171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44" fontId="3" fillId="0" borderId="0" xfId="2" applyNumberFormat="1" applyFont="1"/>
    <xf numFmtId="0" fontId="12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3" fillId="0" borderId="0" xfId="0" applyFont="1"/>
    <xf numFmtId="0" fontId="7" fillId="0" borderId="2" xfId="0" applyFont="1" applyBorder="1" applyAlignment="1">
      <alignment horizontal="center"/>
    </xf>
    <xf numFmtId="0" fontId="3" fillId="6" borderId="0" xfId="0" applyFont="1" applyFill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6" fontId="4" fillId="0" borderId="0" xfId="1" applyNumberFormat="1" applyFont="1"/>
    <xf numFmtId="43" fontId="4" fillId="0" borderId="4" xfId="1" applyFont="1" applyFill="1" applyBorder="1"/>
    <xf numFmtId="43" fontId="4" fillId="0" borderId="5" xfId="1" applyFont="1" applyFill="1" applyBorder="1"/>
    <xf numFmtId="173" fontId="8" fillId="0" borderId="0" xfId="0" applyNumberFormat="1" applyFont="1"/>
    <xf numFmtId="0" fontId="7" fillId="0" borderId="0" xfId="0" applyFont="1" applyAlignment="1">
      <alignment horizontal="left"/>
    </xf>
    <xf numFmtId="165" fontId="3" fillId="4" borderId="0" xfId="0" applyNumberFormat="1" applyFont="1" applyFill="1"/>
    <xf numFmtId="173" fontId="4" fillId="0" borderId="0" xfId="0" applyNumberFormat="1" applyFont="1"/>
    <xf numFmtId="166" fontId="8" fillId="0" borderId="0" xfId="1" applyNumberFormat="1" applyFont="1"/>
    <xf numFmtId="169" fontId="7" fillId="0" borderId="0" xfId="1" applyNumberFormat="1" applyFont="1" applyAlignment="1">
      <alignment vertical="center"/>
    </xf>
    <xf numFmtId="167" fontId="8" fillId="0" borderId="0" xfId="1" applyNumberFormat="1" applyFont="1"/>
    <xf numFmtId="10" fontId="3" fillId="0" borderId="5" xfId="3" applyNumberFormat="1" applyFont="1" applyBorder="1" applyAlignment="1"/>
    <xf numFmtId="164" fontId="3" fillId="0" borderId="0" xfId="0" applyNumberFormat="1" applyFont="1"/>
    <xf numFmtId="43" fontId="8" fillId="2" borderId="0" xfId="1" applyFont="1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7" borderId="0" xfId="0" applyFont="1" applyFill="1" applyAlignment="1">
      <alignment horizontal="center"/>
    </xf>
    <xf numFmtId="10" fontId="4" fillId="7" borderId="0" xfId="3" applyNumberFormat="1" applyFont="1" applyFill="1"/>
    <xf numFmtId="169" fontId="3" fillId="0" borderId="0" xfId="1" applyNumberFormat="1" applyFont="1"/>
    <xf numFmtId="169" fontId="3" fillId="0" borderId="0" xfId="1" applyNumberFormat="1" applyFont="1" applyFill="1"/>
    <xf numFmtId="169" fontId="3" fillId="0" borderId="0" xfId="1" applyNumberFormat="1" applyFont="1" applyAlignment="1">
      <alignment vertical="center"/>
    </xf>
    <xf numFmtId="0" fontId="3" fillId="8" borderId="0" xfId="0" applyFont="1" applyFill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/>
    <xf numFmtId="0" fontId="2" fillId="0" borderId="4" xfId="0" applyFont="1" applyBorder="1" applyAlignment="1">
      <alignment horizontal="center"/>
    </xf>
    <xf numFmtId="10" fontId="15" fillId="7" borderId="0" xfId="3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5"/>
  <sheetViews>
    <sheetView zoomScale="75" zoomScaleNormal="75" workbookViewId="0">
      <selection activeCell="F1" sqref="F1:G1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7.33203125" style="27" bestFit="1" customWidth="1"/>
    <col min="4" max="4" width="15.109375" style="2" customWidth="1"/>
    <col min="5" max="5" width="14.88671875" style="2" customWidth="1"/>
    <col min="6" max="6" width="10.33203125" style="2" customWidth="1"/>
    <col min="7" max="7" width="16" style="2" bestFit="1" customWidth="1"/>
    <col min="8" max="8" width="10.5546875" style="2" customWidth="1"/>
    <col min="9" max="9" width="14.6640625" style="2" customWidth="1"/>
    <col min="10" max="10" width="14.5546875" style="2" bestFit="1" customWidth="1"/>
    <col min="11" max="11" width="10.6640625" style="2" customWidth="1"/>
    <col min="12" max="12" width="14.5546875" style="2" customWidth="1"/>
    <col min="13" max="13" width="8.44140625" style="2" customWidth="1"/>
    <col min="14" max="14" width="8.77734375" style="2" customWidth="1"/>
    <col min="15" max="15" width="10" style="2" bestFit="1" customWidth="1"/>
    <col min="16" max="16" width="16.88671875" style="176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67</v>
      </c>
    </row>
    <row r="2" spans="1:22" x14ac:dyDescent="0.25">
      <c r="A2" s="1" t="s">
        <v>0</v>
      </c>
      <c r="P2" s="177"/>
    </row>
    <row r="3" spans="1:22" x14ac:dyDescent="0.25">
      <c r="A3" s="1"/>
    </row>
    <row r="4" spans="1:22" x14ac:dyDescent="0.25">
      <c r="A4" s="1"/>
      <c r="K4" s="43" t="s">
        <v>38</v>
      </c>
      <c r="L4" s="3">
        <v>1802690</v>
      </c>
      <c r="M4" s="5">
        <f>L4/E17</f>
        <v>4.1667393900226286E-2</v>
      </c>
    </row>
    <row r="5" spans="1:22" x14ac:dyDescent="0.25">
      <c r="M5" s="5"/>
      <c r="N5" s="5"/>
      <c r="Q5" s="120"/>
      <c r="R5" s="116" t="s">
        <v>53</v>
      </c>
      <c r="S5" s="117"/>
      <c r="T5" s="116"/>
      <c r="U5" s="116"/>
      <c r="V5" s="116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2" t="s">
        <v>21</v>
      </c>
      <c r="E6" s="52" t="s">
        <v>3</v>
      </c>
      <c r="F6" s="52" t="s">
        <v>22</v>
      </c>
      <c r="G6" s="52" t="s">
        <v>33</v>
      </c>
      <c r="H6" s="52" t="s">
        <v>34</v>
      </c>
      <c r="I6" s="52" t="s">
        <v>35</v>
      </c>
      <c r="J6" s="52" t="s">
        <v>4</v>
      </c>
      <c r="K6" s="52" t="s">
        <v>24</v>
      </c>
      <c r="L6" s="52" t="s">
        <v>47</v>
      </c>
      <c r="M6" s="115" t="s">
        <v>45</v>
      </c>
      <c r="N6" s="115" t="s">
        <v>46</v>
      </c>
      <c r="O6" s="14" t="s">
        <v>37</v>
      </c>
      <c r="P6" s="178"/>
      <c r="Q6" s="118"/>
      <c r="R6" s="147" t="s">
        <v>54</v>
      </c>
      <c r="S6" s="148"/>
      <c r="T6" s="149" t="s">
        <v>49</v>
      </c>
      <c r="U6" s="150"/>
      <c r="V6" s="151" t="s">
        <v>55</v>
      </c>
    </row>
    <row r="7" spans="1:22" s="74" customFormat="1" x14ac:dyDescent="0.25">
      <c r="A7" s="4">
        <v>1</v>
      </c>
      <c r="B7" s="70" t="s">
        <v>5</v>
      </c>
      <c r="C7" s="110"/>
      <c r="D7" s="70"/>
      <c r="E7" s="71"/>
      <c r="F7" s="72"/>
      <c r="G7" s="72"/>
      <c r="H7" s="13"/>
      <c r="I7" s="13"/>
      <c r="J7" s="71"/>
      <c r="K7" s="72"/>
      <c r="L7" s="71"/>
      <c r="M7" s="73"/>
      <c r="N7" s="73"/>
      <c r="P7" s="179"/>
      <c r="Q7" s="118"/>
      <c r="R7" s="120"/>
      <c r="S7" s="119"/>
      <c r="T7" s="120"/>
      <c r="U7" s="121"/>
      <c r="V7" s="121"/>
    </row>
    <row r="8" spans="1:22" s="74" customFormat="1" x14ac:dyDescent="0.25">
      <c r="A8" s="4">
        <f>A7+1</f>
        <v>2</v>
      </c>
      <c r="B8" s="74" t="str">
        <f>'Billing Detail'!B7</f>
        <v>Residential Service</v>
      </c>
      <c r="C8" s="27">
        <f>'Billing Detail'!C7</f>
        <v>12</v>
      </c>
      <c r="D8" s="75">
        <f>'Billing Detail'!G10</f>
        <v>22497974.06436</v>
      </c>
      <c r="E8" s="75">
        <f>'Billing Detail'!I10</f>
        <v>22141097.684640002</v>
      </c>
      <c r="F8" s="73">
        <f t="shared" ref="F8:F15" si="0">E8/E$15</f>
        <v>0.51176954363161897</v>
      </c>
      <c r="G8" s="99">
        <v>30436994.949216001</v>
      </c>
      <c r="H8" s="73">
        <f t="shared" ref="H8:H14" si="1">G8/G$15</f>
        <v>0.88480252302793383</v>
      </c>
      <c r="I8" s="77">
        <f t="shared" ref="I8:I14" si="2">ROUND(L$4*H8,2)</f>
        <v>1595024.66</v>
      </c>
      <c r="J8" s="75">
        <f>'Billing Detail'!M10</f>
        <v>23736122.344640002</v>
      </c>
      <c r="K8" s="73">
        <f t="shared" ref="K8:K15" si="3">J8/J$15</f>
        <v>0.52669052966623742</v>
      </c>
      <c r="L8" s="75">
        <f>'Billing Detail'!N10</f>
        <v>1595024.6599999997</v>
      </c>
      <c r="M8" s="73">
        <f>IF(E8=0,0,L8/E8)</f>
        <v>7.2039095925515925E-2</v>
      </c>
      <c r="N8" s="73">
        <f>'Billing Detail'!O16</f>
        <v>6.7066202902995364E-2</v>
      </c>
      <c r="O8" s="78">
        <f>J8-I8-E8</f>
        <v>0</v>
      </c>
      <c r="P8" s="180"/>
      <c r="Q8" s="121">
        <f>C8</f>
        <v>12</v>
      </c>
      <c r="R8" s="122">
        <v>30436994.949216001</v>
      </c>
      <c r="S8" s="123">
        <f t="shared" ref="S8:S14" si="4">R8/R$15</f>
        <v>0.88480252302793383</v>
      </c>
      <c r="T8" s="122">
        <f>E8</f>
        <v>22141097.684640002</v>
      </c>
      <c r="U8" s="124">
        <f t="shared" ref="U8:U14" si="5">T8/T$15</f>
        <v>0.51176954363161897</v>
      </c>
      <c r="V8" s="124">
        <f t="shared" ref="V8:V15" si="6">U8-S8</f>
        <v>-0.37303297939631486</v>
      </c>
    </row>
    <row r="9" spans="1:22" s="74" customFormat="1" x14ac:dyDescent="0.25">
      <c r="A9" s="4">
        <f t="shared" ref="A9:A29" si="7">A8+1</f>
        <v>3</v>
      </c>
      <c r="B9" s="74" t="str">
        <f>'Billing Detail'!B19</f>
        <v>Off Peak Retail Marketing (ETS)</v>
      </c>
      <c r="C9" s="27">
        <f>'Billing Detail'!C19</f>
        <v>9</v>
      </c>
      <c r="D9" s="75">
        <f>'Billing Detail'!G21</f>
        <v>11901.823640000001</v>
      </c>
      <c r="E9" s="75">
        <f>'Billing Detail'!I21</f>
        <v>11592.147420000001</v>
      </c>
      <c r="F9" s="73">
        <f t="shared" si="0"/>
        <v>2.6794100632867099E-4</v>
      </c>
      <c r="G9" s="99">
        <v>33008.400000000001</v>
      </c>
      <c r="H9" s="73">
        <f t="shared" si="1"/>
        <v>9.5955319011765787E-4</v>
      </c>
      <c r="I9" s="77">
        <f t="shared" si="2"/>
        <v>1729.78</v>
      </c>
      <c r="J9" s="75">
        <f>'Billing Detail'!M21</f>
        <v>13321.994840000001</v>
      </c>
      <c r="K9" s="73">
        <f t="shared" si="3"/>
        <v>2.9560719382097964E-4</v>
      </c>
      <c r="L9" s="75">
        <f>'Billing Detail'!N21</f>
        <v>1729.8474200000001</v>
      </c>
      <c r="M9" s="73">
        <f t="shared" ref="M9:M14" si="8">IF(E9=0,0,L9/E9)</f>
        <v>0.14922579547388123</v>
      </c>
      <c r="N9" s="73">
        <f>'Billing Detail'!O27</f>
        <v>0.14534305601590986</v>
      </c>
      <c r="O9" s="78">
        <f t="shared" ref="O9:O15" si="9">J9-I9-E9</f>
        <v>6.7419999999401625E-2</v>
      </c>
      <c r="P9" s="180"/>
      <c r="Q9" s="121">
        <f t="shared" ref="Q9:Q14" si="10">C9</f>
        <v>9</v>
      </c>
      <c r="R9" s="122">
        <v>33008.400000000001</v>
      </c>
      <c r="S9" s="123">
        <f t="shared" si="4"/>
        <v>9.5955319011765787E-4</v>
      </c>
      <c r="T9" s="122">
        <f t="shared" ref="T9:T14" si="11">E9</f>
        <v>11592.147420000001</v>
      </c>
      <c r="U9" s="124">
        <f t="shared" si="5"/>
        <v>2.6794100632867099E-4</v>
      </c>
      <c r="V9" s="124">
        <f t="shared" si="6"/>
        <v>-6.9161218378898694E-4</v>
      </c>
    </row>
    <row r="10" spans="1:22" s="74" customFormat="1" x14ac:dyDescent="0.25">
      <c r="A10" s="4">
        <f t="shared" si="7"/>
        <v>4</v>
      </c>
      <c r="B10" s="74" t="str">
        <f>'Billing Detail'!B30</f>
        <v>Large Power Service &gt; 50 kW</v>
      </c>
      <c r="C10" s="27">
        <f>'Billing Detail'!C30</f>
        <v>2</v>
      </c>
      <c r="D10" s="75">
        <f>'Billing Detail'!G34</f>
        <v>4175389.0060000001</v>
      </c>
      <c r="E10" s="75">
        <f>'Billing Detail'!I34</f>
        <v>4093851.37</v>
      </c>
      <c r="F10" s="73">
        <f t="shared" si="0"/>
        <v>9.4625319718182846E-2</v>
      </c>
      <c r="G10" s="99">
        <v>0</v>
      </c>
      <c r="H10" s="73">
        <f t="shared" si="1"/>
        <v>0</v>
      </c>
      <c r="I10" s="77">
        <f t="shared" si="2"/>
        <v>0</v>
      </c>
      <c r="J10" s="75">
        <f>'Billing Detail'!M34</f>
        <v>4093851.37</v>
      </c>
      <c r="K10" s="73">
        <f t="shared" si="3"/>
        <v>9.0840142932068046E-2</v>
      </c>
      <c r="L10" s="75">
        <f>'Billing Detail'!N34</f>
        <v>0</v>
      </c>
      <c r="M10" s="73">
        <f t="shared" si="8"/>
        <v>0</v>
      </c>
      <c r="N10" s="73">
        <f>'Billing Detail'!O40</f>
        <v>0</v>
      </c>
      <c r="O10" s="78">
        <f t="shared" si="9"/>
        <v>0</v>
      </c>
      <c r="P10" s="180"/>
      <c r="Q10" s="121">
        <f t="shared" si="10"/>
        <v>2</v>
      </c>
      <c r="R10" s="122">
        <v>0</v>
      </c>
      <c r="S10" s="123">
        <f t="shared" si="4"/>
        <v>0</v>
      </c>
      <c r="T10" s="122">
        <f t="shared" si="11"/>
        <v>4093851.37</v>
      </c>
      <c r="U10" s="124">
        <f t="shared" si="5"/>
        <v>9.4625319718182846E-2</v>
      </c>
      <c r="V10" s="124">
        <f t="shared" si="6"/>
        <v>9.4625319718182846E-2</v>
      </c>
    </row>
    <row r="11" spans="1:22" s="74" customFormat="1" x14ac:dyDescent="0.25">
      <c r="A11" s="4">
        <f t="shared" si="7"/>
        <v>5</v>
      </c>
      <c r="B11" s="74" t="str">
        <f>'Billing Detail'!B43</f>
        <v>General Service &lt; 50kW</v>
      </c>
      <c r="C11" s="27">
        <f>'Billing Detail'!C43</f>
        <v>11</v>
      </c>
      <c r="D11" s="75">
        <f>'Billing Detail'!G47</f>
        <v>4226312.3053399995</v>
      </c>
      <c r="E11" s="75">
        <f>'Billing Detail'!I47</f>
        <v>4167074.8017599997</v>
      </c>
      <c r="F11" s="73">
        <f t="shared" si="0"/>
        <v>9.6317806820163901E-2</v>
      </c>
      <c r="G11" s="99">
        <v>10474.276782223667</v>
      </c>
      <c r="H11" s="73">
        <f t="shared" si="1"/>
        <v>3.0448690940966652E-4</v>
      </c>
      <c r="I11" s="77">
        <f t="shared" si="2"/>
        <v>548.9</v>
      </c>
      <c r="J11" s="75">
        <f>'Billing Detail'!M47</f>
        <v>4167623.7017599996</v>
      </c>
      <c r="K11" s="73">
        <f t="shared" si="3"/>
        <v>9.2477107383347162E-2</v>
      </c>
      <c r="L11" s="75">
        <f>'Billing Detail'!N47</f>
        <v>548.89999999989232</v>
      </c>
      <c r="M11" s="73">
        <f t="shared" si="8"/>
        <v>1.3172309740349747E-4</v>
      </c>
      <c r="N11" s="73">
        <f>'Billing Detail'!O53</f>
        <v>1.2265794291049261E-4</v>
      </c>
      <c r="O11" s="78">
        <f t="shared" si="9"/>
        <v>0</v>
      </c>
      <c r="P11" s="180"/>
      <c r="Q11" s="121">
        <f t="shared" si="10"/>
        <v>11</v>
      </c>
      <c r="R11" s="122">
        <v>10474.276782223667</v>
      </c>
      <c r="S11" s="123">
        <f t="shared" si="4"/>
        <v>3.0448690940966652E-4</v>
      </c>
      <c r="T11" s="122">
        <f t="shared" si="11"/>
        <v>4167074.8017599997</v>
      </c>
      <c r="U11" s="124">
        <f t="shared" si="5"/>
        <v>9.6317806820163901E-2</v>
      </c>
      <c r="V11" s="124">
        <f t="shared" si="6"/>
        <v>9.6013319910754236E-2</v>
      </c>
    </row>
    <row r="12" spans="1:22" s="74" customFormat="1" x14ac:dyDescent="0.25">
      <c r="A12" s="4">
        <f t="shared" si="7"/>
        <v>6</v>
      </c>
      <c r="B12" s="74" t="str">
        <f>'Billing Detail'!B56</f>
        <v>Large Industrial Rate (500 kW to 4,999 kW)</v>
      </c>
      <c r="C12" s="27" t="str">
        <f>'Billing Detail'!C56</f>
        <v>B1</v>
      </c>
      <c r="D12" s="75">
        <f>'Billing Detail'!G61</f>
        <v>8792338.9519400001</v>
      </c>
      <c r="E12" s="75">
        <f>'Billing Detail'!I61</f>
        <v>8584102.7586800009</v>
      </c>
      <c r="F12" s="73">
        <f t="shared" si="0"/>
        <v>0.19841303325915088</v>
      </c>
      <c r="G12" s="99">
        <v>44048.293378000002</v>
      </c>
      <c r="H12" s="73">
        <f t="shared" si="1"/>
        <v>1.2804825568672946E-3</v>
      </c>
      <c r="I12" s="77">
        <f t="shared" si="2"/>
        <v>2308.31</v>
      </c>
      <c r="J12" s="75">
        <f>'Billing Detail'!M61</f>
        <v>8586411.0686800014</v>
      </c>
      <c r="K12" s="73">
        <f t="shared" si="3"/>
        <v>0.19052738808941724</v>
      </c>
      <c r="L12" s="75">
        <f>'Billing Detail'!N61</f>
        <v>2308.3100000020204</v>
      </c>
      <c r="M12" s="73">
        <f>IF(E12=0,0,L12/E12)</f>
        <v>2.689052152442983E-4</v>
      </c>
      <c r="N12" s="73">
        <f>'Billing Detail'!O67</f>
        <v>2.5396595943922613E-4</v>
      </c>
      <c r="O12" s="78">
        <f>J12-I12-E12</f>
        <v>0</v>
      </c>
      <c r="P12" s="180"/>
      <c r="Q12" s="121" t="str">
        <f t="shared" si="10"/>
        <v>B1</v>
      </c>
      <c r="R12" s="122">
        <v>44048.293378000002</v>
      </c>
      <c r="S12" s="123">
        <f t="shared" si="4"/>
        <v>1.2804825568672946E-3</v>
      </c>
      <c r="T12" s="122">
        <f t="shared" si="11"/>
        <v>8584102.7586800009</v>
      </c>
      <c r="U12" s="124">
        <f t="shared" si="5"/>
        <v>0.19841303325915088</v>
      </c>
      <c r="V12" s="124">
        <f t="shared" si="6"/>
        <v>0.19713255070228358</v>
      </c>
    </row>
    <row r="13" spans="1:22" s="74" customFormat="1" x14ac:dyDescent="0.25">
      <c r="A13" s="4">
        <f t="shared" si="7"/>
        <v>7</v>
      </c>
      <c r="B13" s="74" t="str">
        <f>'Billing Detail'!B70</f>
        <v>Large Industrial Rate (5,000 kW to 9,999 kW)</v>
      </c>
      <c r="C13" s="27" t="str">
        <f>'Billing Detail'!C70</f>
        <v>B2</v>
      </c>
      <c r="D13" s="75">
        <f>'Billing Detail'!G75</f>
        <v>3760706.9264099998</v>
      </c>
      <c r="E13" s="75">
        <f>'Billing Detail'!I75</f>
        <v>3684981.2781199999</v>
      </c>
      <c r="F13" s="73">
        <f t="shared" si="0"/>
        <v>8.5174692504193933E-2</v>
      </c>
      <c r="G13" s="99">
        <v>2935237.6966399997</v>
      </c>
      <c r="H13" s="73">
        <f t="shared" si="1"/>
        <v>8.5327271105673633E-2</v>
      </c>
      <c r="I13" s="77">
        <f t="shared" si="2"/>
        <v>153818.62</v>
      </c>
      <c r="J13" s="75">
        <f>'Billing Detail'!M75</f>
        <v>3838799.89812</v>
      </c>
      <c r="K13" s="73">
        <f t="shared" si="3"/>
        <v>8.5180701475449275E-2</v>
      </c>
      <c r="L13" s="75">
        <f>'Billing Detail'!N75</f>
        <v>153818.62000000011</v>
      </c>
      <c r="M13" s="73">
        <f t="shared" ref="M13" si="12">IF(E13=0,0,L13/E13)</f>
        <v>4.1742035682329204E-2</v>
      </c>
      <c r="N13" s="73">
        <f>'Billing Detail'!O81</f>
        <v>4.0103515904842443E-2</v>
      </c>
      <c r="O13" s="78">
        <f t="shared" ref="O13" si="13">J13-I13-E13</f>
        <v>0</v>
      </c>
      <c r="P13" s="180"/>
      <c r="Q13" s="121" t="str">
        <f t="shared" si="10"/>
        <v>B2</v>
      </c>
      <c r="R13" s="122">
        <v>2935237.6966399997</v>
      </c>
      <c r="S13" s="123">
        <f t="shared" si="4"/>
        <v>8.5327271105673633E-2</v>
      </c>
      <c r="T13" s="122">
        <f t="shared" si="11"/>
        <v>3684981.2781199999</v>
      </c>
      <c r="U13" s="124">
        <f t="shared" si="5"/>
        <v>8.5174692504193933E-2</v>
      </c>
      <c r="V13" s="124">
        <f t="shared" si="6"/>
        <v>-1.5257860147969982E-4</v>
      </c>
    </row>
    <row r="14" spans="1:22" s="74" customFormat="1" x14ac:dyDescent="0.25">
      <c r="A14" s="4">
        <f t="shared" si="7"/>
        <v>8</v>
      </c>
      <c r="B14" s="74" t="str">
        <f>'Billing Detail'!B84</f>
        <v>Outdoor &amp; Street Lighting</v>
      </c>
      <c r="C14" s="27">
        <f>'Billing Detail'!C84</f>
        <v>3</v>
      </c>
      <c r="D14" s="75">
        <f>'Billing Detail'!G94</f>
        <v>582421.26</v>
      </c>
      <c r="E14" s="75">
        <f>'Billing Detail'!I94</f>
        <v>581104.85</v>
      </c>
      <c r="F14" s="73">
        <f t="shared" si="0"/>
        <v>1.3431663060360855E-2</v>
      </c>
      <c r="G14" s="99">
        <v>939996.9600000002</v>
      </c>
      <c r="H14" s="73">
        <f t="shared" si="1"/>
        <v>2.7325683209998078E-2</v>
      </c>
      <c r="I14" s="77">
        <f t="shared" si="2"/>
        <v>49259.74</v>
      </c>
      <c r="J14" s="75">
        <f>'Billing Detail'!M94</f>
        <v>630414.4099999998</v>
      </c>
      <c r="K14" s="73">
        <f t="shared" si="3"/>
        <v>1.3988523259659845E-2</v>
      </c>
      <c r="L14" s="75">
        <f t="shared" ref="L14:L15" si="14">J14-E14</f>
        <v>49309.559999999823</v>
      </c>
      <c r="M14" s="73">
        <f t="shared" si="8"/>
        <v>8.4854841600444098E-2</v>
      </c>
      <c r="N14" s="73">
        <f>'Billing Detail'!O100</f>
        <v>8.451002727876368E-2</v>
      </c>
      <c r="O14" s="78">
        <f t="shared" si="9"/>
        <v>49.819999999832362</v>
      </c>
      <c r="P14" s="180"/>
      <c r="Q14" s="121">
        <f t="shared" si="10"/>
        <v>3</v>
      </c>
      <c r="R14" s="122">
        <v>939996.9600000002</v>
      </c>
      <c r="S14" s="123">
        <f t="shared" si="4"/>
        <v>2.7325683209998078E-2</v>
      </c>
      <c r="T14" s="122">
        <f t="shared" si="11"/>
        <v>581104.85</v>
      </c>
      <c r="U14" s="124">
        <f t="shared" si="5"/>
        <v>1.3431663060360855E-2</v>
      </c>
      <c r="V14" s="124">
        <f t="shared" si="6"/>
        <v>-1.3894020149637223E-2</v>
      </c>
    </row>
    <row r="15" spans="1:22" s="74" customFormat="1" ht="16.2" customHeight="1" x14ac:dyDescent="0.25">
      <c r="A15" s="4">
        <f t="shared" si="7"/>
        <v>9</v>
      </c>
      <c r="B15" s="79" t="s">
        <v>44</v>
      </c>
      <c r="C15" s="111"/>
      <c r="D15" s="80">
        <f>SUM(D8:D14)</f>
        <v>44047044.337689996</v>
      </c>
      <c r="E15" s="80">
        <f>SUM(E8:E14)</f>
        <v>43263804.890620001</v>
      </c>
      <c r="F15" s="81">
        <f t="shared" si="0"/>
        <v>1</v>
      </c>
      <c r="G15" s="80">
        <f>SUM(G8:G14)</f>
        <v>34399760.576016217</v>
      </c>
      <c r="H15" s="81">
        <v>1</v>
      </c>
      <c r="I15" s="80">
        <f>SUM(I8:I14)</f>
        <v>1802690.01</v>
      </c>
      <c r="J15" s="80">
        <f>SUM(J8:J14)</f>
        <v>45066544.788040005</v>
      </c>
      <c r="K15" s="81">
        <f t="shared" si="3"/>
        <v>1</v>
      </c>
      <c r="L15" s="80">
        <f t="shared" si="14"/>
        <v>1802739.897420004</v>
      </c>
      <c r="M15" s="81">
        <f t="shared" ref="M15" si="15">L15/E15</f>
        <v>4.1668547229669457E-2</v>
      </c>
      <c r="N15" s="81"/>
      <c r="O15" s="82">
        <f t="shared" si="9"/>
        <v>49.887420006096363</v>
      </c>
      <c r="P15" s="180"/>
      <c r="Q15" s="146"/>
      <c r="R15" s="125">
        <f>SUM(R8:R14)</f>
        <v>34399760.576016217</v>
      </c>
      <c r="S15" s="126">
        <f t="shared" ref="S15" si="16">R15/R$15</f>
        <v>1</v>
      </c>
      <c r="T15" s="125">
        <f>SUM(T8:T14)</f>
        <v>43263804.890620001</v>
      </c>
      <c r="U15" s="127">
        <f>SUM(U8:U14)</f>
        <v>1.0000000000000002</v>
      </c>
      <c r="V15" s="124">
        <f t="shared" si="6"/>
        <v>0</v>
      </c>
    </row>
    <row r="16" spans="1:22" s="74" customFormat="1" ht="16.2" customHeight="1" x14ac:dyDescent="0.25">
      <c r="A16" s="4">
        <f t="shared" si="7"/>
        <v>10</v>
      </c>
      <c r="B16" s="83"/>
      <c r="C16" s="112"/>
      <c r="D16" s="84"/>
      <c r="E16" s="84"/>
      <c r="F16" s="85"/>
      <c r="G16" s="84"/>
      <c r="H16" s="85"/>
      <c r="I16" s="84"/>
      <c r="J16" s="84"/>
      <c r="K16" s="85"/>
      <c r="L16" s="84"/>
      <c r="M16" s="85"/>
      <c r="N16" s="85"/>
      <c r="O16" s="86"/>
      <c r="P16" s="179"/>
    </row>
    <row r="17" spans="1:19" s="74" customFormat="1" ht="16.2" customHeight="1" x14ac:dyDescent="0.25">
      <c r="A17" s="4">
        <f t="shared" si="7"/>
        <v>11</v>
      </c>
      <c r="B17" s="87" t="s">
        <v>43</v>
      </c>
      <c r="C17" s="113"/>
      <c r="D17" s="88">
        <f>D15</f>
        <v>44047044.337689996</v>
      </c>
      <c r="E17" s="88">
        <f t="shared" ref="E17:O17" si="17">E15</f>
        <v>43263804.890620001</v>
      </c>
      <c r="F17" s="88">
        <f t="shared" si="17"/>
        <v>1</v>
      </c>
      <c r="G17" s="88">
        <f t="shared" si="17"/>
        <v>34399760.576016217</v>
      </c>
      <c r="H17" s="88">
        <f t="shared" si="17"/>
        <v>1</v>
      </c>
      <c r="I17" s="88">
        <f t="shared" si="17"/>
        <v>1802690.01</v>
      </c>
      <c r="J17" s="88">
        <f t="shared" si="17"/>
        <v>45066544.788040005</v>
      </c>
      <c r="K17" s="88">
        <f t="shared" si="17"/>
        <v>1</v>
      </c>
      <c r="L17" s="88">
        <f t="shared" si="17"/>
        <v>1802739.897420004</v>
      </c>
      <c r="M17" s="165">
        <f t="shared" si="17"/>
        <v>4.1668547229669457E-2</v>
      </c>
      <c r="N17" s="88"/>
      <c r="O17" s="88">
        <f t="shared" si="17"/>
        <v>49.887420006096363</v>
      </c>
      <c r="P17" s="179"/>
    </row>
    <row r="18" spans="1:19" s="74" customFormat="1" ht="12.6" customHeight="1" x14ac:dyDescent="0.25">
      <c r="A18" s="4">
        <f t="shared" si="7"/>
        <v>12</v>
      </c>
      <c r="C18" s="27"/>
      <c r="P18" s="179"/>
      <c r="S18" s="75"/>
    </row>
    <row r="19" spans="1:19" s="74" customFormat="1" x14ac:dyDescent="0.25">
      <c r="A19" s="4">
        <f t="shared" si="7"/>
        <v>13</v>
      </c>
      <c r="B19" s="70" t="s">
        <v>7</v>
      </c>
      <c r="C19" s="110"/>
      <c r="D19" s="70"/>
      <c r="P19" s="179"/>
    </row>
    <row r="20" spans="1:19" s="74" customFormat="1" x14ac:dyDescent="0.25">
      <c r="A20" s="4">
        <f t="shared" si="7"/>
        <v>14</v>
      </c>
      <c r="B20" s="74" t="str">
        <f>'Billing Detail'!D11</f>
        <v xml:space="preserve">    FAC</v>
      </c>
      <c r="C20" s="27"/>
      <c r="D20" s="75">
        <f>'Billing Detail'!G105</f>
        <v>-1482021.86</v>
      </c>
      <c r="E20" s="75">
        <f>'Billing Detail'!I105</f>
        <v>-700098.82293000002</v>
      </c>
      <c r="F20" s="89"/>
      <c r="G20" s="90"/>
      <c r="H20" s="90"/>
      <c r="I20" s="90"/>
      <c r="J20" s="75">
        <f>'Billing Detail'!M105</f>
        <v>-700098.82293000002</v>
      </c>
      <c r="K20" s="91"/>
      <c r="L20" s="91"/>
      <c r="M20" s="90"/>
      <c r="N20" s="90"/>
      <c r="P20" s="179"/>
    </row>
    <row r="21" spans="1:19" s="74" customFormat="1" x14ac:dyDescent="0.25">
      <c r="A21" s="4">
        <f t="shared" si="7"/>
        <v>15</v>
      </c>
      <c r="B21" s="74" t="str">
        <f>'Billing Detail'!D12</f>
        <v xml:space="preserve">    ES</v>
      </c>
      <c r="C21" s="27"/>
      <c r="D21" s="75">
        <f>'Billing Detail'!G106</f>
        <v>3567579.27</v>
      </c>
      <c r="E21" s="75">
        <f>'Billing Detail'!I106</f>
        <v>3567579.27</v>
      </c>
      <c r="F21" s="90"/>
      <c r="G21" s="90"/>
      <c r="H21" s="90"/>
      <c r="I21" s="90"/>
      <c r="J21" s="75">
        <f>'Billing Detail'!M106</f>
        <v>3567579.27</v>
      </c>
      <c r="K21" s="91"/>
      <c r="L21" s="91"/>
      <c r="M21" s="90"/>
      <c r="N21" s="90"/>
      <c r="P21" s="179"/>
    </row>
    <row r="22" spans="1:19" s="74" customFormat="1" x14ac:dyDescent="0.25">
      <c r="A22" s="4">
        <f t="shared" si="7"/>
        <v>16</v>
      </c>
      <c r="B22" s="74" t="str">
        <f>'Billing Detail'!D13</f>
        <v xml:space="preserve">    Prepay Daily Charges</v>
      </c>
      <c r="C22" s="27"/>
      <c r="D22" s="75">
        <f>'Billing Detail'!G107</f>
        <v>967.25</v>
      </c>
      <c r="E22" s="75">
        <f>'Billing Detail'!I107</f>
        <v>967.25</v>
      </c>
      <c r="F22" s="90"/>
      <c r="G22" s="90"/>
      <c r="H22" s="90"/>
      <c r="I22" s="90"/>
      <c r="J22" s="75">
        <f>'Billing Detail'!M107</f>
        <v>967.25</v>
      </c>
      <c r="K22" s="91"/>
      <c r="L22" s="91"/>
      <c r="M22" s="90"/>
      <c r="N22" s="90"/>
      <c r="P22" s="179"/>
    </row>
    <row r="23" spans="1:19" s="74" customFormat="1" x14ac:dyDescent="0.25">
      <c r="A23" s="4">
        <f t="shared" si="7"/>
        <v>17</v>
      </c>
      <c r="B23" s="74" t="str">
        <f>'Billing Detail'!D14</f>
        <v xml:space="preserve">    Other</v>
      </c>
      <c r="C23" s="27"/>
      <c r="D23" s="75">
        <f>'Billing Detail'!G108</f>
        <v>0</v>
      </c>
      <c r="E23" s="75">
        <f>'Billing Detail'!I108</f>
        <v>0</v>
      </c>
      <c r="F23" s="90"/>
      <c r="G23" s="90"/>
      <c r="H23" s="90"/>
      <c r="I23" s="90"/>
      <c r="J23" s="75">
        <f>'Billing Detail'!M108</f>
        <v>0</v>
      </c>
      <c r="K23" s="91"/>
      <c r="L23" s="91"/>
      <c r="M23" s="90"/>
      <c r="N23" s="101"/>
      <c r="P23" s="179"/>
    </row>
    <row r="24" spans="1:19" s="74" customFormat="1" x14ac:dyDescent="0.25">
      <c r="A24" s="4">
        <f t="shared" si="7"/>
        <v>18</v>
      </c>
      <c r="B24" s="79" t="s">
        <v>8</v>
      </c>
      <c r="C24" s="111"/>
      <c r="D24" s="80">
        <f>SUM(D20:D23)</f>
        <v>2086524.66</v>
      </c>
      <c r="E24" s="80">
        <f>SUM(E20:E23)</f>
        <v>2868447.6970699998</v>
      </c>
      <c r="F24" s="92"/>
      <c r="G24" s="92"/>
      <c r="H24" s="92"/>
      <c r="I24" s="92"/>
      <c r="J24" s="80">
        <f>SUM(J20:J23)</f>
        <v>2868447.6970699998</v>
      </c>
      <c r="K24" s="93"/>
      <c r="L24" s="93"/>
      <c r="M24" s="92"/>
      <c r="N24" s="100"/>
      <c r="P24" s="179"/>
    </row>
    <row r="25" spans="1:19" s="74" customFormat="1" x14ac:dyDescent="0.25">
      <c r="A25" s="4">
        <f t="shared" si="7"/>
        <v>19</v>
      </c>
      <c r="C25" s="27"/>
      <c r="P25" s="179"/>
    </row>
    <row r="26" spans="1:19" s="74" customFormat="1" ht="18" customHeight="1" thickBot="1" x14ac:dyDescent="0.3">
      <c r="A26" s="4">
        <f t="shared" si="7"/>
        <v>20</v>
      </c>
      <c r="B26" s="94" t="s">
        <v>9</v>
      </c>
      <c r="C26" s="114"/>
      <c r="D26" s="95">
        <f>D17+D24</f>
        <v>46133568.997689992</v>
      </c>
      <c r="E26" s="95">
        <f>E17+E24</f>
        <v>46132252.587690003</v>
      </c>
      <c r="F26" s="96"/>
      <c r="G26" s="96"/>
      <c r="H26" s="96"/>
      <c r="I26" s="96"/>
      <c r="J26" s="95">
        <f>J17+J24</f>
        <v>47934992.485110007</v>
      </c>
      <c r="K26" s="97"/>
      <c r="L26" s="96">
        <f t="shared" ref="L26" si="18">J26-E26</f>
        <v>1802739.897420004</v>
      </c>
      <c r="M26" s="94"/>
      <c r="N26" s="98">
        <f>L26/E26</f>
        <v>3.9077647335631072E-2</v>
      </c>
      <c r="P26" s="179"/>
    </row>
    <row r="27" spans="1:19" s="74" customFormat="1" ht="18" customHeight="1" thickTop="1" x14ac:dyDescent="0.25">
      <c r="A27" s="4">
        <f t="shared" si="7"/>
        <v>21</v>
      </c>
      <c r="B27" s="74" t="s">
        <v>10</v>
      </c>
      <c r="C27" s="27"/>
      <c r="D27" s="76"/>
      <c r="L27" s="84">
        <f>L4</f>
        <v>1802690</v>
      </c>
      <c r="P27" s="179"/>
    </row>
    <row r="28" spans="1:19" s="74" customFormat="1" ht="15" customHeight="1" x14ac:dyDescent="0.25">
      <c r="A28" s="4">
        <f t="shared" si="7"/>
        <v>22</v>
      </c>
      <c r="B28" s="79" t="s">
        <v>39</v>
      </c>
      <c r="C28" s="111"/>
      <c r="D28" s="80"/>
      <c r="E28" s="79"/>
      <c r="F28" s="79"/>
      <c r="G28" s="79"/>
      <c r="H28" s="79"/>
      <c r="I28" s="79"/>
      <c r="J28" s="79"/>
      <c r="K28" s="79"/>
      <c r="L28" s="80">
        <f>L26-L27</f>
        <v>49.897420004010201</v>
      </c>
      <c r="P28" s="179"/>
    </row>
    <row r="29" spans="1:19" s="74" customFormat="1" ht="15" customHeight="1" x14ac:dyDescent="0.25">
      <c r="A29" s="4">
        <f t="shared" si="7"/>
        <v>23</v>
      </c>
      <c r="B29" s="74" t="s">
        <v>39</v>
      </c>
      <c r="C29" s="27"/>
      <c r="D29" s="73"/>
      <c r="L29" s="73">
        <f>L28/L27</f>
        <v>2.7679423530396352E-5</v>
      </c>
      <c r="P29" s="179"/>
    </row>
    <row r="30" spans="1:19" x14ac:dyDescent="0.25">
      <c r="A30" s="4"/>
      <c r="O30" s="74"/>
    </row>
    <row r="31" spans="1:19" x14ac:dyDescent="0.25">
      <c r="O31" s="74"/>
    </row>
    <row r="32" spans="1:19" x14ac:dyDescent="0.25">
      <c r="O32" s="74"/>
      <c r="P32" s="181"/>
    </row>
    <row r="33" spans="15:16" x14ac:dyDescent="0.25">
      <c r="O33" s="74"/>
      <c r="P33" s="181"/>
    </row>
    <row r="34" spans="15:16" x14ac:dyDescent="0.25">
      <c r="O34" s="74"/>
      <c r="P34" s="181"/>
    </row>
    <row r="35" spans="15:16" x14ac:dyDescent="0.25">
      <c r="O35" s="74"/>
    </row>
  </sheetData>
  <pageMargins left="0.7" right="0.7" top="0.75" bottom="0.75" header="0.3" footer="0.3"/>
  <pageSetup scale="65" orientation="landscape" r:id="rId1"/>
  <ignoredErrors>
    <ignoredError sqref="J15 F15 J8: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144"/>
  <sheetViews>
    <sheetView zoomScale="75" zoomScaleNormal="75" zoomScaleSheetLayoutView="75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J4" sqref="J4"/>
    </sheetView>
  </sheetViews>
  <sheetFormatPr defaultColWidth="8.88671875" defaultRowHeight="13.2" x14ac:dyDescent="0.25"/>
  <cols>
    <col min="1" max="1" width="7.44140625" style="7" customWidth="1"/>
    <col min="2" max="2" width="36.44140625" style="2" customWidth="1"/>
    <col min="3" max="3" width="6.6640625" style="27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44140625" style="2" customWidth="1"/>
    <col min="10" max="10" width="12.109375" style="2" customWidth="1"/>
    <col min="11" max="11" width="13.109375" style="48" customWidth="1"/>
    <col min="12" max="12" width="11.44140625" style="2" customWidth="1"/>
    <col min="13" max="13" width="14.33203125" style="2" customWidth="1"/>
    <col min="14" max="14" width="12.33203125" style="2" customWidth="1"/>
    <col min="15" max="15" width="10.33203125" style="2" customWidth="1"/>
    <col min="16" max="16" width="11.44140625" style="2" customWidth="1"/>
    <col min="17" max="17" width="10.88671875" style="2" customWidth="1"/>
    <col min="18" max="18" width="14.33203125" style="2" customWidth="1"/>
    <col min="19" max="19" width="12.44140625" style="172" customWidth="1"/>
    <col min="20" max="20" width="14.109375" style="2" customWidth="1"/>
    <col min="21" max="21" width="8.88671875" style="2" customWidth="1"/>
    <col min="22" max="22" width="9.33203125" style="2" customWidth="1"/>
    <col min="23" max="23" width="15.33203125" style="2" customWidth="1"/>
    <col min="24" max="24" width="11.6640625" style="2" customWidth="1"/>
    <col min="25" max="16384" width="8.88671875" style="2"/>
  </cols>
  <sheetData>
    <row r="1" spans="1:24" x14ac:dyDescent="0.25">
      <c r="A1" s="62" t="str">
        <f>Summary!A1</f>
        <v>SHELBY ENERGY COOPERATIVE</v>
      </c>
      <c r="F1" s="18"/>
    </row>
    <row r="2" spans="1:24" ht="14.4" customHeight="1" x14ac:dyDescent="0.25">
      <c r="A2" s="62" t="str">
        <f>Summary!A2</f>
        <v>Billing Analysis for Pass-Through Rate Increase</v>
      </c>
      <c r="F2" s="67"/>
      <c r="G2" s="67"/>
      <c r="H2" s="67"/>
      <c r="I2" s="102"/>
      <c r="P2" s="44"/>
      <c r="R2" s="48"/>
      <c r="S2" s="173"/>
      <c r="T2" s="48"/>
    </row>
    <row r="3" spans="1:24" x14ac:dyDescent="0.25">
      <c r="R3" s="48"/>
      <c r="S3" s="173"/>
      <c r="T3" s="48"/>
    </row>
    <row r="4" spans="1:24" x14ac:dyDescent="0.25">
      <c r="D4" s="48"/>
      <c r="F4" s="48"/>
      <c r="G4" s="48"/>
      <c r="H4" s="48"/>
      <c r="I4" s="48"/>
      <c r="J4" s="183" t="s">
        <v>113</v>
      </c>
      <c r="L4" s="48"/>
      <c r="M4" s="48"/>
      <c r="N4" s="48"/>
      <c r="O4" s="48"/>
      <c r="P4" s="48"/>
      <c r="Q4" s="48"/>
      <c r="R4" s="48"/>
      <c r="S4" s="173"/>
      <c r="T4" s="48"/>
      <c r="W4" s="170" t="s">
        <v>111</v>
      </c>
      <c r="X4" s="2" t="s">
        <v>112</v>
      </c>
    </row>
    <row r="5" spans="1:24" ht="38.4" customHeight="1" x14ac:dyDescent="0.25">
      <c r="A5" s="29" t="s">
        <v>1</v>
      </c>
      <c r="B5" s="29" t="s">
        <v>12</v>
      </c>
      <c r="C5" s="12" t="s">
        <v>11</v>
      </c>
      <c r="D5" s="29" t="s">
        <v>13</v>
      </c>
      <c r="E5" s="14" t="s">
        <v>14</v>
      </c>
      <c r="F5" s="52" t="s">
        <v>20</v>
      </c>
      <c r="G5" s="14" t="s">
        <v>25</v>
      </c>
      <c r="H5" s="14" t="s">
        <v>26</v>
      </c>
      <c r="I5" s="14" t="s">
        <v>27</v>
      </c>
      <c r="J5" s="14" t="s">
        <v>56</v>
      </c>
      <c r="K5" s="52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40</v>
      </c>
      <c r="T5" s="14" t="s">
        <v>36</v>
      </c>
      <c r="W5" s="170" t="s">
        <v>56</v>
      </c>
      <c r="X5" s="2" t="s">
        <v>56</v>
      </c>
    </row>
    <row r="6" spans="1:24" ht="30.6" customHeight="1" thickBot="1" x14ac:dyDescent="0.3">
      <c r="A6" s="63"/>
      <c r="B6" s="38"/>
      <c r="C6" s="39"/>
      <c r="D6" s="38"/>
      <c r="E6" s="152"/>
      <c r="F6" s="40"/>
      <c r="G6" s="40"/>
      <c r="H6" s="40"/>
      <c r="I6" s="40"/>
      <c r="J6" s="40"/>
      <c r="K6" s="53"/>
      <c r="L6" s="40"/>
      <c r="M6" s="40"/>
      <c r="N6" s="40"/>
      <c r="O6" s="39"/>
      <c r="P6" s="40"/>
      <c r="Q6" s="40"/>
      <c r="R6" s="40"/>
    </row>
    <row r="7" spans="1:24" x14ac:dyDescent="0.25">
      <c r="A7" s="64">
        <v>1</v>
      </c>
      <c r="B7" s="41" t="s">
        <v>88</v>
      </c>
      <c r="C7" s="42">
        <v>12</v>
      </c>
      <c r="D7" s="41"/>
      <c r="E7" s="41"/>
      <c r="F7" s="41"/>
      <c r="G7" s="41"/>
      <c r="H7" s="41"/>
      <c r="I7" s="41"/>
      <c r="J7" s="41"/>
      <c r="K7" s="54"/>
      <c r="L7" s="41"/>
      <c r="M7" s="41"/>
      <c r="N7" s="41"/>
      <c r="O7" s="41"/>
      <c r="P7" s="41"/>
      <c r="Q7" s="41"/>
      <c r="R7" s="41"/>
    </row>
    <row r="8" spans="1:24" x14ac:dyDescent="0.25">
      <c r="A8" s="64">
        <f>A7+1</f>
        <v>2</v>
      </c>
      <c r="B8" s="2" t="s">
        <v>107</v>
      </c>
      <c r="C8" s="2"/>
      <c r="D8" s="2" t="s">
        <v>17</v>
      </c>
      <c r="E8" s="23">
        <f>159566+535</f>
        <v>160101</v>
      </c>
      <c r="F8" s="65">
        <f>H8</f>
        <v>15</v>
      </c>
      <c r="G8" s="6">
        <f>F8*E8</f>
        <v>2401515</v>
      </c>
      <c r="H8" s="20">
        <v>15</v>
      </c>
      <c r="I8" s="6">
        <f>H8*E8</f>
        <v>2401515</v>
      </c>
      <c r="J8" s="171">
        <f>I8/I10</f>
        <v>0.10846413462445491</v>
      </c>
      <c r="K8" s="55"/>
      <c r="L8" s="19">
        <f>J8*K10/E8</f>
        <v>16.080586438882737</v>
      </c>
      <c r="M8" s="6">
        <f>L8*E8</f>
        <v>2574517.9694515648</v>
      </c>
      <c r="N8" s="6">
        <f t="shared" ref="N8:N13" si="0">M8-I8</f>
        <v>173002.96945156483</v>
      </c>
      <c r="O8" s="5">
        <f>IF(I8=0,0,N8/I8)</f>
        <v>7.2039095925515703E-2</v>
      </c>
      <c r="P8" s="5">
        <f>M8/M10</f>
        <v>0.10846413462445488</v>
      </c>
      <c r="Q8" s="17">
        <f>P8-J8</f>
        <v>0</v>
      </c>
      <c r="R8" s="17"/>
      <c r="T8" s="5">
        <f>L8/H8-1</f>
        <v>7.2039095925515717E-2</v>
      </c>
      <c r="W8" s="171">
        <v>0.11418659269070748</v>
      </c>
      <c r="X8" s="17">
        <v>0.12673762044175882</v>
      </c>
    </row>
    <row r="9" spans="1:24" x14ac:dyDescent="0.25">
      <c r="A9" s="64">
        <f t="shared" ref="A9:A75" si="1">A8+1</f>
        <v>3</v>
      </c>
      <c r="B9" s="67" t="s">
        <v>108</v>
      </c>
      <c r="D9" s="2" t="s">
        <v>51</v>
      </c>
      <c r="E9" s="23">
        <f>227080102+229694</f>
        <v>227309796</v>
      </c>
      <c r="F9" s="155">
        <f>H9+0.00157</f>
        <v>8.8410000000000002E-2</v>
      </c>
      <c r="G9" s="6">
        <f t="shared" ref="G9" si="2">F9*E9</f>
        <v>20096459.06436</v>
      </c>
      <c r="H9" s="155">
        <v>8.6840000000000001E-2</v>
      </c>
      <c r="I9" s="6">
        <f t="shared" ref="I9" si="3">H9*E9</f>
        <v>19739582.684640002</v>
      </c>
      <c r="J9" s="171">
        <f>I9/I10</f>
        <v>0.89153586537554508</v>
      </c>
      <c r="K9" s="55"/>
      <c r="L9" s="158">
        <f>J9*K10/E9</f>
        <v>9.3095875090171809E-2</v>
      </c>
      <c r="M9" s="6">
        <f t="shared" ref="M9" si="4">L9*E9</f>
        <v>21161604.375188436</v>
      </c>
      <c r="N9" s="6">
        <f t="shared" si="0"/>
        <v>1422021.6905484349</v>
      </c>
      <c r="O9" s="5">
        <f t="shared" ref="O9" si="5">IF(I9=0,0,N9/I9)</f>
        <v>7.2039095925515953E-2</v>
      </c>
      <c r="P9" s="5">
        <f>M9/M10</f>
        <v>0.89153586537554508</v>
      </c>
      <c r="Q9" s="17">
        <f t="shared" ref="Q9:Q10" si="6">P9-J9</f>
        <v>0</v>
      </c>
      <c r="R9" s="17"/>
      <c r="T9" s="5">
        <f>L9/H9-1</f>
        <v>7.2039095925515939E-2</v>
      </c>
      <c r="W9" s="171">
        <v>0.88581340730929248</v>
      </c>
      <c r="X9" s="17">
        <v>0.87326237955824115</v>
      </c>
    </row>
    <row r="10" spans="1:24" s="7" customFormat="1" ht="20.399999999999999" customHeight="1" x14ac:dyDescent="0.3">
      <c r="A10" s="64">
        <f t="shared" si="1"/>
        <v>4</v>
      </c>
      <c r="C10" s="28"/>
      <c r="D10" s="30" t="s">
        <v>6</v>
      </c>
      <c r="E10" s="30"/>
      <c r="F10" s="30"/>
      <c r="G10" s="31">
        <f>SUM(G8:G9)</f>
        <v>22497974.06436</v>
      </c>
      <c r="H10" s="30"/>
      <c r="I10" s="32">
        <f>SUM(I8:I9)</f>
        <v>22141097.684640002</v>
      </c>
      <c r="J10" s="33">
        <f>SUM(J8:J9)</f>
        <v>1</v>
      </c>
      <c r="K10" s="56">
        <f>I10+Summary!I8</f>
        <v>23736122.344640002</v>
      </c>
      <c r="L10" s="30"/>
      <c r="M10" s="31">
        <f>SUM(M8:M9)</f>
        <v>23736122.344640002</v>
      </c>
      <c r="N10" s="31">
        <f>SUM(N8:N9)</f>
        <v>1595024.6599999997</v>
      </c>
      <c r="O10" s="33">
        <f t="shared" ref="O10" si="7">N10/I10</f>
        <v>7.2039095925515925E-2</v>
      </c>
      <c r="P10" s="33">
        <f>SUM(P8:P9)</f>
        <v>1</v>
      </c>
      <c r="Q10" s="34">
        <f t="shared" si="6"/>
        <v>0</v>
      </c>
      <c r="R10" s="47">
        <f>M10-K10</f>
        <v>0</v>
      </c>
      <c r="S10" s="174">
        <f>K10/I10</f>
        <v>1.0720390959255159</v>
      </c>
    </row>
    <row r="11" spans="1:24" x14ac:dyDescent="0.25">
      <c r="A11" s="64">
        <f t="shared" si="1"/>
        <v>5</v>
      </c>
      <c r="D11" s="2" t="s">
        <v>29</v>
      </c>
      <c r="G11" s="22">
        <f>-642999.53-542.68</f>
        <v>-643542.21000000008</v>
      </c>
      <c r="I11" s="61">
        <f>G11+(0.00157*E9)</f>
        <v>-286665.83028000005</v>
      </c>
      <c r="K11" s="69">
        <f>K10-I10</f>
        <v>1595024.6600000001</v>
      </c>
      <c r="M11" s="6">
        <f>I11</f>
        <v>-286665.83028000005</v>
      </c>
      <c r="N11" s="6">
        <f t="shared" si="0"/>
        <v>0</v>
      </c>
      <c r="O11" s="18">
        <v>0</v>
      </c>
      <c r="R11" s="49"/>
    </row>
    <row r="12" spans="1:24" x14ac:dyDescent="0.25">
      <c r="A12" s="64">
        <f t="shared" si="1"/>
        <v>6</v>
      </c>
      <c r="D12" s="2" t="s">
        <v>30</v>
      </c>
      <c r="G12" s="22">
        <f>1926304.71+1134.5</f>
        <v>1927439.21</v>
      </c>
      <c r="I12" s="21">
        <f>G12</f>
        <v>1927439.21</v>
      </c>
      <c r="M12" s="6">
        <f t="shared" ref="M12:M14" si="8">I12</f>
        <v>1927439.21</v>
      </c>
      <c r="N12" s="6">
        <f t="shared" si="0"/>
        <v>0</v>
      </c>
      <c r="O12" s="18">
        <v>0</v>
      </c>
    </row>
    <row r="13" spans="1:24" x14ac:dyDescent="0.25">
      <c r="A13" s="64">
        <f t="shared" si="1"/>
        <v>7</v>
      </c>
      <c r="D13" s="2" t="s">
        <v>42</v>
      </c>
      <c r="E13" s="2">
        <v>318</v>
      </c>
      <c r="F13" s="18">
        <f>0.1*365/12</f>
        <v>3.0416666666666665</v>
      </c>
      <c r="G13" s="22">
        <f>F13*E13</f>
        <v>967.25</v>
      </c>
      <c r="I13" s="21">
        <f>G13</f>
        <v>967.25</v>
      </c>
      <c r="M13" s="6">
        <f t="shared" si="8"/>
        <v>967.25</v>
      </c>
      <c r="N13" s="6">
        <f t="shared" si="0"/>
        <v>0</v>
      </c>
      <c r="O13" s="18">
        <v>0</v>
      </c>
    </row>
    <row r="14" spans="1:24" x14ac:dyDescent="0.25">
      <c r="A14" s="64">
        <f t="shared" si="1"/>
        <v>8</v>
      </c>
      <c r="D14" s="2" t="s">
        <v>41</v>
      </c>
      <c r="G14" s="22">
        <v>0</v>
      </c>
      <c r="I14" s="21">
        <f>G14</f>
        <v>0</v>
      </c>
      <c r="M14" s="6">
        <f t="shared" si="8"/>
        <v>0</v>
      </c>
      <c r="N14" s="6"/>
      <c r="O14" s="18">
        <v>0</v>
      </c>
    </row>
    <row r="15" spans="1:24" x14ac:dyDescent="0.25">
      <c r="A15" s="64">
        <f t="shared" si="1"/>
        <v>9</v>
      </c>
      <c r="D15" s="24" t="s">
        <v>8</v>
      </c>
      <c r="E15" s="24"/>
      <c r="F15" s="24"/>
      <c r="G15" s="25">
        <f>SUM(G11:G14)</f>
        <v>1284864.25</v>
      </c>
      <c r="H15" s="24"/>
      <c r="I15" s="25">
        <f>SUM(I11:I14)</f>
        <v>1641740.6297199999</v>
      </c>
      <c r="J15" s="24"/>
      <c r="K15" s="57"/>
      <c r="L15" s="24"/>
      <c r="M15" s="25">
        <f>SUM(M11:M14)</f>
        <v>1641740.6297199999</v>
      </c>
      <c r="N15" s="25">
        <f>M15-I15</f>
        <v>0</v>
      </c>
      <c r="O15" s="35">
        <v>0</v>
      </c>
    </row>
    <row r="16" spans="1:24" s="7" customFormat="1" ht="26.4" customHeight="1" thickBot="1" x14ac:dyDescent="0.3">
      <c r="A16" s="64">
        <f t="shared" si="1"/>
        <v>10</v>
      </c>
      <c r="C16" s="28"/>
      <c r="D16" s="8" t="s">
        <v>19</v>
      </c>
      <c r="E16" s="8"/>
      <c r="F16" s="8"/>
      <c r="G16" s="9">
        <f>G10+G15</f>
        <v>23782838.31436</v>
      </c>
      <c r="H16" s="8"/>
      <c r="I16" s="26">
        <f>I15+I10</f>
        <v>23782838.31436</v>
      </c>
      <c r="J16" s="8"/>
      <c r="K16" s="58"/>
      <c r="L16" s="8"/>
      <c r="M16" s="9">
        <f>M15+M10</f>
        <v>25377862.97436</v>
      </c>
      <c r="N16" s="9">
        <f>M16-I16</f>
        <v>1595024.6600000001</v>
      </c>
      <c r="O16" s="10">
        <f>N16/I16</f>
        <v>6.7066202902995364E-2</v>
      </c>
      <c r="P16" s="2"/>
      <c r="Q16" s="2"/>
      <c r="R16" s="2"/>
      <c r="S16" s="174"/>
    </row>
    <row r="17" spans="1:24" ht="13.8" thickTop="1" x14ac:dyDescent="0.25">
      <c r="A17" s="64">
        <f t="shared" si="1"/>
        <v>11</v>
      </c>
      <c r="D17" s="2" t="s">
        <v>18</v>
      </c>
      <c r="E17" s="18">
        <f>E9/E8</f>
        <v>1419.7899825735005</v>
      </c>
      <c r="G17" s="16">
        <f>G16/E8</f>
        <v>148.54896792874499</v>
      </c>
      <c r="I17" s="16">
        <f>I16/E8</f>
        <v>148.54896792874499</v>
      </c>
      <c r="M17" s="16">
        <f>M16/E8</f>
        <v>158.51158315288475</v>
      </c>
      <c r="N17" s="16">
        <f>M17-I17</f>
        <v>9.9626152241397676</v>
      </c>
      <c r="O17" s="5">
        <f>N17/I17</f>
        <v>6.7066202902995406E-2</v>
      </c>
    </row>
    <row r="18" spans="1:24" ht="13.8" thickBot="1" x14ac:dyDescent="0.3">
      <c r="A18" s="64">
        <f t="shared" si="1"/>
        <v>12</v>
      </c>
    </row>
    <row r="19" spans="1:24" x14ac:dyDescent="0.25">
      <c r="A19" s="64">
        <f t="shared" si="1"/>
        <v>13</v>
      </c>
      <c r="B19" s="41" t="s">
        <v>87</v>
      </c>
      <c r="C19" s="42">
        <v>9</v>
      </c>
      <c r="D19" s="41"/>
      <c r="E19" s="41"/>
      <c r="F19" s="41"/>
      <c r="G19" s="41"/>
      <c r="H19" s="41"/>
      <c r="I19" s="41"/>
      <c r="J19" s="41"/>
      <c r="K19" s="54"/>
      <c r="L19" s="41"/>
      <c r="M19" s="41"/>
      <c r="N19" s="41"/>
      <c r="O19" s="41"/>
      <c r="P19" s="41"/>
      <c r="Q19" s="41"/>
      <c r="R19" s="41"/>
    </row>
    <row r="20" spans="1:24" x14ac:dyDescent="0.25">
      <c r="A20" s="64">
        <f t="shared" si="1"/>
        <v>14</v>
      </c>
      <c r="D20" s="2" t="s">
        <v>51</v>
      </c>
      <c r="E20" s="23">
        <v>197246</v>
      </c>
      <c r="F20" s="155">
        <f>H20+0.00157</f>
        <v>6.0340000000000005E-2</v>
      </c>
      <c r="G20" s="6">
        <f t="shared" ref="G20" si="9">F20*E20</f>
        <v>11901.823640000001</v>
      </c>
      <c r="H20" s="155">
        <v>5.8770000000000003E-2</v>
      </c>
      <c r="I20" s="6">
        <f t="shared" ref="I20" si="10">H20*E20</f>
        <v>11592.147420000001</v>
      </c>
      <c r="J20" s="5">
        <f>I20/I21</f>
        <v>1</v>
      </c>
      <c r="K20" s="55"/>
      <c r="L20" s="158">
        <f>ROUND(H20*S21,5)</f>
        <v>6.7540000000000003E-2</v>
      </c>
      <c r="M20" s="6">
        <f t="shared" ref="M20" si="11">L20*E20</f>
        <v>13321.994840000001</v>
      </c>
      <c r="N20" s="6">
        <f t="shared" ref="N20" si="12">M20-I20</f>
        <v>1729.8474200000001</v>
      </c>
      <c r="O20" s="5">
        <f t="shared" ref="O20" si="13">IF(I20=0,0,N20/I20)</f>
        <v>0.14922579547388123</v>
      </c>
      <c r="P20" s="5">
        <f>M20/M$21</f>
        <v>1</v>
      </c>
      <c r="Q20" s="17">
        <f t="shared" ref="Q20" si="14">P20-J20</f>
        <v>0</v>
      </c>
      <c r="R20" s="17"/>
      <c r="T20" s="5">
        <f>L20/H20-1</f>
        <v>0.14922579547388115</v>
      </c>
    </row>
    <row r="21" spans="1:24" s="7" customFormat="1" ht="20.399999999999999" customHeight="1" x14ac:dyDescent="0.25">
      <c r="A21" s="64">
        <f t="shared" si="1"/>
        <v>15</v>
      </c>
      <c r="C21" s="28"/>
      <c r="D21" s="30" t="s">
        <v>6</v>
      </c>
      <c r="E21" s="30"/>
      <c r="F21" s="30"/>
      <c r="G21" s="31">
        <f>SUM(G20:G20)</f>
        <v>11901.823640000001</v>
      </c>
      <c r="H21" s="30"/>
      <c r="I21" s="32">
        <f>SUM(I20:I20)</f>
        <v>11592.147420000001</v>
      </c>
      <c r="J21" s="33">
        <f>SUM(J20:J20)</f>
        <v>1</v>
      </c>
      <c r="K21" s="56">
        <f>I21+Summary!I9</f>
        <v>13321.927420000002</v>
      </c>
      <c r="L21" s="30"/>
      <c r="M21" s="31">
        <f>SUM(M20:M20)</f>
        <v>13321.994840000001</v>
      </c>
      <c r="N21" s="31">
        <f>SUM(N20:N20)</f>
        <v>1729.8474200000001</v>
      </c>
      <c r="O21" s="33">
        <f t="shared" ref="O21" si="15">N21/I21</f>
        <v>0.14922579547388123</v>
      </c>
      <c r="P21" s="33">
        <f>SUM(P20:P20)</f>
        <v>1</v>
      </c>
      <c r="Q21" s="34">
        <f t="shared" ref="Q21" si="16">P21-J21</f>
        <v>0</v>
      </c>
      <c r="R21" s="47">
        <f>M21-K21</f>
        <v>6.7419999999401625E-2</v>
      </c>
      <c r="S21" s="174">
        <f>K21/I21</f>
        <v>1.1492199794677904</v>
      </c>
      <c r="W21" s="2"/>
    </row>
    <row r="22" spans="1:24" x14ac:dyDescent="0.25">
      <c r="A22" s="64">
        <f t="shared" si="1"/>
        <v>16</v>
      </c>
      <c r="D22" s="2" t="s">
        <v>29</v>
      </c>
      <c r="G22" s="22">
        <v>0</v>
      </c>
      <c r="I22" s="61">
        <f>G22+(0.00157*E20)</f>
        <v>309.67622</v>
      </c>
      <c r="K22" s="69">
        <f>K21-I21</f>
        <v>1729.7800000000007</v>
      </c>
      <c r="M22" s="6">
        <f>I22</f>
        <v>309.67622</v>
      </c>
      <c r="N22" s="6">
        <f t="shared" ref="N22:N27" si="17">M22-I22</f>
        <v>0</v>
      </c>
      <c r="O22" s="18">
        <v>0</v>
      </c>
    </row>
    <row r="23" spans="1:24" x14ac:dyDescent="0.25">
      <c r="A23" s="64">
        <f t="shared" si="1"/>
        <v>17</v>
      </c>
      <c r="D23" s="2" t="s">
        <v>30</v>
      </c>
      <c r="G23" s="22">
        <v>0</v>
      </c>
      <c r="I23" s="21">
        <f t="shared" ref="I23:I25" si="18">G23</f>
        <v>0</v>
      </c>
      <c r="M23" s="6">
        <f t="shared" ref="M23:M25" si="19">I23</f>
        <v>0</v>
      </c>
      <c r="N23" s="6">
        <f t="shared" si="17"/>
        <v>0</v>
      </c>
      <c r="O23" s="18">
        <v>0</v>
      </c>
    </row>
    <row r="24" spans="1:24" x14ac:dyDescent="0.25">
      <c r="A24" s="64">
        <f t="shared" si="1"/>
        <v>18</v>
      </c>
      <c r="D24" s="2" t="s">
        <v>32</v>
      </c>
      <c r="G24" s="22">
        <v>0</v>
      </c>
      <c r="I24" s="21">
        <f t="shared" si="18"/>
        <v>0</v>
      </c>
      <c r="M24" s="6">
        <f t="shared" si="19"/>
        <v>0</v>
      </c>
      <c r="N24" s="6">
        <f t="shared" si="17"/>
        <v>0</v>
      </c>
      <c r="O24" s="18">
        <v>0</v>
      </c>
    </row>
    <row r="25" spans="1:24" x14ac:dyDescent="0.25">
      <c r="A25" s="64">
        <f t="shared" si="1"/>
        <v>19</v>
      </c>
      <c r="D25" s="2" t="s">
        <v>41</v>
      </c>
      <c r="G25" s="22">
        <v>0</v>
      </c>
      <c r="I25" s="21">
        <f t="shared" si="18"/>
        <v>0</v>
      </c>
      <c r="M25" s="6">
        <f t="shared" si="19"/>
        <v>0</v>
      </c>
      <c r="N25" s="6"/>
      <c r="O25" s="18"/>
    </row>
    <row r="26" spans="1:24" x14ac:dyDescent="0.25">
      <c r="A26" s="64">
        <f t="shared" si="1"/>
        <v>20</v>
      </c>
      <c r="D26" s="24" t="s">
        <v>8</v>
      </c>
      <c r="E26" s="24"/>
      <c r="F26" s="24"/>
      <c r="G26" s="25">
        <f>SUM(G22:G25)</f>
        <v>0</v>
      </c>
      <c r="H26" s="24"/>
      <c r="I26" s="25">
        <f>SUM(I22:I25)</f>
        <v>309.67622</v>
      </c>
      <c r="J26" s="24"/>
      <c r="K26" s="57"/>
      <c r="L26" s="24"/>
      <c r="M26" s="25">
        <f>SUM(M22:M25)</f>
        <v>309.67622</v>
      </c>
      <c r="N26" s="25">
        <f t="shared" si="17"/>
        <v>0</v>
      </c>
      <c r="O26" s="35">
        <f t="shared" ref="O26" si="20">N26-J26</f>
        <v>0</v>
      </c>
    </row>
    <row r="27" spans="1:24" s="7" customFormat="1" ht="26.4" customHeight="1" thickBot="1" x14ac:dyDescent="0.3">
      <c r="A27" s="64">
        <f t="shared" si="1"/>
        <v>21</v>
      </c>
      <c r="C27" s="28"/>
      <c r="D27" s="8" t="s">
        <v>19</v>
      </c>
      <c r="E27" s="8"/>
      <c r="F27" s="8"/>
      <c r="G27" s="9">
        <f>G21+G26</f>
        <v>11901.823640000001</v>
      </c>
      <c r="H27" s="8"/>
      <c r="I27" s="26">
        <f>I26+I21</f>
        <v>11901.823640000001</v>
      </c>
      <c r="J27" s="8"/>
      <c r="K27" s="58"/>
      <c r="L27" s="8"/>
      <c r="M27" s="9">
        <f>M26+M21</f>
        <v>13631.671060000001</v>
      </c>
      <c r="N27" s="9">
        <f t="shared" si="17"/>
        <v>1729.8474200000001</v>
      </c>
      <c r="O27" s="10">
        <f>N27/I27</f>
        <v>0.14534305601590986</v>
      </c>
      <c r="P27" s="2"/>
      <c r="Q27" s="2"/>
      <c r="R27" s="2"/>
      <c r="S27" s="174"/>
    </row>
    <row r="28" spans="1:24" ht="13.8" thickTop="1" x14ac:dyDescent="0.25">
      <c r="A28" s="64">
        <f t="shared" si="1"/>
        <v>22</v>
      </c>
      <c r="D28" s="2" t="s">
        <v>18</v>
      </c>
      <c r="E28" s="18">
        <f>E20/E13</f>
        <v>620.27044025157238</v>
      </c>
      <c r="G28" s="16">
        <f>G27/E13</f>
        <v>37.427118364779879</v>
      </c>
      <c r="I28" s="16">
        <f>I27/E13</f>
        <v>37.427118364779879</v>
      </c>
      <c r="M28" s="16">
        <f>M27/E13</f>
        <v>42.866890125786163</v>
      </c>
      <c r="N28" s="16">
        <f>M28-I28</f>
        <v>5.4397717610062841</v>
      </c>
      <c r="O28" s="5">
        <f>N28/I28</f>
        <v>0.14534305601590969</v>
      </c>
    </row>
    <row r="29" spans="1:24" ht="13.8" thickBot="1" x14ac:dyDescent="0.3">
      <c r="A29" s="64">
        <f t="shared" si="1"/>
        <v>23</v>
      </c>
    </row>
    <row r="30" spans="1:24" x14ac:dyDescent="0.25">
      <c r="A30" s="64">
        <f t="shared" si="1"/>
        <v>24</v>
      </c>
      <c r="B30" s="41" t="s">
        <v>68</v>
      </c>
      <c r="C30" s="42">
        <v>2</v>
      </c>
      <c r="D30" s="41"/>
      <c r="E30" s="41"/>
      <c r="F30" s="41"/>
      <c r="G30" s="41"/>
      <c r="H30" s="41"/>
      <c r="I30" s="41"/>
      <c r="J30" s="41"/>
      <c r="K30" s="54"/>
      <c r="L30" s="41"/>
      <c r="M30" s="41"/>
      <c r="N30" s="41"/>
      <c r="O30" s="41"/>
      <c r="P30" s="41"/>
      <c r="Q30" s="41"/>
      <c r="R30" s="41"/>
    </row>
    <row r="31" spans="1:24" x14ac:dyDescent="0.25">
      <c r="A31" s="64">
        <f t="shared" si="1"/>
        <v>25</v>
      </c>
      <c r="C31" s="2"/>
      <c r="D31" s="2" t="s">
        <v>17</v>
      </c>
      <c r="E31" s="23">
        <v>708</v>
      </c>
      <c r="F31" s="65">
        <f>H31</f>
        <v>52.18</v>
      </c>
      <c r="G31" s="6">
        <f>F31*E31</f>
        <v>36943.440000000002</v>
      </c>
      <c r="H31" s="20">
        <v>52.18</v>
      </c>
      <c r="I31" s="6">
        <f>H31*E31</f>
        <v>36943.440000000002</v>
      </c>
      <c r="J31" s="171">
        <f>I31/I34</f>
        <v>9.024128299020294E-3</v>
      </c>
      <c r="K31" s="55"/>
      <c r="L31" s="19">
        <f>J31*K34/E31</f>
        <v>52.180000000000007</v>
      </c>
      <c r="M31" s="6">
        <f>L31*E31</f>
        <v>36943.440000000002</v>
      </c>
      <c r="N31" s="6">
        <f>M31-I31</f>
        <v>0</v>
      </c>
      <c r="O31" s="5">
        <f>IF(I31=0,0,N31/I31)</f>
        <v>0</v>
      </c>
      <c r="P31" s="5">
        <f>M31/M$34</f>
        <v>9.024128299020294E-3</v>
      </c>
      <c r="Q31" s="17">
        <f>P31-J31</f>
        <v>0</v>
      </c>
      <c r="R31" s="17"/>
      <c r="T31" s="5">
        <f>L31/H31-1</f>
        <v>0</v>
      </c>
      <c r="W31" s="171">
        <v>8.0080411123525253E-3</v>
      </c>
      <c r="X31" s="17">
        <v>1.0360260580733761E-2</v>
      </c>
    </row>
    <row r="32" spans="1:24" x14ac:dyDescent="0.25">
      <c r="A32" s="64">
        <f t="shared" si="1"/>
        <v>26</v>
      </c>
      <c r="D32" s="2" t="s">
        <v>51</v>
      </c>
      <c r="E32" s="108">
        <v>51934800</v>
      </c>
      <c r="F32" s="155">
        <f>H32+0.00157</f>
        <v>6.1670000000000003E-2</v>
      </c>
      <c r="G32" s="6">
        <f t="shared" ref="G32" si="21">F32*E32</f>
        <v>3202819.1159999999</v>
      </c>
      <c r="H32" s="155">
        <v>6.0100000000000001E-2</v>
      </c>
      <c r="I32" s="6">
        <f t="shared" ref="I32" si="22">H32*E32</f>
        <v>3121281.48</v>
      </c>
      <c r="J32" s="171">
        <f>I32/I34</f>
        <v>0.76243155842758403</v>
      </c>
      <c r="K32" s="55"/>
      <c r="L32" s="158">
        <f>J32*K34/E32</f>
        <v>6.0100000000000001E-2</v>
      </c>
      <c r="M32" s="6">
        <f t="shared" ref="M32" si="23">L32*E32</f>
        <v>3121281.48</v>
      </c>
      <c r="N32" s="6">
        <f t="shared" ref="N32" si="24">M32-I32</f>
        <v>0</v>
      </c>
      <c r="O32" s="5">
        <f t="shared" ref="O32" si="25">IF(I32=0,0,N32/I32)</f>
        <v>0</v>
      </c>
      <c r="P32" s="5">
        <f t="shared" ref="P32:P33" si="26">M32/M$34</f>
        <v>0.76243155842758403</v>
      </c>
      <c r="Q32" s="17">
        <f t="shared" ref="Q32" si="27">P32-J32</f>
        <v>0</v>
      </c>
      <c r="R32" s="17"/>
      <c r="T32" s="5">
        <f>L32/H32-1</f>
        <v>0</v>
      </c>
      <c r="W32" s="171">
        <v>0.7625978012803436</v>
      </c>
      <c r="X32" s="17">
        <v>0.72725665251055205</v>
      </c>
    </row>
    <row r="33" spans="1:24" x14ac:dyDescent="0.25">
      <c r="A33" s="64">
        <f t="shared" si="1"/>
        <v>27</v>
      </c>
      <c r="D33" s="2" t="s">
        <v>52</v>
      </c>
      <c r="E33" s="108">
        <v>154649</v>
      </c>
      <c r="F33" s="156">
        <f>H33</f>
        <v>6.05</v>
      </c>
      <c r="G33" s="6">
        <f t="shared" ref="G33" si="28">F33*E33</f>
        <v>935626.45</v>
      </c>
      <c r="H33" s="20">
        <v>6.05</v>
      </c>
      <c r="I33" s="6">
        <f t="shared" ref="I33" si="29">H33*E33</f>
        <v>935626.45</v>
      </c>
      <c r="J33" s="171">
        <f>I33/I34</f>
        <v>0.22854431327339564</v>
      </c>
      <c r="K33" s="55"/>
      <c r="L33" s="19">
        <f>J33*K34/E33</f>
        <v>6.05</v>
      </c>
      <c r="M33" s="6">
        <f t="shared" ref="M33" si="30">L33*E33</f>
        <v>935626.45</v>
      </c>
      <c r="N33" s="6">
        <f t="shared" ref="N33:N41" si="31">M33-I33</f>
        <v>0</v>
      </c>
      <c r="O33" s="5">
        <f t="shared" ref="O33" si="32">IF(I33=0,0,N33/I33)</f>
        <v>0</v>
      </c>
      <c r="P33" s="5">
        <f t="shared" si="26"/>
        <v>0.22854431327339564</v>
      </c>
      <c r="Q33" s="17">
        <f t="shared" ref="Q33:Q34" si="33">P33-J33</f>
        <v>0</v>
      </c>
      <c r="R33" s="17"/>
      <c r="T33" s="5">
        <f>L33/H33-1</f>
        <v>0</v>
      </c>
      <c r="W33" s="171">
        <v>0.22939415760730394</v>
      </c>
      <c r="X33" s="17">
        <v>0.26238308690871415</v>
      </c>
    </row>
    <row r="34" spans="1:24" s="7" customFormat="1" ht="20.399999999999999" customHeight="1" x14ac:dyDescent="0.25">
      <c r="A34" s="64">
        <f t="shared" si="1"/>
        <v>28</v>
      </c>
      <c r="C34" s="28"/>
      <c r="D34" s="30" t="s">
        <v>6</v>
      </c>
      <c r="E34" s="30"/>
      <c r="F34" s="157">
        <v>15</v>
      </c>
      <c r="G34" s="31">
        <f>SUM(G31:G33)</f>
        <v>4175389.0060000001</v>
      </c>
      <c r="H34" s="30"/>
      <c r="I34" s="32">
        <f>SUM(I31:I33)</f>
        <v>4093851.37</v>
      </c>
      <c r="J34" s="33">
        <f>SUM(J31:J33)</f>
        <v>1</v>
      </c>
      <c r="K34" s="56">
        <f>I34+Summary!I10</f>
        <v>4093851.37</v>
      </c>
      <c r="L34" s="30"/>
      <c r="M34" s="31">
        <f>SUM(M31:M33)</f>
        <v>4093851.37</v>
      </c>
      <c r="N34" s="31">
        <f>SUM(N31:N33)</f>
        <v>0</v>
      </c>
      <c r="O34" s="33">
        <f t="shared" ref="O34" si="34">N34/I34</f>
        <v>0</v>
      </c>
      <c r="P34" s="33">
        <f>SUM(P31:P33)</f>
        <v>1</v>
      </c>
      <c r="Q34" s="34">
        <f t="shared" si="33"/>
        <v>0</v>
      </c>
      <c r="R34" s="47">
        <f>M34-K34</f>
        <v>0</v>
      </c>
      <c r="S34" s="174">
        <f>K34/I34</f>
        <v>1</v>
      </c>
    </row>
    <row r="35" spans="1:24" x14ac:dyDescent="0.25">
      <c r="A35" s="64">
        <f t="shared" si="1"/>
        <v>29</v>
      </c>
      <c r="D35" s="2" t="s">
        <v>29</v>
      </c>
      <c r="G35" s="22">
        <v>-159207.82</v>
      </c>
      <c r="I35" s="61">
        <f>G35+(0.00157*(E32))</f>
        <v>-77670.184000000008</v>
      </c>
      <c r="K35" s="69">
        <f>K34-I34</f>
        <v>0</v>
      </c>
      <c r="M35" s="6">
        <f>I35</f>
        <v>-77670.184000000008</v>
      </c>
      <c r="N35" s="6">
        <f t="shared" si="31"/>
        <v>0</v>
      </c>
      <c r="O35" s="18">
        <v>0</v>
      </c>
    </row>
    <row r="36" spans="1:24" x14ac:dyDescent="0.25">
      <c r="A36" s="64">
        <f t="shared" si="1"/>
        <v>30</v>
      </c>
      <c r="D36" s="2" t="s">
        <v>30</v>
      </c>
      <c r="G36" s="22">
        <v>338216.64</v>
      </c>
      <c r="I36" s="21">
        <f t="shared" ref="I36:I38" si="35">G36</f>
        <v>338216.64</v>
      </c>
      <c r="M36" s="6">
        <f t="shared" ref="M36:M38" si="36">I36</f>
        <v>338216.64</v>
      </c>
      <c r="N36" s="6">
        <f t="shared" si="31"/>
        <v>0</v>
      </c>
      <c r="O36" s="18">
        <v>0</v>
      </c>
    </row>
    <row r="37" spans="1:24" x14ac:dyDescent="0.25">
      <c r="A37" s="64">
        <f t="shared" si="1"/>
        <v>31</v>
      </c>
      <c r="D37" s="2" t="s">
        <v>32</v>
      </c>
      <c r="G37" s="22">
        <v>0</v>
      </c>
      <c r="I37" s="21">
        <f t="shared" si="35"/>
        <v>0</v>
      </c>
      <c r="M37" s="6">
        <f t="shared" si="36"/>
        <v>0</v>
      </c>
      <c r="N37" s="6">
        <f t="shared" si="31"/>
        <v>0</v>
      </c>
      <c r="O37" s="18">
        <v>0</v>
      </c>
    </row>
    <row r="38" spans="1:24" x14ac:dyDescent="0.25">
      <c r="A38" s="64">
        <f t="shared" si="1"/>
        <v>32</v>
      </c>
      <c r="D38" s="2" t="s">
        <v>41</v>
      </c>
      <c r="G38" s="22">
        <v>0</v>
      </c>
      <c r="I38" s="21">
        <f t="shared" si="35"/>
        <v>0</v>
      </c>
      <c r="M38" s="6">
        <f t="shared" si="36"/>
        <v>0</v>
      </c>
      <c r="N38" s="6"/>
      <c r="O38" s="18"/>
    </row>
    <row r="39" spans="1:24" x14ac:dyDescent="0.25">
      <c r="A39" s="64">
        <f t="shared" si="1"/>
        <v>33</v>
      </c>
      <c r="D39" s="24" t="s">
        <v>8</v>
      </c>
      <c r="E39" s="24"/>
      <c r="F39" s="24"/>
      <c r="G39" s="25">
        <f>SUM(G35:G38)</f>
        <v>179008.82</v>
      </c>
      <c r="H39" s="24"/>
      <c r="I39" s="25">
        <f>SUM(I35:I38)</f>
        <v>260546.45600000001</v>
      </c>
      <c r="J39" s="24"/>
      <c r="K39" s="57"/>
      <c r="L39" s="24"/>
      <c r="M39" s="25">
        <f>SUM(M35:M38)</f>
        <v>260546.45600000001</v>
      </c>
      <c r="N39" s="25">
        <f t="shared" si="31"/>
        <v>0</v>
      </c>
      <c r="O39" s="35">
        <f t="shared" ref="O39" si="37">N39-J39</f>
        <v>0</v>
      </c>
    </row>
    <row r="40" spans="1:24" s="7" customFormat="1" ht="26.4" customHeight="1" thickBot="1" x14ac:dyDescent="0.3">
      <c r="A40" s="64">
        <f t="shared" si="1"/>
        <v>34</v>
      </c>
      <c r="C40" s="28"/>
      <c r="D40" s="8" t="s">
        <v>19</v>
      </c>
      <c r="E40" s="8"/>
      <c r="F40" s="8"/>
      <c r="G40" s="9">
        <f>G34+G39</f>
        <v>4354397.8260000004</v>
      </c>
      <c r="H40" s="8"/>
      <c r="I40" s="26">
        <f>I39+I34</f>
        <v>4354397.8260000004</v>
      </c>
      <c r="J40" s="8"/>
      <c r="K40" s="58"/>
      <c r="L40" s="8"/>
      <c r="M40" s="9">
        <f>M39+M34</f>
        <v>4354397.8260000004</v>
      </c>
      <c r="N40" s="9">
        <f t="shared" si="31"/>
        <v>0</v>
      </c>
      <c r="O40" s="10">
        <f>N40/I40</f>
        <v>0</v>
      </c>
      <c r="P40" s="2"/>
      <c r="Q40" s="2"/>
      <c r="R40" s="2"/>
      <c r="S40" s="174"/>
    </row>
    <row r="41" spans="1:24" ht="13.8" thickTop="1" x14ac:dyDescent="0.25">
      <c r="A41" s="64">
        <f t="shared" si="1"/>
        <v>35</v>
      </c>
      <c r="D41" s="2" t="s">
        <v>18</v>
      </c>
      <c r="E41" s="18">
        <f>(E32+E33)/E31</f>
        <v>73572.668079096038</v>
      </c>
      <c r="G41" s="16">
        <f>G40/E31</f>
        <v>6150.2794152542374</v>
      </c>
      <c r="I41" s="16">
        <f>I40/E31</f>
        <v>6150.2794152542374</v>
      </c>
      <c r="M41" s="16">
        <f>M40/E31</f>
        <v>6150.2794152542374</v>
      </c>
      <c r="N41" s="16">
        <f t="shared" si="31"/>
        <v>0</v>
      </c>
      <c r="O41" s="5">
        <f>N41/I41</f>
        <v>0</v>
      </c>
    </row>
    <row r="42" spans="1:24" ht="13.8" thickBot="1" x14ac:dyDescent="0.3">
      <c r="A42" s="64">
        <f t="shared" si="1"/>
        <v>36</v>
      </c>
    </row>
    <row r="43" spans="1:24" x14ac:dyDescent="0.25">
      <c r="A43" s="64">
        <f t="shared" si="1"/>
        <v>37</v>
      </c>
      <c r="B43" s="41" t="s">
        <v>69</v>
      </c>
      <c r="C43" s="42">
        <v>11</v>
      </c>
      <c r="D43" s="41"/>
      <c r="E43" s="41"/>
      <c r="F43" s="41"/>
      <c r="G43" s="41"/>
      <c r="H43" s="41"/>
      <c r="I43" s="41"/>
      <c r="J43" s="41"/>
      <c r="K43" s="54"/>
      <c r="L43" s="41"/>
      <c r="M43" s="41"/>
      <c r="N43" s="41"/>
      <c r="O43" s="41"/>
      <c r="P43" s="41"/>
      <c r="Q43" s="41"/>
      <c r="R43" s="41"/>
    </row>
    <row r="44" spans="1:24" x14ac:dyDescent="0.25">
      <c r="A44" s="64">
        <f t="shared" si="1"/>
        <v>38</v>
      </c>
      <c r="C44" s="2"/>
      <c r="D44" s="2" t="s">
        <v>70</v>
      </c>
      <c r="E44" s="23">
        <v>38442</v>
      </c>
      <c r="F44" s="65">
        <f>H44</f>
        <v>18</v>
      </c>
      <c r="G44" s="6">
        <f>F44*E44</f>
        <v>691956</v>
      </c>
      <c r="H44" s="20">
        <v>18</v>
      </c>
      <c r="I44" s="6">
        <f>H44*E44</f>
        <v>691956</v>
      </c>
      <c r="J44" s="171">
        <v>0.18011407642461161</v>
      </c>
      <c r="K44" s="55"/>
      <c r="L44" s="19">
        <f>J44*K47/E44</f>
        <v>19.526759636018504</v>
      </c>
      <c r="M44" s="6">
        <f>L44*E44</f>
        <v>750647.69392782333</v>
      </c>
      <c r="N44" s="6">
        <f>M44-I44</f>
        <v>58691.693927823333</v>
      </c>
      <c r="O44" s="5">
        <f>IF(I44=0,0,N44/I44)</f>
        <v>8.4819979778805787E-2</v>
      </c>
      <c r="P44" s="5">
        <f>M44/M$47</f>
        <v>0.18011407642461161</v>
      </c>
      <c r="Q44" s="17">
        <f>P44-J44</f>
        <v>0</v>
      </c>
      <c r="R44" s="17"/>
      <c r="W44" s="171">
        <v>0.18011407642461161</v>
      </c>
      <c r="X44" s="17">
        <v>0.19360528571182545</v>
      </c>
    </row>
    <row r="45" spans="1:24" x14ac:dyDescent="0.25">
      <c r="A45" s="64">
        <f t="shared" si="1"/>
        <v>39</v>
      </c>
      <c r="C45" s="2"/>
      <c r="D45" s="2" t="s">
        <v>71</v>
      </c>
      <c r="E45" s="23">
        <v>2889</v>
      </c>
      <c r="F45" s="65">
        <f>H45</f>
        <v>40</v>
      </c>
      <c r="G45" s="6">
        <f>F45*E45</f>
        <v>115560</v>
      </c>
      <c r="H45" s="20">
        <v>40</v>
      </c>
      <c r="I45" s="6">
        <f>H45*E45</f>
        <v>115560</v>
      </c>
      <c r="J45" s="171">
        <v>3.096708716633995E-2</v>
      </c>
      <c r="K45" s="55"/>
      <c r="L45" s="19">
        <f>J45*K47/E45</f>
        <v>44.672608670441775</v>
      </c>
      <c r="M45" s="6">
        <f>L45*E45</f>
        <v>129059.16644890628</v>
      </c>
      <c r="N45" s="6">
        <f>M45-I45</f>
        <v>13499.166448906282</v>
      </c>
      <c r="O45" s="5">
        <f>IF(I45=0,0,N45/I45)</f>
        <v>0.11681521676104432</v>
      </c>
      <c r="P45" s="5">
        <f>M45/M$47</f>
        <v>3.096708716633995E-2</v>
      </c>
      <c r="Q45" s="17">
        <f>P45-J45</f>
        <v>0</v>
      </c>
      <c r="R45" s="17"/>
      <c r="W45" s="171">
        <v>3.096708716633995E-2</v>
      </c>
      <c r="X45" s="17">
        <v>3.2333019464906076E-2</v>
      </c>
    </row>
    <row r="46" spans="1:24" x14ac:dyDescent="0.25">
      <c r="A46" s="64">
        <f t="shared" si="1"/>
        <v>40</v>
      </c>
      <c r="D46" s="2" t="s">
        <v>51</v>
      </c>
      <c r="E46" s="23">
        <v>37730894</v>
      </c>
      <c r="F46" s="155">
        <f>H46+0.00157</f>
        <v>9.0609999999999996E-2</v>
      </c>
      <c r="G46" s="6">
        <f t="shared" ref="G46" si="38">F46*E46</f>
        <v>3418796.30534</v>
      </c>
      <c r="H46" s="155">
        <v>8.9039999999999994E-2</v>
      </c>
      <c r="I46" s="6">
        <f t="shared" ref="I46" si="39">H46*E46</f>
        <v>3359558.8017599997</v>
      </c>
      <c r="J46" s="171">
        <v>0.78891883640904847</v>
      </c>
      <c r="K46" s="55"/>
      <c r="L46" s="162">
        <f>J46*K47/E46</f>
        <v>8.7141238725572473E-2</v>
      </c>
      <c r="M46" s="6">
        <f t="shared" ref="M46" si="40">L46*E46</f>
        <v>3287916.84138327</v>
      </c>
      <c r="N46" s="6">
        <f t="shared" ref="N46" si="41">M46-I46</f>
        <v>-71641.960376729723</v>
      </c>
      <c r="O46" s="5">
        <f t="shared" ref="O46" si="42">IF(I46=0,0,N46/I46)</f>
        <v>-2.1324812156643325E-2</v>
      </c>
      <c r="P46" s="5">
        <f>M46/M$47</f>
        <v>0.78891883640904847</v>
      </c>
      <c r="Q46" s="17">
        <f t="shared" ref="Q46" si="43">P46-J46</f>
        <v>0</v>
      </c>
      <c r="R46" s="17"/>
      <c r="T46" s="5">
        <f>L46/H46-1</f>
        <v>-2.132481215664328E-2</v>
      </c>
      <c r="W46" s="171">
        <v>0.78891883640904847</v>
      </c>
      <c r="X46" s="17">
        <v>0.77406169482326848</v>
      </c>
    </row>
    <row r="47" spans="1:24" s="7" customFormat="1" ht="20.399999999999999" customHeight="1" x14ac:dyDescent="0.25">
      <c r="A47" s="64">
        <f t="shared" si="1"/>
        <v>41</v>
      </c>
      <c r="C47" s="28"/>
      <c r="D47" s="30" t="s">
        <v>6</v>
      </c>
      <c r="E47" s="30"/>
      <c r="F47" s="30"/>
      <c r="G47" s="31">
        <f>SUM(G44:G46)</f>
        <v>4226312.3053399995</v>
      </c>
      <c r="H47" s="30"/>
      <c r="I47" s="32">
        <f>SUM(I44:I46)</f>
        <v>4167074.8017599997</v>
      </c>
      <c r="J47" s="33">
        <f>SUM(J44:J46)</f>
        <v>1</v>
      </c>
      <c r="K47" s="56">
        <f>I47+Summary!I11</f>
        <v>4167623.7017599996</v>
      </c>
      <c r="L47" s="30"/>
      <c r="M47" s="31">
        <f>SUM(M44:M46)</f>
        <v>4167623.7017599996</v>
      </c>
      <c r="N47" s="31">
        <f>SUM(N44:N46)</f>
        <v>548.89999999989232</v>
      </c>
      <c r="O47" s="33">
        <f t="shared" ref="O47" si="44">N47/I47</f>
        <v>1.3172309740349747E-4</v>
      </c>
      <c r="P47" s="33">
        <f>SUM(P44:P46)</f>
        <v>1</v>
      </c>
      <c r="Q47" s="34">
        <f t="shared" ref="Q47" si="45">P47-J47</f>
        <v>0</v>
      </c>
      <c r="R47" s="47">
        <f>M47-K47</f>
        <v>0</v>
      </c>
      <c r="S47" s="174">
        <f>K47/I47</f>
        <v>1.0001317230974034</v>
      </c>
      <c r="W47" s="2"/>
    </row>
    <row r="48" spans="1:24" x14ac:dyDescent="0.25">
      <c r="A48" s="64">
        <f t="shared" si="1"/>
        <v>42</v>
      </c>
      <c r="D48" s="2" t="s">
        <v>29</v>
      </c>
      <c r="G48" s="22">
        <v>-107896.25</v>
      </c>
      <c r="I48" s="61">
        <f>G48+(0.00157*E46)</f>
        <v>-48658.746420000003</v>
      </c>
      <c r="K48" s="69">
        <f>K47-I47</f>
        <v>548.89999999990687</v>
      </c>
      <c r="M48" s="6">
        <f>I48</f>
        <v>-48658.746420000003</v>
      </c>
      <c r="N48" s="6">
        <f t="shared" ref="N48:N54" si="46">M48-I48</f>
        <v>0</v>
      </c>
      <c r="O48" s="18">
        <v>0</v>
      </c>
    </row>
    <row r="49" spans="1:24" x14ac:dyDescent="0.25">
      <c r="A49" s="64">
        <f t="shared" si="1"/>
        <v>43</v>
      </c>
      <c r="D49" s="2" t="s">
        <v>30</v>
      </c>
      <c r="F49" s="65">
        <f>H49</f>
        <v>0</v>
      </c>
      <c r="G49" s="22">
        <v>356630.45999999996</v>
      </c>
      <c r="I49" s="21">
        <f t="shared" ref="I49:I51" si="47">G49</f>
        <v>356630.45999999996</v>
      </c>
      <c r="M49" s="6">
        <f t="shared" ref="M49:M51" si="48">I49</f>
        <v>356630.45999999996</v>
      </c>
      <c r="N49" s="6">
        <f t="shared" si="46"/>
        <v>0</v>
      </c>
      <c r="O49" s="18">
        <v>0</v>
      </c>
    </row>
    <row r="50" spans="1:24" x14ac:dyDescent="0.25">
      <c r="A50" s="64">
        <f t="shared" si="1"/>
        <v>44</v>
      </c>
      <c r="D50" s="2" t="s">
        <v>32</v>
      </c>
      <c r="F50" s="65">
        <f>H50</f>
        <v>0</v>
      </c>
      <c r="G50" s="22">
        <v>0</v>
      </c>
      <c r="I50" s="21">
        <f t="shared" si="47"/>
        <v>0</v>
      </c>
      <c r="M50" s="6">
        <f t="shared" si="48"/>
        <v>0</v>
      </c>
      <c r="N50" s="6">
        <f t="shared" si="46"/>
        <v>0</v>
      </c>
      <c r="O50" s="18">
        <v>0</v>
      </c>
    </row>
    <row r="51" spans="1:24" x14ac:dyDescent="0.25">
      <c r="A51" s="64">
        <f t="shared" si="1"/>
        <v>45</v>
      </c>
      <c r="D51" s="2" t="s">
        <v>41</v>
      </c>
      <c r="G51" s="22">
        <v>0</v>
      </c>
      <c r="I51" s="21">
        <f t="shared" si="47"/>
        <v>0</v>
      </c>
      <c r="M51" s="6">
        <f t="shared" si="48"/>
        <v>0</v>
      </c>
      <c r="N51" s="6"/>
      <c r="O51" s="18"/>
    </row>
    <row r="52" spans="1:24" x14ac:dyDescent="0.25">
      <c r="A52" s="64">
        <f t="shared" si="1"/>
        <v>46</v>
      </c>
      <c r="D52" s="24" t="s">
        <v>8</v>
      </c>
      <c r="E52" s="24"/>
      <c r="F52" s="24"/>
      <c r="G52" s="25">
        <f>SUM(G48:G51)</f>
        <v>248734.20999999996</v>
      </c>
      <c r="H52" s="24"/>
      <c r="I52" s="25">
        <f>SUM(I48:I51)</f>
        <v>307971.71357999998</v>
      </c>
      <c r="J52" s="24"/>
      <c r="K52" s="57"/>
      <c r="L52" s="24"/>
      <c r="M52" s="25">
        <f>SUM(M48:M51)</f>
        <v>307971.71357999998</v>
      </c>
      <c r="N52" s="25">
        <f t="shared" si="46"/>
        <v>0</v>
      </c>
      <c r="O52" s="35">
        <f t="shared" ref="O52" si="49">N52-J52</f>
        <v>0</v>
      </c>
    </row>
    <row r="53" spans="1:24" s="7" customFormat="1" ht="26.4" customHeight="1" thickBot="1" x14ac:dyDescent="0.3">
      <c r="A53" s="64">
        <f t="shared" si="1"/>
        <v>47</v>
      </c>
      <c r="C53" s="28"/>
      <c r="D53" s="8" t="s">
        <v>19</v>
      </c>
      <c r="E53" s="8"/>
      <c r="F53" s="8"/>
      <c r="G53" s="9">
        <f>G47+G52</f>
        <v>4475046.5153399995</v>
      </c>
      <c r="H53" s="8"/>
      <c r="I53" s="26">
        <f>I52+I47</f>
        <v>4475046.5153399995</v>
      </c>
      <c r="J53" s="8"/>
      <c r="K53" s="58"/>
      <c r="L53" s="8"/>
      <c r="M53" s="9">
        <f>M52+M47</f>
        <v>4475595.4153399998</v>
      </c>
      <c r="N53" s="9">
        <f t="shared" si="46"/>
        <v>548.90000000037253</v>
      </c>
      <c r="O53" s="10">
        <f>N53/I53</f>
        <v>1.2265794291049261E-4</v>
      </c>
      <c r="P53" s="2"/>
      <c r="Q53" s="2"/>
      <c r="R53" s="2"/>
      <c r="S53" s="174"/>
    </row>
    <row r="54" spans="1:24" ht="13.8" thickTop="1" x14ac:dyDescent="0.25">
      <c r="A54" s="64">
        <f t="shared" si="1"/>
        <v>48</v>
      </c>
      <c r="D54" s="2" t="s">
        <v>18</v>
      </c>
      <c r="E54" s="18">
        <f>E46/E44</f>
        <v>981.50184693824463</v>
      </c>
      <c r="G54" s="16">
        <f>G53/E44</f>
        <v>116.41034585453409</v>
      </c>
      <c r="I54" s="16">
        <f>I53/E44</f>
        <v>116.41034585453409</v>
      </c>
      <c r="M54" s="16">
        <f>M53/E44</f>
        <v>116.4246245080901</v>
      </c>
      <c r="N54" s="16">
        <f t="shared" si="46"/>
        <v>1.4278653556019094E-2</v>
      </c>
      <c r="O54" s="5">
        <f>N54/I54</f>
        <v>1.2265794291051798E-4</v>
      </c>
    </row>
    <row r="55" spans="1:24" ht="13.8" thickBot="1" x14ac:dyDescent="0.3">
      <c r="A55" s="64">
        <f t="shared" si="1"/>
        <v>49</v>
      </c>
    </row>
    <row r="56" spans="1:24" x14ac:dyDescent="0.25">
      <c r="A56" s="64">
        <f t="shared" si="1"/>
        <v>50</v>
      </c>
      <c r="B56" s="41" t="s">
        <v>72</v>
      </c>
      <c r="C56" s="42" t="s">
        <v>101</v>
      </c>
      <c r="D56" s="41"/>
      <c r="E56" s="41"/>
      <c r="F56" s="41"/>
      <c r="G56" s="41"/>
      <c r="H56" s="41"/>
      <c r="I56" s="41"/>
      <c r="J56" s="41"/>
      <c r="K56" s="54"/>
      <c r="L56" s="41"/>
      <c r="M56" s="41"/>
      <c r="N56" s="41"/>
      <c r="O56" s="41"/>
      <c r="P56" s="41"/>
      <c r="Q56" s="41"/>
      <c r="R56" s="41"/>
    </row>
    <row r="57" spans="1:24" x14ac:dyDescent="0.25">
      <c r="A57" s="64">
        <f t="shared" si="1"/>
        <v>51</v>
      </c>
      <c r="C57" s="2"/>
      <c r="D57" s="2" t="s">
        <v>17</v>
      </c>
      <c r="E57" s="23">
        <v>169</v>
      </c>
      <c r="F57" s="65">
        <f>H57</f>
        <v>614.28</v>
      </c>
      <c r="G57" s="6">
        <f>F57*E57</f>
        <v>103813.31999999999</v>
      </c>
      <c r="H57" s="20">
        <v>614.28</v>
      </c>
      <c r="I57" s="6">
        <f>H57*E57</f>
        <v>103813.31999999999</v>
      </c>
      <c r="J57" s="171">
        <v>1.2563812009514742E-2</v>
      </c>
      <c r="K57" s="55"/>
      <c r="L57" s="19">
        <f>J57*K61/E57</f>
        <v>638.33168345155093</v>
      </c>
      <c r="M57" s="6">
        <f>L57*E57</f>
        <v>107878.0545033121</v>
      </c>
      <c r="N57" s="6">
        <f>M57-I57</f>
        <v>4064.7345033121092</v>
      </c>
      <c r="O57" s="5">
        <f>IF(I57=0,0,N57/I57)</f>
        <v>3.9154267518966827E-2</v>
      </c>
      <c r="P57" s="5">
        <f>M57/M$61</f>
        <v>1.256381200951474E-2</v>
      </c>
      <c r="Q57" s="17">
        <f>P57-J57</f>
        <v>0</v>
      </c>
      <c r="R57" s="17"/>
      <c r="T57" s="5"/>
      <c r="W57" s="171">
        <v>1.2563812009514742E-2</v>
      </c>
      <c r="X57" s="17">
        <v>1.3777013162305802E-2</v>
      </c>
    </row>
    <row r="58" spans="1:24" x14ac:dyDescent="0.25">
      <c r="A58" s="64">
        <f t="shared" si="1"/>
        <v>52</v>
      </c>
      <c r="D58" s="2" t="s">
        <v>83</v>
      </c>
      <c r="E58" s="23">
        <f>281220-E59</f>
        <v>258800</v>
      </c>
      <c r="F58" s="65">
        <f>H58</f>
        <v>7.17</v>
      </c>
      <c r="G58" s="6">
        <f t="shared" ref="G58" si="50">F58*E58</f>
        <v>1855596</v>
      </c>
      <c r="H58" s="20">
        <v>7.17</v>
      </c>
      <c r="I58" s="6">
        <f t="shared" ref="I58" si="51">H58*E58</f>
        <v>1855596</v>
      </c>
      <c r="J58" s="171">
        <v>0.21083849062164584</v>
      </c>
      <c r="K58" s="55"/>
      <c r="L58" s="19">
        <f>J58*K61/E58</f>
        <v>6.9951543646734331</v>
      </c>
      <c r="M58" s="6">
        <f t="shared" ref="M58" si="52">L58*E58</f>
        <v>1810345.9495774845</v>
      </c>
      <c r="N58" s="6">
        <f t="shared" ref="N58" si="53">M58-I58</f>
        <v>-45250.050422515487</v>
      </c>
      <c r="O58" s="5">
        <f t="shared" ref="O58" si="54">IF(I58=0,0,N58/I58)</f>
        <v>-2.4385723197568591E-2</v>
      </c>
      <c r="P58" s="5">
        <f>M58/M$61</f>
        <v>0.21083849062164584</v>
      </c>
      <c r="Q58" s="17">
        <f t="shared" ref="Q58" si="55">P58-J58</f>
        <v>0</v>
      </c>
      <c r="R58" s="17"/>
      <c r="T58" s="5">
        <f>L58/H58-1</f>
        <v>-2.4385723197568598E-2</v>
      </c>
      <c r="W58" s="171">
        <v>0.21083849062164584</v>
      </c>
      <c r="X58" s="17">
        <v>0.24625520613271976</v>
      </c>
    </row>
    <row r="59" spans="1:24" x14ac:dyDescent="0.25">
      <c r="A59" s="64">
        <f t="shared" si="1"/>
        <v>53</v>
      </c>
      <c r="D59" s="2" t="s">
        <v>84</v>
      </c>
      <c r="E59" s="23">
        <v>22420</v>
      </c>
      <c r="F59" s="65">
        <f>H59</f>
        <v>9.98</v>
      </c>
      <c r="G59" s="6">
        <f t="shared" ref="G59" si="56">F59*E59</f>
        <v>223751.6</v>
      </c>
      <c r="H59" s="20">
        <v>9.98</v>
      </c>
      <c r="I59" s="6">
        <f t="shared" ref="I59" si="57">H59*E59</f>
        <v>223751.6</v>
      </c>
      <c r="J59" s="171">
        <v>3.0864902165052367E-2</v>
      </c>
      <c r="K59" s="55"/>
      <c r="L59" s="19">
        <f>J59*K61/E59</f>
        <v>11.820639499720384</v>
      </c>
      <c r="M59" s="6">
        <f t="shared" ref="M59" si="58">L59*E59</f>
        <v>265018.73758373101</v>
      </c>
      <c r="N59" s="6">
        <f t="shared" ref="N59" si="59">M59-I59</f>
        <v>41267.137583731004</v>
      </c>
      <c r="O59" s="5">
        <f t="shared" ref="O59" si="60">IF(I59=0,0,N59/I59)</f>
        <v>0.18443281560324487</v>
      </c>
      <c r="P59" s="5">
        <f>M59/M$61</f>
        <v>3.0864902165052371E-2</v>
      </c>
      <c r="Q59" s="17">
        <f t="shared" ref="Q59" si="61">P59-J59</f>
        <v>0</v>
      </c>
      <c r="R59" s="17"/>
      <c r="T59" s="5">
        <f>L59/H59-1</f>
        <v>0.18443281560324487</v>
      </c>
      <c r="W59" s="171">
        <v>3.0864902165052367E-2</v>
      </c>
      <c r="X59" s="17">
        <v>2.9693961606150187E-2</v>
      </c>
    </row>
    <row r="60" spans="1:24" x14ac:dyDescent="0.25">
      <c r="A60" s="64">
        <f t="shared" si="1"/>
        <v>54</v>
      </c>
      <c r="D60" s="2" t="s">
        <v>51</v>
      </c>
      <c r="E60" s="23">
        <v>132634518</v>
      </c>
      <c r="F60" s="155">
        <f>H60+0.00157</f>
        <v>4.9829999999999999E-2</v>
      </c>
      <c r="G60" s="6">
        <f t="shared" ref="G60" si="62">F60*E60</f>
        <v>6609178.0319400001</v>
      </c>
      <c r="H60" s="155">
        <v>4.8259999999999997E-2</v>
      </c>
      <c r="I60" s="6">
        <f t="shared" ref="I60" si="63">H60*E60</f>
        <v>6400941.83868</v>
      </c>
      <c r="J60" s="171">
        <v>0.7457327952037871</v>
      </c>
      <c r="K60" s="55"/>
      <c r="L60" s="158">
        <f>J60*K61/E60</f>
        <v>4.8276786643243766E-2</v>
      </c>
      <c r="M60" s="6">
        <f t="shared" ref="M60" si="64">L60*E60</f>
        <v>6403168.3270154744</v>
      </c>
      <c r="N60" s="6">
        <f t="shared" ref="N60" si="65">M60-I60</f>
        <v>2226.4883354743943</v>
      </c>
      <c r="O60" s="5">
        <f t="shared" ref="O60" si="66">IF(I60=0,0,N60/I60)</f>
        <v>3.4783761383676938E-4</v>
      </c>
      <c r="P60" s="5">
        <f>M60/M$61</f>
        <v>0.7457327952037871</v>
      </c>
      <c r="Q60" s="17">
        <f t="shared" ref="Q60" si="67">P60-J60</f>
        <v>0</v>
      </c>
      <c r="R60" s="17"/>
      <c r="T60" s="5">
        <f>L60/H60-1</f>
        <v>3.478376138368322E-4</v>
      </c>
      <c r="W60" s="171">
        <v>0.7457327952037871</v>
      </c>
      <c r="X60" s="17">
        <v>0.71027381909882426</v>
      </c>
    </row>
    <row r="61" spans="1:24" s="7" customFormat="1" ht="20.399999999999999" customHeight="1" x14ac:dyDescent="0.3">
      <c r="A61" s="64">
        <f t="shared" si="1"/>
        <v>55</v>
      </c>
      <c r="C61" s="28"/>
      <c r="D61" s="30" t="s">
        <v>6</v>
      </c>
      <c r="E61" s="30"/>
      <c r="F61" s="30"/>
      <c r="G61" s="31">
        <f>SUM(G57:G60)</f>
        <v>8792338.9519400001</v>
      </c>
      <c r="H61" s="66"/>
      <c r="I61" s="32">
        <f>SUM(I57:I60)</f>
        <v>8584102.7586800009</v>
      </c>
      <c r="J61" s="33">
        <f>SUM(J57:J60)</f>
        <v>1</v>
      </c>
      <c r="K61" s="56">
        <f>I61+Summary!I12</f>
        <v>8586411.0686800014</v>
      </c>
      <c r="L61" s="30"/>
      <c r="M61" s="31">
        <f>SUM(M57:M60)</f>
        <v>8586411.0686800014</v>
      </c>
      <c r="N61" s="31">
        <f>SUM(N57:N60)</f>
        <v>2308.3100000020204</v>
      </c>
      <c r="O61" s="33">
        <f t="shared" ref="O61" si="68">N61/I61</f>
        <v>2.689052152442983E-4</v>
      </c>
      <c r="P61" s="33">
        <f>SUM(P57:P60)</f>
        <v>1</v>
      </c>
      <c r="Q61" s="34">
        <f t="shared" ref="Q61" si="69">P61-J61</f>
        <v>0</v>
      </c>
      <c r="R61" s="47">
        <f>M61-K61</f>
        <v>0</v>
      </c>
      <c r="S61" s="174">
        <f>K61/I61</f>
        <v>1.000268905215244</v>
      </c>
    </row>
    <row r="62" spans="1:24" x14ac:dyDescent="0.25">
      <c r="A62" s="64">
        <f t="shared" si="1"/>
        <v>56</v>
      </c>
      <c r="D62" s="2" t="s">
        <v>29</v>
      </c>
      <c r="G62" s="22">
        <v>-419246.86</v>
      </c>
      <c r="I62" s="61">
        <f>G62+(0.00157*(E60))</f>
        <v>-211010.66673999999</v>
      </c>
      <c r="K62" s="69">
        <f>K61-I61</f>
        <v>2308.3100000005215</v>
      </c>
      <c r="M62" s="6">
        <f>I62</f>
        <v>-211010.66673999999</v>
      </c>
      <c r="N62" s="6">
        <f t="shared" ref="N62:N68" si="70">M62-I62</f>
        <v>0</v>
      </c>
      <c r="O62" s="18">
        <v>0</v>
      </c>
    </row>
    <row r="63" spans="1:24" x14ac:dyDescent="0.25">
      <c r="A63" s="64">
        <f t="shared" si="1"/>
        <v>57</v>
      </c>
      <c r="D63" s="2" t="s">
        <v>30</v>
      </c>
      <c r="G63" s="22">
        <v>715960.65</v>
      </c>
      <c r="I63" s="21">
        <f t="shared" ref="I63:I65" si="71">G63</f>
        <v>715960.65</v>
      </c>
      <c r="M63" s="6">
        <f t="shared" ref="M63:M65" si="72">I63</f>
        <v>715960.65</v>
      </c>
      <c r="N63" s="6">
        <f t="shared" si="70"/>
        <v>0</v>
      </c>
      <c r="O63" s="18">
        <v>0</v>
      </c>
    </row>
    <row r="64" spans="1:24" x14ac:dyDescent="0.25">
      <c r="A64" s="64">
        <f t="shared" si="1"/>
        <v>58</v>
      </c>
      <c r="D64" s="2" t="s">
        <v>32</v>
      </c>
      <c r="G64" s="22">
        <v>0</v>
      </c>
      <c r="I64" s="21">
        <f t="shared" si="71"/>
        <v>0</v>
      </c>
      <c r="M64" s="6">
        <f t="shared" si="72"/>
        <v>0</v>
      </c>
      <c r="N64" s="6">
        <f t="shared" si="70"/>
        <v>0</v>
      </c>
      <c r="O64" s="18">
        <v>0</v>
      </c>
    </row>
    <row r="65" spans="1:25" x14ac:dyDescent="0.25">
      <c r="A65" s="64">
        <f t="shared" si="1"/>
        <v>59</v>
      </c>
      <c r="D65" s="2" t="s">
        <v>41</v>
      </c>
      <c r="G65" s="22">
        <v>0</v>
      </c>
      <c r="I65" s="21">
        <f t="shared" si="71"/>
        <v>0</v>
      </c>
      <c r="M65" s="6">
        <f t="shared" si="72"/>
        <v>0</v>
      </c>
      <c r="N65" s="6"/>
      <c r="O65" s="18"/>
    </row>
    <row r="66" spans="1:25" x14ac:dyDescent="0.25">
      <c r="A66" s="64">
        <f t="shared" si="1"/>
        <v>60</v>
      </c>
      <c r="D66" s="24" t="s">
        <v>8</v>
      </c>
      <c r="E66" s="24"/>
      <c r="F66" s="24"/>
      <c r="G66" s="25">
        <f>SUM(G62:G65)</f>
        <v>296713.79000000004</v>
      </c>
      <c r="H66" s="24"/>
      <c r="I66" s="25">
        <f>SUM(I62:I65)</f>
        <v>504949.98326000001</v>
      </c>
      <c r="J66" s="24"/>
      <c r="K66" s="57"/>
      <c r="L66" s="24"/>
      <c r="M66" s="25">
        <f>SUM(M62:M65)</f>
        <v>504949.98326000001</v>
      </c>
      <c r="N66" s="25">
        <f t="shared" si="70"/>
        <v>0</v>
      </c>
      <c r="O66" s="35">
        <f t="shared" ref="O66" si="73">N66-J66</f>
        <v>0</v>
      </c>
    </row>
    <row r="67" spans="1:25" s="7" customFormat="1" ht="26.4" customHeight="1" thickBot="1" x14ac:dyDescent="0.3">
      <c r="A67" s="64">
        <f t="shared" si="1"/>
        <v>61</v>
      </c>
      <c r="C67" s="28"/>
      <c r="D67" s="8" t="s">
        <v>19</v>
      </c>
      <c r="E67" s="8"/>
      <c r="F67" s="8"/>
      <c r="G67" s="9">
        <f>G61+G66</f>
        <v>9089052.7419399992</v>
      </c>
      <c r="H67" s="8"/>
      <c r="I67" s="26">
        <f>I66+I61</f>
        <v>9089052.741940001</v>
      </c>
      <c r="J67" s="8"/>
      <c r="K67" s="58"/>
      <c r="L67" s="8"/>
      <c r="M67" s="9">
        <f>M66+M61</f>
        <v>9091361.0519400015</v>
      </c>
      <c r="N67" s="9">
        <f t="shared" si="70"/>
        <v>2308.3100000005215</v>
      </c>
      <c r="O67" s="10">
        <f>N67/I67</f>
        <v>2.5396595943922613E-4</v>
      </c>
      <c r="P67" s="2"/>
      <c r="Q67" s="2"/>
      <c r="R67" s="2"/>
      <c r="S67" s="174"/>
    </row>
    <row r="68" spans="1:25" ht="13.8" thickTop="1" x14ac:dyDescent="0.25">
      <c r="A68" s="64">
        <f t="shared" si="1"/>
        <v>62</v>
      </c>
      <c r="D68" s="2" t="s">
        <v>18</v>
      </c>
      <c r="E68" s="18">
        <f>E60/E57</f>
        <v>784819.63313609466</v>
      </c>
      <c r="G68" s="16">
        <f>G67/E57</f>
        <v>53781.377171242595</v>
      </c>
      <c r="I68" s="16">
        <f>I67/E57</f>
        <v>53781.37717124261</v>
      </c>
      <c r="M68" s="16">
        <f>M67/E57</f>
        <v>53795.035810295871</v>
      </c>
      <c r="N68" s="16">
        <f t="shared" si="70"/>
        <v>13.65863905326114</v>
      </c>
      <c r="O68" s="5">
        <f>N68/I68</f>
        <v>2.5396595943929341E-4</v>
      </c>
    </row>
    <row r="69" spans="1:25" ht="13.8" thickBot="1" x14ac:dyDescent="0.3">
      <c r="A69" s="64">
        <f t="shared" si="1"/>
        <v>63</v>
      </c>
      <c r="B69" s="48"/>
      <c r="C69" s="51"/>
      <c r="D69" s="48"/>
      <c r="F69" s="48"/>
      <c r="G69" s="48"/>
      <c r="H69" s="48"/>
      <c r="I69" s="48"/>
      <c r="J69" s="48"/>
      <c r="L69" s="48"/>
      <c r="M69" s="48"/>
      <c r="N69" s="48"/>
      <c r="O69" s="48"/>
      <c r="P69" s="48"/>
      <c r="Q69" s="48"/>
      <c r="R69" s="48"/>
    </row>
    <row r="70" spans="1:25" x14ac:dyDescent="0.25">
      <c r="A70" s="64">
        <f t="shared" si="1"/>
        <v>64</v>
      </c>
      <c r="B70" s="41" t="s">
        <v>73</v>
      </c>
      <c r="C70" s="42" t="s">
        <v>100</v>
      </c>
      <c r="D70" s="41"/>
      <c r="E70" s="41"/>
      <c r="F70" s="41"/>
      <c r="G70" s="41"/>
      <c r="H70" s="41"/>
      <c r="I70" s="41"/>
      <c r="J70" s="41"/>
      <c r="K70" s="54"/>
      <c r="L70" s="41"/>
      <c r="M70" s="41"/>
      <c r="N70" s="41"/>
      <c r="O70" s="41"/>
      <c r="P70" s="41"/>
      <c r="Q70" s="41"/>
      <c r="R70" s="41"/>
    </row>
    <row r="71" spans="1:25" x14ac:dyDescent="0.25">
      <c r="A71" s="64">
        <f t="shared" si="1"/>
        <v>65</v>
      </c>
      <c r="C71" s="48"/>
      <c r="D71" s="2" t="s">
        <v>17</v>
      </c>
      <c r="E71" s="23">
        <v>12</v>
      </c>
      <c r="F71" s="65">
        <f>H71</f>
        <v>1227.4100000000001</v>
      </c>
      <c r="G71" s="6">
        <f>F71*E71</f>
        <v>14728.920000000002</v>
      </c>
      <c r="H71" s="20">
        <v>1227.4100000000001</v>
      </c>
      <c r="I71" s="6">
        <f>H71*E71</f>
        <v>14728.920000000002</v>
      </c>
      <c r="J71" s="5">
        <v>4.3135007893280227E-3</v>
      </c>
      <c r="K71" s="55"/>
      <c r="L71" s="19">
        <f>J71*K75/E71</f>
        <v>1379.8888658844128</v>
      </c>
      <c r="M71" s="6">
        <f>L71*E71</f>
        <v>16558.666390612954</v>
      </c>
      <c r="N71" s="6">
        <f>M71-I71</f>
        <v>1829.7463906129524</v>
      </c>
      <c r="O71" s="5">
        <f>IF(I71=0,0,N71/I71)</f>
        <v>0.1242281437208534</v>
      </c>
      <c r="P71" s="5">
        <f>M71/M$75</f>
        <v>4.3135007893280227E-3</v>
      </c>
      <c r="Q71" s="17">
        <f>P71-J71</f>
        <v>0</v>
      </c>
      <c r="R71" s="17"/>
      <c r="T71" s="5">
        <f>L71/H71-1</f>
        <v>0.12422814372085345</v>
      </c>
      <c r="W71" s="171">
        <v>4.3135007893280227E-3</v>
      </c>
      <c r="X71" s="17">
        <v>4.3676390068639985E-3</v>
      </c>
    </row>
    <row r="72" spans="1:25" x14ac:dyDescent="0.25">
      <c r="A72" s="64">
        <f t="shared" si="1"/>
        <v>66</v>
      </c>
      <c r="C72" s="51"/>
      <c r="D72" s="2" t="s">
        <v>83</v>
      </c>
      <c r="E72" s="23">
        <v>96000</v>
      </c>
      <c r="F72" s="65">
        <f>H72</f>
        <v>7.17</v>
      </c>
      <c r="G72" s="6">
        <f t="shared" ref="G72" si="74">F72*E72</f>
        <v>688320</v>
      </c>
      <c r="H72" s="20">
        <v>7.17</v>
      </c>
      <c r="I72" s="6">
        <f t="shared" ref="I72" si="75">H72*E72</f>
        <v>688320</v>
      </c>
      <c r="J72" s="5">
        <v>0.20473059561050552</v>
      </c>
      <c r="K72" s="55"/>
      <c r="L72" s="19">
        <f>J72*K75/E72</f>
        <v>8.1866644747047452</v>
      </c>
      <c r="M72" s="6">
        <f t="shared" ref="M72" si="76">L72*E72</f>
        <v>785919.78957165556</v>
      </c>
      <c r="N72" s="6">
        <f t="shared" ref="N72" si="77">M72-I72</f>
        <v>97599.789571655565</v>
      </c>
      <c r="O72" s="5">
        <f t="shared" ref="O72" si="78">IF(I72=0,0,N72/I72)</f>
        <v>0.14179420846649168</v>
      </c>
      <c r="P72" s="5">
        <f>M72/M$75</f>
        <v>0.20473059561050552</v>
      </c>
      <c r="Q72" s="17">
        <f t="shared" ref="Q72" si="79">P72-J72</f>
        <v>0</v>
      </c>
      <c r="R72" s="17"/>
      <c r="T72" s="5">
        <f>L72/H72-1</f>
        <v>0.1417942084664916</v>
      </c>
      <c r="W72" s="171">
        <v>0.20473059561050552</v>
      </c>
      <c r="X72" s="17">
        <v>0.20411091113297017</v>
      </c>
    </row>
    <row r="73" spans="1:25" x14ac:dyDescent="0.25">
      <c r="A73" s="64">
        <f t="shared" si="1"/>
        <v>67</v>
      </c>
      <c r="C73" s="51"/>
      <c r="D73" s="2" t="s">
        <v>84</v>
      </c>
      <c r="E73" s="23">
        <v>96000</v>
      </c>
      <c r="F73" s="65">
        <f>H73</f>
        <v>9.98</v>
      </c>
      <c r="G73" s="6">
        <f t="shared" ref="G73" si="80">F73*E73</f>
        <v>958080</v>
      </c>
      <c r="H73" s="20">
        <v>9.98</v>
      </c>
      <c r="I73" s="6">
        <f t="shared" ref="I73" si="81">H73*E73</f>
        <v>958080</v>
      </c>
      <c r="J73" s="5">
        <v>9.9051507284190574E-3</v>
      </c>
      <c r="K73" s="55"/>
      <c r="L73" s="19">
        <f>J73*K75/E73</f>
        <v>0.39608220424081581</v>
      </c>
      <c r="M73" s="6">
        <f t="shared" ref="M73" si="82">L73*E73</f>
        <v>38023.891607118319</v>
      </c>
      <c r="N73" s="6">
        <f t="shared" ref="N73" si="83">M73-I73</f>
        <v>-920056.1083928817</v>
      </c>
      <c r="O73" s="5">
        <f t="shared" ref="O73" si="84">IF(I73=0,0,N73/I73)</f>
        <v>-0.96031240438468779</v>
      </c>
      <c r="P73" s="5">
        <f>M73/M$75</f>
        <v>9.9051507284190574E-3</v>
      </c>
      <c r="Q73" s="17">
        <f t="shared" ref="Q73" si="85">P73-J73</f>
        <v>0</v>
      </c>
      <c r="R73" s="17"/>
      <c r="T73" s="5">
        <f>L73/H73-1</f>
        <v>-0.96031240438468779</v>
      </c>
      <c r="W73" s="171">
        <v>9.9051507284190574E-3</v>
      </c>
      <c r="X73" s="17">
        <v>0.28410416919205611</v>
      </c>
      <c r="Y73" s="175"/>
    </row>
    <row r="74" spans="1:25" x14ac:dyDescent="0.25">
      <c r="A74" s="64">
        <f t="shared" si="1"/>
        <v>68</v>
      </c>
      <c r="C74" s="51"/>
      <c r="D74" s="2" t="s">
        <v>51</v>
      </c>
      <c r="E74" s="23">
        <v>48232897</v>
      </c>
      <c r="F74" s="155">
        <f>H74+0.00157</f>
        <v>4.3529999999999999E-2</v>
      </c>
      <c r="G74" s="6">
        <f t="shared" ref="G74" si="86">F74*E74</f>
        <v>2099578.0064099999</v>
      </c>
      <c r="H74" s="109">
        <v>4.1959999999999997E-2</v>
      </c>
      <c r="I74" s="6">
        <f t="shared" ref="I74" si="87">H74*E74</f>
        <v>2023852.3581199998</v>
      </c>
      <c r="J74" s="5">
        <v>0.78105075287174741</v>
      </c>
      <c r="K74" s="55"/>
      <c r="L74" s="158">
        <f>J74*K75/E74</f>
        <v>6.2162916537039294E-2</v>
      </c>
      <c r="M74" s="6">
        <f t="shared" ref="M74" si="88">L74*E74</f>
        <v>2998297.5505506131</v>
      </c>
      <c r="N74" s="6">
        <f t="shared" ref="N74" si="89">M74-I74</f>
        <v>974445.19243061333</v>
      </c>
      <c r="O74" s="5">
        <f t="shared" ref="O74" si="90">IF(I74=0,0,N74/I74)</f>
        <v>0.48148037504860114</v>
      </c>
      <c r="P74" s="5">
        <f>M74/M$75</f>
        <v>0.78105075287174741</v>
      </c>
      <c r="Q74" s="17">
        <f t="shared" ref="Q74" si="91">P74-J74</f>
        <v>0</v>
      </c>
      <c r="R74" s="17"/>
      <c r="T74" s="5">
        <f>L74/H74-1</f>
        <v>0.48148037504860097</v>
      </c>
      <c r="W74" s="171">
        <v>0.78105075287174741</v>
      </c>
      <c r="X74" s="17">
        <v>0.50741728066810976</v>
      </c>
    </row>
    <row r="75" spans="1:25" s="7" customFormat="1" ht="20.399999999999999" customHeight="1" x14ac:dyDescent="0.3">
      <c r="A75" s="64">
        <f t="shared" si="1"/>
        <v>69</v>
      </c>
      <c r="C75" s="68"/>
      <c r="D75" s="30" t="s">
        <v>6</v>
      </c>
      <c r="E75" s="30"/>
      <c r="F75" s="30"/>
      <c r="G75" s="31">
        <f>SUM(G71:G74)</f>
        <v>3760706.9264099998</v>
      </c>
      <c r="H75" s="30"/>
      <c r="I75" s="32">
        <f>SUM(I71:I74)</f>
        <v>3684981.2781199999</v>
      </c>
      <c r="J75" s="33">
        <f>SUM(J71:J74)</f>
        <v>1</v>
      </c>
      <c r="K75" s="56">
        <f>I75+Summary!I13</f>
        <v>3838799.89812</v>
      </c>
      <c r="L75" s="30"/>
      <c r="M75" s="31">
        <f>SUM(M71:M74)</f>
        <v>3838799.89812</v>
      </c>
      <c r="N75" s="31">
        <f>SUM(N71:N74)</f>
        <v>153818.62000000011</v>
      </c>
      <c r="O75" s="33">
        <f t="shared" ref="O75" si="92">N75/I75</f>
        <v>4.1742035682329204E-2</v>
      </c>
      <c r="P75" s="33">
        <f>SUM(P71:P74)</f>
        <v>1</v>
      </c>
      <c r="Q75" s="34">
        <f t="shared" ref="Q75" si="93">P75-J75</f>
        <v>0</v>
      </c>
      <c r="R75" s="47">
        <f>M75-K75</f>
        <v>0</v>
      </c>
      <c r="S75" s="174">
        <f>K75/I75</f>
        <v>1.0417420356823293</v>
      </c>
    </row>
    <row r="76" spans="1:25" x14ac:dyDescent="0.25">
      <c r="A76" s="64">
        <f t="shared" ref="A76:A114" si="94">A75+1</f>
        <v>70</v>
      </c>
      <c r="C76" s="51"/>
      <c r="D76" s="2" t="s">
        <v>29</v>
      </c>
      <c r="G76" s="22">
        <v>-152364.72</v>
      </c>
      <c r="I76" s="61">
        <f>G76+(0.00157*(E74))</f>
        <v>-76639.071710000004</v>
      </c>
      <c r="K76" s="69">
        <f>K75-I75</f>
        <v>153818.62000000011</v>
      </c>
      <c r="M76" s="6">
        <f>I76</f>
        <v>-76639.071710000004</v>
      </c>
      <c r="N76" s="6">
        <f t="shared" ref="N76:N78" si="95">M76-I76</f>
        <v>0</v>
      </c>
      <c r="O76" s="18">
        <v>0</v>
      </c>
    </row>
    <row r="77" spans="1:25" x14ac:dyDescent="0.25">
      <c r="A77" s="64">
        <f t="shared" si="94"/>
        <v>71</v>
      </c>
      <c r="D77" s="2" t="s">
        <v>30</v>
      </c>
      <c r="G77" s="22">
        <v>227197.31</v>
      </c>
      <c r="I77" s="21">
        <f t="shared" ref="I77:I79" si="96">G77</f>
        <v>227197.31</v>
      </c>
      <c r="M77" s="6">
        <f t="shared" ref="M77:M79" si="97">I77</f>
        <v>227197.31</v>
      </c>
      <c r="N77" s="6">
        <f t="shared" si="95"/>
        <v>0</v>
      </c>
      <c r="O77" s="18">
        <v>0</v>
      </c>
    </row>
    <row r="78" spans="1:25" x14ac:dyDescent="0.25">
      <c r="A78" s="64">
        <f t="shared" si="94"/>
        <v>72</v>
      </c>
      <c r="D78" s="2" t="s">
        <v>32</v>
      </c>
      <c r="G78" s="22">
        <v>0</v>
      </c>
      <c r="I78" s="21">
        <f t="shared" si="96"/>
        <v>0</v>
      </c>
      <c r="M78" s="6">
        <f t="shared" si="97"/>
        <v>0</v>
      </c>
      <c r="N78" s="6">
        <f t="shared" si="95"/>
        <v>0</v>
      </c>
      <c r="O78" s="18">
        <v>0</v>
      </c>
    </row>
    <row r="79" spans="1:25" x14ac:dyDescent="0.25">
      <c r="A79" s="64">
        <f t="shared" si="94"/>
        <v>73</v>
      </c>
      <c r="D79" s="2" t="s">
        <v>41</v>
      </c>
      <c r="G79" s="22">
        <v>0</v>
      </c>
      <c r="I79" s="21">
        <f t="shared" si="96"/>
        <v>0</v>
      </c>
      <c r="M79" s="6">
        <f t="shared" si="97"/>
        <v>0</v>
      </c>
      <c r="N79" s="6"/>
      <c r="O79" s="18"/>
    </row>
    <row r="80" spans="1:25" x14ac:dyDescent="0.25">
      <c r="A80" s="64">
        <f t="shared" si="94"/>
        <v>74</v>
      </c>
      <c r="D80" s="24" t="s">
        <v>8</v>
      </c>
      <c r="E80" s="24"/>
      <c r="F80" s="24"/>
      <c r="G80" s="25">
        <f>SUM(G76:G79)</f>
        <v>74832.59</v>
      </c>
      <c r="H80" s="24"/>
      <c r="I80" s="25">
        <f>SUM(I76:I79)</f>
        <v>150558.23829000001</v>
      </c>
      <c r="J80" s="24"/>
      <c r="K80" s="57"/>
      <c r="L80" s="24"/>
      <c r="M80" s="25">
        <f>SUM(M76:M79)</f>
        <v>150558.23829000001</v>
      </c>
      <c r="N80" s="25">
        <f t="shared" ref="N80:N82" si="98">M80-I80</f>
        <v>0</v>
      </c>
      <c r="O80" s="35">
        <f t="shared" ref="O80" si="99">N80-J80</f>
        <v>0</v>
      </c>
    </row>
    <row r="81" spans="1:20" s="7" customFormat="1" ht="26.4" customHeight="1" thickBot="1" x14ac:dyDescent="0.3">
      <c r="A81" s="64">
        <f t="shared" si="94"/>
        <v>75</v>
      </c>
      <c r="C81" s="28"/>
      <c r="D81" s="8" t="s">
        <v>19</v>
      </c>
      <c r="E81" s="8"/>
      <c r="F81" s="8"/>
      <c r="G81" s="9">
        <f>G75+G80</f>
        <v>3835539.5164099997</v>
      </c>
      <c r="H81" s="8"/>
      <c r="I81" s="26">
        <f>I80+I75</f>
        <v>3835539.5164099997</v>
      </c>
      <c r="J81" s="8"/>
      <c r="K81" s="58"/>
      <c r="L81" s="8"/>
      <c r="M81" s="9">
        <f>M80+M75</f>
        <v>3989358.1364099998</v>
      </c>
      <c r="N81" s="9">
        <f t="shared" si="98"/>
        <v>153818.62000000011</v>
      </c>
      <c r="O81" s="10">
        <f>N81/I81</f>
        <v>4.0103515904842443E-2</v>
      </c>
      <c r="P81" s="2"/>
      <c r="Q81" s="2"/>
      <c r="R81" s="2"/>
      <c r="S81" s="174"/>
    </row>
    <row r="82" spans="1:20" ht="13.8" thickTop="1" x14ac:dyDescent="0.25">
      <c r="A82" s="64">
        <f t="shared" si="94"/>
        <v>76</v>
      </c>
      <c r="D82" s="2" t="s">
        <v>18</v>
      </c>
      <c r="E82" s="18">
        <f>E74/E71</f>
        <v>4019408.0833333335</v>
      </c>
      <c r="G82" s="16">
        <f>G81/E71</f>
        <v>319628.29303416662</v>
      </c>
      <c r="I82" s="16">
        <f>I81/E71</f>
        <v>319628.29303416662</v>
      </c>
      <c r="M82" s="16">
        <f>M81/E71</f>
        <v>332446.5113675</v>
      </c>
      <c r="N82" s="16">
        <f t="shared" si="98"/>
        <v>12818.218333333381</v>
      </c>
      <c r="O82" s="5">
        <f>N82/I82</f>
        <v>4.0103515904842568E-2</v>
      </c>
    </row>
    <row r="83" spans="1:20" ht="13.8" thickBot="1" x14ac:dyDescent="0.3">
      <c r="A83" s="64">
        <f t="shared" si="94"/>
        <v>77</v>
      </c>
    </row>
    <row r="84" spans="1:20" x14ac:dyDescent="0.25">
      <c r="A84" s="64">
        <f t="shared" si="94"/>
        <v>78</v>
      </c>
      <c r="B84" s="41" t="s">
        <v>86</v>
      </c>
      <c r="C84" s="42">
        <v>3</v>
      </c>
      <c r="D84" s="41"/>
      <c r="E84" s="41"/>
      <c r="F84" s="41"/>
      <c r="G84" s="41"/>
      <c r="H84" s="41"/>
      <c r="I84" s="41"/>
      <c r="J84" s="41"/>
      <c r="K84" s="54"/>
      <c r="L84" s="41"/>
      <c r="M84" s="41"/>
      <c r="N84" s="41"/>
      <c r="O84" s="41"/>
      <c r="P84" s="41"/>
      <c r="Q84" s="41"/>
      <c r="R84" s="41"/>
    </row>
    <row r="85" spans="1:20" x14ac:dyDescent="0.25">
      <c r="A85" s="64">
        <f t="shared" si="94"/>
        <v>79</v>
      </c>
      <c r="B85" s="60"/>
      <c r="C85" s="50"/>
      <c r="D85" s="2" t="s">
        <v>74</v>
      </c>
      <c r="E85" s="23">
        <v>22664</v>
      </c>
      <c r="F85" s="20">
        <v>10.07</v>
      </c>
      <c r="G85" s="6">
        <f t="shared" ref="G85" si="100">F85*E85</f>
        <v>228226.48</v>
      </c>
      <c r="H85" s="20">
        <v>10.01</v>
      </c>
      <c r="I85" s="6">
        <f t="shared" ref="I85" si="101">H85*E85</f>
        <v>226866.63999999998</v>
      </c>
      <c r="J85" s="5">
        <f t="shared" ref="J85:J93" si="102">I85/I$94</f>
        <v>0.39040569012631715</v>
      </c>
      <c r="K85" s="55"/>
      <c r="L85" s="19">
        <f t="shared" ref="L85:L93" si="103">ROUND(H85*S$94,2)</f>
        <v>10.86</v>
      </c>
      <c r="M85" s="6">
        <f t="shared" ref="M85" si="104">L85*E85</f>
        <v>246131.03999999998</v>
      </c>
      <c r="N85" s="6">
        <f t="shared" ref="N85" si="105">M85-I85</f>
        <v>19264.399999999994</v>
      </c>
      <c r="O85" s="5">
        <f t="shared" ref="O85" si="106">IF(I85=0,0,N85/I85)</f>
        <v>8.4915084915084899E-2</v>
      </c>
      <c r="P85" s="5">
        <f t="shared" ref="P85:P93" si="107">M85/M$94</f>
        <v>0.39042736983121951</v>
      </c>
      <c r="Q85" s="17">
        <f t="shared" ref="Q85" si="108">P85-J85</f>
        <v>2.1679704902355379E-5</v>
      </c>
      <c r="R85" s="17"/>
      <c r="T85" s="5">
        <f>L85/H85-1</f>
        <v>8.4915084915084815E-2</v>
      </c>
    </row>
    <row r="86" spans="1:20" x14ac:dyDescent="0.25">
      <c r="A86" s="64">
        <f t="shared" si="94"/>
        <v>80</v>
      </c>
      <c r="B86" s="60"/>
      <c r="C86" s="50"/>
      <c r="D86" s="2" t="s">
        <v>75</v>
      </c>
      <c r="E86" s="23">
        <v>2295</v>
      </c>
      <c r="F86" s="20">
        <v>13.59</v>
      </c>
      <c r="G86" s="6">
        <f t="shared" ref="G86:G89" si="109">F86*E86</f>
        <v>31189.05</v>
      </c>
      <c r="H86" s="20">
        <v>14.64</v>
      </c>
      <c r="I86" s="6">
        <f t="shared" ref="I86:I89" si="110">H86*E86</f>
        <v>33598.800000000003</v>
      </c>
      <c r="J86" s="5">
        <f t="shared" si="102"/>
        <v>5.7818825638781032E-2</v>
      </c>
      <c r="K86" s="55"/>
      <c r="L86" s="19">
        <f t="shared" si="103"/>
        <v>15.88</v>
      </c>
      <c r="M86" s="6">
        <f t="shared" ref="M86:M89" si="111">L86*E86</f>
        <v>36444.6</v>
      </c>
      <c r="N86" s="6">
        <f t="shared" ref="N86:N89" si="112">M86-I86</f>
        <v>2845.7999999999956</v>
      </c>
      <c r="O86" s="5">
        <f t="shared" ref="O86:O89" si="113">IF(I86=0,0,N86/I86)</f>
        <v>8.4699453551912426E-2</v>
      </c>
      <c r="P86" s="5">
        <f t="shared" si="107"/>
        <v>5.7810544019766319E-2</v>
      </c>
      <c r="Q86" s="17">
        <f t="shared" ref="Q86:Q89" si="114">P86-J86</f>
        <v>-8.2816190147133595E-6</v>
      </c>
      <c r="R86" s="17"/>
      <c r="T86" s="5">
        <f t="shared" ref="T86:T93" si="115">L86/H86-1</f>
        <v>8.4699453551912551E-2</v>
      </c>
    </row>
    <row r="87" spans="1:20" x14ac:dyDescent="0.25">
      <c r="A87" s="64">
        <f t="shared" si="94"/>
        <v>81</v>
      </c>
      <c r="B87" s="60"/>
      <c r="C87" s="50"/>
      <c r="D87" s="2" t="s">
        <v>76</v>
      </c>
      <c r="E87" s="23">
        <v>894</v>
      </c>
      <c r="F87" s="20">
        <v>20.34</v>
      </c>
      <c r="G87" s="6">
        <f t="shared" si="109"/>
        <v>18183.96</v>
      </c>
      <c r="H87" s="20">
        <v>13.53</v>
      </c>
      <c r="I87" s="6">
        <f t="shared" si="110"/>
        <v>12095.82</v>
      </c>
      <c r="J87" s="5">
        <f t="shared" si="102"/>
        <v>2.0815210886641199E-2</v>
      </c>
      <c r="K87" s="55"/>
      <c r="L87" s="19">
        <f t="shared" si="103"/>
        <v>14.68</v>
      </c>
      <c r="M87" s="6">
        <f t="shared" si="111"/>
        <v>13123.92</v>
      </c>
      <c r="N87" s="6">
        <f t="shared" si="112"/>
        <v>1028.1000000000004</v>
      </c>
      <c r="O87" s="5">
        <f t="shared" si="113"/>
        <v>8.4996304508499668E-2</v>
      </c>
      <c r="P87" s="5">
        <f t="shared" si="107"/>
        <v>2.0817925148633586E-2</v>
      </c>
      <c r="Q87" s="17">
        <f t="shared" si="114"/>
        <v>2.7142619923870015E-6</v>
      </c>
      <c r="R87" s="17"/>
      <c r="T87" s="5">
        <f t="shared" si="115"/>
        <v>8.4996304508499598E-2</v>
      </c>
    </row>
    <row r="88" spans="1:20" x14ac:dyDescent="0.25">
      <c r="A88" s="64">
        <f t="shared" si="94"/>
        <v>82</v>
      </c>
      <c r="B88" s="60"/>
      <c r="C88" s="50"/>
      <c r="D88" s="2" t="s">
        <v>77</v>
      </c>
      <c r="E88" s="23">
        <v>920</v>
      </c>
      <c r="F88" s="20">
        <v>14.78</v>
      </c>
      <c r="G88" s="6">
        <f t="shared" si="109"/>
        <v>13597.599999999999</v>
      </c>
      <c r="H88" s="20">
        <v>20.09</v>
      </c>
      <c r="I88" s="6">
        <f t="shared" si="110"/>
        <v>18482.8</v>
      </c>
      <c r="J88" s="5">
        <f t="shared" si="102"/>
        <v>3.1806308276380757E-2</v>
      </c>
      <c r="K88" s="55"/>
      <c r="L88" s="19">
        <f t="shared" si="103"/>
        <v>21.79</v>
      </c>
      <c r="M88" s="6">
        <f t="shared" si="111"/>
        <v>20046.8</v>
      </c>
      <c r="N88" s="6">
        <f t="shared" si="112"/>
        <v>1564</v>
      </c>
      <c r="O88" s="5">
        <f t="shared" si="113"/>
        <v>8.4619213539074173E-2</v>
      </c>
      <c r="P88" s="5">
        <f t="shared" si="107"/>
        <v>3.1799400016887316E-2</v>
      </c>
      <c r="Q88" s="17">
        <f t="shared" si="114"/>
        <v>-6.9082594934405384E-6</v>
      </c>
      <c r="R88" s="17"/>
      <c r="T88" s="5">
        <f t="shared" si="115"/>
        <v>8.4619213539074201E-2</v>
      </c>
    </row>
    <row r="89" spans="1:20" x14ac:dyDescent="0.25">
      <c r="A89" s="64">
        <f t="shared" si="94"/>
        <v>83</v>
      </c>
      <c r="B89" s="60"/>
      <c r="C89" s="50"/>
      <c r="D89" s="2" t="s">
        <v>78</v>
      </c>
      <c r="E89" s="23">
        <v>132</v>
      </c>
      <c r="F89" s="20">
        <v>16.22</v>
      </c>
      <c r="G89" s="6">
        <f t="shared" si="109"/>
        <v>2141.04</v>
      </c>
      <c r="H89" s="20">
        <v>16.13</v>
      </c>
      <c r="I89" s="6">
        <f t="shared" si="110"/>
        <v>2129.16</v>
      </c>
      <c r="J89" s="5">
        <f t="shared" si="102"/>
        <v>3.663985939886752E-3</v>
      </c>
      <c r="K89" s="55"/>
      <c r="L89" s="19">
        <f t="shared" si="103"/>
        <v>17.5</v>
      </c>
      <c r="M89" s="6">
        <f t="shared" si="111"/>
        <v>2310</v>
      </c>
      <c r="N89" s="6">
        <f t="shared" si="112"/>
        <v>180.84000000000015</v>
      </c>
      <c r="O89" s="5">
        <f t="shared" si="113"/>
        <v>8.4934903905765732E-2</v>
      </c>
      <c r="P89" s="5">
        <f t="shared" si="107"/>
        <v>3.6642563421099474E-3</v>
      </c>
      <c r="Q89" s="17">
        <f t="shared" si="114"/>
        <v>2.7040222319541993E-7</v>
      </c>
      <c r="R89" s="17"/>
      <c r="T89" s="5">
        <f t="shared" si="115"/>
        <v>8.4934903905765635E-2</v>
      </c>
    </row>
    <row r="90" spans="1:20" x14ac:dyDescent="0.25">
      <c r="A90" s="64">
        <f t="shared" si="94"/>
        <v>84</v>
      </c>
      <c r="B90" s="60"/>
      <c r="C90" s="50"/>
      <c r="D90" s="2" t="s">
        <v>79</v>
      </c>
      <c r="E90" s="23">
        <v>17983</v>
      </c>
      <c r="F90" s="20">
        <v>10.76</v>
      </c>
      <c r="G90" s="6">
        <f t="shared" ref="G90:G93" si="116">F90*E90</f>
        <v>193497.08</v>
      </c>
      <c r="H90" s="20">
        <v>10.72</v>
      </c>
      <c r="I90" s="6">
        <f t="shared" ref="I90:I93" si="117">H90*E90</f>
        <v>192777.76</v>
      </c>
      <c r="J90" s="5">
        <f t="shared" si="102"/>
        <v>0.33174350549646936</v>
      </c>
      <c r="K90" s="55"/>
      <c r="L90" s="19">
        <f t="shared" si="103"/>
        <v>11.63</v>
      </c>
      <c r="M90" s="6">
        <f t="shared" ref="M90:M93" si="118">L90*E90</f>
        <v>209142.29</v>
      </c>
      <c r="N90" s="6">
        <f t="shared" ref="N90:N93" si="119">M90-I90</f>
        <v>16364.529999999999</v>
      </c>
      <c r="O90" s="5">
        <f t="shared" ref="O90:O93" si="120">IF(I90=0,0,N90/I90)</f>
        <v>8.4888059701492533E-2</v>
      </c>
      <c r="P90" s="5">
        <f t="shared" si="107"/>
        <v>0.33175366343545365</v>
      </c>
      <c r="Q90" s="17">
        <f t="shared" ref="Q90:Q93" si="121">P90-J90</f>
        <v>1.0157938984289849E-5</v>
      </c>
      <c r="R90" s="17"/>
      <c r="T90" s="5">
        <f t="shared" si="115"/>
        <v>8.4888059701492491E-2</v>
      </c>
    </row>
    <row r="91" spans="1:20" x14ac:dyDescent="0.25">
      <c r="A91" s="64">
        <f t="shared" si="94"/>
        <v>85</v>
      </c>
      <c r="B91" s="60"/>
      <c r="C91" s="50"/>
      <c r="D91" s="2" t="s">
        <v>80</v>
      </c>
      <c r="E91" s="23">
        <v>1913</v>
      </c>
      <c r="F91" s="20">
        <v>13.4</v>
      </c>
      <c r="G91" s="6">
        <f t="shared" si="116"/>
        <v>25634.2</v>
      </c>
      <c r="H91" s="20">
        <v>13.36</v>
      </c>
      <c r="I91" s="6">
        <f t="shared" si="117"/>
        <v>25557.68</v>
      </c>
      <c r="J91" s="5">
        <f t="shared" si="102"/>
        <v>4.3981185151010183E-2</v>
      </c>
      <c r="K91" s="55"/>
      <c r="L91" s="19">
        <f t="shared" si="103"/>
        <v>14.49</v>
      </c>
      <c r="M91" s="6">
        <f t="shared" si="118"/>
        <v>27719.37</v>
      </c>
      <c r="N91" s="6">
        <f t="shared" si="119"/>
        <v>2161.6899999999987</v>
      </c>
      <c r="O91" s="5">
        <f t="shared" si="120"/>
        <v>8.4580838323353238E-2</v>
      </c>
      <c r="P91" s="5">
        <f t="shared" si="107"/>
        <v>4.397007676268061E-2</v>
      </c>
      <c r="Q91" s="17">
        <f t="shared" si="121"/>
        <v>-1.1108388329572616E-5</v>
      </c>
      <c r="R91" s="17"/>
      <c r="T91" s="5">
        <f t="shared" si="115"/>
        <v>8.458083832335328E-2</v>
      </c>
    </row>
    <row r="92" spans="1:20" x14ac:dyDescent="0.25">
      <c r="A92" s="64">
        <f t="shared" si="94"/>
        <v>86</v>
      </c>
      <c r="B92" s="60"/>
      <c r="C92" s="50"/>
      <c r="D92" s="2" t="s">
        <v>81</v>
      </c>
      <c r="E92" s="23">
        <v>1447</v>
      </c>
      <c r="F92" s="20">
        <v>14.63</v>
      </c>
      <c r="G92" s="6">
        <f t="shared" si="116"/>
        <v>21169.61</v>
      </c>
      <c r="H92" s="20">
        <v>14.57</v>
      </c>
      <c r="I92" s="6">
        <f t="shared" si="117"/>
        <v>21082.79</v>
      </c>
      <c r="J92" s="5">
        <f t="shared" si="102"/>
        <v>3.6280526655387578E-2</v>
      </c>
      <c r="K92" s="55"/>
      <c r="L92" s="19">
        <f t="shared" si="103"/>
        <v>15.81</v>
      </c>
      <c r="M92" s="6">
        <f t="shared" si="118"/>
        <v>22877.07</v>
      </c>
      <c r="N92" s="6">
        <f t="shared" si="119"/>
        <v>1794.2799999999988</v>
      </c>
      <c r="O92" s="5">
        <f t="shared" si="120"/>
        <v>8.5106382978723347E-2</v>
      </c>
      <c r="P92" s="5">
        <f t="shared" si="107"/>
        <v>3.6288938890213514E-2</v>
      </c>
      <c r="Q92" s="17">
        <f t="shared" si="121"/>
        <v>8.4122348259357826E-6</v>
      </c>
      <c r="R92" s="17"/>
      <c r="T92" s="5">
        <f t="shared" si="115"/>
        <v>8.5106382978723527E-2</v>
      </c>
    </row>
    <row r="93" spans="1:20" x14ac:dyDescent="0.25">
      <c r="A93" s="64">
        <f t="shared" si="94"/>
        <v>87</v>
      </c>
      <c r="B93" s="60"/>
      <c r="C93" s="50"/>
      <c r="D93" s="2" t="s">
        <v>82</v>
      </c>
      <c r="E93" s="23">
        <v>2444</v>
      </c>
      <c r="F93" s="20">
        <v>19.96</v>
      </c>
      <c r="G93" s="6">
        <f t="shared" si="116"/>
        <v>48782.240000000005</v>
      </c>
      <c r="H93" s="20">
        <v>19.850000000000001</v>
      </c>
      <c r="I93" s="6">
        <f t="shared" si="117"/>
        <v>48513.4</v>
      </c>
      <c r="J93" s="5">
        <f t="shared" si="102"/>
        <v>8.3484761829126022E-2</v>
      </c>
      <c r="K93" s="55"/>
      <c r="L93" s="19">
        <f t="shared" si="103"/>
        <v>21.53</v>
      </c>
      <c r="M93" s="6">
        <f t="shared" si="118"/>
        <v>52619.32</v>
      </c>
      <c r="N93" s="6">
        <f t="shared" si="119"/>
        <v>4105.9199999999983</v>
      </c>
      <c r="O93" s="5">
        <f t="shared" si="120"/>
        <v>8.4634760705289636E-2</v>
      </c>
      <c r="P93" s="5">
        <f t="shared" si="107"/>
        <v>8.3467825553035849E-2</v>
      </c>
      <c r="Q93" s="17">
        <f t="shared" si="121"/>
        <v>-1.6936276090173674E-5</v>
      </c>
      <c r="R93" s="17"/>
      <c r="T93" s="5">
        <f t="shared" si="115"/>
        <v>8.4634760705289747E-2</v>
      </c>
    </row>
    <row r="94" spans="1:20" s="7" customFormat="1" ht="24.6" customHeight="1" x14ac:dyDescent="0.3">
      <c r="A94" s="64">
        <f t="shared" si="94"/>
        <v>88</v>
      </c>
      <c r="C94" s="28"/>
      <c r="D94" s="30" t="s">
        <v>6</v>
      </c>
      <c r="E94" s="30"/>
      <c r="F94" s="30"/>
      <c r="G94" s="31">
        <f>SUM(G85:G93)</f>
        <v>582421.26</v>
      </c>
      <c r="H94" s="30"/>
      <c r="I94" s="32">
        <f>SUM(I85:I93)</f>
        <v>581104.85</v>
      </c>
      <c r="J94" s="33">
        <f>SUM(J85:J93)</f>
        <v>0.99999999999999989</v>
      </c>
      <c r="K94" s="56">
        <f>I94+Summary!I14</f>
        <v>630364.59</v>
      </c>
      <c r="L94" s="30"/>
      <c r="M94" s="31">
        <f>SUM(M85:M93)</f>
        <v>630414.4099999998</v>
      </c>
      <c r="N94" s="31">
        <f>SUM(N85:N93)</f>
        <v>49309.559999999983</v>
      </c>
      <c r="O94" s="33">
        <f t="shared" ref="O94" si="122">N94/I94</f>
        <v>8.4854841600444375E-2</v>
      </c>
      <c r="P94" s="33">
        <f>SUM(P85:P93)</f>
        <v>1.0000000000000004</v>
      </c>
      <c r="Q94" s="34">
        <f t="shared" ref="Q94" si="123">P94-J94</f>
        <v>0</v>
      </c>
      <c r="R94" s="47">
        <f>M94-K94</f>
        <v>49.819999999832362</v>
      </c>
      <c r="S94" s="174">
        <f>K94/I94</f>
        <v>1.0847691083631466</v>
      </c>
    </row>
    <row r="95" spans="1:20" x14ac:dyDescent="0.25">
      <c r="A95" s="64">
        <f t="shared" si="94"/>
        <v>89</v>
      </c>
      <c r="D95" s="2" t="s">
        <v>29</v>
      </c>
      <c r="G95" s="22">
        <v>236</v>
      </c>
      <c r="I95" s="21">
        <f>G95</f>
        <v>236</v>
      </c>
      <c r="K95" s="69">
        <f>K94-I94</f>
        <v>49259.739999999991</v>
      </c>
      <c r="M95" s="6">
        <f>I95</f>
        <v>236</v>
      </c>
      <c r="N95" s="6">
        <f>M95-I95</f>
        <v>0</v>
      </c>
      <c r="O95" s="18">
        <v>0</v>
      </c>
    </row>
    <row r="96" spans="1:20" x14ac:dyDescent="0.25">
      <c r="A96" s="64">
        <f t="shared" si="94"/>
        <v>90</v>
      </c>
      <c r="D96" s="2" t="s">
        <v>30</v>
      </c>
      <c r="G96" s="22">
        <v>2135</v>
      </c>
      <c r="I96" s="21">
        <f>G96</f>
        <v>2135</v>
      </c>
      <c r="M96" s="6">
        <f t="shared" ref="M96:M97" si="124">I96</f>
        <v>2135</v>
      </c>
      <c r="N96" s="6">
        <f>M96-I96</f>
        <v>0</v>
      </c>
      <c r="O96" s="18">
        <v>0</v>
      </c>
    </row>
    <row r="97" spans="1:25" x14ac:dyDescent="0.25">
      <c r="A97" s="64">
        <f t="shared" si="94"/>
        <v>91</v>
      </c>
      <c r="D97" s="2" t="s">
        <v>32</v>
      </c>
      <c r="G97" s="22">
        <v>0</v>
      </c>
      <c r="I97" s="21">
        <v>0</v>
      </c>
      <c r="M97" s="6">
        <f t="shared" si="124"/>
        <v>0</v>
      </c>
      <c r="N97" s="6">
        <f>M97-I97</f>
        <v>0</v>
      </c>
      <c r="O97" s="18">
        <v>0</v>
      </c>
    </row>
    <row r="98" spans="1:25" x14ac:dyDescent="0.25">
      <c r="A98" s="64">
        <f t="shared" si="94"/>
        <v>92</v>
      </c>
      <c r="D98" s="2" t="s">
        <v>41</v>
      </c>
      <c r="G98" s="22"/>
      <c r="I98" s="21"/>
      <c r="M98" s="6"/>
      <c r="N98" s="6"/>
      <c r="O98" s="18"/>
    </row>
    <row r="99" spans="1:25" x14ac:dyDescent="0.25">
      <c r="A99" s="64">
        <f t="shared" si="94"/>
        <v>93</v>
      </c>
      <c r="D99" s="24" t="s">
        <v>8</v>
      </c>
      <c r="E99" s="24"/>
      <c r="F99" s="24"/>
      <c r="G99" s="25">
        <f>SUM(G95:G97)</f>
        <v>2371</v>
      </c>
      <c r="H99" s="24"/>
      <c r="I99" s="25">
        <f>SUM(I95:I97)</f>
        <v>2371</v>
      </c>
      <c r="J99" s="24"/>
      <c r="K99" s="57"/>
      <c r="L99" s="24"/>
      <c r="M99" s="25">
        <f>SUM(M95:M97)</f>
        <v>2371</v>
      </c>
      <c r="N99" s="25">
        <f>M99-I99</f>
        <v>0</v>
      </c>
      <c r="O99" s="35">
        <f>N99-J99</f>
        <v>0</v>
      </c>
    </row>
    <row r="100" spans="1:25" s="7" customFormat="1" ht="26.4" customHeight="1" thickBot="1" x14ac:dyDescent="0.3">
      <c r="A100" s="64">
        <f t="shared" si="94"/>
        <v>94</v>
      </c>
      <c r="C100" s="28"/>
      <c r="D100" s="8" t="s">
        <v>19</v>
      </c>
      <c r="E100" s="8"/>
      <c r="F100" s="8"/>
      <c r="G100" s="9">
        <f>G94+G99</f>
        <v>584792.26</v>
      </c>
      <c r="H100" s="8"/>
      <c r="I100" s="26">
        <f>I99+I94</f>
        <v>583475.85</v>
      </c>
      <c r="J100" s="8"/>
      <c r="K100" s="58"/>
      <c r="L100" s="8"/>
      <c r="M100" s="9">
        <f>M99+M94</f>
        <v>632785.4099999998</v>
      </c>
      <c r="N100" s="9">
        <f>M100-I100</f>
        <v>49309.559999999823</v>
      </c>
      <c r="O100" s="10">
        <f>N100/I100</f>
        <v>8.451002727876368E-2</v>
      </c>
      <c r="P100" s="2"/>
      <c r="Q100" s="2"/>
      <c r="R100" s="2"/>
      <c r="S100" s="174"/>
    </row>
    <row r="101" spans="1:25" ht="13.8" thickTop="1" x14ac:dyDescent="0.25">
      <c r="A101" s="64">
        <f t="shared" si="94"/>
        <v>95</v>
      </c>
      <c r="D101" s="2" t="s">
        <v>109</v>
      </c>
      <c r="E101" s="166">
        <f>E9+E20+E32+E46+E60+E74</f>
        <v>498040151</v>
      </c>
      <c r="G101" s="16"/>
      <c r="I101" s="16"/>
      <c r="M101" s="16"/>
      <c r="N101" s="16"/>
      <c r="O101" s="5"/>
      <c r="X101" s="7"/>
      <c r="Y101" s="7"/>
    </row>
    <row r="102" spans="1:25" x14ac:dyDescent="0.25">
      <c r="A102" s="64">
        <f t="shared" si="94"/>
        <v>96</v>
      </c>
      <c r="B102" s="36"/>
      <c r="C102" s="3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25" x14ac:dyDescent="0.25">
      <c r="A103" s="64">
        <f t="shared" si="94"/>
        <v>97</v>
      </c>
    </row>
    <row r="104" spans="1:25" s="7" customFormat="1" ht="19.95" customHeight="1" x14ac:dyDescent="0.3">
      <c r="A104" s="64">
        <f t="shared" si="94"/>
        <v>98</v>
      </c>
      <c r="B104" s="7" t="s">
        <v>31</v>
      </c>
      <c r="C104" s="68"/>
      <c r="D104" s="30" t="s">
        <v>6</v>
      </c>
      <c r="E104" s="30"/>
      <c r="F104" s="30"/>
      <c r="G104" s="46">
        <f t="shared" ref="G104:G109" si="125">G10+G21+G34+G47+G61+G94+G75</f>
        <v>44047044.337689996</v>
      </c>
      <c r="H104" s="46"/>
      <c r="I104" s="46">
        <f t="shared" ref="I104:I109" si="126">I10+I21+I34+I47+I61+I94+I75</f>
        <v>43263804.890620008</v>
      </c>
      <c r="J104" s="30"/>
      <c r="K104" s="59"/>
      <c r="L104" s="30"/>
      <c r="M104" s="46">
        <f t="shared" ref="M104:N109" si="127">M10+M21+M34+M47+M61+M94+M75</f>
        <v>45066544.788040005</v>
      </c>
      <c r="N104" s="46">
        <f t="shared" si="127"/>
        <v>1802739.8974200017</v>
      </c>
      <c r="O104" s="33">
        <f>N104/I104</f>
        <v>4.1668547229669395E-2</v>
      </c>
      <c r="S104" s="174"/>
    </row>
    <row r="105" spans="1:25" x14ac:dyDescent="0.25">
      <c r="A105" s="64">
        <f t="shared" si="94"/>
        <v>99</v>
      </c>
      <c r="C105" s="51"/>
      <c r="D105" s="2" t="s">
        <v>29</v>
      </c>
      <c r="G105" s="15">
        <f t="shared" si="125"/>
        <v>-1482021.86</v>
      </c>
      <c r="H105" s="15"/>
      <c r="I105" s="15">
        <f t="shared" si="126"/>
        <v>-700098.82293000002</v>
      </c>
      <c r="M105" s="15">
        <f t="shared" si="127"/>
        <v>-700098.82293000002</v>
      </c>
      <c r="N105" s="15">
        <f t="shared" si="127"/>
        <v>0</v>
      </c>
    </row>
    <row r="106" spans="1:25" x14ac:dyDescent="0.25">
      <c r="A106" s="64">
        <f t="shared" si="94"/>
        <v>100</v>
      </c>
      <c r="C106" s="51"/>
      <c r="D106" s="2" t="s">
        <v>30</v>
      </c>
      <c r="G106" s="15">
        <f t="shared" si="125"/>
        <v>3567579.27</v>
      </c>
      <c r="H106" s="15"/>
      <c r="I106" s="15">
        <f t="shared" si="126"/>
        <v>3567579.27</v>
      </c>
      <c r="M106" s="15">
        <f t="shared" si="127"/>
        <v>3567579.27</v>
      </c>
      <c r="N106" s="15">
        <f t="shared" si="127"/>
        <v>0</v>
      </c>
    </row>
    <row r="107" spans="1:25" x14ac:dyDescent="0.25">
      <c r="A107" s="64">
        <f t="shared" si="94"/>
        <v>101</v>
      </c>
      <c r="C107" s="51"/>
      <c r="D107" s="2" t="s">
        <v>32</v>
      </c>
      <c r="G107" s="15">
        <f t="shared" si="125"/>
        <v>967.25</v>
      </c>
      <c r="H107" s="15"/>
      <c r="I107" s="15">
        <f t="shared" si="126"/>
        <v>967.25</v>
      </c>
      <c r="M107" s="15">
        <f t="shared" si="127"/>
        <v>967.25</v>
      </c>
      <c r="N107" s="15">
        <f t="shared" si="127"/>
        <v>0</v>
      </c>
    </row>
    <row r="108" spans="1:25" x14ac:dyDescent="0.25">
      <c r="A108" s="64">
        <f t="shared" si="94"/>
        <v>102</v>
      </c>
      <c r="C108" s="51"/>
      <c r="D108" s="2" t="s">
        <v>41</v>
      </c>
      <c r="G108" s="15">
        <f t="shared" si="125"/>
        <v>0</v>
      </c>
      <c r="I108" s="15">
        <f t="shared" si="126"/>
        <v>0</v>
      </c>
      <c r="M108" s="15">
        <f t="shared" si="127"/>
        <v>0</v>
      </c>
      <c r="N108" s="15">
        <f t="shared" si="127"/>
        <v>0</v>
      </c>
      <c r="O108" s="18"/>
    </row>
    <row r="109" spans="1:25" x14ac:dyDescent="0.25">
      <c r="A109" s="64">
        <f t="shared" si="94"/>
        <v>103</v>
      </c>
      <c r="C109" s="51"/>
      <c r="D109" s="24" t="s">
        <v>8</v>
      </c>
      <c r="E109" s="24"/>
      <c r="F109" s="24"/>
      <c r="G109" s="45">
        <f t="shared" si="125"/>
        <v>2086524.6600000001</v>
      </c>
      <c r="H109" s="45"/>
      <c r="I109" s="45">
        <f t="shared" si="126"/>
        <v>2868447.6970699998</v>
      </c>
      <c r="J109" s="24"/>
      <c r="K109" s="57"/>
      <c r="L109" s="24"/>
      <c r="M109" s="45">
        <f t="shared" si="127"/>
        <v>2868447.6970699998</v>
      </c>
      <c r="N109" s="45">
        <f t="shared" si="127"/>
        <v>0</v>
      </c>
      <c r="O109" s="24"/>
    </row>
    <row r="110" spans="1:25" s="7" customFormat="1" ht="21" customHeight="1" thickBot="1" x14ac:dyDescent="0.35">
      <c r="A110" s="64">
        <f t="shared" si="94"/>
        <v>104</v>
      </c>
      <c r="C110" s="68"/>
      <c r="D110" s="8" t="s">
        <v>19</v>
      </c>
      <c r="E110" s="8"/>
      <c r="F110" s="8"/>
      <c r="G110" s="26">
        <f>G109+G104</f>
        <v>46133568.997689992</v>
      </c>
      <c r="H110" s="26"/>
      <c r="I110" s="26">
        <f>I109+I104</f>
        <v>46132252.587690011</v>
      </c>
      <c r="J110" s="8"/>
      <c r="K110" s="58"/>
      <c r="L110" s="8"/>
      <c r="M110" s="26">
        <f>M109+M104</f>
        <v>47934992.485110007</v>
      </c>
      <c r="N110" s="26">
        <f>N109+N104</f>
        <v>1802739.8974200017</v>
      </c>
      <c r="O110" s="10">
        <f>N110/I110</f>
        <v>3.9077647335631016E-2</v>
      </c>
      <c r="S110" s="174"/>
    </row>
    <row r="111" spans="1:25" ht="13.8" thickTop="1" x14ac:dyDescent="0.25">
      <c r="A111" s="64">
        <f t="shared" si="94"/>
        <v>105</v>
      </c>
      <c r="C111" s="51"/>
    </row>
    <row r="112" spans="1:25" x14ac:dyDescent="0.25">
      <c r="A112" s="64">
        <f t="shared" si="94"/>
        <v>106</v>
      </c>
      <c r="D112" s="2" t="s">
        <v>39</v>
      </c>
      <c r="N112" s="15">
        <f>N110-Summary!L4</f>
        <v>49.897420001681894</v>
      </c>
    </row>
    <row r="113" spans="1:23" ht="15" customHeight="1" x14ac:dyDescent="0.25">
      <c r="A113" s="64">
        <f t="shared" si="94"/>
        <v>107</v>
      </c>
      <c r="N113" s="15"/>
    </row>
    <row r="114" spans="1:23" x14ac:dyDescent="0.25">
      <c r="A114" s="64">
        <f t="shared" si="94"/>
        <v>108</v>
      </c>
      <c r="B114" s="1" t="s">
        <v>85</v>
      </c>
      <c r="D114" s="48"/>
      <c r="E114" s="36"/>
      <c r="F114" s="36"/>
      <c r="G114" s="36"/>
      <c r="H114" s="36"/>
      <c r="I114" s="36"/>
      <c r="J114" s="36"/>
      <c r="K114" s="36"/>
      <c r="L114" s="36"/>
      <c r="M114" s="36"/>
      <c r="N114" s="160"/>
      <c r="O114" s="36"/>
      <c r="P114" s="36"/>
      <c r="Q114" s="36"/>
      <c r="R114" s="36"/>
    </row>
    <row r="115" spans="1:23" ht="13.8" thickBot="1" x14ac:dyDescent="0.3">
      <c r="A115" s="64">
        <f t="shared" ref="A115:A144" si="128">A114+1</f>
        <v>109</v>
      </c>
      <c r="D115" s="27"/>
      <c r="E115" s="27"/>
      <c r="F115" s="27"/>
      <c r="G115" s="27"/>
      <c r="K115" s="2"/>
    </row>
    <row r="116" spans="1:23" x14ac:dyDescent="0.25">
      <c r="A116" s="64">
        <f t="shared" si="128"/>
        <v>110</v>
      </c>
      <c r="B116" s="41" t="s">
        <v>92</v>
      </c>
      <c r="C116" s="42">
        <v>22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1:23" ht="12.6" customHeight="1" x14ac:dyDescent="0.25">
      <c r="A117" s="64">
        <f t="shared" si="128"/>
        <v>111</v>
      </c>
      <c r="D117" s="2" t="s">
        <v>17</v>
      </c>
      <c r="E117" s="23"/>
      <c r="F117" s="20"/>
      <c r="G117" s="6"/>
      <c r="H117" s="20">
        <v>45.92</v>
      </c>
      <c r="I117" s="6"/>
      <c r="J117" s="5"/>
      <c r="K117" s="55"/>
      <c r="L117" s="19">
        <f>H117*S117</f>
        <v>47.833419688786421</v>
      </c>
      <c r="M117" s="6"/>
      <c r="N117" s="6"/>
      <c r="O117" s="5"/>
      <c r="P117" s="5"/>
      <c r="Q117" s="17"/>
      <c r="R117" s="17"/>
      <c r="S117" s="163">
        <f>(1+$O$104)</f>
        <v>1.0416685472296694</v>
      </c>
      <c r="T117" s="5">
        <f t="shared" ref="T117:T121" si="129">L117/H117-1</f>
        <v>4.1668547229669395E-2</v>
      </c>
    </row>
    <row r="118" spans="1:23" x14ac:dyDescent="0.25">
      <c r="A118" s="64">
        <f>A115+1</f>
        <v>110</v>
      </c>
      <c r="D118" s="2" t="s">
        <v>93</v>
      </c>
      <c r="E118" s="23"/>
      <c r="F118" s="161"/>
      <c r="G118" s="6"/>
      <c r="H118" s="161">
        <v>6.9180000000000005E-2</v>
      </c>
      <c r="I118" s="6"/>
      <c r="J118" s="5"/>
      <c r="K118" s="55"/>
      <c r="L118" s="162">
        <f>H118*S118</f>
        <v>7.2062630097348535E-2</v>
      </c>
      <c r="M118" s="6"/>
      <c r="N118" s="6"/>
      <c r="O118" s="5"/>
      <c r="P118" s="5"/>
      <c r="Q118" s="17"/>
      <c r="R118" s="17"/>
      <c r="S118" s="172">
        <f>S117</f>
        <v>1.0416685472296694</v>
      </c>
      <c r="T118" s="5">
        <f t="shared" ref="T118" si="130">L118/H118-1</f>
        <v>4.1668547229669395E-2</v>
      </c>
    </row>
    <row r="119" spans="1:23" x14ac:dyDescent="0.25">
      <c r="A119" s="64">
        <f>A116+1</f>
        <v>111</v>
      </c>
      <c r="D119" s="2" t="s">
        <v>94</v>
      </c>
      <c r="E119" s="23"/>
      <c r="F119" s="161"/>
      <c r="G119" s="6"/>
      <c r="H119" s="161">
        <v>6.2780000000000002E-2</v>
      </c>
      <c r="I119" s="6"/>
      <c r="J119" s="5"/>
      <c r="K119" s="55"/>
      <c r="L119" s="162">
        <f>H119*S119</f>
        <v>6.5395951395078644E-2</v>
      </c>
      <c r="M119" s="6"/>
      <c r="N119" s="6"/>
      <c r="O119" s="5"/>
      <c r="P119" s="5"/>
      <c r="Q119" s="17"/>
      <c r="R119" s="17"/>
      <c r="S119" s="172">
        <f>S118</f>
        <v>1.0416685472296694</v>
      </c>
      <c r="T119" s="5">
        <f t="shared" ref="T119" si="131">L119/H119-1</f>
        <v>4.1668547229669395E-2</v>
      </c>
    </row>
    <row r="120" spans="1:23" x14ac:dyDescent="0.25">
      <c r="A120" s="64">
        <f>A117+1</f>
        <v>112</v>
      </c>
      <c r="D120" s="2" t="s">
        <v>95</v>
      </c>
      <c r="E120" s="23"/>
      <c r="F120" s="161"/>
      <c r="G120" s="6"/>
      <c r="H120" s="161">
        <v>5.6399999999999999E-2</v>
      </c>
      <c r="I120" s="6"/>
      <c r="J120" s="5"/>
      <c r="K120" s="55"/>
      <c r="L120" s="162">
        <f>H120*S120</f>
        <v>5.8750106063753353E-2</v>
      </c>
      <c r="M120" s="6"/>
      <c r="N120" s="6"/>
      <c r="O120" s="5"/>
      <c r="P120" s="5"/>
      <c r="Q120" s="17"/>
      <c r="R120" s="17"/>
      <c r="S120" s="172">
        <f>S119</f>
        <v>1.0416685472296694</v>
      </c>
      <c r="T120" s="5">
        <f t="shared" si="129"/>
        <v>4.1668547229669395E-2</v>
      </c>
    </row>
    <row r="121" spans="1:23" ht="13.8" thickBot="1" x14ac:dyDescent="0.3">
      <c r="A121" s="64">
        <f t="shared" ref="A121" si="132">A118+1</f>
        <v>111</v>
      </c>
      <c r="D121" s="2" t="s">
        <v>83</v>
      </c>
      <c r="E121" s="23"/>
      <c r="F121" s="20"/>
      <c r="G121" s="6"/>
      <c r="H121" s="20">
        <v>6.02</v>
      </c>
      <c r="I121" s="6"/>
      <c r="J121" s="5"/>
      <c r="K121" s="55"/>
      <c r="L121" s="19">
        <f>H121*S121</f>
        <v>6.2708446543226097</v>
      </c>
      <c r="M121" s="6"/>
      <c r="N121" s="6"/>
      <c r="O121" s="5"/>
      <c r="P121" s="5"/>
      <c r="Q121" s="17"/>
      <c r="R121" s="17"/>
      <c r="S121" s="172">
        <f>S120</f>
        <v>1.0416685472296694</v>
      </c>
      <c r="T121" s="5">
        <f t="shared" si="129"/>
        <v>4.1668547229669395E-2</v>
      </c>
    </row>
    <row r="122" spans="1:23" x14ac:dyDescent="0.25">
      <c r="A122" s="64">
        <f t="shared" si="128"/>
        <v>112</v>
      </c>
      <c r="B122" s="41" t="s">
        <v>96</v>
      </c>
      <c r="C122" s="42">
        <v>33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:23" ht="12.6" customHeight="1" thickBot="1" x14ac:dyDescent="0.3">
      <c r="A123" s="64">
        <f t="shared" si="128"/>
        <v>113</v>
      </c>
      <c r="D123" s="2" t="s">
        <v>97</v>
      </c>
      <c r="E123" s="23"/>
      <c r="F123" s="20"/>
      <c r="G123" s="6"/>
      <c r="H123" s="155">
        <v>5.6320000000000002E-2</v>
      </c>
      <c r="I123" s="6"/>
      <c r="J123" s="5"/>
      <c r="K123" s="55"/>
      <c r="L123" s="164">
        <f>H123*S123</f>
        <v>5.8666772579974984E-2</v>
      </c>
      <c r="M123" s="6"/>
      <c r="N123" s="6"/>
      <c r="O123" s="5"/>
      <c r="P123" s="5"/>
      <c r="Q123" s="17"/>
      <c r="R123" s="17"/>
      <c r="S123" s="163">
        <f>(1+$O$104)</f>
        <v>1.0416685472296694</v>
      </c>
      <c r="T123" s="5">
        <f t="shared" ref="T123" si="133">L123/H123-1</f>
        <v>4.1668547229669395E-2</v>
      </c>
    </row>
    <row r="124" spans="1:23" x14ac:dyDescent="0.25">
      <c r="A124" s="64">
        <f t="shared" si="128"/>
        <v>114</v>
      </c>
      <c r="B124" s="41" t="s">
        <v>98</v>
      </c>
      <c r="C124" s="42" t="s">
        <v>99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23" ht="12.6" customHeight="1" x14ac:dyDescent="0.25">
      <c r="A125" s="64">
        <f t="shared" si="128"/>
        <v>115</v>
      </c>
      <c r="D125" s="2" t="s">
        <v>102</v>
      </c>
      <c r="E125" s="23"/>
      <c r="F125" s="20"/>
      <c r="G125" s="6"/>
      <c r="H125" s="20">
        <v>3421.59</v>
      </c>
      <c r="I125" s="6"/>
      <c r="J125" s="5"/>
      <c r="K125" s="55"/>
      <c r="L125" s="19">
        <f>H125*S125</f>
        <v>3564.1626845155647</v>
      </c>
      <c r="M125" s="6"/>
      <c r="N125" s="6"/>
      <c r="O125" s="5"/>
      <c r="P125" s="5"/>
      <c r="Q125" s="17"/>
      <c r="R125" s="17"/>
      <c r="S125" s="163">
        <f>(1+$O$104)</f>
        <v>1.0416685472296694</v>
      </c>
      <c r="T125" s="5">
        <f t="shared" ref="T125" si="134">L125/H125-1</f>
        <v>4.1668547229669395E-2</v>
      </c>
    </row>
    <row r="126" spans="1:23" ht="12.6" customHeight="1" x14ac:dyDescent="0.25">
      <c r="A126" s="64">
        <f t="shared" si="128"/>
        <v>116</v>
      </c>
      <c r="D126" s="2" t="s">
        <v>103</v>
      </c>
      <c r="E126" s="23"/>
      <c r="F126" s="20"/>
      <c r="G126" s="6"/>
      <c r="H126" s="20">
        <v>5430.92</v>
      </c>
      <c r="I126" s="6"/>
      <c r="J126" s="5"/>
      <c r="K126" s="55"/>
      <c r="L126" s="19">
        <f>H126*S126</f>
        <v>5657.2185465205566</v>
      </c>
      <c r="M126" s="6"/>
      <c r="N126" s="6"/>
      <c r="O126" s="5"/>
      <c r="P126" s="5"/>
      <c r="Q126" s="17"/>
      <c r="R126" s="17"/>
      <c r="S126" s="163">
        <f>(1+$O$104)</f>
        <v>1.0416685472296694</v>
      </c>
      <c r="T126" s="5">
        <f t="shared" ref="T126:T129" si="135">L126/H126-1</f>
        <v>4.1668547229669395E-2</v>
      </c>
    </row>
    <row r="127" spans="1:23" x14ac:dyDescent="0.25">
      <c r="A127" s="64">
        <f t="shared" si="128"/>
        <v>117</v>
      </c>
      <c r="D127" s="2" t="s">
        <v>83</v>
      </c>
      <c r="E127" s="23"/>
      <c r="F127" s="161"/>
      <c r="G127" s="6"/>
      <c r="H127" s="20">
        <v>7.17</v>
      </c>
      <c r="I127" s="6"/>
      <c r="J127" s="5"/>
      <c r="K127" s="55"/>
      <c r="L127" s="167">
        <f>L58</f>
        <v>6.9951543646734331</v>
      </c>
      <c r="M127" s="6"/>
      <c r="N127" s="6"/>
      <c r="O127" s="5"/>
      <c r="P127" s="5"/>
      <c r="Q127" s="17"/>
      <c r="R127" s="17"/>
      <c r="S127" s="172">
        <f>S126</f>
        <v>1.0416685472296694</v>
      </c>
      <c r="T127" s="5">
        <f t="shared" si="135"/>
        <v>-2.4385723197568598E-2</v>
      </c>
      <c r="W127" s="2" t="s">
        <v>110</v>
      </c>
    </row>
    <row r="128" spans="1:23" x14ac:dyDescent="0.25">
      <c r="A128" s="64">
        <f t="shared" si="128"/>
        <v>118</v>
      </c>
      <c r="D128" s="2" t="s">
        <v>84</v>
      </c>
      <c r="E128" s="23"/>
      <c r="F128" s="161"/>
      <c r="G128" s="6"/>
      <c r="H128" s="20">
        <v>9.98</v>
      </c>
      <c r="I128" s="6"/>
      <c r="J128" s="5"/>
      <c r="K128" s="55"/>
      <c r="L128" s="167">
        <f>L59</f>
        <v>11.820639499720384</v>
      </c>
      <c r="M128" s="6"/>
      <c r="N128" s="6"/>
      <c r="O128" s="5"/>
      <c r="P128" s="5"/>
      <c r="Q128" s="17"/>
      <c r="R128" s="17"/>
      <c r="S128" s="172">
        <f>S127</f>
        <v>1.0416685472296694</v>
      </c>
      <c r="T128" s="5">
        <f t="shared" si="135"/>
        <v>0.18443281560324487</v>
      </c>
      <c r="W128" s="2" t="s">
        <v>110</v>
      </c>
    </row>
    <row r="129" spans="1:23" ht="13.8" thickBot="1" x14ac:dyDescent="0.3">
      <c r="A129" s="64">
        <f t="shared" si="128"/>
        <v>119</v>
      </c>
      <c r="D129" s="2" t="s">
        <v>95</v>
      </c>
      <c r="E129" s="23"/>
      <c r="F129" s="161"/>
      <c r="G129" s="6"/>
      <c r="H129" s="161">
        <v>4.1360000000000001E-2</v>
      </c>
      <c r="I129" s="6"/>
      <c r="J129" s="5"/>
      <c r="K129" s="55"/>
      <c r="L129" s="162">
        <f>H129*S129</f>
        <v>4.308341111341913E-2</v>
      </c>
      <c r="M129" s="6"/>
      <c r="N129" s="6"/>
      <c r="O129" s="5"/>
      <c r="P129" s="5"/>
      <c r="Q129" s="17"/>
      <c r="R129" s="17"/>
      <c r="S129" s="172">
        <f>S128</f>
        <v>1.0416685472296694</v>
      </c>
      <c r="T129" s="5">
        <f t="shared" si="135"/>
        <v>4.1668547229669395E-2</v>
      </c>
    </row>
    <row r="130" spans="1:23" x14ac:dyDescent="0.25">
      <c r="A130" s="64">
        <f t="shared" si="128"/>
        <v>120</v>
      </c>
      <c r="B130" s="41" t="s">
        <v>98</v>
      </c>
      <c r="C130" s="42" t="s">
        <v>104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1:23" ht="12.6" customHeight="1" x14ac:dyDescent="0.25">
      <c r="A131" s="64">
        <f t="shared" si="128"/>
        <v>121</v>
      </c>
      <c r="D131" s="2" t="s">
        <v>17</v>
      </c>
      <c r="E131" s="23"/>
      <c r="F131" s="20"/>
      <c r="G131" s="6"/>
      <c r="H131" s="20">
        <v>614.28</v>
      </c>
      <c r="I131" s="6"/>
      <c r="J131" s="5"/>
      <c r="K131" s="55"/>
      <c r="L131" s="19">
        <f>H131*S131</f>
        <v>639.8761551922413</v>
      </c>
      <c r="M131" s="6"/>
      <c r="N131" s="6"/>
      <c r="O131" s="5"/>
      <c r="P131" s="5"/>
      <c r="Q131" s="17"/>
      <c r="R131" s="17"/>
      <c r="S131" s="163">
        <f>(1+$O$104)</f>
        <v>1.0416685472296694</v>
      </c>
      <c r="T131" s="5">
        <f t="shared" ref="T131:T133" si="136">L131/H131-1</f>
        <v>4.1668547229669395E-2</v>
      </c>
    </row>
    <row r="132" spans="1:23" ht="12.6" customHeight="1" x14ac:dyDescent="0.25">
      <c r="A132" s="64">
        <f t="shared" si="128"/>
        <v>122</v>
      </c>
      <c r="D132" s="2" t="s">
        <v>51</v>
      </c>
      <c r="E132" s="23"/>
      <c r="F132" s="20"/>
      <c r="G132" s="6"/>
      <c r="H132" s="155">
        <v>4.8259999999999997E-2</v>
      </c>
      <c r="I132" s="6"/>
      <c r="J132" s="5"/>
      <c r="K132" s="55"/>
      <c r="L132" s="19">
        <f>H132*S132</f>
        <v>5.0270924089303844E-2</v>
      </c>
      <c r="M132" s="6"/>
      <c r="N132" s="6"/>
      <c r="O132" s="5"/>
      <c r="P132" s="5"/>
      <c r="Q132" s="17"/>
      <c r="R132" s="17"/>
      <c r="S132" s="163">
        <f>(1+$O$104)</f>
        <v>1.0416685472296694</v>
      </c>
      <c r="T132" s="5">
        <f t="shared" si="136"/>
        <v>4.1668547229669395E-2</v>
      </c>
    </row>
    <row r="133" spans="1:23" ht="13.8" thickBot="1" x14ac:dyDescent="0.3">
      <c r="A133" s="64">
        <f t="shared" si="128"/>
        <v>123</v>
      </c>
      <c r="D133" s="2" t="s">
        <v>52</v>
      </c>
      <c r="E133" s="23"/>
      <c r="F133" s="161"/>
      <c r="G133" s="6"/>
      <c r="H133" s="20">
        <v>7.17</v>
      </c>
      <c r="I133" s="6"/>
      <c r="J133" s="5"/>
      <c r="K133" s="55"/>
      <c r="L133" s="167">
        <f>L127</f>
        <v>6.9951543646734331</v>
      </c>
      <c r="M133" s="6"/>
      <c r="N133" s="6"/>
      <c r="O133" s="5"/>
      <c r="P133" s="5"/>
      <c r="Q133" s="17"/>
      <c r="R133" s="17"/>
      <c r="S133" s="172">
        <f>S132</f>
        <v>1.0416685472296694</v>
      </c>
      <c r="T133" s="5">
        <f t="shared" si="136"/>
        <v>-2.4385723197568598E-2</v>
      </c>
      <c r="W133" s="2" t="s">
        <v>110</v>
      </c>
    </row>
    <row r="134" spans="1:23" x14ac:dyDescent="0.25">
      <c r="A134" s="64">
        <f t="shared" si="128"/>
        <v>124</v>
      </c>
      <c r="B134" s="41" t="s">
        <v>98</v>
      </c>
      <c r="C134" s="42" t="s">
        <v>105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:23" ht="12.6" customHeight="1" x14ac:dyDescent="0.25">
      <c r="A135" s="64">
        <f t="shared" si="128"/>
        <v>125</v>
      </c>
      <c r="D135" s="2" t="s">
        <v>17</v>
      </c>
      <c r="E135" s="23"/>
      <c r="F135" s="20"/>
      <c r="G135" s="6"/>
      <c r="H135" s="20">
        <v>1227.4100000000001</v>
      </c>
      <c r="I135" s="6"/>
      <c r="J135" s="5"/>
      <c r="K135" s="55"/>
      <c r="L135" s="19">
        <f>H135*S135</f>
        <v>1278.5543915551686</v>
      </c>
      <c r="M135" s="6"/>
      <c r="N135" s="6"/>
      <c r="O135" s="5"/>
      <c r="P135" s="5"/>
      <c r="Q135" s="17"/>
      <c r="R135" s="17"/>
      <c r="S135" s="163">
        <f>(1+$O$104)</f>
        <v>1.0416685472296694</v>
      </c>
      <c r="T135" s="5">
        <f t="shared" ref="T135:T137" si="137">L135/H135-1</f>
        <v>4.1668547229669395E-2</v>
      </c>
    </row>
    <row r="136" spans="1:23" ht="12.6" customHeight="1" x14ac:dyDescent="0.25">
      <c r="A136" s="64">
        <f t="shared" si="128"/>
        <v>126</v>
      </c>
      <c r="D136" s="2" t="s">
        <v>51</v>
      </c>
      <c r="E136" s="23"/>
      <c r="F136" s="20"/>
      <c r="G136" s="6"/>
      <c r="H136" s="155">
        <v>4.1959999999999997E-2</v>
      </c>
      <c r="I136" s="6"/>
      <c r="J136" s="5"/>
      <c r="K136" s="55"/>
      <c r="L136" s="19">
        <f>H136*S136</f>
        <v>4.3708412241756922E-2</v>
      </c>
      <c r="M136" s="6"/>
      <c r="N136" s="6"/>
      <c r="O136" s="5"/>
      <c r="P136" s="5"/>
      <c r="Q136" s="17"/>
      <c r="R136" s="17"/>
      <c r="S136" s="163">
        <f>(1+$O$104)</f>
        <v>1.0416685472296694</v>
      </c>
      <c r="T136" s="5">
        <f t="shared" si="137"/>
        <v>4.1668547229669395E-2</v>
      </c>
    </row>
    <row r="137" spans="1:23" ht="13.8" thickBot="1" x14ac:dyDescent="0.3">
      <c r="A137" s="64">
        <f t="shared" si="128"/>
        <v>127</v>
      </c>
      <c r="D137" s="2" t="s">
        <v>52</v>
      </c>
      <c r="E137" s="23"/>
      <c r="F137" s="161"/>
      <c r="G137" s="6"/>
      <c r="H137" s="20">
        <v>7.17</v>
      </c>
      <c r="I137" s="6"/>
      <c r="J137" s="5"/>
      <c r="K137" s="55"/>
      <c r="L137" s="167">
        <f>L127</f>
        <v>6.9951543646734331</v>
      </c>
      <c r="M137" s="6"/>
      <c r="N137" s="6"/>
      <c r="O137" s="5"/>
      <c r="P137" s="5"/>
      <c r="Q137" s="17"/>
      <c r="R137" s="17"/>
      <c r="S137" s="172">
        <f>S136</f>
        <v>1.0416685472296694</v>
      </c>
      <c r="T137" s="5">
        <f t="shared" si="137"/>
        <v>-2.4385723197568598E-2</v>
      </c>
      <c r="W137" s="2" t="s">
        <v>110</v>
      </c>
    </row>
    <row r="138" spans="1:23" x14ac:dyDescent="0.25">
      <c r="A138" s="64">
        <f t="shared" si="128"/>
        <v>128</v>
      </c>
      <c r="B138" s="41" t="s">
        <v>98</v>
      </c>
      <c r="C138" s="42" t="s">
        <v>106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1:23" ht="12.6" customHeight="1" x14ac:dyDescent="0.25">
      <c r="A139" s="64">
        <f t="shared" si="128"/>
        <v>129</v>
      </c>
      <c r="D139" s="2" t="s">
        <v>102</v>
      </c>
      <c r="E139" s="23"/>
      <c r="F139" s="20"/>
      <c r="G139" s="6"/>
      <c r="H139" s="20">
        <v>3421.59</v>
      </c>
      <c r="I139" s="6"/>
      <c r="J139" s="5"/>
      <c r="K139" s="55"/>
      <c r="L139" s="19">
        <f>H139*S139</f>
        <v>3564.1626845155647</v>
      </c>
      <c r="M139" s="6"/>
      <c r="N139" s="6"/>
      <c r="O139" s="5"/>
      <c r="P139" s="5"/>
      <c r="Q139" s="17"/>
      <c r="R139" s="17"/>
      <c r="S139" s="163">
        <f>(1+$O$104)</f>
        <v>1.0416685472296694</v>
      </c>
      <c r="T139" s="5">
        <f t="shared" ref="T139:T141" si="138">L139/H139-1</f>
        <v>4.1668547229669395E-2</v>
      </c>
    </row>
    <row r="140" spans="1:23" ht="12.6" customHeight="1" x14ac:dyDescent="0.25">
      <c r="A140" s="64">
        <f t="shared" si="128"/>
        <v>130</v>
      </c>
      <c r="D140" s="2" t="s">
        <v>103</v>
      </c>
      <c r="E140" s="23"/>
      <c r="F140" s="20"/>
      <c r="G140" s="6"/>
      <c r="H140" s="20">
        <v>5430.92</v>
      </c>
      <c r="I140" s="6"/>
      <c r="J140" s="5"/>
      <c r="K140" s="55"/>
      <c r="L140" s="19">
        <f>H140*S140</f>
        <v>5657.2185465205566</v>
      </c>
      <c r="M140" s="6"/>
      <c r="N140" s="6"/>
      <c r="O140" s="5"/>
      <c r="P140" s="5"/>
      <c r="Q140" s="17"/>
      <c r="R140" s="17"/>
      <c r="S140" s="163">
        <f>(1+$O$104)</f>
        <v>1.0416685472296694</v>
      </c>
      <c r="T140" s="5">
        <f t="shared" si="138"/>
        <v>4.1668547229669395E-2</v>
      </c>
    </row>
    <row r="141" spans="1:23" x14ac:dyDescent="0.25">
      <c r="A141" s="64">
        <f t="shared" si="128"/>
        <v>131</v>
      </c>
      <c r="D141" s="2" t="s">
        <v>83</v>
      </c>
      <c r="E141" s="23"/>
      <c r="F141" s="161"/>
      <c r="G141" s="6"/>
      <c r="H141" s="20">
        <v>7.17</v>
      </c>
      <c r="I141" s="6"/>
      <c r="J141" s="5"/>
      <c r="K141" s="55"/>
      <c r="L141" s="167">
        <f>L127</f>
        <v>6.9951543646734331</v>
      </c>
      <c r="M141" s="6"/>
      <c r="N141" s="6"/>
      <c r="O141" s="5"/>
      <c r="P141" s="5"/>
      <c r="Q141" s="17"/>
      <c r="R141" s="17"/>
      <c r="S141" s="172">
        <f>S140</f>
        <v>1.0416685472296694</v>
      </c>
      <c r="T141" s="5">
        <f t="shared" si="138"/>
        <v>-2.4385723197568598E-2</v>
      </c>
      <c r="W141" s="2" t="s">
        <v>110</v>
      </c>
    </row>
    <row r="142" spans="1:23" x14ac:dyDescent="0.25">
      <c r="A142" s="64">
        <f t="shared" si="128"/>
        <v>132</v>
      </c>
      <c r="D142" s="2" t="s">
        <v>95</v>
      </c>
      <c r="E142" s="23"/>
      <c r="F142" s="161"/>
      <c r="G142" s="6"/>
      <c r="H142" s="161">
        <v>4.1360000000000001E-2</v>
      </c>
      <c r="I142" s="6"/>
      <c r="J142" s="5"/>
      <c r="K142" s="55"/>
      <c r="L142" s="162">
        <f>H142*S142</f>
        <v>4.308341111341913E-2</v>
      </c>
      <c r="M142" s="6"/>
      <c r="N142" s="6"/>
      <c r="O142" s="5"/>
      <c r="P142" s="5"/>
      <c r="Q142" s="17"/>
      <c r="R142" s="17"/>
      <c r="S142" s="172">
        <f>S141</f>
        <v>1.0416685472296694</v>
      </c>
      <c r="T142" s="5">
        <f t="shared" ref="T142" si="139">L142/H142-1</f>
        <v>4.1668547229669395E-2</v>
      </c>
    </row>
    <row r="143" spans="1:23" x14ac:dyDescent="0.25">
      <c r="A143" s="64">
        <f t="shared" si="128"/>
        <v>133</v>
      </c>
    </row>
    <row r="144" spans="1:23" x14ac:dyDescent="0.25">
      <c r="A144" s="64">
        <f t="shared" si="128"/>
        <v>134</v>
      </c>
    </row>
  </sheetData>
  <phoneticPr fontId="10" type="noConversion"/>
  <pageMargins left="0.7" right="0.7" top="0.75" bottom="0.75" header="0.3" footer="0.3"/>
  <pageSetup scale="37" orientation="landscape" r:id="rId1"/>
  <rowBreaks count="1" manualBreakCount="1">
    <brk id="83" max="17" man="1"/>
  </rowBreaks>
  <ignoredErrors>
    <ignoredError sqref="M10 F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93"/>
  <sheetViews>
    <sheetView topLeftCell="A52" zoomScale="85" zoomScaleNormal="85" workbookViewId="0">
      <selection activeCell="L25" sqref="L25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7" customWidth="1"/>
    <col min="4" max="4" width="39.109375" style="27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SHELBY ENERGY COOPERATIVE</v>
      </c>
    </row>
    <row r="2" spans="1:10" x14ac:dyDescent="0.25">
      <c r="A2" s="1" t="s">
        <v>48</v>
      </c>
    </row>
    <row r="4" spans="1:10" x14ac:dyDescent="0.25">
      <c r="C4" s="104" t="s">
        <v>66</v>
      </c>
      <c r="D4" s="103"/>
      <c r="E4" s="103" t="s">
        <v>2</v>
      </c>
      <c r="F4" s="107" t="s">
        <v>49</v>
      </c>
      <c r="G4" s="107" t="s">
        <v>50</v>
      </c>
      <c r="I4" s="182" t="s">
        <v>114</v>
      </c>
      <c r="J4" s="107" t="s">
        <v>58</v>
      </c>
    </row>
    <row r="5" spans="1:10" x14ac:dyDescent="0.25">
      <c r="C5" s="27">
        <f>'Billing Detail'!C7</f>
        <v>12</v>
      </c>
      <c r="D5" s="144" t="str">
        <f>'Billing Detail'!B7</f>
        <v>Residential Service</v>
      </c>
    </row>
    <row r="6" spans="1:10" x14ac:dyDescent="0.25">
      <c r="D6" s="144"/>
      <c r="E6" s="2" t="str">
        <f>'Billing Detail'!D8</f>
        <v>Customer Charge</v>
      </c>
      <c r="F6" s="105">
        <f>'Billing Detail'!H8</f>
        <v>15</v>
      </c>
      <c r="G6" s="105">
        <f>'Billing Detail'!L8</f>
        <v>16.080586438882737</v>
      </c>
      <c r="J6" s="5">
        <f>G6/F6-1</f>
        <v>7.2039095925515717E-2</v>
      </c>
    </row>
    <row r="7" spans="1:10" x14ac:dyDescent="0.25">
      <c r="D7" s="144"/>
      <c r="E7" s="2" t="str">
        <f>'Billing Detail'!D9</f>
        <v>Energy Charge per kWh</v>
      </c>
      <c r="F7" s="106">
        <f>'Billing Detail'!H9</f>
        <v>8.6840000000000001E-2</v>
      </c>
      <c r="G7" s="106">
        <f>'Billing Detail'!L9</f>
        <v>9.3095875090171809E-2</v>
      </c>
      <c r="J7" s="5">
        <f t="shared" ref="J7:J43" si="0">G7/F7-1</f>
        <v>7.2039095925515939E-2</v>
      </c>
    </row>
    <row r="8" spans="1:10" x14ac:dyDescent="0.25">
      <c r="C8" s="27">
        <f>'Billing Detail'!C19</f>
        <v>9</v>
      </c>
      <c r="D8" s="144" t="str">
        <f>'Billing Detail'!B19</f>
        <v>Off Peak Retail Marketing (ETS)</v>
      </c>
      <c r="F8" s="105"/>
      <c r="G8" s="105"/>
      <c r="J8" s="5"/>
    </row>
    <row r="9" spans="1:10" x14ac:dyDescent="0.25">
      <c r="D9" s="144"/>
      <c r="E9" s="2" t="str">
        <f>'Billing Detail'!D20</f>
        <v>Energy Charge per kWh</v>
      </c>
      <c r="F9" s="106">
        <f>'Billing Detail'!H20</f>
        <v>5.8770000000000003E-2</v>
      </c>
      <c r="G9" s="106">
        <f>'Billing Detail'!L20</f>
        <v>6.7540000000000003E-2</v>
      </c>
      <c r="I9" s="175"/>
      <c r="J9" s="5">
        <f t="shared" si="0"/>
        <v>0.14922579547388115</v>
      </c>
    </row>
    <row r="10" spans="1:10" x14ac:dyDescent="0.25">
      <c r="C10" s="27">
        <f>'Billing Detail'!C30</f>
        <v>2</v>
      </c>
      <c r="D10" s="144" t="str">
        <f>'Billing Detail'!B30</f>
        <v>Large Power Service &gt; 50 kW</v>
      </c>
      <c r="F10" s="106"/>
      <c r="G10" s="106"/>
      <c r="J10" s="5"/>
    </row>
    <row r="11" spans="1:10" x14ac:dyDescent="0.25">
      <c r="D11" s="144"/>
      <c r="E11" s="2" t="str">
        <f>'Billing Detail'!D31</f>
        <v>Customer Charge</v>
      </c>
      <c r="F11" s="105">
        <f>'Billing Detail'!H31</f>
        <v>52.18</v>
      </c>
      <c r="G11" s="105">
        <f>'Billing Detail'!L31</f>
        <v>52.180000000000007</v>
      </c>
      <c r="J11" s="5">
        <f t="shared" si="0"/>
        <v>0</v>
      </c>
    </row>
    <row r="12" spans="1:10" x14ac:dyDescent="0.25">
      <c r="D12" s="144"/>
      <c r="E12" s="2" t="str">
        <f>'Billing Detail'!D32</f>
        <v>Energy Charge per kWh</v>
      </c>
      <c r="F12" s="106">
        <f>'Billing Detail'!H32</f>
        <v>6.0100000000000001E-2</v>
      </c>
      <c r="G12" s="106">
        <f>'Billing Detail'!L32</f>
        <v>6.0100000000000001E-2</v>
      </c>
      <c r="J12" s="5">
        <f t="shared" si="0"/>
        <v>0</v>
      </c>
    </row>
    <row r="13" spans="1:10" x14ac:dyDescent="0.25">
      <c r="D13" s="144"/>
      <c r="E13" s="2" t="str">
        <f>'Billing Detail'!D33</f>
        <v>Demand Charge per kW</v>
      </c>
      <c r="F13" s="128">
        <f>'Billing Detail'!H33</f>
        <v>6.05</v>
      </c>
      <c r="G13" s="128">
        <f>'Billing Detail'!L33</f>
        <v>6.05</v>
      </c>
      <c r="J13" s="5">
        <f t="shared" si="0"/>
        <v>0</v>
      </c>
    </row>
    <row r="14" spans="1:10" x14ac:dyDescent="0.25">
      <c r="C14" s="27">
        <f>'Billing Detail'!C43</f>
        <v>11</v>
      </c>
      <c r="D14" s="144" t="str">
        <f>'Billing Detail'!B43</f>
        <v>General Service &lt; 50kW</v>
      </c>
      <c r="F14" s="105"/>
      <c r="G14" s="105"/>
      <c r="J14" s="5"/>
    </row>
    <row r="15" spans="1:10" x14ac:dyDescent="0.25">
      <c r="D15" s="144"/>
      <c r="E15" s="2" t="str">
        <f>'Billing Detail'!D44</f>
        <v>Customer Charge Single Phase</v>
      </c>
      <c r="F15" s="105">
        <f>'Billing Detail'!H44</f>
        <v>18</v>
      </c>
      <c r="G15" s="105">
        <f>'Billing Detail'!L44</f>
        <v>19.526759636018504</v>
      </c>
      <c r="I15" s="175"/>
      <c r="J15" s="5">
        <f t="shared" si="0"/>
        <v>8.4819979778805843E-2</v>
      </c>
    </row>
    <row r="16" spans="1:10" x14ac:dyDescent="0.25">
      <c r="D16" s="144"/>
      <c r="E16" s="2" t="str">
        <f>'Billing Detail'!D45</f>
        <v>Customer Charge Three Phase</v>
      </c>
      <c r="F16" s="105">
        <f>'Billing Detail'!H45</f>
        <v>40</v>
      </c>
      <c r="G16" s="105">
        <f>'Billing Detail'!L45</f>
        <v>44.672608670441775</v>
      </c>
      <c r="I16" s="175"/>
      <c r="J16" s="5">
        <f t="shared" si="0"/>
        <v>0.11681521676104434</v>
      </c>
    </row>
    <row r="17" spans="3:10" x14ac:dyDescent="0.25">
      <c r="D17" s="144"/>
      <c r="E17" s="2" t="str">
        <f>'Billing Detail'!D46</f>
        <v>Energy Charge per kWh</v>
      </c>
      <c r="F17" s="106">
        <f>'Billing Detail'!H46</f>
        <v>8.9039999999999994E-2</v>
      </c>
      <c r="G17" s="106">
        <f>'Billing Detail'!L46</f>
        <v>8.7141238725572473E-2</v>
      </c>
      <c r="I17" s="175"/>
      <c r="J17" s="5">
        <f t="shared" si="0"/>
        <v>-2.132481215664328E-2</v>
      </c>
    </row>
    <row r="18" spans="3:10" x14ac:dyDescent="0.25">
      <c r="C18" s="27" t="str">
        <f>'Billing Detail'!C56</f>
        <v>B1</v>
      </c>
      <c r="D18" s="144" t="str">
        <f>'Billing Detail'!B56</f>
        <v>Large Industrial Rate (500 kW to 4,999 kW)</v>
      </c>
      <c r="F18" s="106"/>
      <c r="G18" s="106"/>
      <c r="J18" s="5"/>
    </row>
    <row r="19" spans="3:10" x14ac:dyDescent="0.25">
      <c r="D19" s="144"/>
      <c r="E19" s="2" t="str">
        <f>'Billing Detail'!D57</f>
        <v>Customer Charge</v>
      </c>
      <c r="F19" s="128">
        <f>'Billing Detail'!H57</f>
        <v>614.28</v>
      </c>
      <c r="G19" s="128">
        <f>'Billing Detail'!L57</f>
        <v>638.33168345155093</v>
      </c>
      <c r="I19" s="175"/>
      <c r="J19" s="5">
        <f t="shared" si="0"/>
        <v>3.915426751896689E-2</v>
      </c>
    </row>
    <row r="20" spans="3:10" x14ac:dyDescent="0.25">
      <c r="D20" s="144"/>
      <c r="E20" s="2" t="str">
        <f>'Billing Detail'!D58</f>
        <v>Demand Charge - Contract per kW</v>
      </c>
      <c r="F20" s="128">
        <f>'Billing Detail'!H58</f>
        <v>7.17</v>
      </c>
      <c r="G20" s="128">
        <f>'Billing Detail'!L58</f>
        <v>6.9951543646734331</v>
      </c>
      <c r="I20" s="175"/>
      <c r="J20" s="5">
        <f t="shared" ref="J20:J22" si="1">G20/F20-1</f>
        <v>-2.4385723197568598E-2</v>
      </c>
    </row>
    <row r="21" spans="3:10" x14ac:dyDescent="0.25">
      <c r="D21" s="144"/>
      <c r="E21" s="2" t="str">
        <f>'Billing Detail'!D59</f>
        <v>Demand Charge - Excess per kW</v>
      </c>
      <c r="F21" s="128">
        <f>'Billing Detail'!H59</f>
        <v>9.98</v>
      </c>
      <c r="G21" s="128">
        <f>'Billing Detail'!L59</f>
        <v>11.820639499720384</v>
      </c>
      <c r="I21" s="175"/>
      <c r="J21" s="5">
        <f t="shared" si="1"/>
        <v>0.18443281560324487</v>
      </c>
    </row>
    <row r="22" spans="3:10" x14ac:dyDescent="0.25">
      <c r="D22" s="144"/>
      <c r="E22" s="2" t="str">
        <f>'Billing Detail'!D60</f>
        <v>Energy Charge per kWh</v>
      </c>
      <c r="F22" s="106">
        <f>'Billing Detail'!H60</f>
        <v>4.8259999999999997E-2</v>
      </c>
      <c r="G22" s="106">
        <f>'Billing Detail'!L60</f>
        <v>4.8276786643243766E-2</v>
      </c>
      <c r="I22" s="175"/>
      <c r="J22" s="5">
        <f t="shared" si="1"/>
        <v>3.478376138368322E-4</v>
      </c>
    </row>
    <row r="23" spans="3:10" x14ac:dyDescent="0.25">
      <c r="C23" s="27" t="str">
        <f>'Billing Detail'!C70</f>
        <v>B2</v>
      </c>
      <c r="D23" s="144" t="str">
        <f>'Billing Detail'!B70</f>
        <v>Large Industrial Rate (5,000 kW to 9,999 kW)</v>
      </c>
      <c r="F23" s="105"/>
      <c r="G23" s="105"/>
    </row>
    <row r="24" spans="3:10" x14ac:dyDescent="0.25">
      <c r="D24" s="144"/>
      <c r="E24" s="2" t="str">
        <f>'Billing Detail'!D71</f>
        <v>Customer Charge</v>
      </c>
      <c r="F24" s="105">
        <f>'Billing Detail'!H71</f>
        <v>1227.4100000000001</v>
      </c>
      <c r="G24" s="105">
        <f>'Billing Detail'!L71</f>
        <v>1379.8888658844128</v>
      </c>
      <c r="I24" s="175"/>
      <c r="J24" s="5">
        <f t="shared" si="0"/>
        <v>0.12422814372085345</v>
      </c>
    </row>
    <row r="25" spans="3:10" x14ac:dyDescent="0.25">
      <c r="D25" s="144"/>
      <c r="E25" s="2" t="str">
        <f>'Billing Detail'!D72</f>
        <v>Demand Charge - Contract per kW</v>
      </c>
      <c r="F25" s="105">
        <f>'Billing Detail'!H72</f>
        <v>7.17</v>
      </c>
      <c r="G25" s="105">
        <f>'Billing Detail'!L72</f>
        <v>8.1866644747047452</v>
      </c>
      <c r="I25" s="175"/>
      <c r="J25" s="5">
        <f t="shared" ref="J25:J27" si="2">G25/F25-1</f>
        <v>0.1417942084664916</v>
      </c>
    </row>
    <row r="26" spans="3:10" x14ac:dyDescent="0.25">
      <c r="D26" s="144"/>
      <c r="E26" s="2" t="str">
        <f>'Billing Detail'!D73</f>
        <v>Demand Charge - Excess per kW</v>
      </c>
      <c r="F26" s="105">
        <f>'Billing Detail'!H73</f>
        <v>9.98</v>
      </c>
      <c r="G26" s="105">
        <f>'Billing Detail'!L73</f>
        <v>0.39608220424081581</v>
      </c>
      <c r="I26" s="175"/>
      <c r="J26" s="5">
        <f t="shared" si="2"/>
        <v>-0.96031240438468779</v>
      </c>
    </row>
    <row r="27" spans="3:10" x14ac:dyDescent="0.25">
      <c r="D27" s="144"/>
      <c r="E27" s="2" t="str">
        <f>'Billing Detail'!D74</f>
        <v>Energy Charge per kWh</v>
      </c>
      <c r="F27" s="106">
        <f>'Billing Detail'!H74</f>
        <v>4.1959999999999997E-2</v>
      </c>
      <c r="G27" s="106">
        <f>'Billing Detail'!L74</f>
        <v>6.2162916537039294E-2</v>
      </c>
      <c r="I27" s="175"/>
      <c r="J27" s="5">
        <f t="shared" si="2"/>
        <v>0.48148037504860097</v>
      </c>
    </row>
    <row r="28" spans="3:10" x14ac:dyDescent="0.25">
      <c r="C28" s="27">
        <f>'Billing Detail'!C84</f>
        <v>3</v>
      </c>
      <c r="D28" s="144" t="str">
        <f>'Billing Detail'!B84</f>
        <v>Outdoor &amp; Street Lighting</v>
      </c>
      <c r="F28" s="105"/>
      <c r="G28" s="105"/>
      <c r="J28" s="5"/>
    </row>
    <row r="29" spans="3:10" x14ac:dyDescent="0.25">
      <c r="D29" s="144"/>
      <c r="E29" s="2" t="str">
        <f>'Billing Detail'!D85</f>
        <v>100 Watt Outdoor Light</v>
      </c>
      <c r="F29" s="105">
        <f>'Billing Detail'!H85</f>
        <v>10.01</v>
      </c>
      <c r="G29" s="105">
        <f>'Billing Detail'!L85</f>
        <v>10.86</v>
      </c>
      <c r="J29" s="5">
        <f t="shared" si="0"/>
        <v>8.4915084915084815E-2</v>
      </c>
    </row>
    <row r="30" spans="3:10" x14ac:dyDescent="0.25">
      <c r="D30" s="2"/>
      <c r="E30" s="2" t="str">
        <f>'Billing Detail'!D86</f>
        <v>250 Watt Directional Flood</v>
      </c>
      <c r="F30" s="105">
        <f>'Billing Detail'!H86</f>
        <v>14.64</v>
      </c>
      <c r="G30" s="105">
        <f>'Billing Detail'!L86</f>
        <v>15.88</v>
      </c>
      <c r="J30" s="5">
        <f t="shared" si="0"/>
        <v>8.4699453551912551E-2</v>
      </c>
    </row>
    <row r="31" spans="3:10" x14ac:dyDescent="0.25">
      <c r="D31" s="2"/>
      <c r="E31" s="2" t="str">
        <f>'Billing Detail'!D87</f>
        <v>100 Watt Decorative Colonial</v>
      </c>
      <c r="F31" s="105">
        <f>'Billing Detail'!H87</f>
        <v>13.53</v>
      </c>
      <c r="G31" s="105">
        <f>'Billing Detail'!L87</f>
        <v>14.68</v>
      </c>
      <c r="J31" s="5">
        <f t="shared" si="0"/>
        <v>8.4996304508499598E-2</v>
      </c>
    </row>
    <row r="32" spans="3:10" x14ac:dyDescent="0.25">
      <c r="D32" s="2"/>
      <c r="E32" s="2" t="str">
        <f>'Billing Detail'!D88</f>
        <v>400 Watt Directional Flood</v>
      </c>
      <c r="F32" s="105">
        <f>'Billing Detail'!H88</f>
        <v>20.09</v>
      </c>
      <c r="G32" s="105">
        <f>'Billing Detail'!L88</f>
        <v>21.79</v>
      </c>
      <c r="J32" s="5">
        <f t="shared" si="0"/>
        <v>8.4619213539074201E-2</v>
      </c>
    </row>
    <row r="33" spans="3:10" x14ac:dyDescent="0.25">
      <c r="D33" s="2"/>
      <c r="E33" s="2" t="str">
        <f>'Billing Detail'!D89</f>
        <v>150 Watt Decorative Acorn</v>
      </c>
      <c r="F33" s="105">
        <f>'Billing Detail'!H89</f>
        <v>16.13</v>
      </c>
      <c r="G33" s="105">
        <f>'Billing Detail'!L89</f>
        <v>17.5</v>
      </c>
      <c r="J33" s="5">
        <f t="shared" si="0"/>
        <v>8.4934903905765635E-2</v>
      </c>
    </row>
    <row r="34" spans="3:10" x14ac:dyDescent="0.25">
      <c r="D34" s="2"/>
      <c r="E34" s="2" t="str">
        <f>'Billing Detail'!D90</f>
        <v>Standard</v>
      </c>
      <c r="F34" s="105">
        <f>'Billing Detail'!H90</f>
        <v>10.72</v>
      </c>
      <c r="G34" s="105">
        <f>'Billing Detail'!L90</f>
        <v>11.63</v>
      </c>
      <c r="J34" s="5">
        <f t="shared" si="0"/>
        <v>8.4888059701492491E-2</v>
      </c>
    </row>
    <row r="35" spans="3:10" x14ac:dyDescent="0.25">
      <c r="D35" s="2"/>
      <c r="E35" s="2" t="str">
        <f>'Billing Detail'!D91</f>
        <v>Decorative Colonial</v>
      </c>
      <c r="F35" s="105">
        <f>'Billing Detail'!H91</f>
        <v>13.36</v>
      </c>
      <c r="G35" s="105">
        <f>'Billing Detail'!L91</f>
        <v>14.49</v>
      </c>
      <c r="J35" s="5">
        <f t="shared" si="0"/>
        <v>8.458083832335328E-2</v>
      </c>
    </row>
    <row r="36" spans="3:10" x14ac:dyDescent="0.25">
      <c r="D36" s="2"/>
      <c r="E36" s="2" t="str">
        <f>'Billing Detail'!D92</f>
        <v>Cobra Head</v>
      </c>
      <c r="F36" s="105">
        <f>'Billing Detail'!H92</f>
        <v>14.57</v>
      </c>
      <c r="G36" s="105">
        <f>'Billing Detail'!L92</f>
        <v>15.81</v>
      </c>
      <c r="J36" s="5">
        <f t="shared" si="0"/>
        <v>8.5106382978723527E-2</v>
      </c>
    </row>
    <row r="37" spans="3:10" x14ac:dyDescent="0.25">
      <c r="D37" s="2"/>
      <c r="E37" s="2" t="str">
        <f>'Billing Detail'!D93</f>
        <v>Directional Flood Light</v>
      </c>
      <c r="F37" s="105">
        <f>'Billing Detail'!H93</f>
        <v>19.850000000000001</v>
      </c>
      <c r="G37" s="105">
        <f>'Billing Detail'!L93</f>
        <v>21.53</v>
      </c>
      <c r="J37" s="5">
        <f t="shared" si="0"/>
        <v>8.4634760705289747E-2</v>
      </c>
    </row>
    <row r="38" spans="3:10" x14ac:dyDescent="0.25">
      <c r="C38" s="27">
        <v>15</v>
      </c>
      <c r="D38" s="144" t="s">
        <v>89</v>
      </c>
      <c r="F38" s="105"/>
      <c r="G38" s="105"/>
      <c r="J38" s="5"/>
    </row>
    <row r="39" spans="3:10" x14ac:dyDescent="0.25">
      <c r="D39" s="2"/>
      <c r="E39" s="2" t="s">
        <v>90</v>
      </c>
      <c r="F39" s="105">
        <v>0.5</v>
      </c>
      <c r="G39" s="105">
        <f>F39*('Billing Detail'!S10)</f>
        <v>0.53601954796275797</v>
      </c>
      <c r="J39" s="5">
        <f t="shared" si="0"/>
        <v>7.2039095925515939E-2</v>
      </c>
    </row>
    <row r="40" spans="3:10" x14ac:dyDescent="0.25">
      <c r="D40" s="2"/>
      <c r="E40" s="2" t="s">
        <v>51</v>
      </c>
      <c r="F40" s="106">
        <f>F7</f>
        <v>8.6840000000000001E-2</v>
      </c>
      <c r="G40" s="106">
        <f>G7</f>
        <v>9.3095875090171809E-2</v>
      </c>
      <c r="J40" s="5">
        <f t="shared" si="0"/>
        <v>7.2039095925515939E-2</v>
      </c>
    </row>
    <row r="41" spans="3:10" x14ac:dyDescent="0.25">
      <c r="D41" s="2"/>
      <c r="E41" s="2" t="s">
        <v>91</v>
      </c>
      <c r="F41" s="105">
        <v>0.1</v>
      </c>
      <c r="G41" s="105">
        <f>F41</f>
        <v>0.1</v>
      </c>
      <c r="J41" s="5">
        <f t="shared" si="0"/>
        <v>0</v>
      </c>
    </row>
    <row r="42" spans="3:10" x14ac:dyDescent="0.25">
      <c r="C42" s="27">
        <f>'Billing Detail'!C116</f>
        <v>22</v>
      </c>
      <c r="D42" s="144" t="str">
        <f>'Billing Detail'!B116</f>
        <v xml:space="preserve">Optional TOD Demand </v>
      </c>
      <c r="F42" s="105"/>
      <c r="G42" s="105"/>
      <c r="J42" s="5"/>
    </row>
    <row r="43" spans="3:10" x14ac:dyDescent="0.25">
      <c r="D43" s="144"/>
      <c r="E43" s="2" t="str">
        <f>'Billing Detail'!D117</f>
        <v>Customer Charge</v>
      </c>
      <c r="F43" s="105">
        <f>'Billing Detail'!H117</f>
        <v>45.92</v>
      </c>
      <c r="G43" s="105">
        <f>'Billing Detail'!L117</f>
        <v>47.833419688786421</v>
      </c>
      <c r="J43" s="5">
        <f t="shared" si="0"/>
        <v>4.1668547229669395E-2</v>
      </c>
    </row>
    <row r="44" spans="3:10" x14ac:dyDescent="0.25">
      <c r="D44" s="144"/>
      <c r="E44" s="2" t="str">
        <f>'Billing Detail'!D118</f>
        <v>Energy Charge per kWh - First 100</v>
      </c>
      <c r="F44" s="106">
        <f>'Billing Detail'!H118</f>
        <v>6.9180000000000005E-2</v>
      </c>
      <c r="G44" s="106">
        <f>'Billing Detail'!L118</f>
        <v>7.2062630097348535E-2</v>
      </c>
      <c r="J44" s="5">
        <f t="shared" ref="J44:J68" si="3">G44/F44-1</f>
        <v>4.1668547229669395E-2</v>
      </c>
    </row>
    <row r="45" spans="3:10" x14ac:dyDescent="0.25">
      <c r="D45" s="144"/>
      <c r="E45" s="2" t="str">
        <f>'Billing Detail'!D119</f>
        <v>Energy Charge per kWh - Next 100</v>
      </c>
      <c r="F45" s="106">
        <f>'Billing Detail'!H119</f>
        <v>6.2780000000000002E-2</v>
      </c>
      <c r="G45" s="106">
        <f>'Billing Detail'!L119</f>
        <v>6.5395951395078644E-2</v>
      </c>
      <c r="J45" s="5">
        <f t="shared" si="3"/>
        <v>4.1668547229669395E-2</v>
      </c>
    </row>
    <row r="46" spans="3:10" x14ac:dyDescent="0.25">
      <c r="D46" s="144"/>
      <c r="E46" s="2" t="str">
        <f>'Billing Detail'!D120</f>
        <v>Energy Charge per kWh - All Over 200</v>
      </c>
      <c r="F46" s="106">
        <f>'Billing Detail'!H120</f>
        <v>5.6399999999999999E-2</v>
      </c>
      <c r="G46" s="106">
        <f>'Billing Detail'!L120</f>
        <v>5.8750106063753353E-2</v>
      </c>
      <c r="J46" s="5">
        <f t="shared" si="3"/>
        <v>4.1668547229669395E-2</v>
      </c>
    </row>
    <row r="47" spans="3:10" ht="13.2" customHeight="1" x14ac:dyDescent="0.25">
      <c r="D47" s="168"/>
      <c r="E47" s="2" t="str">
        <f>'Billing Detail'!D121</f>
        <v>Demand Charge - Contract per kW</v>
      </c>
      <c r="F47" s="105">
        <f>'Billing Detail'!H121</f>
        <v>6.02</v>
      </c>
      <c r="G47" s="105">
        <f>'Billing Detail'!L121</f>
        <v>6.2708446543226097</v>
      </c>
      <c r="J47" s="5">
        <f t="shared" si="3"/>
        <v>4.1668547229669395E-2</v>
      </c>
    </row>
    <row r="48" spans="3:10" ht="13.2" customHeight="1" x14ac:dyDescent="0.25">
      <c r="C48" s="27">
        <f>'Billing Detail'!C122</f>
        <v>33</v>
      </c>
      <c r="D48" s="169" t="str">
        <f>'Billing Detail'!B122</f>
        <v>Special Outdoor Lighting</v>
      </c>
      <c r="J48" s="5"/>
    </row>
    <row r="49" spans="3:10" ht="13.2" customHeight="1" x14ac:dyDescent="0.25">
      <c r="D49" s="169"/>
      <c r="E49" s="2" t="str">
        <f>'Billing Detail'!D123</f>
        <v>Energy Rate</v>
      </c>
      <c r="F49" s="106">
        <f>'Billing Detail'!H123</f>
        <v>5.6320000000000002E-2</v>
      </c>
      <c r="G49" s="106">
        <f>'Billing Detail'!L123</f>
        <v>5.8666772579974984E-2</v>
      </c>
      <c r="J49" s="5">
        <f t="shared" si="3"/>
        <v>4.1668547229669395E-2</v>
      </c>
    </row>
    <row r="50" spans="3:10" ht="13.2" customHeight="1" x14ac:dyDescent="0.25">
      <c r="C50" s="27" t="str">
        <f>'Billing Detail'!C124</f>
        <v>B3</v>
      </c>
      <c r="D50" s="169" t="str">
        <f>'Billing Detail'!B124</f>
        <v>Large Industrial Rate</v>
      </c>
      <c r="F50" s="105"/>
      <c r="G50" s="105"/>
      <c r="J50" s="5"/>
    </row>
    <row r="51" spans="3:10" ht="13.2" customHeight="1" x14ac:dyDescent="0.25">
      <c r="D51" s="169"/>
      <c r="E51" s="2" t="str">
        <f>'Billing Detail'!D125</f>
        <v>Customer Charge Transformer 10,000 - 14,999 kVA</v>
      </c>
      <c r="F51" s="105">
        <f>'Billing Detail'!H125</f>
        <v>3421.59</v>
      </c>
      <c r="G51" s="105">
        <f>'Billing Detail'!L125</f>
        <v>3564.1626845155647</v>
      </c>
      <c r="J51" s="5">
        <f t="shared" si="3"/>
        <v>4.1668547229669395E-2</v>
      </c>
    </row>
    <row r="52" spans="3:10" ht="13.2" customHeight="1" x14ac:dyDescent="0.25">
      <c r="D52" s="169"/>
      <c r="E52" s="2" t="str">
        <f>'Billing Detail'!D126</f>
        <v>Customer Charge Transformer 15,000+ kVA</v>
      </c>
      <c r="F52" s="105">
        <f>'Billing Detail'!H126</f>
        <v>5430.92</v>
      </c>
      <c r="G52" s="105">
        <f>'Billing Detail'!L126</f>
        <v>5657.2185465205566</v>
      </c>
      <c r="J52" s="5">
        <f t="shared" si="3"/>
        <v>4.1668547229669395E-2</v>
      </c>
    </row>
    <row r="53" spans="3:10" ht="13.2" customHeight="1" x14ac:dyDescent="0.25">
      <c r="D53" s="169"/>
      <c r="E53" s="2" t="str">
        <f>'Billing Detail'!D127</f>
        <v>Demand Charge - Contract per kW</v>
      </c>
      <c r="F53" s="105">
        <f>'Billing Detail'!H127</f>
        <v>7.17</v>
      </c>
      <c r="G53" s="105">
        <f>'Billing Detail'!L127</f>
        <v>6.9951543646734331</v>
      </c>
      <c r="I53" s="175"/>
      <c r="J53" s="5">
        <f t="shared" si="3"/>
        <v>-2.4385723197568598E-2</v>
      </c>
    </row>
    <row r="54" spans="3:10" ht="13.2" customHeight="1" x14ac:dyDescent="0.25">
      <c r="D54" s="169"/>
      <c r="E54" s="2" t="str">
        <f>'Billing Detail'!D128</f>
        <v>Demand Charge - Excess per kW</v>
      </c>
      <c r="F54" s="105">
        <f>'Billing Detail'!H128</f>
        <v>9.98</v>
      </c>
      <c r="G54" s="105">
        <f>'Billing Detail'!L128</f>
        <v>11.820639499720384</v>
      </c>
      <c r="I54" s="175"/>
      <c r="J54" s="5">
        <f t="shared" si="3"/>
        <v>0.18443281560324487</v>
      </c>
    </row>
    <row r="55" spans="3:10" ht="13.2" customHeight="1" x14ac:dyDescent="0.25">
      <c r="D55" s="169"/>
      <c r="E55" s="2" t="str">
        <f>'Billing Detail'!D129</f>
        <v>Energy Charge per kWh - All Over 200</v>
      </c>
      <c r="F55" s="106">
        <f>'Billing Detail'!H129</f>
        <v>4.1360000000000001E-2</v>
      </c>
      <c r="G55" s="106">
        <f>'Billing Detail'!L129</f>
        <v>4.308341111341913E-2</v>
      </c>
      <c r="J55" s="5">
        <f t="shared" si="3"/>
        <v>4.1668547229669395E-2</v>
      </c>
    </row>
    <row r="56" spans="3:10" ht="13.2" customHeight="1" x14ac:dyDescent="0.25">
      <c r="C56" s="27" t="str">
        <f>'Billing Detail'!C130</f>
        <v>C1</v>
      </c>
      <c r="D56" s="169" t="str">
        <f>'Billing Detail'!B130</f>
        <v>Large Industrial Rate</v>
      </c>
      <c r="F56" s="105"/>
      <c r="G56" s="105"/>
      <c r="J56" s="5"/>
    </row>
    <row r="57" spans="3:10" ht="13.2" customHeight="1" x14ac:dyDescent="0.25">
      <c r="D57" s="169"/>
      <c r="E57" s="2" t="str">
        <f>'Billing Detail'!D131</f>
        <v>Customer Charge</v>
      </c>
      <c r="F57" s="105">
        <f>'Billing Detail'!H131</f>
        <v>614.28</v>
      </c>
      <c r="G57" s="105">
        <f>'Billing Detail'!L131</f>
        <v>639.8761551922413</v>
      </c>
      <c r="J57" s="5">
        <f t="shared" si="3"/>
        <v>4.1668547229669395E-2</v>
      </c>
    </row>
    <row r="58" spans="3:10" ht="13.2" customHeight="1" x14ac:dyDescent="0.25">
      <c r="D58" s="169"/>
      <c r="E58" s="2" t="str">
        <f>'Billing Detail'!D132</f>
        <v>Energy Charge per kWh</v>
      </c>
      <c r="F58" s="106">
        <f>'Billing Detail'!H132</f>
        <v>4.8259999999999997E-2</v>
      </c>
      <c r="G58" s="106">
        <f>'Billing Detail'!L132</f>
        <v>5.0270924089303844E-2</v>
      </c>
      <c r="J58" s="5">
        <f t="shared" si="3"/>
        <v>4.1668547229669395E-2</v>
      </c>
    </row>
    <row r="59" spans="3:10" ht="13.2" customHeight="1" x14ac:dyDescent="0.25">
      <c r="D59" s="169"/>
      <c r="E59" s="2" t="str">
        <f>'Billing Detail'!D133</f>
        <v>Demand Charge per kW</v>
      </c>
      <c r="F59" s="105">
        <f>'Billing Detail'!H133</f>
        <v>7.17</v>
      </c>
      <c r="G59" s="105">
        <f>'Billing Detail'!L133</f>
        <v>6.9951543646734331</v>
      </c>
      <c r="J59" s="5">
        <f t="shared" si="3"/>
        <v>-2.4385723197568598E-2</v>
      </c>
    </row>
    <row r="60" spans="3:10" ht="13.2" customHeight="1" x14ac:dyDescent="0.25">
      <c r="C60" s="27" t="str">
        <f>'Billing Detail'!C134</f>
        <v>C2</v>
      </c>
      <c r="D60" s="169" t="str">
        <f>'Billing Detail'!B134</f>
        <v>Large Industrial Rate</v>
      </c>
      <c r="F60" s="105"/>
      <c r="G60" s="105"/>
      <c r="J60" s="5"/>
    </row>
    <row r="61" spans="3:10" ht="13.2" customHeight="1" x14ac:dyDescent="0.25">
      <c r="D61" s="169"/>
      <c r="E61" s="2" t="str">
        <f>'Billing Detail'!D135</f>
        <v>Customer Charge</v>
      </c>
      <c r="F61" s="105">
        <f>'Billing Detail'!H135</f>
        <v>1227.4100000000001</v>
      </c>
      <c r="G61" s="105">
        <f>'Billing Detail'!L135</f>
        <v>1278.5543915551686</v>
      </c>
      <c r="J61" s="5">
        <f t="shared" si="3"/>
        <v>4.1668547229669395E-2</v>
      </c>
    </row>
    <row r="62" spans="3:10" ht="13.2" customHeight="1" x14ac:dyDescent="0.25">
      <c r="D62" s="169"/>
      <c r="E62" s="2" t="str">
        <f>'Billing Detail'!D136</f>
        <v>Energy Charge per kWh</v>
      </c>
      <c r="F62" s="106">
        <f>'Billing Detail'!H136</f>
        <v>4.1959999999999997E-2</v>
      </c>
      <c r="G62" s="106">
        <f>'Billing Detail'!L136</f>
        <v>4.3708412241756922E-2</v>
      </c>
      <c r="J62" s="5">
        <f t="shared" si="3"/>
        <v>4.1668547229669395E-2</v>
      </c>
    </row>
    <row r="63" spans="3:10" ht="13.2" customHeight="1" x14ac:dyDescent="0.25">
      <c r="D63" s="169"/>
      <c r="E63" s="2" t="str">
        <f>'Billing Detail'!D137</f>
        <v>Demand Charge per kW</v>
      </c>
      <c r="F63" s="105">
        <f>'Billing Detail'!H137</f>
        <v>7.17</v>
      </c>
      <c r="G63" s="105">
        <f>'Billing Detail'!L137</f>
        <v>6.9951543646734331</v>
      </c>
      <c r="I63" s="175"/>
      <c r="J63" s="5">
        <f t="shared" si="3"/>
        <v>-2.4385723197568598E-2</v>
      </c>
    </row>
    <row r="64" spans="3:10" ht="13.2" customHeight="1" x14ac:dyDescent="0.25">
      <c r="C64" s="27" t="str">
        <f>'Billing Detail'!C138</f>
        <v>C3</v>
      </c>
      <c r="D64" s="169" t="str">
        <f>'Billing Detail'!B138</f>
        <v>Large Industrial Rate</v>
      </c>
      <c r="F64" s="105"/>
      <c r="G64" s="105"/>
      <c r="J64" s="5"/>
    </row>
    <row r="65" spans="3:10" ht="13.2" customHeight="1" x14ac:dyDescent="0.25">
      <c r="D65" s="169"/>
      <c r="E65" s="2" t="str">
        <f>'Billing Detail'!D139</f>
        <v>Customer Charge Transformer 10,000 - 14,999 kVA</v>
      </c>
      <c r="F65" s="105">
        <f>'Billing Detail'!H139</f>
        <v>3421.59</v>
      </c>
      <c r="G65" s="105">
        <f>'Billing Detail'!L139</f>
        <v>3564.1626845155647</v>
      </c>
      <c r="J65" s="5">
        <f t="shared" si="3"/>
        <v>4.1668547229669395E-2</v>
      </c>
    </row>
    <row r="66" spans="3:10" ht="13.2" customHeight="1" x14ac:dyDescent="0.25">
      <c r="D66" s="169"/>
      <c r="E66" s="2" t="str">
        <f>'Billing Detail'!D140</f>
        <v>Customer Charge Transformer 15,000+ kVA</v>
      </c>
      <c r="F66" s="105">
        <f>'Billing Detail'!H140</f>
        <v>5430.92</v>
      </c>
      <c r="G66" s="105">
        <f>'Billing Detail'!L140</f>
        <v>5657.2185465205566</v>
      </c>
      <c r="J66" s="5">
        <f t="shared" si="3"/>
        <v>4.1668547229669395E-2</v>
      </c>
    </row>
    <row r="67" spans="3:10" ht="13.2" customHeight="1" x14ac:dyDescent="0.25">
      <c r="E67" s="2" t="str">
        <f>'Billing Detail'!D141</f>
        <v>Demand Charge - Contract per kW</v>
      </c>
      <c r="F67" s="105">
        <f>'Billing Detail'!H141</f>
        <v>7.17</v>
      </c>
      <c r="G67" s="105">
        <f>'Billing Detail'!L141</f>
        <v>6.9951543646734331</v>
      </c>
      <c r="I67" s="175"/>
      <c r="J67" s="5">
        <f t="shared" si="3"/>
        <v>-2.4385723197568598E-2</v>
      </c>
    </row>
    <row r="68" spans="3:10" ht="13.2" customHeight="1" x14ac:dyDescent="0.25">
      <c r="E68" s="2" t="str">
        <f>'Billing Detail'!D142</f>
        <v>Energy Charge per kWh - All Over 200</v>
      </c>
      <c r="F68" s="106">
        <f>'Billing Detail'!H142</f>
        <v>4.1360000000000001E-2</v>
      </c>
      <c r="G68" s="106">
        <f>'Billing Detail'!L142</f>
        <v>4.308341111341913E-2</v>
      </c>
      <c r="J68" s="5">
        <f t="shared" si="3"/>
        <v>4.1668547229669395E-2</v>
      </c>
    </row>
    <row r="69" spans="3:10" ht="13.2" customHeight="1" x14ac:dyDescent="0.25">
      <c r="F69" s="105"/>
      <c r="G69" s="105"/>
    </row>
    <row r="70" spans="3:10" ht="13.2" customHeight="1" x14ac:dyDescent="0.25">
      <c r="F70" s="105"/>
      <c r="G70" s="105"/>
    </row>
    <row r="71" spans="3:10" ht="41.4" customHeight="1" x14ac:dyDescent="0.25">
      <c r="C71" s="185" t="s">
        <v>57</v>
      </c>
      <c r="D71" s="185"/>
      <c r="E71" s="185"/>
      <c r="F71" s="185"/>
      <c r="G71" s="185"/>
    </row>
    <row r="72" spans="3:10" x14ac:dyDescent="0.25">
      <c r="D72" s="2"/>
      <c r="F72" s="186" t="s">
        <v>58</v>
      </c>
      <c r="G72" s="186"/>
    </row>
    <row r="73" spans="3:10" x14ac:dyDescent="0.25">
      <c r="C73" s="140" t="s">
        <v>59</v>
      </c>
      <c r="D73" s="129"/>
      <c r="E73" s="130"/>
      <c r="F73" s="131" t="s">
        <v>60</v>
      </c>
      <c r="G73" s="131" t="s">
        <v>61</v>
      </c>
    </row>
    <row r="74" spans="3:10" x14ac:dyDescent="0.25">
      <c r="C74" s="141">
        <f>Summary!C8</f>
        <v>12</v>
      </c>
      <c r="D74" s="4" t="str">
        <f>Summary!B8</f>
        <v>Residential Service</v>
      </c>
      <c r="F74" s="132">
        <f>Summary!L8</f>
        <v>1595024.6599999997</v>
      </c>
      <c r="G74" s="133">
        <f>Summary!N8</f>
        <v>6.7066202902995364E-2</v>
      </c>
    </row>
    <row r="75" spans="3:10" x14ac:dyDescent="0.25">
      <c r="C75" s="141">
        <f>Summary!C9</f>
        <v>9</v>
      </c>
      <c r="D75" s="4" t="str">
        <f>Summary!B9</f>
        <v>Off Peak Retail Marketing (ETS)</v>
      </c>
      <c r="F75" s="132">
        <f>Summary!L9</f>
        <v>1729.8474200000001</v>
      </c>
      <c r="G75" s="133">
        <f>Summary!N9</f>
        <v>0.14534305601590986</v>
      </c>
      <c r="H75" s="1"/>
    </row>
    <row r="76" spans="3:10" x14ac:dyDescent="0.25">
      <c r="C76" s="141">
        <f>Summary!C10</f>
        <v>2</v>
      </c>
      <c r="D76" s="4" t="str">
        <f>Summary!B10</f>
        <v>Large Power Service &gt; 50 kW</v>
      </c>
      <c r="F76" s="132">
        <f>Summary!L10</f>
        <v>0</v>
      </c>
      <c r="G76" s="133">
        <f>Summary!N10</f>
        <v>0</v>
      </c>
      <c r="H76" s="1"/>
    </row>
    <row r="77" spans="3:10" x14ac:dyDescent="0.25">
      <c r="C77" s="141">
        <f>Summary!C11</f>
        <v>11</v>
      </c>
      <c r="D77" s="4" t="str">
        <f>Summary!B11</f>
        <v>General Service &lt; 50kW</v>
      </c>
      <c r="F77" s="132">
        <f>Summary!L11</f>
        <v>548.89999999989232</v>
      </c>
      <c r="G77" s="133">
        <f>Summary!N11</f>
        <v>1.2265794291049261E-4</v>
      </c>
      <c r="H77" s="1"/>
    </row>
    <row r="78" spans="3:10" x14ac:dyDescent="0.25">
      <c r="C78" s="141" t="str">
        <f>Summary!C12</f>
        <v>B1</v>
      </c>
      <c r="D78" s="4" t="str">
        <f>Summary!B12</f>
        <v>Large Industrial Rate (500 kW to 4,999 kW)</v>
      </c>
      <c r="F78" s="132">
        <f>Summary!L12</f>
        <v>2308.3100000020204</v>
      </c>
      <c r="G78" s="133">
        <f>Summary!N12</f>
        <v>2.5396595943922613E-4</v>
      </c>
      <c r="H78" s="1"/>
    </row>
    <row r="79" spans="3:10" x14ac:dyDescent="0.25">
      <c r="C79" s="141" t="str">
        <f>Summary!C13</f>
        <v>B2</v>
      </c>
      <c r="D79" s="4" t="str">
        <f>Summary!B13</f>
        <v>Large Industrial Rate (5,000 kW to 9,999 kW)</v>
      </c>
      <c r="F79" s="132">
        <f>Summary!L13</f>
        <v>153818.62000000011</v>
      </c>
      <c r="G79" s="133">
        <f>Summary!N13</f>
        <v>4.0103515904842443E-2</v>
      </c>
      <c r="H79" s="1"/>
    </row>
    <row r="80" spans="3:10" x14ac:dyDescent="0.25">
      <c r="C80" s="141">
        <f>Summary!C14</f>
        <v>3</v>
      </c>
      <c r="D80" s="4" t="str">
        <f>Summary!B14</f>
        <v>Outdoor &amp; Street Lighting</v>
      </c>
      <c r="F80" s="132">
        <f>Summary!L14</f>
        <v>49309.559999999823</v>
      </c>
      <c r="G80" s="133">
        <f>Summary!N14</f>
        <v>8.451002727876368E-2</v>
      </c>
      <c r="H80" s="1"/>
    </row>
    <row r="81" spans="3:8" x14ac:dyDescent="0.25">
      <c r="C81" s="145" t="s">
        <v>62</v>
      </c>
      <c r="D81" s="134"/>
      <c r="E81" s="134"/>
      <c r="F81" s="135">
        <f>Summary!L26</f>
        <v>1802739.897420004</v>
      </c>
      <c r="G81" s="136">
        <f>Summary!N26</f>
        <v>3.9077647335631072E-2</v>
      </c>
    </row>
    <row r="82" spans="3:8" x14ac:dyDescent="0.25">
      <c r="C82" s="141"/>
      <c r="D82" s="2"/>
      <c r="F82" s="137"/>
      <c r="G82" s="138"/>
    </row>
    <row r="83" spans="3:8" x14ac:dyDescent="0.25">
      <c r="D83" s="2"/>
    </row>
    <row r="84" spans="3:8" ht="40.200000000000003" customHeight="1" x14ac:dyDescent="0.25">
      <c r="C84" s="185" t="s">
        <v>63</v>
      </c>
      <c r="D84" s="185"/>
      <c r="E84" s="185"/>
      <c r="F84" s="185"/>
      <c r="G84" s="185"/>
      <c r="H84" s="185"/>
    </row>
    <row r="85" spans="3:8" x14ac:dyDescent="0.25">
      <c r="D85" s="2"/>
      <c r="E85" s="139" t="s">
        <v>18</v>
      </c>
      <c r="F85" s="186" t="s">
        <v>58</v>
      </c>
      <c r="G85" s="186"/>
    </row>
    <row r="86" spans="3:8" x14ac:dyDescent="0.25">
      <c r="C86" s="140" t="s">
        <v>59</v>
      </c>
      <c r="D86" s="130"/>
      <c r="E86" s="140" t="s">
        <v>64</v>
      </c>
      <c r="F86" s="131" t="s">
        <v>60</v>
      </c>
      <c r="G86" s="131" t="s">
        <v>61</v>
      </c>
    </row>
    <row r="87" spans="3:8" x14ac:dyDescent="0.25">
      <c r="C87" s="27">
        <f>Summary!C8</f>
        <v>12</v>
      </c>
      <c r="D87" s="159" t="str">
        <f>Summary!B8</f>
        <v>Residential Service</v>
      </c>
      <c r="E87" s="142">
        <f>'Billing Detail'!E17</f>
        <v>1419.7899825735005</v>
      </c>
      <c r="F87" s="105">
        <f>'Billing Detail'!N17</f>
        <v>9.9626152241397676</v>
      </c>
      <c r="G87" s="5">
        <f>Summary!N8</f>
        <v>6.7066202902995364E-2</v>
      </c>
    </row>
    <row r="88" spans="3:8" x14ac:dyDescent="0.25">
      <c r="C88" s="27">
        <f>Summary!C9</f>
        <v>9</v>
      </c>
      <c r="D88" s="159" t="str">
        <f>Summary!B9</f>
        <v>Off Peak Retail Marketing (ETS)</v>
      </c>
      <c r="E88" s="143" t="s">
        <v>65</v>
      </c>
      <c r="F88" s="105">
        <v>0</v>
      </c>
      <c r="G88" s="5">
        <f>Summary!N9</f>
        <v>0.14534305601590986</v>
      </c>
    </row>
    <row r="89" spans="3:8" x14ac:dyDescent="0.25">
      <c r="C89" s="27">
        <f>Summary!C10</f>
        <v>2</v>
      </c>
      <c r="D89" s="159" t="str">
        <f>Summary!B10</f>
        <v>Large Power Service &gt; 50 kW</v>
      </c>
      <c r="E89" s="142">
        <f>'Billing Detail'!E41</f>
        <v>73572.668079096038</v>
      </c>
      <c r="F89" s="105">
        <f>'Billing Detail'!N41</f>
        <v>0</v>
      </c>
      <c r="G89" s="5">
        <f>Summary!N10</f>
        <v>0</v>
      </c>
    </row>
    <row r="90" spans="3:8" x14ac:dyDescent="0.25">
      <c r="C90" s="27">
        <f>Summary!C11</f>
        <v>11</v>
      </c>
      <c r="D90" s="159" t="str">
        <f>Summary!B11</f>
        <v>General Service &lt; 50kW</v>
      </c>
      <c r="E90" s="142">
        <f>'Billing Detail'!E54</f>
        <v>981.50184693824463</v>
      </c>
      <c r="F90" s="105">
        <f>'Billing Detail'!N54</f>
        <v>1.4278653556019094E-2</v>
      </c>
      <c r="G90" s="5">
        <f>Summary!N11</f>
        <v>1.2265794291049261E-4</v>
      </c>
    </row>
    <row r="91" spans="3:8" x14ac:dyDescent="0.25">
      <c r="C91" s="27" t="str">
        <f>Summary!C12</f>
        <v>B1</v>
      </c>
      <c r="D91" s="159" t="str">
        <f>Summary!B12</f>
        <v>Large Industrial Rate (500 kW to 4,999 kW)</v>
      </c>
      <c r="E91" s="142">
        <f>'Billing Detail'!E68</f>
        <v>784819.63313609466</v>
      </c>
      <c r="F91" s="105">
        <f>'Billing Detail'!N68</f>
        <v>13.65863905326114</v>
      </c>
      <c r="G91" s="5">
        <f>Summary!N12</f>
        <v>2.5396595943922613E-4</v>
      </c>
    </row>
    <row r="92" spans="3:8" x14ac:dyDescent="0.25">
      <c r="C92" s="27" t="str">
        <f>Summary!C13</f>
        <v>B2</v>
      </c>
      <c r="D92" s="159" t="str">
        <f>Summary!B13</f>
        <v>Large Industrial Rate (5,000 kW to 9,999 kW)</v>
      </c>
      <c r="E92" s="142">
        <f>'Billing Detail'!E82</f>
        <v>4019408.0833333335</v>
      </c>
      <c r="F92" s="105">
        <f>'Billing Detail'!N82</f>
        <v>12818.218333333381</v>
      </c>
      <c r="G92" s="5">
        <f>Summary!N13</f>
        <v>4.0103515904842443E-2</v>
      </c>
    </row>
    <row r="93" spans="3:8" x14ac:dyDescent="0.25">
      <c r="C93" s="27">
        <f>Summary!C14</f>
        <v>3</v>
      </c>
      <c r="D93" s="159" t="str">
        <f>Summary!B14</f>
        <v>Outdoor &amp; Street Lighting</v>
      </c>
      <c r="E93" s="154" t="s">
        <v>65</v>
      </c>
      <c r="F93" s="153" t="s">
        <v>65</v>
      </c>
      <c r="G93" s="5">
        <f>Summary!N14</f>
        <v>8.451002727876368E-2</v>
      </c>
    </row>
  </sheetData>
  <mergeCells count="4">
    <mergeCell ref="C71:G71"/>
    <mergeCell ref="F72:G72"/>
    <mergeCell ref="C84:H84"/>
    <mergeCell ref="F85:G85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5C83-5EB3-4F2C-8370-EF8E24BD839E}">
  <dimension ref="A1:B12"/>
  <sheetViews>
    <sheetView tabSelected="1" workbookViewId="0">
      <selection activeCell="H5" sqref="H5"/>
    </sheetView>
  </sheetViews>
  <sheetFormatPr defaultRowHeight="13.2" x14ac:dyDescent="0.25"/>
  <cols>
    <col min="1" max="1" width="8.88671875" style="27"/>
    <col min="2" max="16384" width="8.88671875" style="2"/>
  </cols>
  <sheetData>
    <row r="1" spans="1:2" x14ac:dyDescent="0.25">
      <c r="A1" s="184" t="s">
        <v>115</v>
      </c>
    </row>
    <row r="3" spans="1:2" x14ac:dyDescent="0.25">
      <c r="A3" s="27">
        <v>1</v>
      </c>
      <c r="B3" s="2" t="s">
        <v>116</v>
      </c>
    </row>
    <row r="4" spans="1:2" x14ac:dyDescent="0.25">
      <c r="B4" s="2" t="s">
        <v>121</v>
      </c>
    </row>
    <row r="6" spans="1:2" x14ac:dyDescent="0.25">
      <c r="A6" s="27">
        <v>2</v>
      </c>
      <c r="B6" s="2" t="s">
        <v>117</v>
      </c>
    </row>
    <row r="7" spans="1:2" x14ac:dyDescent="0.25">
      <c r="B7" s="2" t="s">
        <v>118</v>
      </c>
    </row>
    <row r="8" spans="1:2" x14ac:dyDescent="0.25">
      <c r="B8" s="2" t="s">
        <v>119</v>
      </c>
    </row>
    <row r="10" spans="1:2" x14ac:dyDescent="0.25">
      <c r="A10" s="27">
        <v>3</v>
      </c>
      <c r="B10" s="2" t="s">
        <v>120</v>
      </c>
    </row>
    <row r="11" spans="1:2" x14ac:dyDescent="0.25">
      <c r="B11" s="2" t="s">
        <v>118</v>
      </c>
    </row>
    <row r="12" spans="1:2" x14ac:dyDescent="0.25">
      <c r="B12" s="2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2021-05-24T15:02:39Z</dcterms:modified>
</cp:coreProperties>
</file>