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Shelby\Analysis\"/>
    </mc:Choice>
  </mc:AlternateContent>
  <xr:revisionPtr revIDLastSave="0" documentId="13_ncr:1_{FA4155F7-3466-41FD-B975-5416A2E8FDAA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Billing Detail" sheetId="1" r:id="rId1"/>
    <sheet name="rate class" sheetId="4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'Billing Detail'!$A$1:$F$36</definedName>
    <definedName name="_xlnm.Print_Area" localSheetId="1">'rate class'!$A$1:$L$289</definedName>
    <definedName name="_xlnm.Print_Titles" localSheetId="0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9" i="4" l="1"/>
  <c r="A295" i="4"/>
  <c r="A294" i="4"/>
  <c r="A293" i="4"/>
  <c r="A292" i="4"/>
  <c r="K277" i="4"/>
  <c r="K281" i="4" s="1"/>
  <c r="I277" i="4"/>
  <c r="I281" i="4" s="1"/>
  <c r="I288" i="4" s="1"/>
  <c r="I289" i="4" s="1"/>
  <c r="G277" i="4"/>
  <c r="G281" i="4" s="1"/>
  <c r="D273" i="4"/>
  <c r="A268" i="4"/>
  <c r="A267" i="4"/>
  <c r="A266" i="4"/>
  <c r="A265" i="4"/>
  <c r="E248" i="4"/>
  <c r="G248" i="4" s="1"/>
  <c r="I248" i="4" s="1"/>
  <c r="K248" i="4" s="1"/>
  <c r="K245" i="4"/>
  <c r="G245" i="4"/>
  <c r="E245" i="4"/>
  <c r="I245" i="4"/>
  <c r="G244" i="4"/>
  <c r="K243" i="4"/>
  <c r="G243" i="4"/>
  <c r="E243" i="4"/>
  <c r="I243" i="4"/>
  <c r="K242" i="4"/>
  <c r="I242" i="4"/>
  <c r="G242" i="4"/>
  <c r="K239" i="4"/>
  <c r="I239" i="4"/>
  <c r="G239" i="4"/>
  <c r="E239" i="4"/>
  <c r="G238" i="4"/>
  <c r="K237" i="4"/>
  <c r="E237" i="4"/>
  <c r="I237" i="4"/>
  <c r="K236" i="4"/>
  <c r="I236" i="4"/>
  <c r="G236" i="4"/>
  <c r="K235" i="4"/>
  <c r="I235" i="4"/>
  <c r="G235" i="4"/>
  <c r="E235" i="4"/>
  <c r="D231" i="4"/>
  <c r="A226" i="4"/>
  <c r="A225" i="4"/>
  <c r="A224" i="4"/>
  <c r="A223" i="4"/>
  <c r="K206" i="4"/>
  <c r="I206" i="4"/>
  <c r="G206" i="4"/>
  <c r="I205" i="4"/>
  <c r="G205" i="4"/>
  <c r="K205" i="4"/>
  <c r="K204" i="4"/>
  <c r="I204" i="4"/>
  <c r="G204" i="4"/>
  <c r="E204" i="4"/>
  <c r="H202" i="4"/>
  <c r="J202" i="4" s="1"/>
  <c r="G202" i="4"/>
  <c r="F202" i="4"/>
  <c r="I202" i="4"/>
  <c r="D199" i="4"/>
  <c r="A194" i="4"/>
  <c r="A193" i="4"/>
  <c r="A192" i="4"/>
  <c r="A191" i="4"/>
  <c r="E174" i="4"/>
  <c r="J172" i="4"/>
  <c r="H172" i="4"/>
  <c r="I172" i="4" s="1"/>
  <c r="E172" i="4"/>
  <c r="G172" i="4"/>
  <c r="G171" i="4"/>
  <c r="E170" i="4"/>
  <c r="K169" i="4"/>
  <c r="E169" i="4"/>
  <c r="I169" i="4"/>
  <c r="K167" i="4"/>
  <c r="I167" i="4"/>
  <c r="D164" i="4"/>
  <c r="A159" i="4"/>
  <c r="A158" i="4"/>
  <c r="A157" i="4"/>
  <c r="A156" i="4"/>
  <c r="E139" i="4"/>
  <c r="K137" i="4"/>
  <c r="I137" i="4"/>
  <c r="E137" i="4"/>
  <c r="G137" i="4"/>
  <c r="E136" i="4"/>
  <c r="K135" i="4"/>
  <c r="E135" i="4"/>
  <c r="I135" i="4"/>
  <c r="K134" i="4"/>
  <c r="I134" i="4"/>
  <c r="D131" i="4"/>
  <c r="A126" i="4"/>
  <c r="A125" i="4"/>
  <c r="A124" i="4"/>
  <c r="A123" i="4"/>
  <c r="E106" i="4"/>
  <c r="I105" i="4"/>
  <c r="E105" i="4"/>
  <c r="G105" i="4"/>
  <c r="K104" i="4"/>
  <c r="I104" i="4"/>
  <c r="G104" i="4"/>
  <c r="E104" i="4"/>
  <c r="K103" i="4"/>
  <c r="I103" i="4"/>
  <c r="K102" i="4"/>
  <c r="I102" i="4"/>
  <c r="G102" i="4"/>
  <c r="D98" i="4"/>
  <c r="K73" i="4"/>
  <c r="I73" i="4"/>
  <c r="G73" i="4"/>
  <c r="K72" i="4"/>
  <c r="I72" i="4"/>
  <c r="F72" i="4"/>
  <c r="G72" i="4"/>
  <c r="L71" i="4"/>
  <c r="K71" i="4"/>
  <c r="I71" i="4"/>
  <c r="G71" i="4"/>
  <c r="D68" i="4"/>
  <c r="A63" i="4"/>
  <c r="A62" i="4"/>
  <c r="A61" i="4"/>
  <c r="A60" i="4"/>
  <c r="I43" i="4"/>
  <c r="I46" i="4" s="1"/>
  <c r="I56" i="4" s="1"/>
  <c r="E43" i="4"/>
  <c r="E46" i="4" s="1"/>
  <c r="G43" i="4"/>
  <c r="G46" i="4" s="1"/>
  <c r="D39" i="4"/>
  <c r="A34" i="4"/>
  <c r="A32" i="4"/>
  <c r="A31" i="4"/>
  <c r="E14" i="4"/>
  <c r="G14" i="4" s="1"/>
  <c r="I14" i="4" s="1"/>
  <c r="K14" i="4" s="1"/>
  <c r="E13" i="4"/>
  <c r="I76" i="4" l="1"/>
  <c r="I86" i="4" s="1"/>
  <c r="K76" i="4"/>
  <c r="K83" i="4" s="1"/>
  <c r="K84" i="4" s="1"/>
  <c r="I108" i="4"/>
  <c r="I208" i="4"/>
  <c r="G76" i="4"/>
  <c r="I118" i="4"/>
  <c r="K288" i="4"/>
  <c r="K289" i="4" s="1"/>
  <c r="K86" i="4"/>
  <c r="G56" i="4"/>
  <c r="G53" i="4"/>
  <c r="G54" i="4" s="1"/>
  <c r="I218" i="4"/>
  <c r="G86" i="4"/>
  <c r="E56" i="4"/>
  <c r="E53" i="4"/>
  <c r="E54" i="4" s="1"/>
  <c r="G208" i="4"/>
  <c r="E12" i="4"/>
  <c r="E16" i="4" s="1"/>
  <c r="G12" i="4"/>
  <c r="I13" i="4"/>
  <c r="K43" i="4"/>
  <c r="K46" i="4" s="1"/>
  <c r="K105" i="4"/>
  <c r="L105" i="4" s="1"/>
  <c r="G136" i="4"/>
  <c r="G170" i="4"/>
  <c r="I171" i="4"/>
  <c r="K202" i="4"/>
  <c r="L206" i="4" s="1"/>
  <c r="I238" i="4"/>
  <c r="I244" i="4"/>
  <c r="I12" i="4"/>
  <c r="I16" i="4" s="1"/>
  <c r="K13" i="4"/>
  <c r="E72" i="4"/>
  <c r="E76" i="4" s="1"/>
  <c r="G83" i="4" s="1"/>
  <c r="G84" i="4" s="1"/>
  <c r="E103" i="4"/>
  <c r="E134" i="4"/>
  <c r="E141" i="4" s="1"/>
  <c r="G135" i="4"/>
  <c r="I136" i="4"/>
  <c r="I141" i="4" s="1"/>
  <c r="E167" i="4"/>
  <c r="G169" i="4"/>
  <c r="I170" i="4"/>
  <c r="I176" i="4" s="1"/>
  <c r="K171" i="4"/>
  <c r="L171" i="4" s="1"/>
  <c r="G237" i="4"/>
  <c r="G250" i="4" s="1"/>
  <c r="K238" i="4"/>
  <c r="K244" i="4"/>
  <c r="K12" i="4"/>
  <c r="E102" i="4"/>
  <c r="G103" i="4"/>
  <c r="G108" i="4" s="1"/>
  <c r="G134" i="4"/>
  <c r="K136" i="4"/>
  <c r="K141" i="4" s="1"/>
  <c r="G167" i="4"/>
  <c r="G176" i="4" s="1"/>
  <c r="K170" i="4"/>
  <c r="K172" i="4"/>
  <c r="E202" i="4"/>
  <c r="E206" i="4"/>
  <c r="E236" i="4"/>
  <c r="E242" i="4"/>
  <c r="E277" i="4"/>
  <c r="E281" i="4" s="1"/>
  <c r="E288" i="4" s="1"/>
  <c r="E289" i="4" s="1"/>
  <c r="G13" i="4"/>
  <c r="I53" i="4"/>
  <c r="I54" i="4" s="1"/>
  <c r="E205" i="4"/>
  <c r="E171" i="4"/>
  <c r="E238" i="4"/>
  <c r="E244" i="4"/>
  <c r="K87" i="4" l="1"/>
  <c r="K88" i="4" s="1"/>
  <c r="E250" i="4"/>
  <c r="I83" i="4"/>
  <c r="I84" i="4" s="1"/>
  <c r="L135" i="4"/>
  <c r="E208" i="4"/>
  <c r="G215" i="4" s="1"/>
  <c r="G216" i="4" s="1"/>
  <c r="I250" i="4"/>
  <c r="I302" i="4" s="1"/>
  <c r="G16" i="4"/>
  <c r="I23" i="4" s="1"/>
  <c r="I24" i="4" s="1"/>
  <c r="G57" i="4"/>
  <c r="G58" i="4" s="1"/>
  <c r="L170" i="4"/>
  <c r="K250" i="4"/>
  <c r="L205" i="4"/>
  <c r="I183" i="4"/>
  <c r="I184" i="4" s="1"/>
  <c r="I186" i="4"/>
  <c r="K148" i="4"/>
  <c r="K149" i="4" s="1"/>
  <c r="K151" i="4"/>
  <c r="E260" i="4"/>
  <c r="K260" i="4"/>
  <c r="G118" i="4"/>
  <c r="I115" i="4"/>
  <c r="I116" i="4" s="1"/>
  <c r="G257" i="4"/>
  <c r="G258" i="4" s="1"/>
  <c r="G260" i="4"/>
  <c r="G261" i="4" s="1"/>
  <c r="G262" i="4" s="1"/>
  <c r="I151" i="4"/>
  <c r="E148" i="4"/>
  <c r="E149" i="4" s="1"/>
  <c r="E151" i="4"/>
  <c r="E152" i="4" s="1"/>
  <c r="E153" i="4" s="1"/>
  <c r="E26" i="4"/>
  <c r="E27" i="4" s="1"/>
  <c r="E28" i="4" s="1"/>
  <c r="E23" i="4"/>
  <c r="E24" i="4" s="1"/>
  <c r="G218" i="4"/>
  <c r="K176" i="4"/>
  <c r="K108" i="4"/>
  <c r="L169" i="4"/>
  <c r="L134" i="4"/>
  <c r="I26" i="4"/>
  <c r="G186" i="4"/>
  <c r="K208" i="4"/>
  <c r="L202" i="4"/>
  <c r="L137" i="4"/>
  <c r="I119" i="4"/>
  <c r="I120" i="4" s="1"/>
  <c r="G288" i="4"/>
  <c r="G289" i="4" s="1"/>
  <c r="E57" i="4"/>
  <c r="E58" i="4" s="1"/>
  <c r="I215" i="4"/>
  <c r="I216" i="4" s="1"/>
  <c r="L102" i="4"/>
  <c r="G141" i="4"/>
  <c r="E86" i="4"/>
  <c r="E87" i="4" s="1"/>
  <c r="E88" i="4" s="1"/>
  <c r="E83" i="4"/>
  <c r="E84" i="4" s="1"/>
  <c r="K56" i="4"/>
  <c r="K57" i="4" s="1"/>
  <c r="K58" i="4" s="1"/>
  <c r="K53" i="4"/>
  <c r="K54" i="4" s="1"/>
  <c r="E176" i="4"/>
  <c r="L167" i="4"/>
  <c r="L103" i="4"/>
  <c r="I87" i="4"/>
  <c r="I88" i="4" s="1"/>
  <c r="L12" i="4"/>
  <c r="L13" i="4" s="1"/>
  <c r="K16" i="4"/>
  <c r="E108" i="4"/>
  <c r="G115" i="4" s="1"/>
  <c r="G116" i="4" s="1"/>
  <c r="L204" i="4"/>
  <c r="I57" i="4"/>
  <c r="I58" i="4" s="1"/>
  <c r="I260" i="4" l="1"/>
  <c r="E215" i="4"/>
  <c r="E216" i="4" s="1"/>
  <c r="I257" i="4"/>
  <c r="I258" i="4" s="1"/>
  <c r="K261" i="4"/>
  <c r="K262" i="4" s="1"/>
  <c r="G26" i="4"/>
  <c r="K257" i="4"/>
  <c r="K258" i="4" s="1"/>
  <c r="E218" i="4"/>
  <c r="G219" i="4" s="1"/>
  <c r="G220" i="4" s="1"/>
  <c r="G23" i="4"/>
  <c r="G24" i="4" s="1"/>
  <c r="G87" i="4"/>
  <c r="G88" i="4" s="1"/>
  <c r="I187" i="4"/>
  <c r="I188" i="4" s="1"/>
  <c r="G151" i="4"/>
  <c r="G152" i="4" s="1"/>
  <c r="G153" i="4" s="1"/>
  <c r="G148" i="4"/>
  <c r="G149" i="4" s="1"/>
  <c r="E186" i="4"/>
  <c r="E187" i="4" s="1"/>
  <c r="E188" i="4" s="1"/>
  <c r="E183" i="4"/>
  <c r="E184" i="4" s="1"/>
  <c r="G27" i="4"/>
  <c r="G28" i="4" s="1"/>
  <c r="E118" i="4"/>
  <c r="E119" i="4" s="1"/>
  <c r="E120" i="4" s="1"/>
  <c r="E115" i="4"/>
  <c r="E116" i="4" s="1"/>
  <c r="K115" i="4"/>
  <c r="K116" i="4" s="1"/>
  <c r="K118" i="4"/>
  <c r="K119" i="4" s="1"/>
  <c r="K120" i="4" s="1"/>
  <c r="E302" i="4"/>
  <c r="G302" i="4"/>
  <c r="G312" i="4" s="1"/>
  <c r="G313" i="4" s="1"/>
  <c r="I219" i="4"/>
  <c r="I220" i="4" s="1"/>
  <c r="K302" i="4"/>
  <c r="K312" i="4" s="1"/>
  <c r="K313" i="4" s="1"/>
  <c r="K26" i="4"/>
  <c r="K27" i="4" s="1"/>
  <c r="K28" i="4" s="1"/>
  <c r="K23" i="4"/>
  <c r="K24" i="4" s="1"/>
  <c r="G183" i="4"/>
  <c r="G184" i="4" s="1"/>
  <c r="K186" i="4"/>
  <c r="K187" i="4" s="1"/>
  <c r="K188" i="4" s="1"/>
  <c r="K183" i="4"/>
  <c r="K184" i="4" s="1"/>
  <c r="I152" i="4"/>
  <c r="I153" i="4" s="1"/>
  <c r="I148" i="4"/>
  <c r="I149" i="4" s="1"/>
  <c r="E257" i="4"/>
  <c r="E258" i="4" s="1"/>
  <c r="K215" i="4"/>
  <c r="K216" i="4" s="1"/>
  <c r="K218" i="4"/>
  <c r="K219" i="4" s="1"/>
  <c r="K220" i="4" s="1"/>
  <c r="E261" i="4"/>
  <c r="E262" i="4" s="1"/>
  <c r="I261" i="4"/>
  <c r="I262" i="4" s="1"/>
  <c r="E219" i="4"/>
  <c r="E220" i="4" s="1"/>
  <c r="I27" i="4"/>
  <c r="I28" i="4" s="1"/>
  <c r="K152" i="4"/>
  <c r="K153" i="4" s="1"/>
  <c r="G187" i="4" l="1"/>
  <c r="G188" i="4" s="1"/>
  <c r="I312" i="4"/>
  <c r="G119" i="4"/>
  <c r="G120" i="4" s="1"/>
  <c r="I315" i="4"/>
  <c r="K315" i="4" s="1"/>
  <c r="K316" i="4" s="1"/>
  <c r="I313" i="4"/>
  <c r="E312" i="4"/>
  <c r="E313" i="4" s="1"/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9" i="1" l="1"/>
  <c r="E8" i="1"/>
  <c r="E26" i="1" l="1"/>
  <c r="A8" i="1" l="1"/>
  <c r="A9" i="1" s="1"/>
</calcChain>
</file>

<file path=xl/sharedStrings.xml><?xml version="1.0" encoding="utf-8"?>
<sst xmlns="http://schemas.openxmlformats.org/spreadsheetml/2006/main" count="463" uniqueCount="123">
  <si>
    <t>#</t>
  </si>
  <si>
    <t>Code</t>
  </si>
  <si>
    <t>Classification</t>
  </si>
  <si>
    <t>Billing Component</t>
  </si>
  <si>
    <t>Billing Units</t>
  </si>
  <si>
    <t>Customer Charge</t>
  </si>
  <si>
    <t>Proposed</t>
  </si>
  <si>
    <t>Energy Charge per kWh</t>
  </si>
  <si>
    <t>Demand Charge per kW</t>
  </si>
  <si>
    <t>Last Rate Order</t>
  </si>
  <si>
    <t>Increase</t>
  </si>
  <si>
    <t>Percent</t>
  </si>
  <si>
    <t>Rate</t>
  </si>
  <si>
    <t>SHELBY ENERGY COOPERATIVE</t>
  </si>
  <si>
    <t>Large Power Service &gt; 50 kW</t>
  </si>
  <si>
    <t>General Service &lt; 50kW</t>
  </si>
  <si>
    <t>Customer Charge Single Phase</t>
  </si>
  <si>
    <t>Customer Charge Three Phase</t>
  </si>
  <si>
    <t>Large Industrial Rate (500 kW to 4,999 kW)</t>
  </si>
  <si>
    <t>Large Industrial Rate (5,000 kW to 9,999 kW)</t>
  </si>
  <si>
    <t>150 Watt Decorative Acorn</t>
  </si>
  <si>
    <t>Standard</t>
  </si>
  <si>
    <t>Decorative Colonial</t>
  </si>
  <si>
    <t>Cobra Head</t>
  </si>
  <si>
    <t>Directional Flood Light</t>
  </si>
  <si>
    <t>Demand Charge - Contract per kW</t>
  </si>
  <si>
    <t>Demand Charge - Excess per kW</t>
  </si>
  <si>
    <t>Off Peak Retail Marketing (ETS)</t>
  </si>
  <si>
    <t>Residential Service</t>
  </si>
  <si>
    <t>B2</t>
  </si>
  <si>
    <t>B1</t>
  </si>
  <si>
    <t>BILLING DETERMINANTS</t>
  </si>
  <si>
    <t>Last Rate Order data comes from highlighted tabs from Excel file from last rate case</t>
  </si>
  <si>
    <t>Shelby Energy Cooperative, Inc.</t>
  </si>
  <si>
    <t>Exhibit 5-12(1)</t>
  </si>
  <si>
    <t>Case No.  2016-00434</t>
  </si>
  <si>
    <t>Revise Exhibit J with B2 Changes</t>
  </si>
  <si>
    <t>Billing Analysis</t>
  </si>
  <si>
    <t>Page 2 of 10</t>
  </si>
  <si>
    <t>July 31, 2016</t>
  </si>
  <si>
    <t>Witness:James Adkins</t>
  </si>
  <si>
    <t>Post Hearing Request for Information</t>
  </si>
  <si>
    <t>Residential Service - Rate 12</t>
  </si>
  <si>
    <t>Test</t>
  </si>
  <si>
    <t>Normalized</t>
  </si>
  <si>
    <t>Phase 1</t>
  </si>
  <si>
    <t>Phase 2</t>
  </si>
  <si>
    <t>Phase 3</t>
  </si>
  <si>
    <t>Billing</t>
  </si>
  <si>
    <t>Year</t>
  </si>
  <si>
    <t>2010-00509</t>
  </si>
  <si>
    <t>Description</t>
  </si>
  <si>
    <t>Determinants</t>
  </si>
  <si>
    <t>Revenues</t>
  </si>
  <si>
    <t>Rates</t>
  </si>
  <si>
    <t>Consumer Facility Charge</t>
  </si>
  <si>
    <t>Energy charge per kWh</t>
  </si>
  <si>
    <t>Difference to partials</t>
  </si>
  <si>
    <t>Security lights, minimum bill, etc.</t>
  </si>
  <si>
    <t>Total from base rates</t>
  </si>
  <si>
    <t>Fuel adjustment</t>
  </si>
  <si>
    <t>Environmental surcharge</t>
  </si>
  <si>
    <t>Total revenues</t>
  </si>
  <si>
    <t>Amount</t>
  </si>
  <si>
    <t>Average monthly bill</t>
  </si>
  <si>
    <t>Page 3 of 10</t>
  </si>
  <si>
    <t>Off-Peak Retail Marketing Rate (ETS)</t>
  </si>
  <si>
    <t>Page 4 of 10</t>
  </si>
  <si>
    <t>Prepay Service - Rate 15</t>
  </si>
  <si>
    <t>Consumer Facility Charge (per day)</t>
  </si>
  <si>
    <t>Use factor of .7142 since consumers are not connected for full month.</t>
  </si>
  <si>
    <t>This ratio allows for partial month of connection of service.</t>
  </si>
  <si>
    <t>Prepay Service Fee (per day)</t>
  </si>
  <si>
    <t xml:space="preserve">    Number of Members DR3-12</t>
  </si>
  <si>
    <t>Case No.  2009-00410</t>
  </si>
  <si>
    <t>Page 5 of 10</t>
  </si>
  <si>
    <t>July 31, 2009</t>
  </si>
  <si>
    <t>General Service - Rate 11</t>
  </si>
  <si>
    <t xml:space="preserve">  Three-phase</t>
  </si>
  <si>
    <t xml:space="preserve">  Primary meter</t>
  </si>
  <si>
    <t xml:space="preserve">    Single phase</t>
  </si>
  <si>
    <t xml:space="preserve">    Three phase</t>
  </si>
  <si>
    <t>Demand charge (contract)</t>
  </si>
  <si>
    <t>Primary metering discount 5% Rate 23</t>
  </si>
  <si>
    <t>Page 6 of 10</t>
  </si>
  <si>
    <t>Large Power Service - Rate 2</t>
  </si>
  <si>
    <t>2, 5, 32</t>
  </si>
  <si>
    <t>Demand charge</t>
  </si>
  <si>
    <t>Interruptible Credit $4.90 - Rate 5</t>
  </si>
  <si>
    <t>Primary meter discount 5% - Rate 32</t>
  </si>
  <si>
    <t>Page 7 of 10</t>
  </si>
  <si>
    <t>Large Industrial Rate - Schedule B1</t>
  </si>
  <si>
    <t>Demand Charge</t>
  </si>
  <si>
    <t xml:space="preserve">    Contract Demand</t>
  </si>
  <si>
    <t xml:space="preserve">    Excess of contract Demand</t>
  </si>
  <si>
    <t>Energy charge</t>
  </si>
  <si>
    <t>Energy charge, contract minimum</t>
  </si>
  <si>
    <t>Primary meter discount 5% - Rate 38</t>
  </si>
  <si>
    <t>Page 8 of 10</t>
  </si>
  <si>
    <t>Large Industrial Rate - Schedule B2</t>
  </si>
  <si>
    <t>Page 9 of 10</t>
  </si>
  <si>
    <t>Outdoor and Street Lighting Service - Rate 3 and 3L (LED)</t>
  </si>
  <si>
    <t>Rate 3:</t>
  </si>
  <si>
    <t>100 Watt HPS Security Light</t>
  </si>
  <si>
    <t>100 Watt Decorative Colonial Light</t>
  </si>
  <si>
    <t>400 Watt Directional Flood Light</t>
  </si>
  <si>
    <t>250 Watt Directional Flood Light</t>
  </si>
  <si>
    <t>Rate 3L:</t>
  </si>
  <si>
    <t>Type 11</t>
  </si>
  <si>
    <t>Type 12</t>
  </si>
  <si>
    <t>Type 13</t>
  </si>
  <si>
    <t>Type 14</t>
  </si>
  <si>
    <t xml:space="preserve">  kWh</t>
  </si>
  <si>
    <t>Page 10 of 10</t>
  </si>
  <si>
    <t>Envirowatts</t>
  </si>
  <si>
    <t>Billing Correction adjustments</t>
  </si>
  <si>
    <t>Summary</t>
  </si>
  <si>
    <t>Per Form 7</t>
  </si>
  <si>
    <t xml:space="preserve">    Amount</t>
  </si>
  <si>
    <t xml:space="preserve">    Percent</t>
  </si>
  <si>
    <t>See summary</t>
  </si>
  <si>
    <t>LRO</t>
  </si>
  <si>
    <t>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</si>
</sst>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0.0%"/>
    <numFmt numFmtId="167" formatCode="&quot;$&quot;#,##0.00000_);\(&quot;$&quot;#,##0.00000\)"/>
    <numFmt numFmtId="168" formatCode="0.0000%"/>
    <numFmt numFmtId="169" formatCode="&quot;$&quot;#,##0.000_);\(&quot;$&quot;#,##0.000\)"/>
    <numFmt numFmtId="170" formatCode="&quot;$&quot;#,##0.0000_);\(&quot;$&quot;#,##0.0000\)"/>
    <numFmt numFmtId="171" formatCode="0.000%"/>
    <numFmt numFmtId="172" formatCode="&quot;$&quot;#,##0.0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1"/>
      <name val="P-TIMES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5" fontId="5" fillId="0" borderId="0" xfId="1" applyNumberFormat="1" applyFont="1"/>
    <xf numFmtId="0" fontId="4" fillId="0" borderId="0" xfId="0" applyFont="1"/>
    <xf numFmtId="0" fontId="4" fillId="0" borderId="0" xfId="0" applyFont="1" applyFill="1"/>
    <xf numFmtId="0" fontId="7" fillId="0" borderId="1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4" fillId="0" borderId="2" xfId="0" applyFont="1" applyFill="1" applyBorder="1"/>
    <xf numFmtId="164" fontId="4" fillId="0" borderId="0" xfId="1" applyNumberFormat="1" applyFont="1" applyFill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0" fillId="0" borderId="0" xfId="4" applyFont="1" applyAlignment="1">
      <alignment horizontal="centerContinuous"/>
    </xf>
    <xf numFmtId="0" fontId="10" fillId="0" borderId="0" xfId="4" applyFont="1" applyAlignment="1">
      <alignment horizontal="right"/>
    </xf>
    <xf numFmtId="0" fontId="10" fillId="0" borderId="0" xfId="4" applyFont="1"/>
    <xf numFmtId="0" fontId="11" fillId="0" borderId="0" xfId="4" applyFont="1" applyAlignment="1">
      <alignment horizontal="right"/>
    </xf>
    <xf numFmtId="49" fontId="10" fillId="0" borderId="0" xfId="4" quotePrefix="1" applyNumberFormat="1" applyFont="1" applyAlignment="1">
      <alignment horizontal="centerContinuous"/>
    </xf>
    <xf numFmtId="0" fontId="10" fillId="0" borderId="3" xfId="4" applyFont="1" applyBorder="1"/>
    <xf numFmtId="0" fontId="10" fillId="0" borderId="4" xfId="4" applyFont="1" applyBorder="1" applyAlignment="1">
      <alignment horizontal="center"/>
    </xf>
    <xf numFmtId="0" fontId="10" fillId="0" borderId="5" xfId="4" applyFont="1" applyBorder="1" applyAlignment="1">
      <alignment horizontal="centerContinuous"/>
    </xf>
    <xf numFmtId="0" fontId="10" fillId="0" borderId="4" xfId="4" applyFont="1" applyBorder="1" applyAlignment="1">
      <alignment horizontal="centerContinuous"/>
    </xf>
    <xf numFmtId="0" fontId="10" fillId="0" borderId="7" xfId="4" applyFont="1" applyBorder="1" applyAlignment="1">
      <alignment horizontal="center"/>
    </xf>
    <xf numFmtId="0" fontId="10" fillId="0" borderId="8" xfId="4" applyFont="1" applyBorder="1" applyAlignment="1">
      <alignment horizontal="centerContinuous"/>
    </xf>
    <xf numFmtId="0" fontId="10" fillId="0" borderId="9" xfId="4" applyFont="1" applyBorder="1" applyAlignment="1">
      <alignment horizontal="centerContinuous"/>
    </xf>
    <xf numFmtId="0" fontId="10" fillId="0" borderId="10" xfId="4" applyFont="1" applyBorder="1" applyAlignment="1">
      <alignment horizontal="centerContinuous"/>
    </xf>
    <xf numFmtId="0" fontId="12" fillId="0" borderId="0" xfId="4" applyFont="1" applyAlignment="1">
      <alignment horizontal="center"/>
    </xf>
    <xf numFmtId="0" fontId="10" fillId="0" borderId="11" xfId="4" applyFont="1" applyBorder="1" applyAlignment="1">
      <alignment horizontal="center"/>
    </xf>
    <xf numFmtId="0" fontId="10" fillId="0" borderId="9" xfId="4" applyFont="1" applyBorder="1" applyAlignment="1">
      <alignment horizontal="center"/>
    </xf>
    <xf numFmtId="0" fontId="10" fillId="0" borderId="12" xfId="4" applyFont="1" applyBorder="1" applyAlignment="1">
      <alignment horizontal="center"/>
    </xf>
    <xf numFmtId="37" fontId="10" fillId="0" borderId="0" xfId="4" applyNumberFormat="1" applyFont="1"/>
    <xf numFmtId="5" fontId="10" fillId="0" borderId="0" xfId="4" applyNumberFormat="1" applyFont="1"/>
    <xf numFmtId="7" fontId="10" fillId="0" borderId="0" xfId="4" applyNumberFormat="1" applyFont="1"/>
    <xf numFmtId="7" fontId="10" fillId="2" borderId="0" xfId="4" applyNumberFormat="1" applyFont="1" applyFill="1"/>
    <xf numFmtId="167" fontId="10" fillId="0" borderId="0" xfId="4" applyNumberFormat="1" applyFont="1"/>
    <xf numFmtId="167" fontId="10" fillId="2" borderId="0" xfId="4" applyNumberFormat="1" applyFont="1" applyFill="1"/>
    <xf numFmtId="37" fontId="10" fillId="0" borderId="9" xfId="4" applyNumberFormat="1" applyFont="1" applyBorder="1"/>
    <xf numFmtId="5" fontId="10" fillId="0" borderId="13" xfId="4" applyNumberFormat="1" applyFont="1" applyBorder="1"/>
    <xf numFmtId="164" fontId="10" fillId="0" borderId="0" xfId="5" applyNumberFormat="1" applyFont="1"/>
    <xf numFmtId="168" fontId="10" fillId="0" borderId="0" xfId="4" applyNumberFormat="1" applyFont="1"/>
    <xf numFmtId="166" fontId="10" fillId="0" borderId="0" xfId="4" applyNumberFormat="1" applyFont="1"/>
    <xf numFmtId="10" fontId="10" fillId="0" borderId="0" xfId="4" applyNumberFormat="1" applyFont="1"/>
    <xf numFmtId="169" fontId="10" fillId="0" borderId="0" xfId="4" applyNumberFormat="1" applyFont="1"/>
    <xf numFmtId="170" fontId="10" fillId="0" borderId="0" xfId="4" applyNumberFormat="1" applyFont="1"/>
    <xf numFmtId="43" fontId="10" fillId="0" borderId="0" xfId="5" applyFont="1"/>
    <xf numFmtId="49" fontId="10" fillId="0" borderId="0" xfId="4" applyNumberFormat="1" applyFont="1" applyAlignment="1">
      <alignment horizontal="centerContinuous"/>
    </xf>
    <xf numFmtId="167" fontId="10" fillId="0" borderId="0" xfId="4" applyNumberFormat="1" applyFont="1" applyAlignment="1">
      <alignment horizontal="right"/>
    </xf>
    <xf numFmtId="5" fontId="10" fillId="0" borderId="0" xfId="6" applyNumberFormat="1" applyFont="1" applyProtection="1"/>
    <xf numFmtId="171" fontId="10" fillId="0" borderId="0" xfId="4" applyNumberFormat="1" applyFont="1"/>
    <xf numFmtId="0" fontId="10" fillId="0" borderId="0" xfId="4" quotePrefix="1" applyFont="1"/>
    <xf numFmtId="3" fontId="10" fillId="0" borderId="0" xfId="4" applyNumberFormat="1" applyFont="1"/>
    <xf numFmtId="37" fontId="10" fillId="0" borderId="13" xfId="4" applyNumberFormat="1" applyFont="1" applyBorder="1"/>
    <xf numFmtId="172" fontId="10" fillId="0" borderId="0" xfId="4" applyNumberFormat="1" applyFont="1"/>
    <xf numFmtId="0" fontId="10" fillId="0" borderId="0" xfId="4" applyFont="1" applyAlignment="1">
      <alignment horizontal="center"/>
    </xf>
    <xf numFmtId="8" fontId="10" fillId="0" borderId="0" xfId="4" applyNumberFormat="1" applyFont="1"/>
    <xf numFmtId="37" fontId="10" fillId="3" borderId="0" xfId="4" applyNumberFormat="1" applyFont="1" applyFill="1"/>
    <xf numFmtId="0" fontId="13" fillId="0" borderId="0" xfId="4" applyFont="1"/>
    <xf numFmtId="0" fontId="9" fillId="0" borderId="0" xfId="4"/>
    <xf numFmtId="10" fontId="10" fillId="2" borderId="0" xfId="2" applyNumberFormat="1" applyFont="1" applyFill="1"/>
    <xf numFmtId="0" fontId="10" fillId="2" borderId="0" xfId="4" applyFont="1" applyFill="1"/>
    <xf numFmtId="0" fontId="10" fillId="0" borderId="6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10" fillId="0" borderId="0" xfId="4" applyFont="1" applyAlignment="1">
      <alignment horizontal="center"/>
    </xf>
    <xf numFmtId="0" fontId="14" fillId="4" borderId="0" xfId="4" applyFont="1" applyFill="1" applyAlignment="1">
      <alignment horizontal="center"/>
    </xf>
  </cellXfs>
  <cellStyles count="7">
    <cellStyle name="Comma" xfId="1" builtinId="3"/>
    <cellStyle name="Comma 2" xfId="5" xr:uid="{B62069C4-12D1-4D93-BEE6-25D196D611B5}"/>
    <cellStyle name="Currency 2" xfId="6" xr:uid="{92244120-8101-444A-9A14-64FD7796E7F0}"/>
    <cellStyle name="Normal" xfId="0" builtinId="0"/>
    <cellStyle name="Normal 2" xfId="3" xr:uid="{07BB8BC8-C5A2-4D23-8181-BEF9162D0260}"/>
    <cellStyle name="Normal 2 2" xfId="4" xr:uid="{F8DC33C9-83C8-4688-B629-89A69B5A887F}"/>
    <cellStyle name="Percent" xfId="2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F36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B32" sqref="B32:B37"/>
      <selection pane="topRight" activeCell="B32" sqref="B32:B37"/>
      <selection pane="bottomLeft" activeCell="B32" sqref="B32:B37"/>
      <selection pane="bottomRight" activeCell="F25" sqref="F25"/>
    </sheetView>
  </sheetViews>
  <sheetFormatPr defaultColWidth="8.88671875" defaultRowHeight="13.2"/>
  <cols>
    <col min="1" max="1" width="7.44140625" style="2" customWidth="1"/>
    <col min="2" max="2" width="36.44140625" style="1" customWidth="1"/>
    <col min="3" max="3" width="6.6640625" style="4" customWidth="1"/>
    <col min="4" max="4" width="30.44140625" style="1" customWidth="1"/>
    <col min="5" max="6" width="17.44140625" style="17" customWidth="1"/>
    <col min="7" max="16384" width="8.88671875" style="1"/>
  </cols>
  <sheetData>
    <row r="1" spans="1:6">
      <c r="A1" s="12" t="s">
        <v>13</v>
      </c>
    </row>
    <row r="2" spans="1:6" ht="14.4" customHeight="1">
      <c r="A2" s="12" t="s">
        <v>31</v>
      </c>
    </row>
    <row r="4" spans="1:6">
      <c r="D4" s="10"/>
      <c r="E4" s="22">
        <v>2019</v>
      </c>
      <c r="F4" s="23" t="s">
        <v>9</v>
      </c>
    </row>
    <row r="5" spans="1:6" ht="38.4" customHeight="1">
      <c r="A5" s="5" t="s">
        <v>0</v>
      </c>
      <c r="B5" s="5" t="s">
        <v>2</v>
      </c>
      <c r="C5" s="3" t="s">
        <v>1</v>
      </c>
      <c r="D5" s="5" t="s">
        <v>3</v>
      </c>
      <c r="E5" s="18" t="s">
        <v>4</v>
      </c>
      <c r="F5" s="18" t="s">
        <v>4</v>
      </c>
    </row>
    <row r="6" spans="1:6" ht="30.6" customHeight="1" thickBot="1">
      <c r="A6" s="13"/>
      <c r="B6" s="6"/>
      <c r="C6" s="7"/>
      <c r="D6" s="6"/>
      <c r="E6" s="19"/>
      <c r="F6" s="19"/>
    </row>
    <row r="7" spans="1:6">
      <c r="A7" s="14">
        <v>1</v>
      </c>
      <c r="B7" s="8" t="s">
        <v>28</v>
      </c>
      <c r="C7" s="9">
        <v>12</v>
      </c>
      <c r="D7" s="8"/>
      <c r="E7" s="20"/>
      <c r="F7" s="20"/>
    </row>
    <row r="8" spans="1:6">
      <c r="A8" s="14">
        <f>A7+1</f>
        <v>2</v>
      </c>
      <c r="B8" s="16"/>
      <c r="C8" s="1"/>
      <c r="D8" s="1" t="s">
        <v>5</v>
      </c>
      <c r="E8" s="21">
        <f>159566+535</f>
        <v>160101</v>
      </c>
      <c r="F8" s="21">
        <v>145617</v>
      </c>
    </row>
    <row r="9" spans="1:6">
      <c r="A9" s="14">
        <f t="shared" ref="A9:A34" si="0">A8+1</f>
        <v>3</v>
      </c>
      <c r="B9" s="15"/>
      <c r="D9" s="1" t="s">
        <v>7</v>
      </c>
      <c r="E9" s="21">
        <f>227080102+229694</f>
        <v>227309796</v>
      </c>
      <c r="F9" s="21">
        <v>195123986</v>
      </c>
    </row>
    <row r="10" spans="1:6" ht="13.8" thickBot="1">
      <c r="A10" s="14">
        <f t="shared" si="0"/>
        <v>4</v>
      </c>
    </row>
    <row r="11" spans="1:6">
      <c r="A11" s="14">
        <f t="shared" si="0"/>
        <v>5</v>
      </c>
      <c r="B11" s="8" t="s">
        <v>27</v>
      </c>
      <c r="C11" s="9">
        <v>9</v>
      </c>
      <c r="D11" s="8"/>
      <c r="E11" s="20"/>
      <c r="F11" s="20"/>
    </row>
    <row r="12" spans="1:6">
      <c r="A12" s="14">
        <f t="shared" si="0"/>
        <v>6</v>
      </c>
      <c r="D12" s="1" t="s">
        <v>7</v>
      </c>
      <c r="E12" s="21">
        <v>197246</v>
      </c>
      <c r="F12" s="21">
        <v>253124</v>
      </c>
    </row>
    <row r="13" spans="1:6" ht="13.8" thickBot="1">
      <c r="A13" s="14">
        <f t="shared" si="0"/>
        <v>7</v>
      </c>
    </row>
    <row r="14" spans="1:6">
      <c r="A14" s="14">
        <f t="shared" si="0"/>
        <v>8</v>
      </c>
      <c r="B14" s="8" t="s">
        <v>14</v>
      </c>
      <c r="C14" s="9">
        <v>2</v>
      </c>
      <c r="D14" s="8"/>
      <c r="E14" s="20"/>
      <c r="F14" s="20"/>
    </row>
    <row r="15" spans="1:6">
      <c r="A15" s="14">
        <f t="shared" si="0"/>
        <v>9</v>
      </c>
      <c r="C15" s="1"/>
      <c r="D15" s="1" t="s">
        <v>5</v>
      </c>
      <c r="E15" s="21">
        <v>708</v>
      </c>
      <c r="F15" s="21">
        <v>636</v>
      </c>
    </row>
    <row r="16" spans="1:6">
      <c r="A16" s="14">
        <f t="shared" si="0"/>
        <v>10</v>
      </c>
      <c r="D16" s="1" t="s">
        <v>7</v>
      </c>
      <c r="E16" s="21">
        <v>51934800</v>
      </c>
      <c r="F16" s="21">
        <v>52584285</v>
      </c>
    </row>
    <row r="17" spans="1:6">
      <c r="A17" s="14">
        <f t="shared" si="0"/>
        <v>11</v>
      </c>
      <c r="D17" s="1" t="s">
        <v>8</v>
      </c>
      <c r="E17" s="21">
        <v>154649</v>
      </c>
      <c r="F17" s="21">
        <v>157131</v>
      </c>
    </row>
    <row r="18" spans="1:6" ht="13.8" thickBot="1">
      <c r="A18" s="14">
        <f t="shared" si="0"/>
        <v>12</v>
      </c>
    </row>
    <row r="19" spans="1:6">
      <c r="A19" s="14">
        <f t="shared" si="0"/>
        <v>13</v>
      </c>
      <c r="B19" s="8" t="s">
        <v>15</v>
      </c>
      <c r="C19" s="9">
        <v>11</v>
      </c>
      <c r="D19" s="8"/>
      <c r="E19" s="20"/>
      <c r="F19" s="20"/>
    </row>
    <row r="20" spans="1:6">
      <c r="A20" s="14">
        <f t="shared" si="0"/>
        <v>14</v>
      </c>
      <c r="C20" s="1"/>
      <c r="D20" s="1" t="s">
        <v>16</v>
      </c>
      <c r="E20" s="21">
        <v>38442</v>
      </c>
      <c r="F20" s="21">
        <v>35906</v>
      </c>
    </row>
    <row r="21" spans="1:6">
      <c r="A21" s="14">
        <f t="shared" si="0"/>
        <v>15</v>
      </c>
      <c r="C21" s="1"/>
      <c r="D21" s="1" t="s">
        <v>17</v>
      </c>
      <c r="E21" s="21">
        <v>2889</v>
      </c>
      <c r="F21" s="21">
        <v>2778</v>
      </c>
    </row>
    <row r="22" spans="1:6">
      <c r="A22" s="14">
        <f t="shared" si="0"/>
        <v>16</v>
      </c>
      <c r="D22" s="1" t="s">
        <v>7</v>
      </c>
      <c r="E22" s="21">
        <v>37730894</v>
      </c>
      <c r="F22" s="21">
        <v>31793552</v>
      </c>
    </row>
    <row r="23" spans="1:6" ht="13.8" thickBot="1">
      <c r="A23" s="14">
        <f t="shared" si="0"/>
        <v>17</v>
      </c>
    </row>
    <row r="24" spans="1:6">
      <c r="A24" s="14">
        <f t="shared" si="0"/>
        <v>18</v>
      </c>
      <c r="B24" s="8" t="s">
        <v>18</v>
      </c>
      <c r="C24" s="9" t="s">
        <v>30</v>
      </c>
      <c r="D24" s="8"/>
      <c r="E24" s="20"/>
      <c r="F24" s="20"/>
    </row>
    <row r="25" spans="1:6">
      <c r="A25" s="14">
        <f t="shared" si="0"/>
        <v>19</v>
      </c>
      <c r="C25" s="1"/>
      <c r="D25" s="1" t="s">
        <v>5</v>
      </c>
      <c r="E25" s="21">
        <v>169</v>
      </c>
      <c r="F25" s="21">
        <v>167</v>
      </c>
    </row>
    <row r="26" spans="1:6">
      <c r="A26" s="14">
        <f t="shared" si="0"/>
        <v>20</v>
      </c>
      <c r="D26" s="1" t="s">
        <v>25</v>
      </c>
      <c r="E26" s="21">
        <f>281220-E27</f>
        <v>258800</v>
      </c>
      <c r="F26" s="21">
        <v>240100</v>
      </c>
    </row>
    <row r="27" spans="1:6">
      <c r="A27" s="14">
        <f t="shared" si="0"/>
        <v>21</v>
      </c>
      <c r="D27" s="1" t="s">
        <v>26</v>
      </c>
      <c r="E27" s="21">
        <v>22420</v>
      </c>
      <c r="F27" s="21">
        <v>25252</v>
      </c>
    </row>
    <row r="28" spans="1:6">
      <c r="A28" s="14">
        <f t="shared" si="0"/>
        <v>22</v>
      </c>
      <c r="D28" s="1" t="s">
        <v>7</v>
      </c>
      <c r="E28" s="21">
        <v>132634518</v>
      </c>
      <c r="F28" s="21">
        <v>126170360</v>
      </c>
    </row>
    <row r="29" spans="1:6" ht="13.8" thickBot="1">
      <c r="A29" s="14">
        <f t="shared" si="0"/>
        <v>23</v>
      </c>
      <c r="B29" s="10"/>
      <c r="C29" s="11"/>
      <c r="D29" s="10"/>
    </row>
    <row r="30" spans="1:6">
      <c r="A30" s="14">
        <f t="shared" si="0"/>
        <v>24</v>
      </c>
      <c r="B30" s="8" t="s">
        <v>19</v>
      </c>
      <c r="C30" s="9" t="s">
        <v>29</v>
      </c>
      <c r="D30" s="8"/>
      <c r="E30" s="20"/>
      <c r="F30" s="20"/>
    </row>
    <row r="31" spans="1:6">
      <c r="A31" s="14">
        <f t="shared" si="0"/>
        <v>25</v>
      </c>
      <c r="C31" s="10"/>
      <c r="D31" s="1" t="s">
        <v>5</v>
      </c>
      <c r="E31" s="21">
        <v>12</v>
      </c>
      <c r="F31" s="21">
        <v>12</v>
      </c>
    </row>
    <row r="32" spans="1:6">
      <c r="A32" s="14">
        <f t="shared" si="0"/>
        <v>26</v>
      </c>
      <c r="C32" s="11"/>
      <c r="D32" s="1" t="s">
        <v>25</v>
      </c>
      <c r="E32" s="21">
        <v>96000</v>
      </c>
      <c r="F32" s="21">
        <v>97500</v>
      </c>
    </row>
    <row r="33" spans="1:6">
      <c r="A33" s="14">
        <f t="shared" si="0"/>
        <v>27</v>
      </c>
      <c r="C33" s="11"/>
      <c r="D33" s="1" t="s">
        <v>26</v>
      </c>
      <c r="E33" s="21">
        <v>96000</v>
      </c>
      <c r="F33" s="21">
        <v>3389</v>
      </c>
    </row>
    <row r="34" spans="1:6">
      <c r="A34" s="14">
        <f t="shared" si="0"/>
        <v>28</v>
      </c>
      <c r="C34" s="11"/>
      <c r="D34" s="1" t="s">
        <v>7</v>
      </c>
      <c r="E34" s="21">
        <v>48232897</v>
      </c>
      <c r="F34" s="21">
        <v>63560133</v>
      </c>
    </row>
    <row r="35" spans="1:6">
      <c r="A35" s="14"/>
    </row>
    <row r="36" spans="1:6" s="16" customFormat="1">
      <c r="A36" s="24"/>
      <c r="B36" s="25" t="s">
        <v>32</v>
      </c>
      <c r="C36" s="26"/>
      <c r="D36" s="25"/>
      <c r="E36" s="25"/>
    </row>
  </sheetData>
  <phoneticPr fontId="6" type="noConversion"/>
  <printOptions horizontalCentered="1"/>
  <pageMargins left="0.7" right="0.7" top="0.75" bottom="0.75" header="0.3" footer="0.3"/>
  <pageSetup scale="55" fitToHeight="6" orientation="landscape" r:id="rId1"/>
  <headerFooter>
    <oddHeader>&amp;R&amp;"Arial,Bold"&amp;10Exhibit 3
Page &amp;P of &amp;N</oddHeader>
  </headerFooter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76C9-B25C-4744-B026-3A8D12712613}">
  <sheetPr transitionEvaluation="1">
    <tabColor rgb="FFFFFF00"/>
  </sheetPr>
  <dimension ref="A1:R317"/>
  <sheetViews>
    <sheetView defaultGridColor="0" view="pageBreakPreview" colorId="22" zoomScale="75" zoomScaleNormal="100" zoomScaleSheetLayoutView="75" workbookViewId="0">
      <selection activeCell="L8" sqref="L8"/>
    </sheetView>
  </sheetViews>
  <sheetFormatPr defaultColWidth="11" defaultRowHeight="15.6"/>
  <cols>
    <col min="1" max="1" width="39.6640625" style="29" customWidth="1"/>
    <col min="2" max="2" width="16.6640625" style="29" customWidth="1"/>
    <col min="3" max="3" width="16.88671875" style="29" customWidth="1"/>
    <col min="4" max="4" width="12.33203125" style="29" customWidth="1"/>
    <col min="5" max="5" width="14.88671875" style="29" customWidth="1"/>
    <col min="6" max="6" width="13" style="29" customWidth="1"/>
    <col min="7" max="7" width="16.44140625" style="29" customWidth="1"/>
    <col min="8" max="8" width="13" style="29" customWidth="1"/>
    <col min="9" max="9" width="16.44140625" style="29" customWidth="1"/>
    <col min="10" max="10" width="13" style="29" customWidth="1"/>
    <col min="11" max="11" width="16.44140625" style="29" customWidth="1"/>
    <col min="12" max="12" width="17.6640625" style="29" customWidth="1"/>
    <col min="13" max="13" width="11" style="29"/>
    <col min="14" max="14" width="16.5546875" style="29" customWidth="1"/>
    <col min="15" max="15" width="23" style="29" customWidth="1"/>
    <col min="16" max="17" width="11" style="29"/>
    <col min="18" max="18" width="11" style="70"/>
    <col min="19" max="16384" width="11" style="71"/>
  </cols>
  <sheetData>
    <row r="1" spans="1:15">
      <c r="A1" s="27" t="s">
        <v>33</v>
      </c>
      <c r="B1" s="27"/>
      <c r="C1" s="27"/>
      <c r="D1" s="27"/>
      <c r="E1" s="27"/>
      <c r="F1" s="27"/>
      <c r="G1" s="28"/>
      <c r="H1" s="27"/>
      <c r="I1" s="28"/>
      <c r="J1" s="27"/>
      <c r="K1" s="28" t="s">
        <v>34</v>
      </c>
    </row>
    <row r="2" spans="1:15">
      <c r="A2" s="27" t="s">
        <v>35</v>
      </c>
      <c r="B2" s="27"/>
      <c r="C2" s="27"/>
      <c r="D2" s="27"/>
      <c r="E2" s="27"/>
      <c r="F2" s="27"/>
      <c r="G2" s="28"/>
      <c r="H2" s="27"/>
      <c r="I2" s="28"/>
      <c r="J2" s="27"/>
      <c r="K2" s="30" t="s">
        <v>36</v>
      </c>
    </row>
    <row r="3" spans="1:15">
      <c r="A3" s="27" t="s">
        <v>37</v>
      </c>
      <c r="B3" s="27"/>
      <c r="C3" s="27"/>
      <c r="D3" s="27"/>
      <c r="E3" s="27"/>
      <c r="F3" s="27"/>
      <c r="G3" s="28"/>
      <c r="H3" s="27"/>
      <c r="I3" s="28"/>
      <c r="J3" s="27"/>
      <c r="K3" s="28" t="s">
        <v>38</v>
      </c>
    </row>
    <row r="4" spans="1:15">
      <c r="A4" s="31" t="s">
        <v>39</v>
      </c>
      <c r="B4" s="27"/>
      <c r="C4" s="27"/>
      <c r="D4" s="27"/>
      <c r="E4" s="27"/>
      <c r="F4" s="27"/>
      <c r="H4" s="27"/>
      <c r="J4" s="27"/>
      <c r="K4" s="28" t="s">
        <v>40</v>
      </c>
    </row>
    <row r="5" spans="1:15">
      <c r="A5" s="27" t="s">
        <v>41</v>
      </c>
      <c r="B5" s="27"/>
      <c r="C5" s="27"/>
      <c r="D5" s="27"/>
      <c r="E5" s="27"/>
      <c r="F5" s="27"/>
      <c r="H5" s="27"/>
      <c r="J5" s="27"/>
      <c r="L5" s="77" t="s">
        <v>121</v>
      </c>
    </row>
    <row r="6" spans="1:15">
      <c r="A6" s="27" t="s">
        <v>42</v>
      </c>
      <c r="B6" s="27"/>
      <c r="C6" s="27"/>
      <c r="D6" s="27"/>
      <c r="E6" s="27"/>
      <c r="F6" s="27"/>
      <c r="H6" s="27"/>
      <c r="J6" s="27"/>
      <c r="L6" s="77" t="s">
        <v>122</v>
      </c>
      <c r="N6" s="29">
        <v>12</v>
      </c>
    </row>
    <row r="8" spans="1:15" ht="15.9" customHeight="1">
      <c r="B8" s="32"/>
      <c r="C8" s="33" t="s">
        <v>43</v>
      </c>
      <c r="D8" s="34" t="s">
        <v>44</v>
      </c>
      <c r="E8" s="35"/>
      <c r="F8" s="74" t="s">
        <v>45</v>
      </c>
      <c r="G8" s="75"/>
      <c r="H8" s="74" t="s">
        <v>46</v>
      </c>
      <c r="I8" s="75"/>
      <c r="J8" s="74" t="s">
        <v>47</v>
      </c>
      <c r="K8" s="75"/>
    </row>
    <row r="9" spans="1:15" ht="15.9" customHeight="1">
      <c r="B9" s="36" t="s">
        <v>48</v>
      </c>
      <c r="C9" s="37" t="s">
        <v>49</v>
      </c>
      <c r="D9" s="38" t="s">
        <v>50</v>
      </c>
      <c r="E9" s="39"/>
      <c r="F9" s="38" t="s">
        <v>6</v>
      </c>
      <c r="G9" s="39"/>
      <c r="H9" s="38" t="s">
        <v>6</v>
      </c>
      <c r="I9" s="39"/>
      <c r="J9" s="38" t="s">
        <v>6</v>
      </c>
      <c r="K9" s="39"/>
    </row>
    <row r="10" spans="1:15" ht="15.9" customHeight="1">
      <c r="A10" s="40" t="s">
        <v>51</v>
      </c>
      <c r="B10" s="41" t="s">
        <v>52</v>
      </c>
      <c r="C10" s="41" t="s">
        <v>53</v>
      </c>
      <c r="D10" s="42" t="s">
        <v>54</v>
      </c>
      <c r="E10" s="43" t="s">
        <v>53</v>
      </c>
      <c r="F10" s="42" t="s">
        <v>54</v>
      </c>
      <c r="G10" s="43" t="s">
        <v>53</v>
      </c>
      <c r="H10" s="42" t="s">
        <v>54</v>
      </c>
      <c r="I10" s="43" t="s">
        <v>53</v>
      </c>
      <c r="J10" s="42" t="s">
        <v>54</v>
      </c>
      <c r="K10" s="43" t="s">
        <v>53</v>
      </c>
    </row>
    <row r="12" spans="1:15">
      <c r="A12" s="29" t="s">
        <v>55</v>
      </c>
      <c r="B12" s="44">
        <v>145617</v>
      </c>
      <c r="C12" s="45">
        <v>1476556.3800000001</v>
      </c>
      <c r="D12" s="46">
        <v>10.14</v>
      </c>
      <c r="E12" s="45">
        <f>($B12*D12)</f>
        <v>1476556.3800000001</v>
      </c>
      <c r="F12" s="46">
        <v>13.06</v>
      </c>
      <c r="G12" s="45">
        <f>($B12*F12)</f>
        <v>1901758.02</v>
      </c>
      <c r="H12" s="46">
        <v>14.03</v>
      </c>
      <c r="I12" s="45">
        <f>($B12*H12)</f>
        <v>2043006.51</v>
      </c>
      <c r="J12" s="47">
        <v>15</v>
      </c>
      <c r="K12" s="45">
        <f>($B12*J12)</f>
        <v>2184255</v>
      </c>
      <c r="L12" s="72">
        <f>K12/(K12+K13)</f>
        <v>0.11418659269070748</v>
      </c>
    </row>
    <row r="13" spans="1:15">
      <c r="A13" s="29" t="s">
        <v>56</v>
      </c>
      <c r="B13" s="44">
        <v>195123986</v>
      </c>
      <c r="C13" s="44">
        <v>17289936.399459999</v>
      </c>
      <c r="D13" s="48">
        <v>8.8609999999999994E-2</v>
      </c>
      <c r="E13" s="44">
        <f>+B13*D13</f>
        <v>17289936.399459999</v>
      </c>
      <c r="F13" s="48">
        <v>8.9889999999999998E-2</v>
      </c>
      <c r="G13" s="44">
        <f>+B13*F13</f>
        <v>17539695.101539999</v>
      </c>
      <c r="H13" s="48">
        <v>9.0389999999999998E-2</v>
      </c>
      <c r="I13" s="44">
        <f>+B13*H13</f>
        <v>17637257.09454</v>
      </c>
      <c r="J13" s="49">
        <v>8.6840000000000001E-2</v>
      </c>
      <c r="K13" s="44">
        <f>+B13*J13</f>
        <v>16944566.94424</v>
      </c>
      <c r="L13" s="72">
        <f>1-L12</f>
        <v>0.88581340730929248</v>
      </c>
    </row>
    <row r="14" spans="1:15">
      <c r="A14" s="29" t="s">
        <v>57</v>
      </c>
      <c r="B14" s="44"/>
      <c r="C14" s="50">
        <v>10427</v>
      </c>
      <c r="E14" s="50">
        <f>+C14</f>
        <v>10427</v>
      </c>
      <c r="G14" s="50">
        <f>+E14</f>
        <v>10427</v>
      </c>
      <c r="I14" s="50">
        <f>+G14</f>
        <v>10427</v>
      </c>
      <c r="K14" s="50">
        <f>+I14</f>
        <v>10427</v>
      </c>
      <c r="N14" s="48" t="s">
        <v>58</v>
      </c>
    </row>
    <row r="15" spans="1:15">
      <c r="E15" s="44"/>
      <c r="G15" s="44"/>
      <c r="I15" s="44"/>
      <c r="K15" s="44"/>
      <c r="N15" s="44"/>
    </row>
    <row r="16" spans="1:15" ht="16.2" thickBot="1">
      <c r="A16" s="29" t="s">
        <v>59</v>
      </c>
      <c r="B16" s="44"/>
      <c r="C16" s="44">
        <v>18776919.779459998</v>
      </c>
      <c r="E16" s="51">
        <f>SUM(E12:E14)</f>
        <v>18776919.779459998</v>
      </c>
      <c r="G16" s="51">
        <f>SUM(G11:G14)</f>
        <v>19451880.121539999</v>
      </c>
      <c r="I16" s="51">
        <f>SUM(I11:I14)</f>
        <v>19690690.604540002</v>
      </c>
      <c r="K16" s="51">
        <f>SUM(K11:K14)</f>
        <v>19139248.94424</v>
      </c>
      <c r="N16" s="52"/>
      <c r="O16" s="52"/>
    </row>
    <row r="17" spans="1:15" ht="16.2" thickTop="1">
      <c r="B17" s="44"/>
      <c r="E17" s="44"/>
      <c r="G17" s="44"/>
      <c r="I17" s="44"/>
      <c r="K17" s="44"/>
    </row>
    <row r="18" spans="1:15">
      <c r="A18" s="29" t="s">
        <v>60</v>
      </c>
      <c r="B18" s="53"/>
      <c r="C18" s="44">
        <v>-817558.21000000008</v>
      </c>
      <c r="E18" s="44"/>
      <c r="G18" s="44"/>
      <c r="I18" s="44"/>
      <c r="K18" s="44"/>
      <c r="N18" s="46"/>
    </row>
    <row r="19" spans="1:15">
      <c r="A19" s="29" t="s">
        <v>61</v>
      </c>
      <c r="B19" s="44"/>
      <c r="C19" s="50">
        <v>2328108.35</v>
      </c>
      <c r="E19" s="44"/>
      <c r="G19" s="44"/>
      <c r="I19" s="44"/>
      <c r="K19" s="44"/>
    </row>
    <row r="20" spans="1:15">
      <c r="B20" s="44"/>
      <c r="E20" s="44"/>
      <c r="G20" s="44"/>
      <c r="I20" s="44"/>
      <c r="K20" s="44"/>
      <c r="O20" s="44"/>
    </row>
    <row r="21" spans="1:15" ht="16.2" thickBot="1">
      <c r="A21" s="29" t="s">
        <v>62</v>
      </c>
      <c r="B21" s="44"/>
      <c r="C21" s="51">
        <v>20287469.919459999</v>
      </c>
    </row>
    <row r="22" spans="1:15" ht="16.2" thickTop="1">
      <c r="E22" s="44"/>
      <c r="G22" s="44"/>
      <c r="I22" s="44"/>
      <c r="K22" s="44"/>
    </row>
    <row r="23" spans="1:15">
      <c r="A23" s="29" t="s">
        <v>63</v>
      </c>
      <c r="B23" s="44"/>
      <c r="E23" s="45">
        <f>(E16-C16)</f>
        <v>0</v>
      </c>
      <c r="G23" s="45">
        <f>G16-E16</f>
        <v>674960.34208000079</v>
      </c>
      <c r="I23" s="45">
        <f>I16-G16</f>
        <v>238810.4830000028</v>
      </c>
      <c r="K23" s="45">
        <f>K16-I16</f>
        <v>-551441.6603000015</v>
      </c>
      <c r="N23" s="45"/>
    </row>
    <row r="24" spans="1:15">
      <c r="A24" s="29" t="s">
        <v>11</v>
      </c>
      <c r="E24" s="54">
        <f>(E23/C16)</f>
        <v>0</v>
      </c>
      <c r="F24" s="54"/>
      <c r="G24" s="54">
        <f>(G23/E16)</f>
        <v>3.5946276066979706E-2</v>
      </c>
      <c r="H24" s="54"/>
      <c r="I24" s="54">
        <f>(I23/G16)</f>
        <v>1.2276987186218391E-2</v>
      </c>
      <c r="J24" s="54"/>
      <c r="K24" s="54">
        <f>(K23/I16)</f>
        <v>-2.8005196535506878E-2</v>
      </c>
      <c r="N24" s="45"/>
    </row>
    <row r="26" spans="1:15">
      <c r="A26" s="29" t="s">
        <v>64</v>
      </c>
      <c r="B26" s="44">
        <v>1339.9808126798382</v>
      </c>
      <c r="C26" s="46">
        <v>128.9473054619996</v>
      </c>
      <c r="D26" s="46"/>
      <c r="E26" s="46">
        <f>E16/$B12</f>
        <v>128.9473054619996</v>
      </c>
      <c r="F26" s="46"/>
      <c r="G26" s="46">
        <f>G16/$B12</f>
        <v>133.5824809022298</v>
      </c>
      <c r="H26" s="46"/>
      <c r="I26" s="46">
        <f>I16/$B12</f>
        <v>135.22247130856977</v>
      </c>
      <c r="J26" s="46"/>
      <c r="K26" s="46">
        <f>K16/$B12</f>
        <v>131.43553942355632</v>
      </c>
    </row>
    <row r="27" spans="1:15">
      <c r="A27" s="29" t="s">
        <v>63</v>
      </c>
      <c r="E27" s="46">
        <f>E26-C26</f>
        <v>0</v>
      </c>
      <c r="G27" s="46">
        <f>G26-E26</f>
        <v>4.6351754402301992</v>
      </c>
      <c r="I27" s="46">
        <f>I26-G26</f>
        <v>1.6399904063399617</v>
      </c>
      <c r="K27" s="46">
        <f>K26-I26</f>
        <v>-3.7869318850134448</v>
      </c>
    </row>
    <row r="28" spans="1:15">
      <c r="A28" s="29" t="s">
        <v>11</v>
      </c>
      <c r="E28" s="54">
        <f>E27/C26</f>
        <v>0</v>
      </c>
      <c r="G28" s="54">
        <f>G27/E26</f>
        <v>3.594627606697972E-2</v>
      </c>
      <c r="I28" s="54">
        <f>I27/G26</f>
        <v>1.2276987186218566E-2</v>
      </c>
      <c r="K28" s="54">
        <f>K27/I26</f>
        <v>-2.800519653550694E-2</v>
      </c>
    </row>
    <row r="31" spans="1:15">
      <c r="A31" s="27" t="str">
        <f>A1</f>
        <v>Shelby Energy Cooperative, Inc.</v>
      </c>
      <c r="B31" s="27"/>
      <c r="C31" s="27"/>
      <c r="D31" s="27"/>
      <c r="E31" s="27"/>
      <c r="F31" s="27"/>
      <c r="G31" s="28"/>
      <c r="H31" s="27"/>
      <c r="I31" s="28"/>
      <c r="J31" s="27"/>
      <c r="K31" s="28" t="s">
        <v>34</v>
      </c>
    </row>
    <row r="32" spans="1:15">
      <c r="A32" s="27" t="str">
        <f>A2</f>
        <v>Case No.  2016-00434</v>
      </c>
      <c r="B32" s="27"/>
      <c r="C32" s="27"/>
      <c r="D32" s="27"/>
      <c r="E32" s="27"/>
      <c r="F32" s="27"/>
      <c r="G32" s="28"/>
      <c r="H32" s="27"/>
      <c r="I32" s="28"/>
      <c r="J32" s="27"/>
      <c r="K32" s="30" t="s">
        <v>36</v>
      </c>
    </row>
    <row r="33" spans="1:15">
      <c r="A33" s="27" t="s">
        <v>37</v>
      </c>
      <c r="B33" s="27"/>
      <c r="C33" s="27"/>
      <c r="D33" s="27"/>
      <c r="E33" s="27"/>
      <c r="F33" s="27"/>
      <c r="G33" s="28"/>
      <c r="H33" s="27"/>
      <c r="I33" s="28"/>
      <c r="J33" s="27"/>
      <c r="K33" s="28" t="s">
        <v>65</v>
      </c>
    </row>
    <row r="34" spans="1:15">
      <c r="A34" s="27" t="str">
        <f>A4</f>
        <v>July 31, 2016</v>
      </c>
      <c r="B34" s="27"/>
      <c r="C34" s="27"/>
      <c r="D34" s="27"/>
      <c r="E34" s="27"/>
      <c r="F34" s="27"/>
      <c r="H34" s="27"/>
      <c r="J34" s="27"/>
      <c r="K34" s="28" t="s">
        <v>40</v>
      </c>
    </row>
    <row r="35" spans="1:15">
      <c r="A35" s="27" t="s">
        <v>41</v>
      </c>
      <c r="B35" s="27"/>
      <c r="C35" s="27"/>
      <c r="D35" s="27"/>
      <c r="E35" s="27"/>
      <c r="F35" s="27"/>
      <c r="G35" s="44"/>
      <c r="H35" s="27"/>
      <c r="I35" s="44"/>
      <c r="J35" s="27"/>
      <c r="K35" s="44"/>
    </row>
    <row r="36" spans="1:15">
      <c r="A36" s="27" t="s">
        <v>66</v>
      </c>
      <c r="B36" s="27"/>
      <c r="C36" s="27"/>
      <c r="D36" s="27"/>
      <c r="E36" s="27"/>
      <c r="F36" s="27"/>
      <c r="H36" s="27"/>
      <c r="J36" s="27"/>
      <c r="N36" s="29">
        <v>9</v>
      </c>
    </row>
    <row r="38" spans="1:15">
      <c r="B38" s="32"/>
      <c r="C38" s="33" t="s">
        <v>43</v>
      </c>
      <c r="D38" s="34" t="s">
        <v>44</v>
      </c>
      <c r="E38" s="35"/>
      <c r="F38" s="74" t="s">
        <v>45</v>
      </c>
      <c r="G38" s="75"/>
      <c r="H38" s="74" t="s">
        <v>46</v>
      </c>
      <c r="I38" s="75"/>
      <c r="J38" s="74" t="s">
        <v>47</v>
      </c>
      <c r="K38" s="75"/>
    </row>
    <row r="39" spans="1:15">
      <c r="B39" s="36" t="s">
        <v>48</v>
      </c>
      <c r="C39" s="37" t="s">
        <v>49</v>
      </c>
      <c r="D39" s="38" t="str">
        <f>+D9</f>
        <v>2010-00509</v>
      </c>
      <c r="E39" s="39"/>
      <c r="F39" s="38" t="s">
        <v>6</v>
      </c>
      <c r="G39" s="39"/>
      <c r="H39" s="38" t="s">
        <v>6</v>
      </c>
      <c r="I39" s="39"/>
      <c r="J39" s="38" t="s">
        <v>6</v>
      </c>
      <c r="K39" s="39"/>
    </row>
    <row r="40" spans="1:15">
      <c r="A40" s="40" t="s">
        <v>51</v>
      </c>
      <c r="B40" s="41" t="s">
        <v>52</v>
      </c>
      <c r="C40" s="41" t="s">
        <v>53</v>
      </c>
      <c r="D40" s="42" t="s">
        <v>54</v>
      </c>
      <c r="E40" s="43" t="s">
        <v>53</v>
      </c>
      <c r="F40" s="42" t="s">
        <v>54</v>
      </c>
      <c r="G40" s="43" t="s">
        <v>53</v>
      </c>
      <c r="H40" s="42" t="s">
        <v>54</v>
      </c>
      <c r="I40" s="43" t="s">
        <v>53</v>
      </c>
      <c r="J40" s="42" t="s">
        <v>54</v>
      </c>
      <c r="K40" s="43" t="s">
        <v>53</v>
      </c>
    </row>
    <row r="42" spans="1:15">
      <c r="A42" s="29" t="s">
        <v>55</v>
      </c>
      <c r="B42" s="44">
        <v>667</v>
      </c>
      <c r="C42" s="45"/>
      <c r="D42" s="46"/>
      <c r="E42" s="45"/>
      <c r="F42" s="46"/>
      <c r="G42" s="45"/>
      <c r="H42" s="46"/>
      <c r="I42" s="45"/>
      <c r="J42" s="46"/>
      <c r="K42" s="45"/>
    </row>
    <row r="43" spans="1:15">
      <c r="A43" s="29" t="s">
        <v>56</v>
      </c>
      <c r="B43" s="44">
        <v>253124</v>
      </c>
      <c r="C43" s="50">
        <v>15486.126319999999</v>
      </c>
      <c r="D43" s="48">
        <v>6.1179999999999998E-2</v>
      </c>
      <c r="E43" s="50">
        <f>+B43*D43</f>
        <v>15486.126319999999</v>
      </c>
      <c r="F43" s="48">
        <v>6.216E-2</v>
      </c>
      <c r="G43" s="50">
        <f>+B43*F43</f>
        <v>15734.187840000001</v>
      </c>
      <c r="H43" s="48">
        <v>6.2480000000000001E-2</v>
      </c>
      <c r="I43" s="50">
        <f>+B43*H43</f>
        <v>15815.187519999999</v>
      </c>
      <c r="J43" s="49">
        <v>5.8770000000000003E-2</v>
      </c>
      <c r="K43" s="50">
        <f>+B43*J43</f>
        <v>14876.09748</v>
      </c>
    </row>
    <row r="44" spans="1:15">
      <c r="G44" s="44"/>
      <c r="I44" s="44"/>
      <c r="K44" s="44"/>
    </row>
    <row r="45" spans="1:15">
      <c r="D45" s="46"/>
      <c r="E45" s="44"/>
      <c r="G45" s="44"/>
      <c r="I45" s="44"/>
      <c r="K45" s="44"/>
    </row>
    <row r="46" spans="1:15" ht="16.2" thickBot="1">
      <c r="A46" s="29" t="s">
        <v>59</v>
      </c>
      <c r="B46" s="44"/>
      <c r="C46" s="44">
        <v>15486.126319999999</v>
      </c>
      <c r="E46" s="51">
        <f>SUM(E41:E44)</f>
        <v>15486.126319999999</v>
      </c>
      <c r="G46" s="51">
        <f>SUM(G41:G44)</f>
        <v>15734.187840000001</v>
      </c>
      <c r="I46" s="51">
        <f>SUM(I41:I44)</f>
        <v>15815.187519999999</v>
      </c>
      <c r="K46" s="51">
        <f>SUM(K41:K44)</f>
        <v>14876.09748</v>
      </c>
      <c r="N46" s="52"/>
      <c r="O46" s="52"/>
    </row>
    <row r="47" spans="1:15" ht="16.2" thickTop="1">
      <c r="B47" s="44"/>
      <c r="E47" s="44"/>
      <c r="G47" s="44"/>
      <c r="I47" s="44"/>
      <c r="K47" s="44"/>
    </row>
    <row r="48" spans="1:15">
      <c r="A48" s="29" t="s">
        <v>60</v>
      </c>
      <c r="B48" s="55"/>
      <c r="C48" s="44">
        <v>-935.69000000000017</v>
      </c>
      <c r="E48" s="44"/>
      <c r="G48" s="44"/>
      <c r="I48" s="44"/>
      <c r="K48" s="44"/>
    </row>
    <row r="49" spans="1:11">
      <c r="A49" s="29" t="s">
        <v>61</v>
      </c>
      <c r="B49" s="44"/>
      <c r="C49" s="50">
        <v>1887.6599999999999</v>
      </c>
      <c r="E49" s="44"/>
      <c r="G49" s="44"/>
      <c r="I49" s="44"/>
      <c r="K49" s="44"/>
    </row>
    <row r="50" spans="1:11">
      <c r="B50" s="44"/>
      <c r="E50" s="44"/>
      <c r="G50" s="44"/>
      <c r="I50" s="44"/>
      <c r="K50" s="44"/>
    </row>
    <row r="51" spans="1:11" ht="16.2" thickBot="1">
      <c r="A51" s="29" t="s">
        <v>62</v>
      </c>
      <c r="B51" s="44"/>
      <c r="C51" s="51">
        <v>16438.096319999997</v>
      </c>
    </row>
    <row r="52" spans="1:11" ht="16.2" thickTop="1">
      <c r="E52" s="44"/>
      <c r="G52" s="44"/>
      <c r="I52" s="44"/>
      <c r="K52" s="44"/>
    </row>
    <row r="53" spans="1:11">
      <c r="A53" s="29" t="s">
        <v>63</v>
      </c>
      <c r="B53" s="44"/>
      <c r="E53" s="45">
        <f>(E46-C46)</f>
        <v>0</v>
      </c>
      <c r="G53" s="45">
        <f>G46-E46</f>
        <v>248.06152000000111</v>
      </c>
      <c r="I53" s="45">
        <f>I46-G46</f>
        <v>80.999679999998989</v>
      </c>
      <c r="K53" s="45">
        <f>K46-I46</f>
        <v>-939.09003999999914</v>
      </c>
    </row>
    <row r="54" spans="1:11">
      <c r="A54" s="29" t="s">
        <v>11</v>
      </c>
      <c r="E54" s="54">
        <f>(E53/C46)</f>
        <v>0</v>
      </c>
      <c r="F54" s="54"/>
      <c r="G54" s="54">
        <f>(G53/E46)</f>
        <v>1.601830663615568E-2</v>
      </c>
      <c r="H54" s="54"/>
      <c r="I54" s="54">
        <f>(I53/G46)</f>
        <v>5.1480051480050837E-3</v>
      </c>
      <c r="J54" s="54"/>
      <c r="K54" s="54">
        <f>(K53/I46)</f>
        <v>-5.9379001280409675E-2</v>
      </c>
    </row>
    <row r="56" spans="1:11">
      <c r="A56" s="29" t="s">
        <v>64</v>
      </c>
      <c r="B56" s="44">
        <v>379.49625187406298</v>
      </c>
      <c r="C56" s="46">
        <v>23.217580689655172</v>
      </c>
      <c r="D56" s="46"/>
      <c r="E56" s="46">
        <f>E46/$B42</f>
        <v>23.217580689655172</v>
      </c>
      <c r="F56" s="46"/>
      <c r="G56" s="46">
        <f>G46/$B42</f>
        <v>23.589487016491756</v>
      </c>
      <c r="H56" s="46"/>
      <c r="I56" s="46">
        <f>I46/$B42</f>
        <v>23.710925817091454</v>
      </c>
      <c r="J56" s="46"/>
      <c r="K56" s="46">
        <f>K46/$B42</f>
        <v>22.30299472263868</v>
      </c>
    </row>
    <row r="57" spans="1:11">
      <c r="A57" s="29" t="s">
        <v>63</v>
      </c>
      <c r="E57" s="46">
        <f>E56-C56</f>
        <v>0</v>
      </c>
      <c r="G57" s="46">
        <f>G56-E56</f>
        <v>0.37190632683658364</v>
      </c>
      <c r="I57" s="46">
        <f>I56-G56</f>
        <v>0.12143880059969803</v>
      </c>
      <c r="K57" s="46">
        <f>K56-I56</f>
        <v>-1.4079310944527741</v>
      </c>
    </row>
    <row r="58" spans="1:11">
      <c r="A58" s="29" t="s">
        <v>11</v>
      </c>
      <c r="E58" s="54">
        <f>E57/C56</f>
        <v>0</v>
      </c>
      <c r="G58" s="54">
        <f>G57/E56</f>
        <v>1.601830663615569E-2</v>
      </c>
      <c r="I58" s="54">
        <f>I57/G56</f>
        <v>5.1480051480050576E-3</v>
      </c>
      <c r="K58" s="54">
        <f>K57/I56</f>
        <v>-5.9379001280409752E-2</v>
      </c>
    </row>
    <row r="60" spans="1:11">
      <c r="A60" s="27" t="str">
        <f>+A1</f>
        <v>Shelby Energy Cooperative, Inc.</v>
      </c>
      <c r="B60" s="27"/>
      <c r="C60" s="27"/>
      <c r="D60" s="27"/>
      <c r="E60" s="27"/>
      <c r="F60" s="27"/>
      <c r="G60" s="28"/>
      <c r="H60" s="27"/>
      <c r="I60" s="28"/>
      <c r="J60" s="27"/>
      <c r="K60" s="28" t="s">
        <v>34</v>
      </c>
    </row>
    <row r="61" spans="1:11">
      <c r="A61" s="27" t="str">
        <f>+A2</f>
        <v>Case No.  2016-00434</v>
      </c>
      <c r="B61" s="27"/>
      <c r="C61" s="27"/>
      <c r="D61" s="27"/>
      <c r="E61" s="27"/>
      <c r="F61" s="27"/>
      <c r="G61" s="28"/>
      <c r="H61" s="27"/>
      <c r="I61" s="28"/>
      <c r="J61" s="27"/>
      <c r="K61" s="30" t="s">
        <v>36</v>
      </c>
    </row>
    <row r="62" spans="1:11">
      <c r="A62" s="27" t="str">
        <f>+A3</f>
        <v>Billing Analysis</v>
      </c>
      <c r="B62" s="27"/>
      <c r="C62" s="27"/>
      <c r="D62" s="27"/>
      <c r="E62" s="27"/>
      <c r="F62" s="27"/>
      <c r="G62" s="28"/>
      <c r="H62" s="27"/>
      <c r="I62" s="28"/>
      <c r="J62" s="27"/>
      <c r="K62" s="28" t="s">
        <v>67</v>
      </c>
    </row>
    <row r="63" spans="1:11">
      <c r="A63" s="27" t="str">
        <f>+A4</f>
        <v>July 31, 2016</v>
      </c>
      <c r="B63" s="27"/>
      <c r="C63" s="27"/>
      <c r="D63" s="27"/>
      <c r="E63" s="27"/>
      <c r="F63" s="27"/>
      <c r="H63" s="27"/>
      <c r="J63" s="27"/>
      <c r="K63" s="28" t="s">
        <v>40</v>
      </c>
    </row>
    <row r="64" spans="1:11">
      <c r="A64" s="27" t="s">
        <v>41</v>
      </c>
      <c r="B64" s="27"/>
      <c r="C64" s="27"/>
      <c r="D64" s="27"/>
      <c r="E64" s="27"/>
      <c r="F64" s="27"/>
      <c r="G64" s="44"/>
      <c r="H64" s="27"/>
      <c r="I64" s="44"/>
      <c r="J64" s="27"/>
      <c r="K64" s="44"/>
    </row>
    <row r="65" spans="1:15">
      <c r="A65" s="27" t="s">
        <v>68</v>
      </c>
      <c r="B65" s="27"/>
      <c r="C65" s="27"/>
      <c r="D65" s="27"/>
      <c r="E65" s="27"/>
      <c r="F65" s="27"/>
      <c r="H65" s="27"/>
      <c r="J65" s="27"/>
    </row>
    <row r="67" spans="1:15">
      <c r="B67" s="32"/>
      <c r="C67" s="33" t="s">
        <v>43</v>
      </c>
      <c r="D67" s="34" t="s">
        <v>44</v>
      </c>
      <c r="E67" s="35"/>
      <c r="F67" s="74" t="s">
        <v>45</v>
      </c>
      <c r="G67" s="75"/>
      <c r="H67" s="74" t="s">
        <v>46</v>
      </c>
      <c r="I67" s="75"/>
      <c r="J67" s="74" t="s">
        <v>47</v>
      </c>
      <c r="K67" s="75"/>
    </row>
    <row r="68" spans="1:15">
      <c r="B68" s="36" t="s">
        <v>48</v>
      </c>
      <c r="C68" s="37" t="s">
        <v>49</v>
      </c>
      <c r="D68" s="38" t="str">
        <f>+D9</f>
        <v>2010-00509</v>
      </c>
      <c r="E68" s="39"/>
      <c r="F68" s="38" t="s">
        <v>6</v>
      </c>
      <c r="G68" s="39"/>
      <c r="H68" s="38" t="s">
        <v>6</v>
      </c>
      <c r="I68" s="39"/>
      <c r="J68" s="38" t="s">
        <v>6</v>
      </c>
      <c r="K68" s="39"/>
    </row>
    <row r="69" spans="1:15">
      <c r="A69" s="40" t="s">
        <v>51</v>
      </c>
      <c r="B69" s="41" t="s">
        <v>52</v>
      </c>
      <c r="C69" s="41" t="s">
        <v>53</v>
      </c>
      <c r="D69" s="42" t="s">
        <v>54</v>
      </c>
      <c r="E69" s="43" t="s">
        <v>53</v>
      </c>
      <c r="F69" s="42" t="s">
        <v>54</v>
      </c>
      <c r="G69" s="43" t="s">
        <v>53</v>
      </c>
      <c r="H69" s="42" t="s">
        <v>54</v>
      </c>
      <c r="I69" s="43" t="s">
        <v>53</v>
      </c>
      <c r="J69" s="42" t="s">
        <v>54</v>
      </c>
      <c r="K69" s="43" t="s">
        <v>53</v>
      </c>
    </row>
    <row r="71" spans="1:15">
      <c r="A71" s="29" t="s">
        <v>69</v>
      </c>
      <c r="B71" s="44">
        <v>7166</v>
      </c>
      <c r="C71" s="45">
        <v>51896</v>
      </c>
      <c r="D71" s="56">
        <v>0.33800000000000002</v>
      </c>
      <c r="E71" s="45">
        <v>51896</v>
      </c>
      <c r="F71" s="57">
        <v>0.435</v>
      </c>
      <c r="G71" s="45">
        <f>($B71*F71)*30</f>
        <v>93516.3</v>
      </c>
      <c r="H71" s="57">
        <v>0.46800000000000003</v>
      </c>
      <c r="I71" s="45">
        <f>($B71*H71)*30</f>
        <v>100610.64</v>
      </c>
      <c r="J71" s="57">
        <v>0.5</v>
      </c>
      <c r="K71" s="45">
        <f>($B71*J71)*30</f>
        <v>107490</v>
      </c>
      <c r="L71" s="52">
        <f>+C71/D71</f>
        <v>153538.46153846153</v>
      </c>
      <c r="N71" s="29" t="s">
        <v>70</v>
      </c>
    </row>
    <row r="72" spans="1:15">
      <c r="A72" s="29" t="s">
        <v>56</v>
      </c>
      <c r="B72" s="44">
        <v>9471107</v>
      </c>
      <c r="C72" s="44">
        <v>839235</v>
      </c>
      <c r="D72" s="48">
        <v>8.8609999999999994E-2</v>
      </c>
      <c r="E72" s="44">
        <f>+B72*D72</f>
        <v>839234.79126999993</v>
      </c>
      <c r="F72" s="48">
        <f>+F13</f>
        <v>8.9889999999999998E-2</v>
      </c>
      <c r="G72" s="44">
        <f>+$B72*F72</f>
        <v>851357.80822999997</v>
      </c>
      <c r="H72" s="48">
        <v>9.0389999999999998E-2</v>
      </c>
      <c r="I72" s="44">
        <f>+$B72*H72</f>
        <v>856093.36173</v>
      </c>
      <c r="J72" s="49">
        <v>8.6840000000000001E-2</v>
      </c>
      <c r="K72" s="44">
        <f>+$B72*J72</f>
        <v>822470.93188000005</v>
      </c>
      <c r="N72" s="29" t="s">
        <v>71</v>
      </c>
    </row>
    <row r="73" spans="1:15">
      <c r="A73" s="29" t="s">
        <v>72</v>
      </c>
      <c r="B73" s="44">
        <v>7166</v>
      </c>
      <c r="C73" s="50">
        <v>15354</v>
      </c>
      <c r="D73" s="56">
        <v>0.1</v>
      </c>
      <c r="E73" s="50">
        <v>15354</v>
      </c>
      <c r="F73" s="56">
        <v>0.1</v>
      </c>
      <c r="G73" s="50">
        <f>($B74*F73*365)</f>
        <v>21796.583333333336</v>
      </c>
      <c r="H73" s="56">
        <v>0.1</v>
      </c>
      <c r="I73" s="50">
        <f>($B74*H73*365)</f>
        <v>21796.583333333336</v>
      </c>
      <c r="J73" s="56">
        <v>0.1</v>
      </c>
      <c r="K73" s="50">
        <f>($B74*J73*365)</f>
        <v>21796.583333333336</v>
      </c>
    </row>
    <row r="74" spans="1:15">
      <c r="A74" s="29" t="s">
        <v>73</v>
      </c>
      <c r="B74" s="58">
        <v>597.16666666666663</v>
      </c>
      <c r="G74" s="44"/>
      <c r="I74" s="44"/>
      <c r="K74" s="44"/>
    </row>
    <row r="75" spans="1:15">
      <c r="E75" s="44"/>
      <c r="G75" s="44"/>
      <c r="I75" s="44"/>
      <c r="K75" s="44"/>
    </row>
    <row r="76" spans="1:15" ht="16.2" thickBot="1">
      <c r="A76" s="29" t="s">
        <v>59</v>
      </c>
      <c r="B76" s="44"/>
      <c r="C76" s="44">
        <v>906485</v>
      </c>
      <c r="E76" s="51">
        <f>SUM(E70:E74)</f>
        <v>906484.79126999993</v>
      </c>
      <c r="G76" s="51">
        <f>SUM(G70:G74)</f>
        <v>966670.69156333338</v>
      </c>
      <c r="I76" s="51">
        <f>SUM(I70:I74)</f>
        <v>978500.58506333339</v>
      </c>
      <c r="K76" s="51">
        <f>SUM(K70:K74)</f>
        <v>951757.51521333342</v>
      </c>
      <c r="N76" s="52"/>
      <c r="O76" s="52"/>
    </row>
    <row r="77" spans="1:15" ht="16.2" thickTop="1">
      <c r="B77" s="44"/>
      <c r="E77" s="44"/>
      <c r="G77" s="44"/>
      <c r="I77" s="44"/>
      <c r="K77" s="44"/>
    </row>
    <row r="78" spans="1:15">
      <c r="A78" s="29" t="s">
        <v>60</v>
      </c>
      <c r="B78" s="55"/>
      <c r="C78" s="44">
        <v>-43891.039999999994</v>
      </c>
      <c r="E78" s="44"/>
      <c r="G78" s="44"/>
      <c r="I78" s="44"/>
      <c r="K78" s="44"/>
    </row>
    <row r="79" spans="1:15">
      <c r="A79" s="29" t="s">
        <v>61</v>
      </c>
      <c r="B79" s="44"/>
      <c r="C79" s="50">
        <v>113313.443</v>
      </c>
      <c r="E79" s="44"/>
      <c r="G79" s="44"/>
      <c r="I79" s="44"/>
      <c r="K79" s="44"/>
    </row>
    <row r="80" spans="1:15">
      <c r="B80" s="44"/>
      <c r="E80" s="44"/>
      <c r="G80" s="44"/>
      <c r="I80" s="44"/>
      <c r="K80" s="44"/>
    </row>
    <row r="81" spans="1:16" ht="16.2" thickBot="1">
      <c r="A81" s="29" t="s">
        <v>62</v>
      </c>
      <c r="B81" s="44"/>
      <c r="C81" s="51">
        <v>975907.40299999993</v>
      </c>
    </row>
    <row r="82" spans="1:16" ht="16.2" thickTop="1">
      <c r="E82" s="44"/>
      <c r="G82" s="44"/>
      <c r="I82" s="44"/>
      <c r="K82" s="44"/>
    </row>
    <row r="83" spans="1:16">
      <c r="A83" s="29" t="s">
        <v>63</v>
      </c>
      <c r="B83" s="44"/>
      <c r="E83" s="45">
        <f>(E76-C76)</f>
        <v>-0.20873000007122755</v>
      </c>
      <c r="G83" s="45">
        <f>G76-E76</f>
        <v>60185.900293333456</v>
      </c>
      <c r="I83" s="45">
        <f>I76-G76</f>
        <v>11829.893500000006</v>
      </c>
      <c r="K83" s="45">
        <f>K76-I76</f>
        <v>-26743.069849999971</v>
      </c>
    </row>
    <row r="84" spans="1:16">
      <c r="A84" s="29" t="s">
        <v>11</v>
      </c>
      <c r="E84" s="54">
        <f>(E83/C76)</f>
        <v>-2.3026304910862016E-7</v>
      </c>
      <c r="F84" s="54"/>
      <c r="G84" s="54">
        <f>(G83/E76)</f>
        <v>6.6394826336812596E-2</v>
      </c>
      <c r="H84" s="54"/>
      <c r="I84" s="54">
        <f>(I83/G76)</f>
        <v>1.2237769907835202E-2</v>
      </c>
      <c r="J84" s="54"/>
      <c r="K84" s="54">
        <f>(K83/I76)</f>
        <v>-2.7330663116843235E-2</v>
      </c>
    </row>
    <row r="86" spans="1:16">
      <c r="A86" s="29" t="s">
        <v>64</v>
      </c>
      <c r="B86" s="44">
        <v>1322</v>
      </c>
      <c r="C86" s="46">
        <v>126.49804632989115</v>
      </c>
      <c r="D86" s="46"/>
      <c r="E86" s="46">
        <f>+E76/B71</f>
        <v>126.4980172020653</v>
      </c>
      <c r="F86" s="46"/>
      <c r="G86" s="46">
        <f>+G76/$B$71</f>
        <v>134.89683108614756</v>
      </c>
      <c r="H86" s="46"/>
      <c r="I86" s="46">
        <f>+I76/$B$71</f>
        <v>136.54766746627595</v>
      </c>
      <c r="J86" s="46"/>
      <c r="K86" s="46">
        <f>+K76/$B$71</f>
        <v>132.81572916736442</v>
      </c>
    </row>
    <row r="87" spans="1:16">
      <c r="A87" s="29" t="s">
        <v>63</v>
      </c>
      <c r="E87" s="46">
        <f>E86-C86</f>
        <v>-2.9127825854402545E-5</v>
      </c>
      <c r="G87" s="46">
        <f>G86-E86</f>
        <v>8.3988138840822586</v>
      </c>
      <c r="I87" s="46">
        <f>I86-G86</f>
        <v>1.6508363801283963</v>
      </c>
      <c r="K87" s="46">
        <f>K86-I86</f>
        <v>-3.7319382989115297</v>
      </c>
    </row>
    <row r="88" spans="1:16">
      <c r="A88" s="29" t="s">
        <v>11</v>
      </c>
      <c r="E88" s="54">
        <f>E87/C86</f>
        <v>-2.3026304911018786E-7</v>
      </c>
      <c r="G88" s="54">
        <f>G87/E86</f>
        <v>6.6394826336812596E-2</v>
      </c>
      <c r="I88" s="54">
        <f>I87/G86</f>
        <v>1.2237769907835287E-2</v>
      </c>
      <c r="K88" s="54">
        <f>K87/I86</f>
        <v>-2.7330663116843283E-2</v>
      </c>
    </row>
    <row r="90" spans="1:16">
      <c r="A90" s="27" t="s">
        <v>33</v>
      </c>
      <c r="B90" s="27"/>
      <c r="C90" s="27"/>
      <c r="D90" s="27"/>
      <c r="E90" s="27"/>
      <c r="F90" s="27"/>
      <c r="G90" s="28"/>
      <c r="H90" s="27"/>
      <c r="I90" s="28"/>
      <c r="J90" s="27"/>
      <c r="K90" s="28" t="s">
        <v>34</v>
      </c>
    </row>
    <row r="91" spans="1:16">
      <c r="A91" s="27" t="s">
        <v>74</v>
      </c>
      <c r="B91" s="27"/>
      <c r="C91" s="27"/>
      <c r="D91" s="27"/>
      <c r="E91" s="27"/>
      <c r="F91" s="27"/>
      <c r="G91" s="28"/>
      <c r="H91" s="27"/>
      <c r="I91" s="28"/>
      <c r="J91" s="27"/>
      <c r="K91" s="30" t="s">
        <v>36</v>
      </c>
    </row>
    <row r="92" spans="1:16">
      <c r="A92" s="27" t="s">
        <v>37</v>
      </c>
      <c r="B92" s="27"/>
      <c r="C92" s="27"/>
      <c r="D92" s="27"/>
      <c r="E92" s="27"/>
      <c r="F92" s="27"/>
      <c r="G92" s="28"/>
      <c r="H92" s="27"/>
      <c r="I92" s="28"/>
      <c r="J92" s="27"/>
      <c r="K92" s="28" t="s">
        <v>75</v>
      </c>
    </row>
    <row r="93" spans="1:16">
      <c r="A93" s="59" t="s">
        <v>76</v>
      </c>
      <c r="B93" s="27"/>
      <c r="C93" s="27"/>
      <c r="D93" s="27"/>
      <c r="E93" s="27"/>
      <c r="F93" s="27"/>
      <c r="H93" s="27"/>
      <c r="J93" s="27"/>
      <c r="K93" s="28" t="s">
        <v>40</v>
      </c>
      <c r="N93" s="28" t="s">
        <v>12</v>
      </c>
      <c r="O93" s="29">
        <v>10</v>
      </c>
    </row>
    <row r="94" spans="1:16">
      <c r="A94" s="27" t="s">
        <v>41</v>
      </c>
      <c r="B94" s="27"/>
      <c r="C94" s="27"/>
      <c r="D94" s="27"/>
      <c r="E94" s="27"/>
      <c r="F94" s="27"/>
      <c r="H94" s="27"/>
      <c r="J94" s="27"/>
      <c r="N94" s="28" t="s">
        <v>12</v>
      </c>
      <c r="O94" s="29">
        <v>11</v>
      </c>
    </row>
    <row r="95" spans="1:16">
      <c r="A95" s="27" t="s">
        <v>77</v>
      </c>
      <c r="B95" s="27"/>
      <c r="C95" s="27"/>
      <c r="D95" s="27"/>
      <c r="E95" s="27"/>
      <c r="F95" s="27"/>
      <c r="H95" s="27"/>
      <c r="J95" s="27"/>
      <c r="N95" s="28" t="s">
        <v>12</v>
      </c>
      <c r="O95" s="29">
        <v>13</v>
      </c>
      <c r="P95" s="29" t="s">
        <v>78</v>
      </c>
    </row>
    <row r="96" spans="1:16">
      <c r="N96" s="28" t="s">
        <v>12</v>
      </c>
      <c r="O96" s="29">
        <v>23</v>
      </c>
      <c r="P96" s="29" t="s">
        <v>79</v>
      </c>
    </row>
    <row r="97" spans="1:15">
      <c r="B97" s="32"/>
      <c r="C97" s="33" t="s">
        <v>43</v>
      </c>
      <c r="D97" s="34" t="s">
        <v>44</v>
      </c>
      <c r="E97" s="35"/>
      <c r="F97" s="74" t="s">
        <v>45</v>
      </c>
      <c r="G97" s="75"/>
      <c r="H97" s="74" t="s">
        <v>46</v>
      </c>
      <c r="I97" s="75"/>
      <c r="J97" s="74" t="s">
        <v>47</v>
      </c>
      <c r="K97" s="75"/>
    </row>
    <row r="98" spans="1:15">
      <c r="B98" s="36" t="s">
        <v>48</v>
      </c>
      <c r="C98" s="37" t="s">
        <v>49</v>
      </c>
      <c r="D98" s="38" t="str">
        <f>+D9</f>
        <v>2010-00509</v>
      </c>
      <c r="E98" s="39"/>
      <c r="F98" s="38" t="s">
        <v>6</v>
      </c>
      <c r="G98" s="39"/>
      <c r="H98" s="38" t="s">
        <v>6</v>
      </c>
      <c r="I98" s="39"/>
      <c r="J98" s="38" t="s">
        <v>6</v>
      </c>
      <c r="K98" s="39"/>
    </row>
    <row r="99" spans="1:15">
      <c r="A99" s="40" t="s">
        <v>51</v>
      </c>
      <c r="B99" s="41" t="s">
        <v>52</v>
      </c>
      <c r="C99" s="41" t="s">
        <v>53</v>
      </c>
      <c r="D99" s="42" t="s">
        <v>54</v>
      </c>
      <c r="E99" s="43" t="s">
        <v>53</v>
      </c>
      <c r="F99" s="42" t="s">
        <v>54</v>
      </c>
      <c r="G99" s="43" t="s">
        <v>53</v>
      </c>
      <c r="H99" s="42" t="s">
        <v>54</v>
      </c>
      <c r="I99" s="43" t="s">
        <v>53</v>
      </c>
      <c r="J99" s="42" t="s">
        <v>54</v>
      </c>
      <c r="K99" s="43" t="s">
        <v>53</v>
      </c>
    </row>
    <row r="101" spans="1:15">
      <c r="A101" s="29" t="s">
        <v>55</v>
      </c>
    </row>
    <row r="102" spans="1:15">
      <c r="A102" s="29" t="s">
        <v>80</v>
      </c>
      <c r="B102" s="44">
        <v>35906</v>
      </c>
      <c r="C102" s="45">
        <v>467855.18</v>
      </c>
      <c r="D102" s="46">
        <v>13.03</v>
      </c>
      <c r="E102" s="45">
        <f>($B102*D102)</f>
        <v>467855.18</v>
      </c>
      <c r="F102" s="46">
        <v>16.010000000000002</v>
      </c>
      <c r="G102" s="45">
        <f>($B102*F102)</f>
        <v>574855.06000000006</v>
      </c>
      <c r="H102" s="46">
        <v>17.010000000000002</v>
      </c>
      <c r="I102" s="45">
        <f>($B102*H102)</f>
        <v>610761.06000000006</v>
      </c>
      <c r="J102" s="47">
        <v>18</v>
      </c>
      <c r="K102" s="45">
        <f>($B102*J102)</f>
        <v>646308</v>
      </c>
      <c r="L102" s="72">
        <f>K102/SUM(K102:K105)</f>
        <v>0.18011407642461161</v>
      </c>
    </row>
    <row r="103" spans="1:15">
      <c r="A103" s="29" t="s">
        <v>81</v>
      </c>
      <c r="B103" s="44">
        <v>2778</v>
      </c>
      <c r="C103" s="44">
        <v>94118.640000000014</v>
      </c>
      <c r="D103" s="46">
        <v>33.880000000000003</v>
      </c>
      <c r="E103" s="44">
        <f>($B103*D103)</f>
        <v>94118.640000000014</v>
      </c>
      <c r="F103" s="46">
        <v>37.549999999999997</v>
      </c>
      <c r="G103" s="44">
        <f>($B103*F103)</f>
        <v>104313.9</v>
      </c>
      <c r="H103" s="46">
        <v>38.78</v>
      </c>
      <c r="I103" s="44">
        <f>($B103*H103)</f>
        <v>107730.84</v>
      </c>
      <c r="J103" s="47">
        <v>40</v>
      </c>
      <c r="K103" s="44">
        <f>($B103*J103)</f>
        <v>111120</v>
      </c>
      <c r="L103" s="72">
        <f>K103/SUM(K102:K105)</f>
        <v>3.096708716633995E-2</v>
      </c>
    </row>
    <row r="104" spans="1:15">
      <c r="A104" s="29" t="s">
        <v>82</v>
      </c>
      <c r="B104" s="44">
        <v>0</v>
      </c>
      <c r="C104" s="44">
        <v>0</v>
      </c>
      <c r="D104" s="46">
        <v>5.17</v>
      </c>
      <c r="E104" s="44">
        <f>+B104*D104</f>
        <v>0</v>
      </c>
      <c r="F104" s="46">
        <v>5.17</v>
      </c>
      <c r="G104" s="44">
        <f>($B104*F104)</f>
        <v>0</v>
      </c>
      <c r="H104" s="46">
        <v>5.17</v>
      </c>
      <c r="I104" s="44">
        <f>($B104*H104)</f>
        <v>0</v>
      </c>
      <c r="J104" s="47">
        <v>0</v>
      </c>
      <c r="K104" s="44">
        <f>($B104*J104)</f>
        <v>0</v>
      </c>
      <c r="L104" s="72"/>
    </row>
    <row r="105" spans="1:15">
      <c r="A105" s="29" t="s">
        <v>56</v>
      </c>
      <c r="B105" s="44">
        <v>31793552</v>
      </c>
      <c r="C105" s="44">
        <v>2867778.3903999999</v>
      </c>
      <c r="D105" s="60">
        <v>9.0200000000000002E-2</v>
      </c>
      <c r="E105" s="44">
        <f>($B105*D105)</f>
        <v>2867778.3903999999</v>
      </c>
      <c r="F105" s="48">
        <v>9.1929999999999998E-2</v>
      </c>
      <c r="G105" s="44">
        <f>($B105*F105)</f>
        <v>2922781.2353599998</v>
      </c>
      <c r="H105" s="48">
        <v>9.2499999999999999E-2</v>
      </c>
      <c r="I105" s="44">
        <f>($B105*H105)</f>
        <v>2940903.56</v>
      </c>
      <c r="J105" s="49">
        <v>8.9039999999999994E-2</v>
      </c>
      <c r="K105" s="44">
        <f>($B105*J105)</f>
        <v>2830897.8700799998</v>
      </c>
      <c r="L105" s="72">
        <f>K105/SUM(K102:K105)</f>
        <v>0.78891883640904847</v>
      </c>
    </row>
    <row r="106" spans="1:15">
      <c r="A106" s="29" t="s">
        <v>83</v>
      </c>
      <c r="B106" s="44"/>
      <c r="C106" s="50">
        <v>-371.08714285714308</v>
      </c>
      <c r="E106" s="50">
        <f>+C106</f>
        <v>-371.08714285714308</v>
      </c>
      <c r="G106" s="50">
        <v>-390</v>
      </c>
      <c r="I106" s="50">
        <v>-396</v>
      </c>
      <c r="K106" s="50">
        <v>-402</v>
      </c>
    </row>
    <row r="107" spans="1:15">
      <c r="E107" s="44"/>
      <c r="G107" s="44"/>
      <c r="I107" s="44"/>
      <c r="K107" s="44"/>
    </row>
    <row r="108" spans="1:15" ht="16.2" thickBot="1">
      <c r="A108" s="29" t="s">
        <v>59</v>
      </c>
      <c r="B108" s="44"/>
      <c r="C108" s="45">
        <v>3429381.123257143</v>
      </c>
      <c r="E108" s="51">
        <f>SUM(E102:E106)</f>
        <v>3429381.123257143</v>
      </c>
      <c r="G108" s="51">
        <f>SUM(G100:G106)</f>
        <v>3601560.1953599998</v>
      </c>
      <c r="I108" s="51">
        <f>SUM(I100:I106)</f>
        <v>3658999.46</v>
      </c>
      <c r="K108" s="51">
        <f>SUM(K100:K106)</f>
        <v>3587923.8700799998</v>
      </c>
      <c r="N108" s="52"/>
      <c r="O108" s="52"/>
    </row>
    <row r="109" spans="1:15" ht="16.2" thickTop="1">
      <c r="B109" s="44"/>
      <c r="E109" s="44"/>
      <c r="G109" s="44"/>
      <c r="I109" s="44"/>
      <c r="K109" s="44"/>
    </row>
    <row r="110" spans="1:15">
      <c r="A110" s="29" t="s">
        <v>60</v>
      </c>
      <c r="B110" s="55"/>
      <c r="C110" s="44">
        <v>-135227.71000000002</v>
      </c>
      <c r="E110" s="44"/>
      <c r="G110" s="44"/>
      <c r="I110" s="44"/>
      <c r="K110" s="44"/>
    </row>
    <row r="111" spans="1:15">
      <c r="A111" s="29" t="s">
        <v>61</v>
      </c>
      <c r="B111" s="44"/>
      <c r="C111" s="50">
        <v>424584.74</v>
      </c>
      <c r="E111" s="44"/>
      <c r="G111" s="44"/>
      <c r="I111" s="44"/>
      <c r="K111" s="44"/>
    </row>
    <row r="112" spans="1:15">
      <c r="B112" s="44"/>
      <c r="E112" s="44"/>
      <c r="G112" s="44"/>
      <c r="I112" s="44"/>
      <c r="K112" s="44"/>
    </row>
    <row r="113" spans="1:14" ht="16.2" thickBot="1">
      <c r="A113" s="29" t="s">
        <v>62</v>
      </c>
      <c r="B113" s="44"/>
      <c r="C113" s="51">
        <v>3718738.1532571428</v>
      </c>
      <c r="E113" s="44"/>
      <c r="G113" s="44"/>
      <c r="I113" s="44"/>
      <c r="K113" s="44"/>
    </row>
    <row r="114" spans="1:14" ht="16.2" thickTop="1">
      <c r="B114" s="44"/>
      <c r="E114" s="44"/>
      <c r="G114" s="44"/>
      <c r="I114" s="44"/>
      <c r="K114" s="44"/>
    </row>
    <row r="115" spans="1:14">
      <c r="A115" s="29" t="s">
        <v>63</v>
      </c>
      <c r="B115" s="44"/>
      <c r="E115" s="45">
        <f>(E108-C108)</f>
        <v>0</v>
      </c>
      <c r="G115" s="45">
        <f>G108-E108</f>
        <v>172179.07210285682</v>
      </c>
      <c r="I115" s="45">
        <f>I108-G108</f>
        <v>57439.264640000183</v>
      </c>
      <c r="K115" s="45">
        <f>K108-I108</f>
        <v>-71075.589920000173</v>
      </c>
    </row>
    <row r="116" spans="1:14">
      <c r="A116" s="29" t="s">
        <v>11</v>
      </c>
      <c r="E116" s="54">
        <f>(E115/C108)</f>
        <v>0</v>
      </c>
      <c r="F116" s="54"/>
      <c r="G116" s="54">
        <f>(G115/E108)</f>
        <v>5.020703908795221E-2</v>
      </c>
      <c r="H116" s="54"/>
      <c r="I116" s="54">
        <f>(I115/G108)</f>
        <v>1.5948439432999329E-2</v>
      </c>
      <c r="J116" s="54"/>
      <c r="K116" s="54">
        <f>(K115/I108)</f>
        <v>-1.942487029500687E-2</v>
      </c>
    </row>
    <row r="118" spans="1:14">
      <c r="A118" s="29" t="s">
        <v>64</v>
      </c>
      <c r="B118" s="44">
        <v>821.8786061420742</v>
      </c>
      <c r="C118" s="46">
        <v>95.509973911244444</v>
      </c>
      <c r="D118" s="46"/>
      <c r="E118" s="46">
        <f>+E108/B102</f>
        <v>95.509973911244444</v>
      </c>
      <c r="F118" s="46"/>
      <c r="G118" s="46">
        <f>+G108/$B$102</f>
        <v>100.30524690469559</v>
      </c>
      <c r="H118" s="46"/>
      <c r="I118" s="46">
        <f>+I108/$B$102</f>
        <v>101.90495905976717</v>
      </c>
      <c r="J118" s="46"/>
      <c r="K118" s="46">
        <f>+K108/$B$102</f>
        <v>99.925468447613213</v>
      </c>
    </row>
    <row r="119" spans="1:14">
      <c r="A119" s="29" t="s">
        <v>63</v>
      </c>
      <c r="E119" s="46">
        <f>E118-C118</f>
        <v>0</v>
      </c>
      <c r="G119" s="46">
        <f>G118-E118</f>
        <v>4.7952729934511495</v>
      </c>
      <c r="I119" s="46">
        <f>I118-G118</f>
        <v>1.5997121550715718</v>
      </c>
      <c r="K119" s="46">
        <f>K118-I118</f>
        <v>-1.9794906121539526</v>
      </c>
    </row>
    <row r="120" spans="1:14">
      <c r="A120" s="29" t="s">
        <v>11</v>
      </c>
      <c r="E120" s="54">
        <f>E119/C118</f>
        <v>0</v>
      </c>
      <c r="G120" s="54">
        <f>G119/E118</f>
        <v>5.0207039087952252E-2</v>
      </c>
      <c r="I120" s="54">
        <f>I119/G118</f>
        <v>1.5948439432999235E-2</v>
      </c>
      <c r="K120" s="54">
        <f>K119/I118</f>
        <v>-1.9424870295006773E-2</v>
      </c>
    </row>
    <row r="123" spans="1:14">
      <c r="A123" s="27" t="str">
        <f>A1</f>
        <v>Shelby Energy Cooperative, Inc.</v>
      </c>
      <c r="B123" s="27"/>
      <c r="C123" s="27"/>
      <c r="D123" s="27"/>
      <c r="E123" s="27"/>
      <c r="F123" s="27"/>
      <c r="G123" s="28"/>
      <c r="H123" s="27"/>
      <c r="I123" s="28"/>
      <c r="J123" s="27"/>
      <c r="K123" s="28" t="s">
        <v>34</v>
      </c>
    </row>
    <row r="124" spans="1:14">
      <c r="A124" s="27" t="str">
        <f>A2</f>
        <v>Case No.  2016-00434</v>
      </c>
      <c r="B124" s="27"/>
      <c r="C124" s="27"/>
      <c r="D124" s="27"/>
      <c r="E124" s="27"/>
      <c r="F124" s="27"/>
      <c r="G124" s="28"/>
      <c r="H124" s="27"/>
      <c r="I124" s="28"/>
      <c r="J124" s="27"/>
      <c r="K124" s="30" t="s">
        <v>36</v>
      </c>
    </row>
    <row r="125" spans="1:14">
      <c r="A125" s="27" t="str">
        <f>A3</f>
        <v>Billing Analysis</v>
      </c>
      <c r="B125" s="27"/>
      <c r="C125" s="27"/>
      <c r="D125" s="27"/>
      <c r="E125" s="27"/>
      <c r="F125" s="27"/>
      <c r="G125" s="28"/>
      <c r="H125" s="27"/>
      <c r="I125" s="28"/>
      <c r="J125" s="27"/>
      <c r="K125" s="28" t="s">
        <v>84</v>
      </c>
    </row>
    <row r="126" spans="1:14">
      <c r="A126" s="27" t="str">
        <f>A4</f>
        <v>July 31, 2016</v>
      </c>
      <c r="B126" s="27"/>
      <c r="C126" s="27"/>
      <c r="D126" s="27"/>
      <c r="E126" s="27"/>
      <c r="F126" s="27"/>
      <c r="G126" s="44"/>
      <c r="H126" s="27"/>
      <c r="I126" s="44"/>
      <c r="J126" s="27"/>
      <c r="K126" s="28" t="s">
        <v>40</v>
      </c>
    </row>
    <row r="127" spans="1:14">
      <c r="A127" s="27" t="s">
        <v>41</v>
      </c>
      <c r="B127" s="27"/>
      <c r="C127" s="27"/>
      <c r="D127" s="27"/>
      <c r="E127" s="27"/>
      <c r="F127" s="27"/>
      <c r="H127" s="27"/>
      <c r="J127" s="27"/>
    </row>
    <row r="128" spans="1:14">
      <c r="A128" s="27" t="s">
        <v>85</v>
      </c>
      <c r="B128" s="27"/>
      <c r="C128" s="27"/>
      <c r="D128" s="27"/>
      <c r="E128" s="27"/>
      <c r="F128" s="27"/>
      <c r="G128" s="44"/>
      <c r="H128" s="27"/>
      <c r="I128" s="44"/>
      <c r="J128" s="27"/>
      <c r="K128" s="44"/>
      <c r="N128" s="29" t="s">
        <v>86</v>
      </c>
    </row>
    <row r="130" spans="1:15">
      <c r="B130" s="32"/>
      <c r="C130" s="33" t="s">
        <v>43</v>
      </c>
      <c r="D130" s="34" t="s">
        <v>44</v>
      </c>
      <c r="E130" s="35"/>
      <c r="F130" s="74" t="s">
        <v>45</v>
      </c>
      <c r="G130" s="75"/>
      <c r="H130" s="74" t="s">
        <v>46</v>
      </c>
      <c r="I130" s="75"/>
      <c r="J130" s="74" t="s">
        <v>47</v>
      </c>
      <c r="K130" s="75"/>
    </row>
    <row r="131" spans="1:15">
      <c r="B131" s="36" t="s">
        <v>48</v>
      </c>
      <c r="C131" s="37" t="s">
        <v>49</v>
      </c>
      <c r="D131" s="38" t="str">
        <f>+D9</f>
        <v>2010-00509</v>
      </c>
      <c r="E131" s="39"/>
      <c r="F131" s="38" t="s">
        <v>6</v>
      </c>
      <c r="G131" s="39"/>
      <c r="H131" s="38" t="s">
        <v>6</v>
      </c>
      <c r="I131" s="39"/>
      <c r="J131" s="38" t="s">
        <v>6</v>
      </c>
      <c r="K131" s="39"/>
    </row>
    <row r="132" spans="1:15">
      <c r="A132" s="40" t="s">
        <v>51</v>
      </c>
      <c r="B132" s="41" t="s">
        <v>52</v>
      </c>
      <c r="C132" s="41" t="s">
        <v>53</v>
      </c>
      <c r="D132" s="42" t="s">
        <v>54</v>
      </c>
      <c r="E132" s="43" t="s">
        <v>53</v>
      </c>
      <c r="F132" s="42" t="s">
        <v>54</v>
      </c>
      <c r="G132" s="43" t="s">
        <v>53</v>
      </c>
      <c r="H132" s="42" t="s">
        <v>54</v>
      </c>
      <c r="I132" s="43" t="s">
        <v>53</v>
      </c>
      <c r="J132" s="42" t="s">
        <v>54</v>
      </c>
      <c r="K132" s="43" t="s">
        <v>53</v>
      </c>
    </row>
    <row r="133" spans="1:15">
      <c r="G133" s="44"/>
      <c r="I133" s="44"/>
      <c r="K133" s="44"/>
    </row>
    <row r="134" spans="1:15">
      <c r="A134" s="29" t="s">
        <v>55</v>
      </c>
      <c r="B134" s="44">
        <v>636</v>
      </c>
      <c r="C134" s="61">
        <v>33186.480000000003</v>
      </c>
      <c r="D134" s="46">
        <v>52.18</v>
      </c>
      <c r="E134" s="44">
        <f>+B134*D134</f>
        <v>33186.480000000003</v>
      </c>
      <c r="F134" s="46">
        <v>58.06</v>
      </c>
      <c r="G134" s="45">
        <f>($B134*F134)</f>
        <v>36926.160000000003</v>
      </c>
      <c r="H134" s="46">
        <v>64.12</v>
      </c>
      <c r="I134" s="45">
        <f>($B134*H134)</f>
        <v>40780.32</v>
      </c>
      <c r="J134" s="47">
        <v>52.18</v>
      </c>
      <c r="K134" s="45">
        <f>($B134*J134)</f>
        <v>33186.480000000003</v>
      </c>
      <c r="L134" s="72">
        <f>K134/SUM(K134:K137)</f>
        <v>8.0080411123525253E-3</v>
      </c>
    </row>
    <row r="135" spans="1:15">
      <c r="A135" s="29" t="s">
        <v>87</v>
      </c>
      <c r="B135" s="44">
        <v>157131</v>
      </c>
      <c r="C135" s="44">
        <v>812367.27</v>
      </c>
      <c r="D135" s="46">
        <v>5.17</v>
      </c>
      <c r="E135" s="44">
        <f>+B135*D135</f>
        <v>812367.27</v>
      </c>
      <c r="F135" s="46">
        <v>5.46</v>
      </c>
      <c r="G135" s="44">
        <f>+$B135*F135</f>
        <v>857935.26</v>
      </c>
      <c r="H135" s="46">
        <v>5.76</v>
      </c>
      <c r="I135" s="44">
        <f>+$B135*H135</f>
        <v>905074.55999999994</v>
      </c>
      <c r="J135" s="47">
        <v>6.05</v>
      </c>
      <c r="K135" s="44">
        <f>+$B135*J135</f>
        <v>950642.54999999993</v>
      </c>
      <c r="L135" s="72">
        <f>K135/SUM(K134:K137)</f>
        <v>0.22939415760730394</v>
      </c>
    </row>
    <row r="136" spans="1:15">
      <c r="A136" s="29" t="s">
        <v>88</v>
      </c>
      <c r="B136" s="44">
        <v>0</v>
      </c>
      <c r="C136" s="44">
        <v>0</v>
      </c>
      <c r="D136" s="46">
        <v>-4.9000000000000004</v>
      </c>
      <c r="E136" s="44">
        <f>+C136</f>
        <v>0</v>
      </c>
      <c r="F136" s="46">
        <v>-4.9000000000000004</v>
      </c>
      <c r="G136" s="44">
        <f>+$B136*F136</f>
        <v>0</v>
      </c>
      <c r="H136" s="46">
        <v>-4.9000000000000004</v>
      </c>
      <c r="I136" s="44">
        <f>+$B136*H136</f>
        <v>0</v>
      </c>
      <c r="J136" s="46">
        <v>-4.9000000000000004</v>
      </c>
      <c r="K136" s="44">
        <f>+$B136*J136</f>
        <v>0</v>
      </c>
      <c r="L136" s="72"/>
    </row>
    <row r="137" spans="1:15">
      <c r="A137" s="29" t="s">
        <v>56</v>
      </c>
      <c r="B137" s="44">
        <v>52584285</v>
      </c>
      <c r="C137" s="44">
        <v>3383798.7397500002</v>
      </c>
      <c r="D137" s="48">
        <v>6.4350000000000004E-2</v>
      </c>
      <c r="E137" s="44">
        <f>+B137*D137</f>
        <v>3383798.7397500002</v>
      </c>
      <c r="F137" s="48">
        <v>6.4189999999999997E-2</v>
      </c>
      <c r="G137" s="44">
        <f>+$B137*F137</f>
        <v>3375385.2541499999</v>
      </c>
      <c r="H137" s="48">
        <v>6.4019999999999994E-2</v>
      </c>
      <c r="I137" s="44">
        <f>+$B137*H137</f>
        <v>3366445.9256999996</v>
      </c>
      <c r="J137" s="49">
        <v>6.0100000000000001E-2</v>
      </c>
      <c r="K137" s="44">
        <f>+$B137*J137</f>
        <v>3160315.5285</v>
      </c>
      <c r="L137" s="72">
        <f>K137/SUM(K134:K137)</f>
        <v>0.7625978012803436</v>
      </c>
    </row>
    <row r="138" spans="1:15">
      <c r="B138" s="44"/>
      <c r="C138" s="44"/>
      <c r="D138" s="46"/>
      <c r="E138" s="45"/>
      <c r="F138" s="46"/>
      <c r="G138" s="45"/>
      <c r="H138" s="46"/>
      <c r="I138" s="45"/>
      <c r="J138" s="46"/>
      <c r="K138" s="45"/>
      <c r="L138" s="73"/>
    </row>
    <row r="139" spans="1:15">
      <c r="A139" s="29" t="s">
        <v>89</v>
      </c>
      <c r="B139" s="44"/>
      <c r="C139" s="50">
        <v>-50630.28</v>
      </c>
      <c r="D139" s="46"/>
      <c r="E139" s="50">
        <f>C139</f>
        <v>-50630.28</v>
      </c>
      <c r="G139" s="50">
        <v>-51120</v>
      </c>
      <c r="I139" s="50">
        <v>-51623</v>
      </c>
      <c r="K139" s="50">
        <v>-52107</v>
      </c>
    </row>
    <row r="140" spans="1:15">
      <c r="B140" s="44"/>
      <c r="C140" s="44"/>
      <c r="D140" s="44"/>
      <c r="E140" s="44"/>
      <c r="G140" s="44"/>
      <c r="I140" s="44"/>
      <c r="K140" s="44"/>
    </row>
    <row r="141" spans="1:15" ht="16.2" thickBot="1">
      <c r="A141" s="29" t="s">
        <v>59</v>
      </c>
      <c r="B141" s="44"/>
      <c r="C141" s="44">
        <v>4178722.2097499999</v>
      </c>
      <c r="D141" s="44"/>
      <c r="E141" s="51">
        <f>SUM(E134:E140)</f>
        <v>4178722.2097499999</v>
      </c>
      <c r="G141" s="51">
        <f>SUM(G134:G140)</f>
        <v>4219126.6741500003</v>
      </c>
      <c r="I141" s="51">
        <f>SUM(I134:I140)</f>
        <v>4260677.8056999994</v>
      </c>
      <c r="K141" s="51">
        <f>SUM(K134:K140)</f>
        <v>4092037.5584999998</v>
      </c>
      <c r="N141" s="52"/>
      <c r="O141" s="52"/>
    </row>
    <row r="142" spans="1:15" ht="16.2" thickTop="1">
      <c r="B142" s="44"/>
      <c r="C142" s="44"/>
      <c r="D142" s="44"/>
      <c r="E142" s="44"/>
      <c r="G142" s="44"/>
      <c r="I142" s="44"/>
      <c r="K142" s="44"/>
    </row>
    <row r="143" spans="1:15" ht="15" customHeight="1">
      <c r="A143" s="29" t="s">
        <v>60</v>
      </c>
      <c r="B143" s="62"/>
      <c r="C143" s="44">
        <v>-220288.1</v>
      </c>
      <c r="D143" s="44"/>
      <c r="E143" s="44"/>
      <c r="G143" s="44"/>
      <c r="I143" s="44"/>
      <c r="K143" s="44"/>
    </row>
    <row r="144" spans="1:15">
      <c r="A144" s="29" t="s">
        <v>61</v>
      </c>
      <c r="B144" s="44"/>
      <c r="C144" s="50">
        <v>495350.78999999992</v>
      </c>
      <c r="D144" s="44"/>
      <c r="E144" s="44"/>
      <c r="G144" s="44"/>
      <c r="I144" s="44"/>
      <c r="K144" s="44"/>
    </row>
    <row r="145" spans="1:15">
      <c r="B145" s="44"/>
      <c r="C145" s="44"/>
      <c r="D145" s="44"/>
      <c r="E145" s="44"/>
      <c r="G145" s="44"/>
      <c r="I145" s="44"/>
      <c r="K145" s="44"/>
    </row>
    <row r="146" spans="1:15" ht="16.2" thickBot="1">
      <c r="A146" s="29" t="s">
        <v>62</v>
      </c>
      <c r="B146" s="44"/>
      <c r="C146" s="51">
        <v>4453784.8997499999</v>
      </c>
      <c r="D146" s="44"/>
    </row>
    <row r="147" spans="1:15" ht="16.2" thickTop="1">
      <c r="B147" s="44"/>
      <c r="C147" s="44"/>
      <c r="D147" s="44"/>
      <c r="E147" s="44"/>
      <c r="G147" s="44"/>
      <c r="I147" s="44"/>
      <c r="K147" s="44"/>
    </row>
    <row r="148" spans="1:15">
      <c r="A148" s="29" t="s">
        <v>63</v>
      </c>
      <c r="B148" s="44"/>
      <c r="C148" s="44"/>
      <c r="D148" s="44"/>
      <c r="E148" s="45">
        <f>(E141-C141)</f>
        <v>0</v>
      </c>
      <c r="G148" s="45">
        <f>(G141-E141)</f>
        <v>40404.464400000405</v>
      </c>
      <c r="I148" s="45">
        <f>(I141-G141)</f>
        <v>41551.131549999118</v>
      </c>
      <c r="K148" s="45">
        <f>(K141-I141)</f>
        <v>-168640.24719999963</v>
      </c>
    </row>
    <row r="149" spans="1:15">
      <c r="A149" s="29" t="s">
        <v>11</v>
      </c>
      <c r="E149" s="54">
        <f>(E148/C141)</f>
        <v>0</v>
      </c>
      <c r="F149" s="54"/>
      <c r="G149" s="54">
        <f>(G148/E141)</f>
        <v>9.6690955684315943E-3</v>
      </c>
      <c r="H149" s="54"/>
      <c r="I149" s="54">
        <f>(I148/G141)</f>
        <v>9.8482777975302561E-3</v>
      </c>
      <c r="J149" s="54"/>
      <c r="K149" s="54">
        <f>(K148/I141)</f>
        <v>-3.9580614843579616E-2</v>
      </c>
    </row>
    <row r="151" spans="1:15" ht="15" customHeight="1">
      <c r="A151" s="29" t="s">
        <v>64</v>
      </c>
      <c r="B151" s="44">
        <v>82679.693396226416</v>
      </c>
      <c r="C151" s="46">
        <v>6570.3179398584907</v>
      </c>
      <c r="D151" s="46"/>
      <c r="E151" s="46">
        <f>E141/$B134</f>
        <v>6570.3179398584907</v>
      </c>
      <c r="F151" s="46"/>
      <c r="G151" s="46">
        <f>G141/$B134</f>
        <v>6633.8469719339628</v>
      </c>
      <c r="H151" s="46"/>
      <c r="I151" s="46">
        <f>I141/$B134</f>
        <v>6699.178939779873</v>
      </c>
      <c r="J151" s="46"/>
      <c r="K151" s="46">
        <f>K141/$B134</f>
        <v>6434.021318396226</v>
      </c>
    </row>
    <row r="152" spans="1:15">
      <c r="A152" s="29" t="s">
        <v>63</v>
      </c>
      <c r="E152" s="46">
        <f>E151-C151</f>
        <v>0</v>
      </c>
      <c r="G152" s="46">
        <f>G151-E151</f>
        <v>63.52903207547206</v>
      </c>
      <c r="I152" s="46">
        <f>I151-G151</f>
        <v>65.331967845910185</v>
      </c>
      <c r="K152" s="46">
        <f>K151-I151</f>
        <v>-265.15762138364698</v>
      </c>
    </row>
    <row r="153" spans="1:15">
      <c r="A153" s="29" t="s">
        <v>11</v>
      </c>
      <c r="E153" s="54">
        <f>E152/C151</f>
        <v>0</v>
      </c>
      <c r="G153" s="54">
        <f>G152/E151</f>
        <v>9.6690955684315526E-3</v>
      </c>
      <c r="I153" s="54">
        <f>I152/G151</f>
        <v>9.8482777975301989E-3</v>
      </c>
      <c r="K153" s="54">
        <f>K152/I151</f>
        <v>-3.9580614843579581E-2</v>
      </c>
    </row>
    <row r="156" spans="1:15" ht="15" customHeight="1">
      <c r="A156" s="27" t="str">
        <f>A1</f>
        <v>Shelby Energy Cooperative, Inc.</v>
      </c>
      <c r="B156" s="27"/>
      <c r="C156" s="27"/>
      <c r="D156" s="27"/>
      <c r="E156" s="27"/>
      <c r="F156" s="27"/>
      <c r="G156" s="28"/>
      <c r="H156" s="27"/>
      <c r="I156" s="28"/>
      <c r="J156" s="27"/>
      <c r="K156" s="28" t="s">
        <v>34</v>
      </c>
    </row>
    <row r="157" spans="1:15">
      <c r="A157" s="27" t="str">
        <f>A2</f>
        <v>Case No.  2016-00434</v>
      </c>
      <c r="B157" s="27"/>
      <c r="C157" s="27"/>
      <c r="D157" s="27"/>
      <c r="E157" s="27"/>
      <c r="F157" s="27"/>
      <c r="G157" s="28"/>
      <c r="H157" s="27"/>
      <c r="I157" s="28"/>
      <c r="J157" s="27"/>
      <c r="K157" s="30" t="s">
        <v>36</v>
      </c>
    </row>
    <row r="158" spans="1:15">
      <c r="A158" s="27" t="str">
        <f>A3</f>
        <v>Billing Analysis</v>
      </c>
      <c r="B158" s="27"/>
      <c r="C158" s="27"/>
      <c r="D158" s="27"/>
      <c r="E158" s="27"/>
      <c r="F158" s="27"/>
      <c r="G158" s="28"/>
      <c r="H158" s="27"/>
      <c r="I158" s="28"/>
      <c r="J158" s="27"/>
      <c r="K158" s="28" t="s">
        <v>90</v>
      </c>
    </row>
    <row r="159" spans="1:15">
      <c r="A159" s="27" t="str">
        <f>A4</f>
        <v>July 31, 2016</v>
      </c>
      <c r="B159" s="27"/>
      <c r="C159" s="27"/>
      <c r="D159" s="27"/>
      <c r="E159" s="27"/>
      <c r="F159" s="27"/>
      <c r="G159" s="44"/>
      <c r="H159" s="27"/>
      <c r="I159" s="44"/>
      <c r="J159" s="27"/>
      <c r="K159" s="28" t="s">
        <v>40</v>
      </c>
    </row>
    <row r="160" spans="1:15">
      <c r="A160" s="27" t="s">
        <v>41</v>
      </c>
      <c r="B160" s="27"/>
      <c r="C160" s="27"/>
      <c r="D160" s="27"/>
      <c r="E160" s="27"/>
      <c r="F160" s="27"/>
      <c r="H160" s="27"/>
      <c r="J160" s="27"/>
      <c r="N160" s="28" t="s">
        <v>12</v>
      </c>
      <c r="O160" s="29">
        <v>8</v>
      </c>
    </row>
    <row r="161" spans="1:15">
      <c r="A161" s="27" t="s">
        <v>91</v>
      </c>
      <c r="B161" s="27"/>
      <c r="C161" s="27"/>
      <c r="D161" s="27"/>
      <c r="E161" s="27"/>
      <c r="F161" s="27"/>
      <c r="G161" s="44"/>
      <c r="H161" s="27"/>
      <c r="I161" s="44"/>
      <c r="J161" s="27"/>
      <c r="K161" s="44"/>
      <c r="N161" s="28" t="s">
        <v>12</v>
      </c>
      <c r="O161" s="29">
        <v>38</v>
      </c>
    </row>
    <row r="163" spans="1:15" ht="15" customHeight="1">
      <c r="B163" s="32"/>
      <c r="C163" s="33" t="s">
        <v>43</v>
      </c>
      <c r="D163" s="34" t="s">
        <v>44</v>
      </c>
      <c r="E163" s="35"/>
      <c r="F163" s="74" t="s">
        <v>45</v>
      </c>
      <c r="G163" s="75"/>
      <c r="H163" s="74" t="s">
        <v>46</v>
      </c>
      <c r="I163" s="75"/>
      <c r="J163" s="74" t="s">
        <v>47</v>
      </c>
      <c r="K163" s="75"/>
    </row>
    <row r="164" spans="1:15">
      <c r="B164" s="36" t="s">
        <v>48</v>
      </c>
      <c r="C164" s="37" t="s">
        <v>49</v>
      </c>
      <c r="D164" s="38" t="str">
        <f>D9</f>
        <v>2010-00509</v>
      </c>
      <c r="E164" s="39"/>
      <c r="F164" s="38" t="s">
        <v>6</v>
      </c>
      <c r="G164" s="39"/>
      <c r="H164" s="38" t="s">
        <v>6</v>
      </c>
      <c r="I164" s="39"/>
      <c r="J164" s="38" t="s">
        <v>6</v>
      </c>
      <c r="K164" s="39"/>
    </row>
    <row r="165" spans="1:15">
      <c r="A165" s="40" t="s">
        <v>51</v>
      </c>
      <c r="B165" s="41" t="s">
        <v>52</v>
      </c>
      <c r="C165" s="41" t="s">
        <v>53</v>
      </c>
      <c r="D165" s="42" t="s">
        <v>54</v>
      </c>
      <c r="E165" s="43" t="s">
        <v>53</v>
      </c>
      <c r="F165" s="42" t="s">
        <v>54</v>
      </c>
      <c r="G165" s="43" t="s">
        <v>53</v>
      </c>
      <c r="H165" s="42" t="s">
        <v>54</v>
      </c>
      <c r="I165" s="43" t="s">
        <v>53</v>
      </c>
      <c r="J165" s="42" t="s">
        <v>54</v>
      </c>
      <c r="K165" s="43" t="s">
        <v>53</v>
      </c>
    </row>
    <row r="166" spans="1:15">
      <c r="G166" s="44"/>
      <c r="I166" s="44"/>
      <c r="K166" s="44"/>
    </row>
    <row r="167" spans="1:15">
      <c r="A167" s="29" t="s">
        <v>55</v>
      </c>
      <c r="B167" s="44">
        <v>167</v>
      </c>
      <c r="C167" s="45">
        <v>102584.76</v>
      </c>
      <c r="D167" s="46">
        <v>614.28</v>
      </c>
      <c r="E167" s="45">
        <f>(D167*B167)</f>
        <v>102584.76</v>
      </c>
      <c r="F167" s="46">
        <v>614.28</v>
      </c>
      <c r="G167" s="45">
        <f>($B167*F167)</f>
        <v>102584.76</v>
      </c>
      <c r="H167" s="46">
        <v>614.28</v>
      </c>
      <c r="I167" s="45">
        <f>($B167*H167)</f>
        <v>102584.76</v>
      </c>
      <c r="J167" s="47">
        <v>614.28</v>
      </c>
      <c r="K167" s="45">
        <f>($B167*J167)</f>
        <v>102584.76</v>
      </c>
      <c r="L167" s="72">
        <f>K167/SUM(K167:K171)</f>
        <v>1.2563812009514742E-2</v>
      </c>
    </row>
    <row r="168" spans="1:15">
      <c r="A168" s="29" t="s">
        <v>92</v>
      </c>
      <c r="B168" s="44"/>
      <c r="C168" s="44"/>
      <c r="D168" s="46"/>
      <c r="E168" s="45"/>
      <c r="F168" s="46"/>
      <c r="G168" s="45"/>
      <c r="H168" s="46"/>
      <c r="I168" s="45"/>
      <c r="J168" s="46"/>
      <c r="K168" s="45"/>
      <c r="L168" s="72"/>
    </row>
    <row r="169" spans="1:15">
      <c r="A169" s="29" t="s">
        <v>93</v>
      </c>
      <c r="B169" s="44">
        <v>240100</v>
      </c>
      <c r="C169" s="44">
        <v>1483818</v>
      </c>
      <c r="D169" s="46">
        <v>6.18</v>
      </c>
      <c r="E169" s="44">
        <f>($B169*D169)</f>
        <v>1483818</v>
      </c>
      <c r="F169" s="46">
        <v>6.51</v>
      </c>
      <c r="G169" s="44">
        <f>($B169*F169)</f>
        <v>1563051</v>
      </c>
      <c r="H169" s="46">
        <v>6.84</v>
      </c>
      <c r="I169" s="44">
        <f>($B169*H169)</f>
        <v>1642284</v>
      </c>
      <c r="J169" s="47">
        <v>7.17</v>
      </c>
      <c r="K169" s="44">
        <f>($B169*J169)</f>
        <v>1721517</v>
      </c>
      <c r="L169" s="72">
        <f>K169/SUM(K167:K171)</f>
        <v>0.21083849062164584</v>
      </c>
    </row>
    <row r="170" spans="1:15">
      <c r="A170" s="29" t="s">
        <v>94</v>
      </c>
      <c r="B170" s="44">
        <v>25252</v>
      </c>
      <c r="C170" s="44">
        <v>226762.96000000002</v>
      </c>
      <c r="D170" s="46">
        <v>8.98</v>
      </c>
      <c r="E170" s="44">
        <f>+B170*D170</f>
        <v>226762.96000000002</v>
      </c>
      <c r="F170" s="46">
        <v>9.31</v>
      </c>
      <c r="G170" s="44">
        <f>($B170*F170)</f>
        <v>235096.12000000002</v>
      </c>
      <c r="H170" s="46">
        <v>9.65</v>
      </c>
      <c r="I170" s="44">
        <f>($B170*H170)</f>
        <v>243681.80000000002</v>
      </c>
      <c r="J170" s="47">
        <v>9.98</v>
      </c>
      <c r="K170" s="44">
        <f>($B170*J170)</f>
        <v>252014.96000000002</v>
      </c>
      <c r="L170" s="72">
        <f>K170/SUM(K167:K171)</f>
        <v>3.0864902165052367E-2</v>
      </c>
    </row>
    <row r="171" spans="1:15">
      <c r="A171" s="29" t="s">
        <v>95</v>
      </c>
      <c r="B171" s="44">
        <v>126170360</v>
      </c>
      <c r="C171" s="44">
        <v>6606280.0495999996</v>
      </c>
      <c r="D171" s="48">
        <v>5.2359999999999997E-2</v>
      </c>
      <c r="E171" s="44">
        <f>($B171*D171)</f>
        <v>6606280.0495999996</v>
      </c>
      <c r="F171" s="48">
        <v>5.2319999999999998E-2</v>
      </c>
      <c r="G171" s="44">
        <f>($B171*F171)</f>
        <v>6601233.2352</v>
      </c>
      <c r="H171" s="48">
        <v>5.2310000000000002E-2</v>
      </c>
      <c r="I171" s="44">
        <f>($B171*H171)</f>
        <v>6599971.5316000003</v>
      </c>
      <c r="J171" s="49">
        <v>4.8259999999999997E-2</v>
      </c>
      <c r="K171" s="44">
        <f>($B171*J171)</f>
        <v>6088981.5735999998</v>
      </c>
      <c r="L171" s="72">
        <f>K171/SUM(K167:K171)</f>
        <v>0.7457327952037871</v>
      </c>
    </row>
    <row r="172" spans="1:15">
      <c r="A172" s="29" t="s">
        <v>96</v>
      </c>
      <c r="B172" s="44">
        <v>3955428</v>
      </c>
      <c r="C172" s="44">
        <v>207106.21007999999</v>
      </c>
      <c r="D172" s="48">
        <v>5.2359999999999997E-2</v>
      </c>
      <c r="E172" s="44">
        <f>($B172*D172)</f>
        <v>207106.21007999999</v>
      </c>
      <c r="F172" s="48">
        <v>5.2319999999999998E-2</v>
      </c>
      <c r="G172" s="44">
        <f>($B172*F172)</f>
        <v>206947.99296</v>
      </c>
      <c r="H172" s="48">
        <f>+H171</f>
        <v>5.2310000000000002E-2</v>
      </c>
      <c r="I172" s="44">
        <f>($B172*H172)</f>
        <v>206908.43868000002</v>
      </c>
      <c r="J172" s="48">
        <f>+J171</f>
        <v>4.8259999999999997E-2</v>
      </c>
      <c r="K172" s="44">
        <f>($B172*J172)</f>
        <v>190888.95527999999</v>
      </c>
    </row>
    <row r="173" spans="1:15">
      <c r="B173" s="44"/>
      <c r="C173" s="44"/>
      <c r="D173" s="48"/>
      <c r="E173" s="44"/>
      <c r="F173" s="48"/>
      <c r="G173" s="44"/>
      <c r="H173" s="48"/>
      <c r="I173" s="44"/>
      <c r="J173" s="48"/>
      <c r="K173" s="44"/>
    </row>
    <row r="174" spans="1:15">
      <c r="A174" s="29" t="s">
        <v>97</v>
      </c>
      <c r="B174" s="44"/>
      <c r="C174" s="50">
        <v>-114999.17000000001</v>
      </c>
      <c r="D174" s="46"/>
      <c r="E174" s="50">
        <f>C174</f>
        <v>-114999.17000000001</v>
      </c>
      <c r="G174" s="50">
        <v>-116097</v>
      </c>
      <c r="I174" s="50">
        <v>-117250</v>
      </c>
      <c r="K174" s="50">
        <v>-118400</v>
      </c>
    </row>
    <row r="175" spans="1:15">
      <c r="B175" s="44"/>
      <c r="C175" s="44"/>
      <c r="D175" s="44"/>
      <c r="E175" s="44"/>
      <c r="G175" s="44"/>
      <c r="I175" s="44"/>
      <c r="K175" s="44"/>
    </row>
    <row r="176" spans="1:15" ht="16.2" thickBot="1">
      <c r="A176" s="29" t="s">
        <v>59</v>
      </c>
      <c r="B176" s="44"/>
      <c r="C176" s="44">
        <v>8511552.8096799999</v>
      </c>
      <c r="D176" s="44"/>
      <c r="E176" s="51">
        <f>SUM(E167:E175)</f>
        <v>8511552.8096799999</v>
      </c>
      <c r="G176" s="51">
        <f>SUM(G167:G175)</f>
        <v>8592816.1081600003</v>
      </c>
      <c r="I176" s="51">
        <f>SUM(I167:I175)</f>
        <v>8678180.5302800015</v>
      </c>
      <c r="K176" s="51">
        <f>SUM(K167:K175)</f>
        <v>8237587.2488799999</v>
      </c>
      <c r="N176" s="52"/>
      <c r="O176" s="52"/>
    </row>
    <row r="177" spans="1:11" ht="16.2" thickTop="1">
      <c r="B177" s="44"/>
      <c r="C177" s="44"/>
      <c r="D177" s="44"/>
      <c r="E177" s="44"/>
      <c r="G177" s="44"/>
      <c r="I177" s="44"/>
      <c r="K177" s="44"/>
    </row>
    <row r="178" spans="1:11">
      <c r="A178" s="29" t="s">
        <v>60</v>
      </c>
      <c r="B178" s="62"/>
      <c r="C178" s="44">
        <v>-534454.61</v>
      </c>
      <c r="D178" s="44"/>
      <c r="E178" s="44"/>
      <c r="G178" s="44"/>
      <c r="I178" s="44"/>
      <c r="K178" s="44"/>
    </row>
    <row r="179" spans="1:11">
      <c r="A179" s="29" t="s">
        <v>61</v>
      </c>
      <c r="B179" s="44"/>
      <c r="C179" s="50">
        <v>994045.12</v>
      </c>
      <c r="D179" s="44"/>
      <c r="E179" s="44"/>
      <c r="G179" s="44"/>
      <c r="I179" s="44"/>
      <c r="K179" s="44"/>
    </row>
    <row r="180" spans="1:11">
      <c r="B180" s="44"/>
      <c r="C180" s="44"/>
      <c r="D180" s="44"/>
      <c r="E180" s="44"/>
      <c r="G180" s="44"/>
      <c r="I180" s="44"/>
      <c r="K180" s="44"/>
    </row>
    <row r="181" spans="1:11" ht="16.2" thickBot="1">
      <c r="A181" s="29" t="s">
        <v>62</v>
      </c>
      <c r="B181" s="44"/>
      <c r="C181" s="51">
        <v>8971143.3196799997</v>
      </c>
      <c r="D181" s="44"/>
    </row>
    <row r="182" spans="1:11" ht="16.2" thickTop="1">
      <c r="B182" s="44"/>
      <c r="C182" s="44"/>
      <c r="D182" s="44"/>
      <c r="E182" s="44"/>
      <c r="G182" s="44"/>
      <c r="I182" s="44"/>
      <c r="K182" s="44"/>
    </row>
    <row r="183" spans="1:11">
      <c r="A183" s="29" t="s">
        <v>63</v>
      </c>
      <c r="B183" s="44"/>
      <c r="C183" s="44"/>
      <c r="D183" s="44"/>
      <c r="E183" s="45">
        <f>(E176-C176)</f>
        <v>0</v>
      </c>
      <c r="G183" s="45">
        <f>(G176-E176)</f>
        <v>81263.298480000347</v>
      </c>
      <c r="I183" s="45">
        <f>(I176-G176)</f>
        <v>85364.422120001167</v>
      </c>
      <c r="K183" s="45">
        <f>(K176-I176)</f>
        <v>-440593.28140000161</v>
      </c>
    </row>
    <row r="184" spans="1:11">
      <c r="A184" s="29" t="s">
        <v>11</v>
      </c>
      <c r="E184" s="54">
        <f>(E183/C176)</f>
        <v>0</v>
      </c>
      <c r="F184" s="54"/>
      <c r="G184" s="54">
        <f>(G183/E176)</f>
        <v>9.547411652969056E-3</v>
      </c>
      <c r="H184" s="54"/>
      <c r="I184" s="54">
        <f>(I183/G176)</f>
        <v>9.9343941550124066E-3</v>
      </c>
      <c r="J184" s="54"/>
      <c r="K184" s="54">
        <f>(K183/I176)</f>
        <v>-5.0770236901926474E-2</v>
      </c>
    </row>
    <row r="186" spans="1:11" ht="15" customHeight="1">
      <c r="A186" s="29" t="s">
        <v>64</v>
      </c>
      <c r="B186" s="44">
        <v>779196.33532934135</v>
      </c>
      <c r="C186" s="46">
        <v>50967.382093892214</v>
      </c>
      <c r="D186" s="46"/>
      <c r="E186" s="46">
        <f>E176/$B167</f>
        <v>50967.382093892214</v>
      </c>
      <c r="F186" s="46"/>
      <c r="G186" s="46">
        <f>G176/$B167</f>
        <v>51453.988671616768</v>
      </c>
      <c r="H186" s="46"/>
      <c r="I186" s="46">
        <f>I176/$B167</f>
        <v>51965.15287592815</v>
      </c>
      <c r="J186" s="46"/>
      <c r="K186" s="46">
        <f>K176/$B167</f>
        <v>49326.869753772451</v>
      </c>
    </row>
    <row r="187" spans="1:11">
      <c r="A187" s="29" t="s">
        <v>63</v>
      </c>
      <c r="E187" s="46">
        <f>E186-C186</f>
        <v>0</v>
      </c>
      <c r="G187" s="46">
        <f>G186-E186</f>
        <v>486.60657772455306</v>
      </c>
      <c r="I187" s="46">
        <f>I186-G186</f>
        <v>511.16420431138249</v>
      </c>
      <c r="K187" s="46">
        <f>K186-I186</f>
        <v>-2638.2831221556989</v>
      </c>
    </row>
    <row r="188" spans="1:11">
      <c r="A188" s="29" t="s">
        <v>11</v>
      </c>
      <c r="E188" s="54">
        <f>E187/C186</f>
        <v>0</v>
      </c>
      <c r="G188" s="54">
        <f>G187/E186</f>
        <v>9.5474116529690577E-3</v>
      </c>
      <c r="I188" s="54">
        <f>I187/G186</f>
        <v>9.9343941550123736E-3</v>
      </c>
      <c r="K188" s="54">
        <f>K187/I186</f>
        <v>-5.0770236901926495E-2</v>
      </c>
    </row>
    <row r="191" spans="1:11" ht="15" customHeight="1">
      <c r="A191" s="27" t="str">
        <f>+A1</f>
        <v>Shelby Energy Cooperative, Inc.</v>
      </c>
      <c r="B191" s="27"/>
      <c r="C191" s="27"/>
      <c r="D191" s="27"/>
      <c r="E191" s="27"/>
      <c r="F191" s="27"/>
      <c r="G191" s="28"/>
      <c r="H191" s="27"/>
      <c r="I191" s="28"/>
      <c r="J191" s="27"/>
      <c r="K191" s="28" t="s">
        <v>34</v>
      </c>
    </row>
    <row r="192" spans="1:11">
      <c r="A192" s="27" t="str">
        <f>+A2</f>
        <v>Case No.  2016-00434</v>
      </c>
      <c r="B192" s="27"/>
      <c r="C192" s="27"/>
      <c r="D192" s="27"/>
      <c r="E192" s="27"/>
      <c r="F192" s="27"/>
      <c r="G192" s="28"/>
      <c r="H192" s="27"/>
      <c r="I192" s="28"/>
      <c r="J192" s="27"/>
      <c r="K192" s="30" t="s">
        <v>36</v>
      </c>
    </row>
    <row r="193" spans="1:15">
      <c r="A193" s="27" t="str">
        <f>+A3</f>
        <v>Billing Analysis</v>
      </c>
      <c r="B193" s="27"/>
      <c r="C193" s="27"/>
      <c r="D193" s="27"/>
      <c r="E193" s="27"/>
      <c r="F193" s="27"/>
      <c r="G193" s="28"/>
      <c r="H193" s="27"/>
      <c r="I193" s="28"/>
      <c r="J193" s="27"/>
      <c r="K193" s="28" t="s">
        <v>98</v>
      </c>
    </row>
    <row r="194" spans="1:15">
      <c r="A194" s="27" t="str">
        <f>+A4</f>
        <v>July 31, 2016</v>
      </c>
      <c r="B194" s="27"/>
      <c r="C194" s="27"/>
      <c r="D194" s="27"/>
      <c r="E194" s="27"/>
      <c r="F194" s="27"/>
      <c r="G194" s="44"/>
      <c r="H194" s="27"/>
      <c r="I194" s="44"/>
      <c r="J194" s="27"/>
      <c r="K194" s="28" t="s">
        <v>40</v>
      </c>
    </row>
    <row r="195" spans="1:15">
      <c r="A195" s="27" t="s">
        <v>41</v>
      </c>
      <c r="B195" s="27"/>
      <c r="C195" s="27"/>
      <c r="D195" s="27"/>
      <c r="E195" s="27"/>
      <c r="F195" s="27"/>
      <c r="H195" s="27"/>
      <c r="J195" s="27"/>
    </row>
    <row r="196" spans="1:15">
      <c r="A196" s="27" t="s">
        <v>99</v>
      </c>
      <c r="B196" s="27"/>
      <c r="C196" s="27"/>
      <c r="D196" s="27"/>
      <c r="E196" s="27"/>
      <c r="F196" s="27"/>
      <c r="G196" s="44"/>
      <c r="H196" s="27"/>
      <c r="I196" s="44"/>
      <c r="J196" s="27"/>
      <c r="K196" s="44"/>
    </row>
    <row r="198" spans="1:15" ht="15" customHeight="1">
      <c r="B198" s="32"/>
      <c r="C198" s="33" t="s">
        <v>43</v>
      </c>
      <c r="D198" s="34" t="s">
        <v>44</v>
      </c>
      <c r="E198" s="35"/>
      <c r="F198" s="74" t="s">
        <v>45</v>
      </c>
      <c r="G198" s="75"/>
      <c r="H198" s="74" t="s">
        <v>46</v>
      </c>
      <c r="I198" s="75"/>
      <c r="J198" s="74" t="s">
        <v>47</v>
      </c>
      <c r="K198" s="75"/>
    </row>
    <row r="199" spans="1:15">
      <c r="B199" s="36" t="s">
        <v>48</v>
      </c>
      <c r="C199" s="37" t="s">
        <v>49</v>
      </c>
      <c r="D199" s="38" t="str">
        <f>+D9</f>
        <v>2010-00509</v>
      </c>
      <c r="E199" s="39"/>
      <c r="F199" s="38" t="s">
        <v>6</v>
      </c>
      <c r="G199" s="39"/>
      <c r="H199" s="38" t="s">
        <v>6</v>
      </c>
      <c r="I199" s="39"/>
      <c r="J199" s="38" t="s">
        <v>6</v>
      </c>
      <c r="K199" s="39"/>
    </row>
    <row r="200" spans="1:15">
      <c r="A200" s="40" t="s">
        <v>51</v>
      </c>
      <c r="B200" s="41" t="s">
        <v>52</v>
      </c>
      <c r="C200" s="41" t="s">
        <v>53</v>
      </c>
      <c r="D200" s="42" t="s">
        <v>54</v>
      </c>
      <c r="E200" s="43" t="s">
        <v>53</v>
      </c>
      <c r="F200" s="42" t="s">
        <v>54</v>
      </c>
      <c r="G200" s="43" t="s">
        <v>53</v>
      </c>
      <c r="H200" s="42" t="s">
        <v>54</v>
      </c>
      <c r="I200" s="43" t="s">
        <v>53</v>
      </c>
      <c r="J200" s="42" t="s">
        <v>54</v>
      </c>
      <c r="K200" s="43" t="s">
        <v>53</v>
      </c>
    </row>
    <row r="201" spans="1:15">
      <c r="G201" s="44"/>
      <c r="I201" s="44"/>
      <c r="K201" s="44"/>
    </row>
    <row r="202" spans="1:15">
      <c r="A202" s="29" t="s">
        <v>55</v>
      </c>
      <c r="B202" s="44">
        <v>12</v>
      </c>
      <c r="C202" s="45">
        <v>14728.920000000002</v>
      </c>
      <c r="D202" s="46">
        <v>1227.4100000000001</v>
      </c>
      <c r="E202" s="45">
        <f>(D202*B202)</f>
        <v>14728.920000000002</v>
      </c>
      <c r="F202" s="46">
        <f>+D202</f>
        <v>1227.4100000000001</v>
      </c>
      <c r="G202" s="45">
        <f>($B202*F202)</f>
        <v>14728.920000000002</v>
      </c>
      <c r="H202" s="46">
        <f>+F202</f>
        <v>1227.4100000000001</v>
      </c>
      <c r="I202" s="45">
        <f>($B202*H202)</f>
        <v>14728.920000000002</v>
      </c>
      <c r="J202" s="47">
        <f>+H202</f>
        <v>1227.4100000000001</v>
      </c>
      <c r="K202" s="45">
        <f>($B202*J202)</f>
        <v>14728.920000000002</v>
      </c>
      <c r="L202" s="72">
        <f>K202/SUM(K202:K206)</f>
        <v>4.3135007893280227E-3</v>
      </c>
    </row>
    <row r="203" spans="1:15">
      <c r="A203" s="29" t="s">
        <v>92</v>
      </c>
      <c r="B203" s="44"/>
      <c r="C203" s="44"/>
      <c r="D203" s="46"/>
      <c r="E203" s="45"/>
      <c r="F203" s="46"/>
      <c r="G203" s="45"/>
      <c r="H203" s="46"/>
      <c r="I203" s="45"/>
      <c r="J203" s="46"/>
      <c r="K203" s="45"/>
      <c r="L203" s="72"/>
    </row>
    <row r="204" spans="1:15">
      <c r="A204" s="29" t="s">
        <v>93</v>
      </c>
      <c r="B204" s="44">
        <v>97500</v>
      </c>
      <c r="C204" s="44">
        <v>602550</v>
      </c>
      <c r="D204" s="46">
        <v>6.18</v>
      </c>
      <c r="E204" s="44">
        <f>($B204*D204)</f>
        <v>602550</v>
      </c>
      <c r="F204" s="46">
        <v>6.51</v>
      </c>
      <c r="G204" s="44">
        <f>($B204*F204)</f>
        <v>634725</v>
      </c>
      <c r="H204" s="46">
        <v>6.84</v>
      </c>
      <c r="I204" s="44">
        <f>($B204*H204)</f>
        <v>666900</v>
      </c>
      <c r="J204" s="47">
        <v>7.17</v>
      </c>
      <c r="K204" s="44">
        <f>($B204*J204)</f>
        <v>699075</v>
      </c>
      <c r="L204" s="72">
        <f>K204/SUM(K202:K206)</f>
        <v>0.20473059561050552</v>
      </c>
    </row>
    <row r="205" spans="1:15">
      <c r="A205" s="29" t="s">
        <v>94</v>
      </c>
      <c r="B205" s="44">
        <v>3389</v>
      </c>
      <c r="C205" s="44">
        <v>30433.22</v>
      </c>
      <c r="D205" s="46">
        <v>8.98</v>
      </c>
      <c r="E205" s="44">
        <f>+B205*D205</f>
        <v>30433.22</v>
      </c>
      <c r="F205" s="46">
        <v>9.31</v>
      </c>
      <c r="G205" s="44">
        <f>($B205*F205)</f>
        <v>31551.59</v>
      </c>
      <c r="H205" s="46">
        <v>9.64</v>
      </c>
      <c r="I205" s="44">
        <f>($B205*H205)</f>
        <v>32669.960000000003</v>
      </c>
      <c r="J205" s="47">
        <v>9.98</v>
      </c>
      <c r="K205" s="44">
        <f>($B205*J205)</f>
        <v>33822.22</v>
      </c>
      <c r="L205" s="72">
        <f>K205/SUM(K202:K206)</f>
        <v>9.9051507284190574E-3</v>
      </c>
    </row>
    <row r="206" spans="1:15">
      <c r="A206" s="29" t="s">
        <v>95</v>
      </c>
      <c r="B206" s="44">
        <v>63560133</v>
      </c>
      <c r="C206" s="50">
        <v>2963173.4004600001</v>
      </c>
      <c r="D206" s="48">
        <v>4.6620000000000002E-2</v>
      </c>
      <c r="E206" s="50">
        <f>+B206*D206</f>
        <v>2963173.4004600001</v>
      </c>
      <c r="F206" s="48">
        <v>4.641E-2</v>
      </c>
      <c r="G206" s="50">
        <f>+$B206*F206</f>
        <v>2949825.7725300002</v>
      </c>
      <c r="H206" s="48">
        <v>4.6199999999999998E-2</v>
      </c>
      <c r="I206" s="50">
        <f>+$B206*H206</f>
        <v>2936478.1445999998</v>
      </c>
      <c r="J206" s="49">
        <v>4.1959999999999997E-2</v>
      </c>
      <c r="K206" s="50">
        <f>+$B206*J206</f>
        <v>2666983.1806799998</v>
      </c>
      <c r="L206" s="72">
        <f>K206/SUM(K202:K206)</f>
        <v>0.78105075287174741</v>
      </c>
    </row>
    <row r="207" spans="1:15">
      <c r="B207" s="44"/>
      <c r="C207" s="44"/>
      <c r="D207" s="44"/>
      <c r="E207" s="44"/>
      <c r="G207" s="44"/>
      <c r="I207" s="44"/>
      <c r="K207" s="44"/>
    </row>
    <row r="208" spans="1:15" ht="16.2" thickBot="1">
      <c r="A208" s="29" t="s">
        <v>59</v>
      </c>
      <c r="B208" s="44"/>
      <c r="C208" s="44">
        <v>3610885.5404600003</v>
      </c>
      <c r="D208" s="44"/>
      <c r="E208" s="51">
        <f>SUM(E202:E207)</f>
        <v>3610885.5404600003</v>
      </c>
      <c r="G208" s="51">
        <f>SUM(G202:G207)</f>
        <v>3630831.2825300004</v>
      </c>
      <c r="I208" s="51">
        <f>SUM(I202:I207)</f>
        <v>3650777.0245999997</v>
      </c>
      <c r="K208" s="51">
        <f>SUM(K202:K207)</f>
        <v>3414609.3206799999</v>
      </c>
      <c r="N208" s="52"/>
      <c r="O208" s="52"/>
    </row>
    <row r="209" spans="1:11" ht="16.2" thickTop="1">
      <c r="B209" s="44"/>
      <c r="C209" s="44"/>
      <c r="D209" s="44"/>
      <c r="E209" s="44"/>
      <c r="G209" s="44"/>
      <c r="I209" s="44"/>
      <c r="K209" s="44"/>
    </row>
    <row r="210" spans="1:11">
      <c r="A210" s="29" t="s">
        <v>60</v>
      </c>
      <c r="B210" s="62"/>
      <c r="C210" s="44">
        <v>-263048.39</v>
      </c>
      <c r="D210" s="44"/>
      <c r="E210" s="44"/>
      <c r="G210" s="44"/>
      <c r="I210" s="44"/>
      <c r="K210" s="44"/>
    </row>
    <row r="211" spans="1:11">
      <c r="A211" s="29" t="s">
        <v>61</v>
      </c>
      <c r="B211" s="44"/>
      <c r="C211" s="50">
        <v>417183.6399999999</v>
      </c>
      <c r="D211" s="44"/>
      <c r="E211" s="44"/>
      <c r="G211" s="44"/>
      <c r="I211" s="44"/>
      <c r="K211" s="44"/>
    </row>
    <row r="212" spans="1:11">
      <c r="B212" s="44"/>
      <c r="C212" s="44"/>
      <c r="D212" s="44"/>
      <c r="E212" s="44"/>
      <c r="G212" s="44"/>
      <c r="I212" s="44"/>
      <c r="K212" s="44"/>
    </row>
    <row r="213" spans="1:11" ht="16.2" thickBot="1">
      <c r="A213" s="29" t="s">
        <v>62</v>
      </c>
      <c r="B213" s="44"/>
      <c r="C213" s="51">
        <v>3765020.7904599998</v>
      </c>
      <c r="D213" s="44"/>
    </row>
    <row r="214" spans="1:11" ht="16.2" thickTop="1">
      <c r="B214" s="44"/>
      <c r="C214" s="44"/>
      <c r="D214" s="44"/>
      <c r="E214" s="44"/>
      <c r="G214" s="44"/>
      <c r="I214" s="44"/>
      <c r="K214" s="44"/>
    </row>
    <row r="215" spans="1:11">
      <c r="A215" s="29" t="s">
        <v>63</v>
      </c>
      <c r="B215" s="44"/>
      <c r="C215" s="44"/>
      <c r="D215" s="44"/>
      <c r="E215" s="45">
        <f>(E208-C208)</f>
        <v>0</v>
      </c>
      <c r="G215" s="45">
        <f>(G208-E208)</f>
        <v>19945.742070000153</v>
      </c>
      <c r="I215" s="45">
        <f>(I208-G208)</f>
        <v>19945.742069999222</v>
      </c>
      <c r="K215" s="45">
        <f>(K208-I208)</f>
        <v>-236167.70391999977</v>
      </c>
    </row>
    <row r="216" spans="1:11">
      <c r="A216" s="29" t="s">
        <v>11</v>
      </c>
      <c r="E216" s="54">
        <f>(E215/C208)</f>
        <v>0</v>
      </c>
      <c r="F216" s="54"/>
      <c r="G216" s="54">
        <f>(G215/E208)</f>
        <v>5.5237813125085132E-3</v>
      </c>
      <c r="H216" s="54"/>
      <c r="I216" s="54">
        <f>(I215/G208)</f>
        <v>5.493436769141425E-3</v>
      </c>
      <c r="J216" s="54"/>
      <c r="K216" s="54">
        <f>(K215/I208)</f>
        <v>-6.4689709157429484E-2</v>
      </c>
    </row>
    <row r="218" spans="1:11">
      <c r="A218" s="29" t="s">
        <v>64</v>
      </c>
      <c r="B218" s="44">
        <v>5296677.75</v>
      </c>
      <c r="C218" s="46">
        <v>300907.12837166671</v>
      </c>
      <c r="D218" s="46"/>
      <c r="E218" s="46">
        <f>E208/$B202</f>
        <v>300907.12837166671</v>
      </c>
      <c r="F218" s="46"/>
      <c r="G218" s="46">
        <f>G208/$B202</f>
        <v>302569.2735441667</v>
      </c>
      <c r="H218" s="46"/>
      <c r="I218" s="46">
        <f>I208/$B202</f>
        <v>304231.41871666664</v>
      </c>
      <c r="J218" s="46"/>
      <c r="K218" s="46">
        <f>K208/$B202</f>
        <v>284550.77672333334</v>
      </c>
    </row>
    <row r="219" spans="1:11">
      <c r="A219" s="29" t="s">
        <v>63</v>
      </c>
      <c r="E219" s="46">
        <f>E218-C218</f>
        <v>0</v>
      </c>
      <c r="G219" s="46">
        <f>G218-E218</f>
        <v>1662.1451724999934</v>
      </c>
      <c r="I219" s="46">
        <f>I218-G218</f>
        <v>1662.1451724999351</v>
      </c>
      <c r="K219" s="46">
        <f>K218-I218</f>
        <v>-19680.641993333295</v>
      </c>
    </row>
    <row r="220" spans="1:11">
      <c r="A220" s="29" t="s">
        <v>11</v>
      </c>
      <c r="E220" s="54">
        <f>E219/C218</f>
        <v>0</v>
      </c>
      <c r="G220" s="54">
        <f>G219/E218</f>
        <v>5.5237813125084481E-3</v>
      </c>
      <c r="I220" s="54">
        <f>I219/G218</f>
        <v>5.493436769141425E-3</v>
      </c>
      <c r="K220" s="54">
        <f>K219/I218</f>
        <v>-6.4689709157429415E-2</v>
      </c>
    </row>
    <row r="223" spans="1:11" ht="15" customHeight="1">
      <c r="A223" s="27" t="str">
        <f>A1</f>
        <v>Shelby Energy Cooperative, Inc.</v>
      </c>
      <c r="B223" s="27"/>
      <c r="C223" s="27"/>
      <c r="D223" s="27"/>
      <c r="E223" s="27"/>
      <c r="F223" s="27"/>
      <c r="G223" s="28"/>
      <c r="H223" s="27"/>
      <c r="I223" s="28"/>
      <c r="J223" s="27"/>
      <c r="K223" s="28" t="s">
        <v>34</v>
      </c>
    </row>
    <row r="224" spans="1:11">
      <c r="A224" s="27" t="str">
        <f>A2</f>
        <v>Case No.  2016-00434</v>
      </c>
      <c r="B224" s="27"/>
      <c r="C224" s="27"/>
      <c r="D224" s="27"/>
      <c r="E224" s="27"/>
      <c r="F224" s="27"/>
      <c r="G224" s="28"/>
      <c r="H224" s="27"/>
      <c r="I224" s="28"/>
      <c r="J224" s="27"/>
      <c r="K224" s="30" t="s">
        <v>36</v>
      </c>
    </row>
    <row r="225" spans="1:11">
      <c r="A225" s="27" t="str">
        <f>A3</f>
        <v>Billing Analysis</v>
      </c>
      <c r="B225" s="27"/>
      <c r="C225" s="27"/>
      <c r="D225" s="27"/>
      <c r="E225" s="27"/>
      <c r="F225" s="27"/>
      <c r="G225" s="28"/>
      <c r="H225" s="27"/>
      <c r="I225" s="28"/>
      <c r="J225" s="27"/>
      <c r="K225" s="28" t="s">
        <v>100</v>
      </c>
    </row>
    <row r="226" spans="1:11">
      <c r="A226" s="27" t="str">
        <f>A4</f>
        <v>July 31, 2016</v>
      </c>
      <c r="B226" s="27"/>
      <c r="C226" s="27"/>
      <c r="D226" s="27"/>
      <c r="E226" s="27"/>
      <c r="F226" s="27"/>
      <c r="G226" s="44"/>
      <c r="H226" s="27"/>
      <c r="I226" s="44"/>
      <c r="J226" s="27"/>
      <c r="K226" s="28" t="s">
        <v>40</v>
      </c>
    </row>
    <row r="227" spans="1:11">
      <c r="A227" s="27" t="s">
        <v>41</v>
      </c>
      <c r="B227" s="27"/>
      <c r="C227" s="27"/>
      <c r="D227" s="27"/>
      <c r="E227" s="27"/>
      <c r="F227" s="27"/>
      <c r="H227" s="27"/>
      <c r="J227" s="27"/>
    </row>
    <row r="228" spans="1:11">
      <c r="A228" s="27" t="s">
        <v>101</v>
      </c>
      <c r="B228" s="27"/>
      <c r="C228" s="27"/>
      <c r="D228" s="27"/>
      <c r="E228" s="27"/>
      <c r="F228" s="27"/>
      <c r="G228" s="44"/>
      <c r="H228" s="27"/>
      <c r="I228" s="44"/>
      <c r="J228" s="27"/>
      <c r="K228" s="44"/>
    </row>
    <row r="230" spans="1:11" ht="15" customHeight="1">
      <c r="B230" s="32"/>
      <c r="C230" s="33" t="s">
        <v>43</v>
      </c>
      <c r="D230" s="34" t="s">
        <v>44</v>
      </c>
      <c r="E230" s="35"/>
      <c r="F230" s="74" t="s">
        <v>45</v>
      </c>
      <c r="G230" s="75"/>
      <c r="H230" s="74" t="s">
        <v>46</v>
      </c>
      <c r="I230" s="75"/>
      <c r="J230" s="74" t="s">
        <v>47</v>
      </c>
      <c r="K230" s="75"/>
    </row>
    <row r="231" spans="1:11">
      <c r="B231" s="36" t="s">
        <v>48</v>
      </c>
      <c r="C231" s="37" t="s">
        <v>49</v>
      </c>
      <c r="D231" s="38" t="str">
        <f>D9</f>
        <v>2010-00509</v>
      </c>
      <c r="E231" s="39"/>
      <c r="F231" s="38" t="s">
        <v>6</v>
      </c>
      <c r="G231" s="39"/>
      <c r="H231" s="38" t="s">
        <v>6</v>
      </c>
      <c r="I231" s="39"/>
      <c r="J231" s="38" t="s">
        <v>6</v>
      </c>
      <c r="K231" s="39"/>
    </row>
    <row r="232" spans="1:11">
      <c r="A232" s="40" t="s">
        <v>51</v>
      </c>
      <c r="B232" s="41" t="s">
        <v>52</v>
      </c>
      <c r="C232" s="41" t="s">
        <v>53</v>
      </c>
      <c r="D232" s="42" t="s">
        <v>54</v>
      </c>
      <c r="E232" s="43" t="s">
        <v>53</v>
      </c>
      <c r="F232" s="42" t="s">
        <v>54</v>
      </c>
      <c r="G232" s="43" t="s">
        <v>53</v>
      </c>
      <c r="H232" s="42" t="s">
        <v>54</v>
      </c>
      <c r="I232" s="43" t="s">
        <v>53</v>
      </c>
      <c r="J232" s="42" t="s">
        <v>54</v>
      </c>
      <c r="K232" s="43" t="s">
        <v>53</v>
      </c>
    </row>
    <row r="233" spans="1:11">
      <c r="G233" s="44"/>
      <c r="I233" s="44"/>
      <c r="K233" s="44"/>
    </row>
    <row r="234" spans="1:11">
      <c r="A234" s="29" t="s">
        <v>102</v>
      </c>
      <c r="G234" s="44"/>
      <c r="I234" s="44"/>
      <c r="K234" s="44"/>
    </row>
    <row r="235" spans="1:11">
      <c r="A235" s="63" t="s">
        <v>103</v>
      </c>
      <c r="B235" s="44">
        <v>41041</v>
      </c>
      <c r="C235" s="45">
        <v>387016.63</v>
      </c>
      <c r="D235" s="46">
        <v>9.43</v>
      </c>
      <c r="E235" s="45">
        <f>($B235*D235)</f>
        <v>387016.63</v>
      </c>
      <c r="F235" s="46">
        <v>9.86</v>
      </c>
      <c r="G235" s="45">
        <f>($B235*F235)</f>
        <v>404664.25999999995</v>
      </c>
      <c r="H235" s="46">
        <v>10.029999999999999</v>
      </c>
      <c r="I235" s="45">
        <f>($B235*H235)</f>
        <v>411641.23</v>
      </c>
      <c r="J235" s="46">
        <v>10.17</v>
      </c>
      <c r="K235" s="45">
        <f>($B235*J235)</f>
        <v>417386.97</v>
      </c>
    </row>
    <row r="236" spans="1:11">
      <c r="A236" s="63" t="s">
        <v>104</v>
      </c>
      <c r="B236" s="44">
        <v>2055</v>
      </c>
      <c r="C236" s="44">
        <v>26057.399999999998</v>
      </c>
      <c r="D236" s="46">
        <v>12.68</v>
      </c>
      <c r="E236" s="44">
        <f>($B236*D236)</f>
        <v>26057.399999999998</v>
      </c>
      <c r="F236" s="46">
        <v>13.29</v>
      </c>
      <c r="G236" s="64">
        <f>($B236*F236)</f>
        <v>27310.949999999997</v>
      </c>
      <c r="H236" s="46">
        <v>13.49</v>
      </c>
      <c r="I236" s="64">
        <f>($B236*H236)</f>
        <v>27721.95</v>
      </c>
      <c r="J236" s="46">
        <v>13.69</v>
      </c>
      <c r="K236" s="64">
        <f>($B236*J236)</f>
        <v>28132.95</v>
      </c>
    </row>
    <row r="237" spans="1:11">
      <c r="A237" s="63" t="s">
        <v>105</v>
      </c>
      <c r="B237" s="44">
        <v>2038</v>
      </c>
      <c r="C237" s="44">
        <v>39109.22</v>
      </c>
      <c r="D237" s="46">
        <v>19.190000000000001</v>
      </c>
      <c r="E237" s="44">
        <f>($B237*D237)</f>
        <v>39109.22</v>
      </c>
      <c r="F237" s="46">
        <v>20.11</v>
      </c>
      <c r="G237" s="64">
        <f>($B237*F237)</f>
        <v>40984.18</v>
      </c>
      <c r="H237" s="46">
        <v>20.420000000000002</v>
      </c>
      <c r="I237" s="64">
        <f>($B237*H237)</f>
        <v>41615.960000000006</v>
      </c>
      <c r="J237" s="46">
        <v>20.73</v>
      </c>
      <c r="K237" s="64">
        <f>($B237*J237)</f>
        <v>42247.74</v>
      </c>
    </row>
    <row r="238" spans="1:11">
      <c r="A238" s="63" t="s">
        <v>106</v>
      </c>
      <c r="B238" s="44">
        <v>4590</v>
      </c>
      <c r="C238" s="44">
        <v>63709.200000000004</v>
      </c>
      <c r="D238" s="46">
        <v>13.88</v>
      </c>
      <c r="E238" s="44">
        <f>($B238*D238)</f>
        <v>63709.200000000004</v>
      </c>
      <c r="F238" s="46">
        <v>14.55</v>
      </c>
      <c r="G238" s="64">
        <f>($B238*F238)</f>
        <v>66784.5</v>
      </c>
      <c r="H238" s="46">
        <v>14.77</v>
      </c>
      <c r="I238" s="64">
        <f>($B238*H238)</f>
        <v>67794.3</v>
      </c>
      <c r="J238" s="46">
        <v>14.99</v>
      </c>
      <c r="K238" s="64">
        <f>($B238*J238)</f>
        <v>68804.100000000006</v>
      </c>
    </row>
    <row r="239" spans="1:11">
      <c r="A239" s="63" t="s">
        <v>20</v>
      </c>
      <c r="B239" s="44">
        <v>207</v>
      </c>
      <c r="C239" s="44">
        <v>3136.05</v>
      </c>
      <c r="D239" s="46">
        <v>15.15</v>
      </c>
      <c r="E239" s="44">
        <f>($B239*D239)</f>
        <v>3136.05</v>
      </c>
      <c r="F239" s="46">
        <v>15.88</v>
      </c>
      <c r="G239" s="64">
        <f>($B239*F239)</f>
        <v>3287.1600000000003</v>
      </c>
      <c r="H239" s="46">
        <v>16.12</v>
      </c>
      <c r="I239" s="64">
        <f>($B239*H239)</f>
        <v>3336.84</v>
      </c>
      <c r="J239" s="46">
        <v>16.36</v>
      </c>
      <c r="K239" s="64">
        <f>($B239*J239)</f>
        <v>3386.52</v>
      </c>
    </row>
    <row r="240" spans="1:11">
      <c r="A240" s="63"/>
      <c r="B240" s="44"/>
      <c r="C240" s="44"/>
      <c r="D240" s="46"/>
      <c r="E240" s="44"/>
      <c r="F240" s="46"/>
      <c r="G240" s="64"/>
      <c r="H240" s="46"/>
      <c r="I240" s="64"/>
      <c r="J240" s="46"/>
      <c r="K240" s="64"/>
    </row>
    <row r="241" spans="1:14">
      <c r="A241" s="63" t="s">
        <v>107</v>
      </c>
      <c r="B241" s="44"/>
      <c r="C241" s="44"/>
      <c r="D241" s="46"/>
      <c r="E241" s="44"/>
      <c r="F241" s="46"/>
      <c r="G241" s="64"/>
      <c r="H241" s="46"/>
      <c r="I241" s="64"/>
      <c r="J241" s="46"/>
      <c r="K241" s="64"/>
    </row>
    <row r="242" spans="1:14">
      <c r="A242" s="63" t="s">
        <v>21</v>
      </c>
      <c r="B242" s="52">
        <v>1224</v>
      </c>
      <c r="C242" s="44">
        <v>12264.48</v>
      </c>
      <c r="D242" s="46">
        <v>10.02</v>
      </c>
      <c r="E242" s="44">
        <f>+B242*D242</f>
        <v>12264.48</v>
      </c>
      <c r="F242" s="46">
        <v>10.5</v>
      </c>
      <c r="G242" s="64">
        <f>($B242*F242)</f>
        <v>12852</v>
      </c>
      <c r="H242" s="46">
        <v>10.66</v>
      </c>
      <c r="I242" s="64">
        <f>($B242*H242)</f>
        <v>13047.84</v>
      </c>
      <c r="J242" s="46">
        <v>10.82</v>
      </c>
      <c r="K242" s="64">
        <f>($B242*J242)</f>
        <v>13243.68</v>
      </c>
      <c r="N242" s="28" t="s">
        <v>108</v>
      </c>
    </row>
    <row r="243" spans="1:14">
      <c r="A243" s="63" t="s">
        <v>22</v>
      </c>
      <c r="B243" s="52">
        <v>170</v>
      </c>
      <c r="C243" s="44">
        <v>2118.2000000000003</v>
      </c>
      <c r="D243" s="46">
        <v>12.46</v>
      </c>
      <c r="E243" s="44">
        <f>+B243*D243</f>
        <v>2118.2000000000003</v>
      </c>
      <c r="F243" s="46">
        <v>13.06</v>
      </c>
      <c r="G243" s="64">
        <f>($B243*F243)</f>
        <v>2220.2000000000003</v>
      </c>
      <c r="H243" s="46">
        <v>13.26</v>
      </c>
      <c r="I243" s="64">
        <f>($B243*H243)</f>
        <v>2254.1999999999998</v>
      </c>
      <c r="J243" s="46">
        <v>13.46</v>
      </c>
      <c r="K243" s="64">
        <f>($B243*J243)</f>
        <v>2288.2000000000003</v>
      </c>
      <c r="N243" s="28" t="s">
        <v>109</v>
      </c>
    </row>
    <row r="244" spans="1:14">
      <c r="A244" s="63" t="s">
        <v>23</v>
      </c>
      <c r="B244" s="52">
        <v>4</v>
      </c>
      <c r="C244" s="44">
        <v>54.52</v>
      </c>
      <c r="D244" s="46">
        <v>13.63</v>
      </c>
      <c r="E244" s="44">
        <f>+B244*D244</f>
        <v>54.52</v>
      </c>
      <c r="F244" s="46">
        <v>14.28</v>
      </c>
      <c r="G244" s="64">
        <f>($B244*F244)</f>
        <v>57.12</v>
      </c>
      <c r="H244" s="46">
        <v>14.5</v>
      </c>
      <c r="I244" s="64">
        <f>($B244*H244)</f>
        <v>58</v>
      </c>
      <c r="J244" s="46">
        <v>14.72</v>
      </c>
      <c r="K244" s="64">
        <f>($B244*J244)</f>
        <v>58.88</v>
      </c>
      <c r="N244" s="28" t="s">
        <v>110</v>
      </c>
    </row>
    <row r="245" spans="1:14">
      <c r="A245" s="63" t="s">
        <v>24</v>
      </c>
      <c r="B245" s="52">
        <v>155</v>
      </c>
      <c r="C245" s="44">
        <v>2889.2000000000003</v>
      </c>
      <c r="D245" s="46">
        <v>18.64</v>
      </c>
      <c r="E245" s="44">
        <f>+B245*D245</f>
        <v>2889.2000000000003</v>
      </c>
      <c r="F245" s="46">
        <v>19.53</v>
      </c>
      <c r="G245" s="64">
        <f>($B245*F245)</f>
        <v>3027.15</v>
      </c>
      <c r="H245" s="46">
        <v>19.829999999999998</v>
      </c>
      <c r="I245" s="64">
        <f>($B245*H245)</f>
        <v>3073.6499999999996</v>
      </c>
      <c r="J245" s="46">
        <v>20.13</v>
      </c>
      <c r="K245" s="64">
        <f>($B245*J245)</f>
        <v>3120.1499999999996</v>
      </c>
      <c r="N245" s="28" t="s">
        <v>111</v>
      </c>
    </row>
    <row r="246" spans="1:14">
      <c r="A246" s="63"/>
      <c r="B246" s="44"/>
      <c r="C246" s="44"/>
      <c r="D246" s="46"/>
      <c r="E246" s="44"/>
      <c r="F246" s="46"/>
      <c r="G246" s="64"/>
      <c r="H246" s="46"/>
      <c r="I246" s="64"/>
      <c r="J246" s="46"/>
      <c r="K246" s="64"/>
    </row>
    <row r="247" spans="1:14" ht="16.2" thickBot="1">
      <c r="A247" s="29" t="s">
        <v>112</v>
      </c>
      <c r="B247" s="65">
        <v>2450356</v>
      </c>
    </row>
    <row r="248" spans="1:14" ht="16.2" thickTop="1">
      <c r="B248" s="44"/>
      <c r="C248" s="50"/>
      <c r="D248" s="44"/>
      <c r="E248" s="50">
        <f>C248</f>
        <v>0</v>
      </c>
      <c r="G248" s="50">
        <f>E248</f>
        <v>0</v>
      </c>
      <c r="I248" s="50">
        <f>G248</f>
        <v>0</v>
      </c>
      <c r="K248" s="50">
        <f>I248</f>
        <v>0</v>
      </c>
    </row>
    <row r="249" spans="1:14">
      <c r="B249" s="44"/>
      <c r="C249" s="44"/>
      <c r="D249" s="44"/>
      <c r="E249" s="44"/>
      <c r="G249" s="44"/>
      <c r="I249" s="44"/>
      <c r="K249" s="44"/>
    </row>
    <row r="250" spans="1:14" ht="16.2" thickBot="1">
      <c r="A250" s="29" t="s">
        <v>59</v>
      </c>
      <c r="B250" s="44"/>
      <c r="C250" s="44">
        <v>536354.89999999991</v>
      </c>
      <c r="D250" s="44"/>
      <c r="E250" s="51">
        <f>SUM(E235:E248)</f>
        <v>536354.89999999991</v>
      </c>
      <c r="G250" s="51">
        <f>SUM(G235:G248)</f>
        <v>561187.5199999999</v>
      </c>
      <c r="I250" s="51">
        <f>SUM(I235:I248)</f>
        <v>570543.97</v>
      </c>
      <c r="K250" s="51">
        <f>SUM(K235:K248)</f>
        <v>578669.19000000006</v>
      </c>
    </row>
    <row r="251" spans="1:14" ht="16.2" thickTop="1">
      <c r="B251" s="44"/>
      <c r="C251" s="44"/>
      <c r="D251" s="44"/>
      <c r="E251" s="44"/>
      <c r="G251" s="44"/>
      <c r="I251" s="44"/>
      <c r="K251" s="44"/>
    </row>
    <row r="252" spans="1:14">
      <c r="A252" s="29" t="s">
        <v>60</v>
      </c>
      <c r="B252" s="44"/>
      <c r="C252" s="44">
        <v>-765.78</v>
      </c>
      <c r="D252" s="44"/>
      <c r="E252" s="44"/>
      <c r="G252" s="44"/>
      <c r="I252" s="44"/>
      <c r="K252" s="44"/>
    </row>
    <row r="253" spans="1:14">
      <c r="A253" s="29" t="s">
        <v>61</v>
      </c>
      <c r="B253" s="44"/>
      <c r="C253" s="50">
        <v>5215.08</v>
      </c>
      <c r="D253" s="44"/>
      <c r="E253" s="44"/>
      <c r="G253" s="44"/>
      <c r="I253" s="44"/>
      <c r="K253" s="44"/>
    </row>
    <row r="254" spans="1:14">
      <c r="B254" s="44"/>
      <c r="C254" s="44"/>
      <c r="D254" s="44"/>
      <c r="E254" s="44"/>
      <c r="G254" s="44"/>
      <c r="I254" s="44"/>
      <c r="K254" s="44"/>
    </row>
    <row r="255" spans="1:14" ht="16.2" thickBot="1">
      <c r="A255" s="29" t="s">
        <v>62</v>
      </c>
      <c r="B255" s="44"/>
      <c r="C255" s="51">
        <v>540804.19999999984</v>
      </c>
      <c r="D255" s="44"/>
    </row>
    <row r="256" spans="1:14" ht="16.2" thickTop="1">
      <c r="B256" s="44"/>
      <c r="C256" s="44"/>
      <c r="D256" s="44"/>
      <c r="E256" s="44"/>
      <c r="G256" s="44"/>
      <c r="I256" s="44"/>
      <c r="K256" s="44"/>
    </row>
    <row r="257" spans="1:11">
      <c r="A257" s="29" t="s">
        <v>63</v>
      </c>
      <c r="E257" s="45">
        <f>(E250-C250)</f>
        <v>0</v>
      </c>
      <c r="G257" s="45">
        <f>(G250-E250)</f>
        <v>24832.619999999995</v>
      </c>
      <c r="I257" s="45">
        <f>(I250-G250)</f>
        <v>9356.4500000000698</v>
      </c>
      <c r="K257" s="45">
        <f>(K250-I250)</f>
        <v>8125.2200000000885</v>
      </c>
    </row>
    <row r="258" spans="1:11">
      <c r="A258" s="29" t="s">
        <v>11</v>
      </c>
      <c r="E258" s="54">
        <f>(E257/C250)</f>
        <v>0</v>
      </c>
      <c r="F258" s="54"/>
      <c r="G258" s="54">
        <f>(G257/E250)</f>
        <v>4.6298859206842333E-2</v>
      </c>
      <c r="H258" s="54"/>
      <c r="I258" s="54">
        <f>(I257/G250)</f>
        <v>1.6672591008438806E-2</v>
      </c>
      <c r="J258" s="54"/>
      <c r="K258" s="54">
        <f>(K257/I250)</f>
        <v>1.424118109599877E-2</v>
      </c>
    </row>
    <row r="259" spans="1:11">
      <c r="E259" s="55"/>
      <c r="F259" s="44"/>
      <c r="G259" s="55"/>
      <c r="H259" s="44"/>
      <c r="I259" s="55"/>
      <c r="J259" s="44"/>
      <c r="K259" s="55"/>
    </row>
    <row r="260" spans="1:11">
      <c r="A260" s="29" t="s">
        <v>64</v>
      </c>
      <c r="B260" s="44">
        <v>47.594514800714784</v>
      </c>
      <c r="C260" s="46">
        <v>10.417894879962706</v>
      </c>
      <c r="D260" s="46"/>
      <c r="E260" s="46">
        <f>+E250/SUM(B235:B245)</f>
        <v>10.417894879962706</v>
      </c>
      <c r="F260" s="46"/>
      <c r="G260" s="46">
        <f>+G250/SUM($B235:$B245)</f>
        <v>10.900231528241783</v>
      </c>
      <c r="H260" s="46"/>
      <c r="I260" s="46">
        <f>+I250/SUM($B235:$B245)</f>
        <v>11.081966630409447</v>
      </c>
      <c r="J260" s="46"/>
      <c r="K260" s="46">
        <f>+K250/SUM($B235:$B245)</f>
        <v>11.239786924092924</v>
      </c>
    </row>
    <row r="261" spans="1:11">
      <c r="A261" s="29" t="s">
        <v>63</v>
      </c>
      <c r="E261" s="46">
        <f>E260-C260</f>
        <v>0</v>
      </c>
      <c r="G261" s="46">
        <f>G260-E260</f>
        <v>0.48233664827907674</v>
      </c>
      <c r="I261" s="46">
        <f>I260-G260</f>
        <v>0.18173510216766431</v>
      </c>
      <c r="K261" s="46">
        <f>K260-I260</f>
        <v>0.15782029368347672</v>
      </c>
    </row>
    <row r="262" spans="1:11">
      <c r="A262" s="29" t="s">
        <v>11</v>
      </c>
      <c r="E262" s="54">
        <f>E261/C260</f>
        <v>0</v>
      </c>
      <c r="G262" s="54">
        <f>G261/E260</f>
        <v>4.6298859206842319E-2</v>
      </c>
      <c r="I262" s="54">
        <f>I261/G260</f>
        <v>1.6672591008438729E-2</v>
      </c>
      <c r="K262" s="54">
        <f>K261/I260</f>
        <v>1.4241181095998817E-2</v>
      </c>
    </row>
    <row r="263" spans="1:11">
      <c r="E263" s="55"/>
      <c r="F263" s="44"/>
      <c r="G263" s="55"/>
      <c r="H263" s="44"/>
      <c r="I263" s="55"/>
      <c r="J263" s="44"/>
      <c r="K263" s="55"/>
    </row>
    <row r="264" spans="1:11">
      <c r="E264" s="55"/>
      <c r="F264" s="44"/>
      <c r="G264" s="55"/>
      <c r="H264" s="44"/>
      <c r="I264" s="55"/>
      <c r="J264" s="44"/>
      <c r="K264" s="55"/>
    </row>
    <row r="265" spans="1:11">
      <c r="A265" s="76" t="str">
        <f>A1</f>
        <v>Shelby Energy Cooperative, Inc.</v>
      </c>
      <c r="B265" s="76"/>
      <c r="C265" s="76"/>
      <c r="D265" s="76"/>
      <c r="E265" s="76"/>
      <c r="F265" s="76"/>
      <c r="G265" s="28"/>
      <c r="I265" s="28"/>
      <c r="K265" s="28" t="s">
        <v>34</v>
      </c>
    </row>
    <row r="266" spans="1:11">
      <c r="A266" s="76" t="str">
        <f>A2</f>
        <v>Case No.  2016-00434</v>
      </c>
      <c r="B266" s="76"/>
      <c r="C266" s="76"/>
      <c r="D266" s="76"/>
      <c r="E266" s="76"/>
      <c r="F266" s="76"/>
      <c r="G266" s="28"/>
      <c r="I266" s="28"/>
      <c r="K266" s="30" t="s">
        <v>36</v>
      </c>
    </row>
    <row r="267" spans="1:11">
      <c r="A267" s="76" t="str">
        <f>A3</f>
        <v>Billing Analysis</v>
      </c>
      <c r="B267" s="76"/>
      <c r="C267" s="76"/>
      <c r="D267" s="76"/>
      <c r="E267" s="76"/>
      <c r="F267" s="76"/>
      <c r="G267" s="28"/>
      <c r="I267" s="28"/>
      <c r="K267" s="28" t="s">
        <v>113</v>
      </c>
    </row>
    <row r="268" spans="1:11">
      <c r="A268" s="76" t="str">
        <f>A4</f>
        <v>July 31, 2016</v>
      </c>
      <c r="B268" s="76"/>
      <c r="C268" s="76"/>
      <c r="D268" s="76"/>
      <c r="E268" s="76"/>
      <c r="F268" s="76"/>
      <c r="G268" s="55"/>
      <c r="I268" s="55"/>
      <c r="K268" s="28" t="s">
        <v>40</v>
      </c>
    </row>
    <row r="269" spans="1:11">
      <c r="A269" s="27" t="s">
        <v>41</v>
      </c>
      <c r="E269" s="55"/>
      <c r="F269" s="44"/>
      <c r="G269" s="55"/>
      <c r="H269" s="44"/>
      <c r="I269" s="55"/>
      <c r="J269" s="44"/>
      <c r="K269" s="55"/>
    </row>
    <row r="270" spans="1:11">
      <c r="A270" s="27" t="s">
        <v>114</v>
      </c>
      <c r="B270" s="27"/>
      <c r="C270" s="27"/>
      <c r="D270" s="27"/>
      <c r="E270" s="27"/>
      <c r="F270" s="27"/>
      <c r="G270" s="44"/>
      <c r="H270" s="27"/>
      <c r="I270" s="44"/>
      <c r="J270" s="27"/>
      <c r="K270" s="44"/>
    </row>
    <row r="272" spans="1:11" ht="15" customHeight="1">
      <c r="B272" s="32"/>
      <c r="C272" s="33" t="s">
        <v>43</v>
      </c>
      <c r="D272" s="34" t="s">
        <v>44</v>
      </c>
      <c r="E272" s="35"/>
      <c r="F272" s="74" t="s">
        <v>45</v>
      </c>
      <c r="G272" s="75"/>
      <c r="H272" s="74" t="s">
        <v>46</v>
      </c>
      <c r="I272" s="75"/>
      <c r="J272" s="74" t="s">
        <v>47</v>
      </c>
      <c r="K272" s="75"/>
    </row>
    <row r="273" spans="1:11">
      <c r="B273" s="36" t="s">
        <v>48</v>
      </c>
      <c r="C273" s="37" t="s">
        <v>49</v>
      </c>
      <c r="D273" s="38" t="str">
        <f>+D9</f>
        <v>2010-00509</v>
      </c>
      <c r="E273" s="39"/>
      <c r="F273" s="38" t="s">
        <v>6</v>
      </c>
      <c r="G273" s="39"/>
      <c r="H273" s="38" t="s">
        <v>6</v>
      </c>
      <c r="I273" s="39"/>
      <c r="J273" s="38" t="s">
        <v>6</v>
      </c>
      <c r="K273" s="39"/>
    </row>
    <row r="274" spans="1:11">
      <c r="A274" s="40" t="s">
        <v>51</v>
      </c>
      <c r="B274" s="41" t="s">
        <v>52</v>
      </c>
      <c r="C274" s="41" t="s">
        <v>53</v>
      </c>
      <c r="D274" s="42" t="s">
        <v>54</v>
      </c>
      <c r="E274" s="43" t="s">
        <v>53</v>
      </c>
      <c r="F274" s="42" t="s">
        <v>54</v>
      </c>
      <c r="G274" s="43" t="s">
        <v>53</v>
      </c>
      <c r="H274" s="42" t="s">
        <v>54</v>
      </c>
      <c r="I274" s="43" t="s">
        <v>53</v>
      </c>
      <c r="J274" s="42" t="s">
        <v>54</v>
      </c>
      <c r="K274" s="43" t="s">
        <v>53</v>
      </c>
    </row>
    <row r="275" spans="1:11">
      <c r="G275" s="44"/>
      <c r="I275" s="44"/>
      <c r="K275" s="44"/>
    </row>
    <row r="276" spans="1:11">
      <c r="A276" s="29" t="s">
        <v>114</v>
      </c>
      <c r="B276" s="44"/>
      <c r="C276" s="44"/>
      <c r="D276" s="46"/>
      <c r="E276" s="44"/>
      <c r="F276" s="46"/>
      <c r="G276" s="44"/>
      <c r="H276" s="46"/>
      <c r="I276" s="44"/>
      <c r="J276" s="46"/>
      <c r="K276" s="44"/>
    </row>
    <row r="277" spans="1:11" ht="16.2" thickBot="1">
      <c r="A277" s="29" t="s">
        <v>112</v>
      </c>
      <c r="B277" s="65">
        <v>131500</v>
      </c>
      <c r="C277" s="44">
        <v>3616.25</v>
      </c>
      <c r="D277" s="66">
        <v>2.75E-2</v>
      </c>
      <c r="E277" s="44">
        <f>+D277*B277</f>
        <v>3616.25</v>
      </c>
      <c r="F277" s="66">
        <v>2.75E-2</v>
      </c>
      <c r="G277" s="44">
        <f>+$B277*F277</f>
        <v>3616.25</v>
      </c>
      <c r="H277" s="66">
        <v>2.75E-2</v>
      </c>
      <c r="I277" s="44">
        <f>(B277*H277)</f>
        <v>3616.25</v>
      </c>
      <c r="J277" s="66">
        <v>2.75E-2</v>
      </c>
      <c r="K277" s="44">
        <f>+$B277*J277</f>
        <v>3616.25</v>
      </c>
    </row>
    <row r="278" spans="1:11" ht="16.2" thickTop="1">
      <c r="B278" s="44"/>
    </row>
    <row r="279" spans="1:11">
      <c r="A279" s="29" t="s">
        <v>115</v>
      </c>
      <c r="B279" s="44"/>
      <c r="C279" s="50"/>
      <c r="D279" s="44"/>
      <c r="E279" s="50"/>
      <c r="G279" s="50"/>
      <c r="I279" s="50"/>
      <c r="K279" s="50"/>
    </row>
    <row r="280" spans="1:11">
      <c r="B280" s="44"/>
      <c r="C280" s="44"/>
      <c r="D280" s="44"/>
      <c r="E280" s="44"/>
      <c r="G280" s="44"/>
      <c r="I280" s="44"/>
      <c r="K280" s="44"/>
    </row>
    <row r="281" spans="1:11" ht="16.2" thickBot="1">
      <c r="A281" s="29" t="s">
        <v>59</v>
      </c>
      <c r="B281" s="44"/>
      <c r="C281" s="44">
        <v>3616.25</v>
      </c>
      <c r="D281" s="44"/>
      <c r="E281" s="51">
        <f>SUM(E276:E279)</f>
        <v>3616.25</v>
      </c>
      <c r="G281" s="51">
        <f>SUM(G276:G279)</f>
        <v>3616.25</v>
      </c>
      <c r="I281" s="51">
        <f>SUM(I276:I279)</f>
        <v>3616.25</v>
      </c>
      <c r="K281" s="51">
        <f>SUM(K276:K279)</f>
        <v>3616.25</v>
      </c>
    </row>
    <row r="282" spans="1:11" ht="16.2" thickTop="1">
      <c r="B282" s="44"/>
      <c r="C282" s="44"/>
      <c r="D282" s="44"/>
      <c r="E282" s="44"/>
      <c r="G282" s="44"/>
      <c r="I282" s="44"/>
      <c r="K282" s="44"/>
    </row>
    <row r="283" spans="1:11">
      <c r="A283" s="29" t="s">
        <v>60</v>
      </c>
      <c r="B283" s="44"/>
      <c r="C283" s="44"/>
      <c r="D283" s="44"/>
      <c r="E283" s="44"/>
      <c r="G283" s="44"/>
      <c r="I283" s="44"/>
      <c r="K283" s="44"/>
    </row>
    <row r="284" spans="1:11">
      <c r="A284" s="29" t="s">
        <v>61</v>
      </c>
      <c r="B284" s="44"/>
      <c r="C284" s="50"/>
      <c r="D284" s="44"/>
      <c r="E284" s="44"/>
      <c r="G284" s="44"/>
      <c r="I284" s="44"/>
      <c r="K284" s="44"/>
    </row>
    <row r="285" spans="1:11">
      <c r="B285" s="44"/>
      <c r="C285" s="44"/>
      <c r="D285" s="44"/>
      <c r="E285" s="44"/>
      <c r="G285" s="44"/>
      <c r="I285" s="44"/>
      <c r="K285" s="44"/>
    </row>
    <row r="286" spans="1:11" ht="16.2" thickBot="1">
      <c r="A286" s="29" t="s">
        <v>62</v>
      </c>
      <c r="B286" s="44"/>
      <c r="C286" s="51">
        <v>3616.25</v>
      </c>
      <c r="D286" s="44"/>
    </row>
    <row r="287" spans="1:11" ht="16.2" thickTop="1">
      <c r="B287" s="44"/>
      <c r="C287" s="44"/>
      <c r="D287" s="44"/>
      <c r="E287" s="44"/>
      <c r="G287" s="44"/>
      <c r="I287" s="44"/>
      <c r="K287" s="44"/>
    </row>
    <row r="288" spans="1:11">
      <c r="A288" s="29" t="s">
        <v>63</v>
      </c>
      <c r="E288" s="45">
        <f>(E281-C281)</f>
        <v>0</v>
      </c>
      <c r="G288" s="45">
        <f>(G281-E281)</f>
        <v>0</v>
      </c>
      <c r="I288" s="45">
        <f>(I281-G281)</f>
        <v>0</v>
      </c>
      <c r="K288" s="45">
        <f>(K281-I281)</f>
        <v>0</v>
      </c>
    </row>
    <row r="289" spans="1:14">
      <c r="A289" s="29" t="s">
        <v>11</v>
      </c>
      <c r="E289" s="54">
        <f>(E288/C281)</f>
        <v>0</v>
      </c>
      <c r="F289" s="54"/>
      <c r="G289" s="54">
        <f>(G288/E281)</f>
        <v>0</v>
      </c>
      <c r="H289" s="54"/>
      <c r="I289" s="54">
        <f>(I288/G281)</f>
        <v>0</v>
      </c>
      <c r="J289" s="54"/>
      <c r="K289" s="54">
        <f>(K288/I281)</f>
        <v>0</v>
      </c>
    </row>
    <row r="290" spans="1:14">
      <c r="E290" s="55"/>
      <c r="F290" s="44"/>
      <c r="G290" s="55"/>
      <c r="H290" s="44"/>
      <c r="I290" s="55"/>
      <c r="J290" s="44"/>
      <c r="K290" s="55"/>
    </row>
    <row r="291" spans="1:14">
      <c r="E291" s="55"/>
      <c r="F291" s="44"/>
      <c r="G291" s="55"/>
      <c r="H291" s="44"/>
      <c r="I291" s="55"/>
      <c r="J291" s="44"/>
      <c r="K291" s="55"/>
    </row>
    <row r="292" spans="1:14">
      <c r="A292" s="76" t="str">
        <f>A1</f>
        <v>Shelby Energy Cooperative, Inc.</v>
      </c>
      <c r="B292" s="76"/>
      <c r="C292" s="76"/>
      <c r="D292" s="76"/>
      <c r="E292" s="76"/>
      <c r="F292" s="76"/>
      <c r="G292" s="76"/>
    </row>
    <row r="293" spans="1:14">
      <c r="A293" s="76" t="str">
        <f>A2</f>
        <v>Case No.  2016-00434</v>
      </c>
      <c r="B293" s="76"/>
      <c r="C293" s="76"/>
      <c r="D293" s="76"/>
      <c r="E293" s="76"/>
      <c r="F293" s="76"/>
      <c r="G293" s="76"/>
    </row>
    <row r="294" spans="1:14">
      <c r="A294" s="76" t="str">
        <f>A3</f>
        <v>Billing Analysis</v>
      </c>
      <c r="B294" s="76"/>
      <c r="C294" s="76"/>
      <c r="D294" s="76"/>
      <c r="E294" s="76"/>
      <c r="F294" s="76"/>
      <c r="G294" s="76"/>
    </row>
    <row r="295" spans="1:14">
      <c r="A295" s="76" t="str">
        <f>A4</f>
        <v>July 31, 2016</v>
      </c>
      <c r="B295" s="76"/>
      <c r="C295" s="76"/>
      <c r="D295" s="76"/>
      <c r="E295" s="76"/>
      <c r="F295" s="76"/>
      <c r="G295" s="76"/>
    </row>
    <row r="296" spans="1:14">
      <c r="A296" s="76" t="s">
        <v>116</v>
      </c>
      <c r="B296" s="76"/>
      <c r="C296" s="76"/>
      <c r="D296" s="76"/>
      <c r="E296" s="76"/>
      <c r="F296" s="76"/>
      <c r="G296" s="76"/>
    </row>
    <row r="298" spans="1:14" ht="15" customHeight="1">
      <c r="B298" s="32"/>
      <c r="C298" s="33" t="s">
        <v>43</v>
      </c>
      <c r="D298" s="34" t="s">
        <v>44</v>
      </c>
      <c r="E298" s="35"/>
      <c r="F298" s="74" t="s">
        <v>45</v>
      </c>
      <c r="G298" s="75"/>
      <c r="H298" s="74" t="s">
        <v>46</v>
      </c>
      <c r="I298" s="75"/>
      <c r="J298" s="74" t="s">
        <v>47</v>
      </c>
      <c r="K298" s="75"/>
    </row>
    <row r="299" spans="1:14">
      <c r="A299" s="67" t="s">
        <v>48</v>
      </c>
      <c r="B299" s="36" t="s">
        <v>48</v>
      </c>
      <c r="C299" s="37" t="s">
        <v>49</v>
      </c>
      <c r="D299" s="38" t="str">
        <f>D9</f>
        <v>2010-00509</v>
      </c>
      <c r="E299" s="39"/>
      <c r="F299" s="38" t="s">
        <v>6</v>
      </c>
      <c r="G299" s="39"/>
      <c r="H299" s="38" t="s">
        <v>6</v>
      </c>
      <c r="I299" s="39"/>
      <c r="J299" s="38" t="s">
        <v>6</v>
      </c>
      <c r="K299" s="39"/>
    </row>
    <row r="300" spans="1:14">
      <c r="A300" s="67" t="s">
        <v>52</v>
      </c>
      <c r="B300" s="41" t="s">
        <v>52</v>
      </c>
      <c r="C300" s="41" t="s">
        <v>53</v>
      </c>
      <c r="D300" s="42" t="s">
        <v>54</v>
      </c>
      <c r="E300" s="43" t="s">
        <v>53</v>
      </c>
      <c r="F300" s="42" t="s">
        <v>54</v>
      </c>
      <c r="G300" s="43" t="s">
        <v>53</v>
      </c>
      <c r="H300" s="42" t="s">
        <v>54</v>
      </c>
      <c r="I300" s="43" t="s">
        <v>53</v>
      </c>
      <c r="J300" s="42" t="s">
        <v>54</v>
      </c>
      <c r="K300" s="43" t="s">
        <v>53</v>
      </c>
    </row>
    <row r="302" spans="1:14" ht="15" customHeight="1">
      <c r="A302" s="29" t="s">
        <v>59</v>
      </c>
      <c r="B302" s="44">
        <v>481538403</v>
      </c>
      <c r="C302" s="44">
        <v>39969403.738927141</v>
      </c>
      <c r="E302" s="44">
        <f>+E16+E46+E76+E108+E141+E176+E208+E250+E281</f>
        <v>39969403.530197136</v>
      </c>
      <c r="G302" s="44">
        <f>+G16+G46+G76+G108+G141+G176+G208+G250+G281</f>
        <v>41043423.031143337</v>
      </c>
      <c r="I302" s="44">
        <f>+I16+I46+I76+I108+I141+I176+I208+I250+I281</f>
        <v>41507801.417703338</v>
      </c>
      <c r="K302" s="44">
        <f>+K16+K46+K76+K108+K141+K176+K208+K250+K281</f>
        <v>40020325.995073326</v>
      </c>
    </row>
    <row r="303" spans="1:14">
      <c r="C303" s="44"/>
      <c r="E303" s="44"/>
    </row>
    <row r="304" spans="1:14">
      <c r="A304" s="29" t="s">
        <v>60</v>
      </c>
      <c r="C304" s="44">
        <v>-2016169.5300000005</v>
      </c>
      <c r="E304" s="44"/>
      <c r="N304" s="68"/>
    </row>
    <row r="305" spans="1:14">
      <c r="A305" s="29" t="s">
        <v>61</v>
      </c>
      <c r="B305" s="44"/>
      <c r="C305" s="44">
        <v>4779688.8229999999</v>
      </c>
      <c r="E305" s="44"/>
      <c r="N305" s="68"/>
    </row>
    <row r="306" spans="1:14">
      <c r="C306" s="44"/>
      <c r="E306" s="44"/>
    </row>
    <row r="307" spans="1:14">
      <c r="A307" s="29" t="s">
        <v>62</v>
      </c>
      <c r="C307" s="44">
        <v>42732923.031927139</v>
      </c>
      <c r="E307" s="44"/>
    </row>
    <row r="308" spans="1:14">
      <c r="C308" s="44"/>
    </row>
    <row r="309" spans="1:14">
      <c r="A309" s="29" t="s">
        <v>117</v>
      </c>
      <c r="B309" s="69">
        <v>481538403</v>
      </c>
      <c r="C309" s="69">
        <v>42733021</v>
      </c>
    </row>
    <row r="310" spans="1:14">
      <c r="B310" s="44"/>
      <c r="C310" s="44"/>
    </row>
    <row r="311" spans="1:14" ht="15" customHeight="1">
      <c r="A311" s="29" t="s">
        <v>10</v>
      </c>
      <c r="B311" s="44"/>
      <c r="C311" s="44"/>
    </row>
    <row r="312" spans="1:14">
      <c r="A312" s="29" t="s">
        <v>118</v>
      </c>
      <c r="E312" s="44">
        <f>+E302-C302</f>
        <v>-0.20873000472784042</v>
      </c>
      <c r="G312" s="44">
        <f>(G302-E302)</f>
        <v>1074019.5009462014</v>
      </c>
      <c r="I312" s="44">
        <f>(I302-G302)</f>
        <v>464378.38656000048</v>
      </c>
      <c r="K312" s="44">
        <f>(K302-I302)</f>
        <v>-1487475.422630012</v>
      </c>
    </row>
    <row r="313" spans="1:14">
      <c r="A313" s="29" t="s">
        <v>119</v>
      </c>
      <c r="C313" s="44"/>
      <c r="E313" s="54">
        <f>+E312/C302</f>
        <v>-5.2222446472113208E-9</v>
      </c>
      <c r="F313" s="54"/>
      <c r="G313" s="54">
        <f>(G312/E302)</f>
        <v>2.687104149889985E-2</v>
      </c>
      <c r="H313" s="54"/>
      <c r="I313" s="54">
        <f>(I312/G302)</f>
        <v>1.1314319134825446E-2</v>
      </c>
      <c r="J313" s="54"/>
      <c r="K313" s="54">
        <f>(K312/I302)</f>
        <v>-3.583604459463359E-2</v>
      </c>
    </row>
    <row r="314" spans="1:14">
      <c r="B314" s="44"/>
      <c r="C314" s="44"/>
    </row>
    <row r="315" spans="1:14">
      <c r="A315" s="29" t="s">
        <v>120</v>
      </c>
      <c r="B315" s="44">
        <v>0</v>
      </c>
      <c r="C315" s="44">
        <v>97.968072861433029</v>
      </c>
      <c r="E315" s="55"/>
      <c r="I315" s="44">
        <f>+I312+G312</f>
        <v>1538397.8875062019</v>
      </c>
      <c r="K315" s="44">
        <f>+I315+K312</f>
        <v>50922.464876189828</v>
      </c>
    </row>
    <row r="316" spans="1:14">
      <c r="C316" s="44"/>
      <c r="K316" s="44">
        <f>2197720-K315</f>
        <v>2146797.5351238102</v>
      </c>
    </row>
    <row r="317" spans="1:14">
      <c r="C317" s="44"/>
    </row>
  </sheetData>
  <mergeCells count="39">
    <mergeCell ref="F8:G8"/>
    <mergeCell ref="H8:I8"/>
    <mergeCell ref="J8:K8"/>
    <mergeCell ref="F38:G38"/>
    <mergeCell ref="H38:I38"/>
    <mergeCell ref="J38:K38"/>
    <mergeCell ref="F67:G67"/>
    <mergeCell ref="H67:I67"/>
    <mergeCell ref="J67:K67"/>
    <mergeCell ref="F97:G97"/>
    <mergeCell ref="H97:I97"/>
    <mergeCell ref="J97:K97"/>
    <mergeCell ref="F130:G130"/>
    <mergeCell ref="H130:I130"/>
    <mergeCell ref="J130:K130"/>
    <mergeCell ref="F163:G163"/>
    <mergeCell ref="H163:I163"/>
    <mergeCell ref="J163:K163"/>
    <mergeCell ref="F198:G198"/>
    <mergeCell ref="H198:I198"/>
    <mergeCell ref="J198:K198"/>
    <mergeCell ref="F230:G230"/>
    <mergeCell ref="H230:I230"/>
    <mergeCell ref="J230:K230"/>
    <mergeCell ref="A265:F265"/>
    <mergeCell ref="A266:F266"/>
    <mergeCell ref="A267:F267"/>
    <mergeCell ref="A268:F268"/>
    <mergeCell ref="F272:G272"/>
    <mergeCell ref="F298:G298"/>
    <mergeCell ref="H298:I298"/>
    <mergeCell ref="J298:K298"/>
    <mergeCell ref="J272:K272"/>
    <mergeCell ref="A292:G292"/>
    <mergeCell ref="A293:G293"/>
    <mergeCell ref="A294:G294"/>
    <mergeCell ref="A295:G295"/>
    <mergeCell ref="A296:G296"/>
    <mergeCell ref="H272:I272"/>
  </mergeCells>
  <printOptions horizontalCentered="1"/>
  <pageMargins left="0.25" right="0.25" top="1.25" bottom="0.5" header="0.5" footer="0.5"/>
  <pageSetup scale="64" fitToHeight="9" orientation="landscape" r:id="rId1"/>
  <headerFooter alignWithMargins="0"/>
  <rowBreaks count="8" manualBreakCount="8">
    <brk id="30" max="11" man="1"/>
    <brk id="59" max="11" man="1"/>
    <brk id="89" max="11" man="1"/>
    <brk id="122" max="11" man="1"/>
    <brk id="155" max="11" man="1"/>
    <brk id="190" max="11" man="1"/>
    <brk id="222" max="11" man="1"/>
    <brk id="2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Billing Detail</vt:lpstr>
      <vt:lpstr>rate class</vt:lpstr>
      <vt:lpstr>'Billing Detail'!Print_Area</vt:lpstr>
      <vt:lpstr>'rate class'!Print_Area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2021-03-24T17:39:53Z</cp:lastPrinted>
  <dcterms:created xsi:type="dcterms:W3CDTF">2021-02-09T02:13:44Z</dcterms:created>
  <dcterms:modified xsi:type="dcterms:W3CDTF">2021-05-24T15:01:59Z</dcterms:modified>
</cp:coreProperties>
</file>