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alt River\Analysis\"/>
    </mc:Choice>
  </mc:AlternateContent>
  <xr:revisionPtr revIDLastSave="0" documentId="13_ncr:1_{169E42C2-1E04-4ED8-9B13-13A5B82B6093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Detail'!$A$1:$R$279</definedName>
    <definedName name="_xlnm.Print_Area" localSheetId="2">'Notice Table'!$A$1:$G$112</definedName>
    <definedName name="_xlnm.Print_Area" localSheetId="0">Summary!$A$1:$O$37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4" i="3" l="1"/>
  <c r="E35" i="3"/>
  <c r="F35" i="3"/>
  <c r="E36" i="3"/>
  <c r="F36" i="3"/>
  <c r="E37" i="3"/>
  <c r="F37" i="3"/>
  <c r="E30" i="3"/>
  <c r="F30" i="3"/>
  <c r="E31" i="3"/>
  <c r="F31" i="3"/>
  <c r="E32" i="3"/>
  <c r="F32" i="3"/>
  <c r="E25" i="3"/>
  <c r="F25" i="3"/>
  <c r="E26" i="3"/>
  <c r="F26" i="3"/>
  <c r="E27" i="3"/>
  <c r="F27" i="3"/>
  <c r="E22" i="3"/>
  <c r="F22" i="3"/>
  <c r="F21" i="3"/>
  <c r="E21" i="3"/>
  <c r="E16" i="3"/>
  <c r="F16" i="3"/>
  <c r="F15" i="3"/>
  <c r="E15" i="3"/>
  <c r="D44" i="3"/>
  <c r="D45" i="3"/>
  <c r="D46" i="3"/>
  <c r="D47" i="3"/>
  <c r="D48" i="3"/>
  <c r="D49" i="3"/>
  <c r="D50" i="3"/>
  <c r="D51" i="3"/>
  <c r="D52" i="3"/>
  <c r="D53" i="3"/>
  <c r="D54" i="3"/>
  <c r="D55" i="3"/>
  <c r="D43" i="3"/>
  <c r="E58" i="3"/>
  <c r="F58" i="3"/>
  <c r="E60" i="3"/>
  <c r="F60" i="3"/>
  <c r="E61" i="3"/>
  <c r="F61" i="3"/>
  <c r="E62" i="3"/>
  <c r="F62" i="3"/>
  <c r="E64" i="3"/>
  <c r="F64" i="3"/>
  <c r="E65" i="3"/>
  <c r="F65" i="3"/>
  <c r="E66" i="3"/>
  <c r="F66" i="3"/>
  <c r="E67" i="3"/>
  <c r="F67" i="3"/>
  <c r="E69" i="3"/>
  <c r="F69" i="3"/>
  <c r="E70" i="3"/>
  <c r="F70" i="3"/>
  <c r="E71" i="3"/>
  <c r="F71" i="3"/>
  <c r="E73" i="3"/>
  <c r="F73" i="3"/>
  <c r="E74" i="3"/>
  <c r="F74" i="3"/>
  <c r="E75" i="3"/>
  <c r="F75" i="3"/>
  <c r="E76" i="3"/>
  <c r="F76" i="3"/>
  <c r="E78" i="3"/>
  <c r="F78" i="3"/>
  <c r="E79" i="3"/>
  <c r="F79" i="3"/>
  <c r="E81" i="3"/>
  <c r="F81" i="3"/>
  <c r="E82" i="3"/>
  <c r="F82" i="3"/>
  <c r="E83" i="3"/>
  <c r="F83" i="3"/>
  <c r="E84" i="3"/>
  <c r="F84" i="3"/>
  <c r="E86" i="3"/>
  <c r="F86" i="3"/>
  <c r="E87" i="3"/>
  <c r="F87" i="3"/>
  <c r="E88" i="3"/>
  <c r="F88" i="3"/>
  <c r="E90" i="3"/>
  <c r="F90" i="3"/>
  <c r="E91" i="3"/>
  <c r="F91" i="3"/>
  <c r="E92" i="3"/>
  <c r="F92" i="3"/>
  <c r="E94" i="3"/>
  <c r="F94" i="3"/>
  <c r="E95" i="3"/>
  <c r="F95" i="3"/>
  <c r="E97" i="3"/>
  <c r="F97" i="3"/>
  <c r="E98" i="3"/>
  <c r="F98" i="3"/>
  <c r="E99" i="3"/>
  <c r="F99" i="3"/>
  <c r="E101" i="3"/>
  <c r="F101" i="3"/>
  <c r="E102" i="3"/>
  <c r="F102" i="3"/>
  <c r="E103" i="3"/>
  <c r="F103" i="3"/>
  <c r="E105" i="3"/>
  <c r="F105" i="3"/>
  <c r="E106" i="3"/>
  <c r="F106" i="3"/>
  <c r="E107" i="3"/>
  <c r="F107" i="3"/>
  <c r="E108" i="3"/>
  <c r="F108" i="3"/>
  <c r="E110" i="3"/>
  <c r="F110" i="3"/>
  <c r="E111" i="3"/>
  <c r="F111" i="3"/>
  <c r="E112" i="3"/>
  <c r="F112" i="3"/>
  <c r="F57" i="3"/>
  <c r="E57" i="3"/>
  <c r="D100" i="3"/>
  <c r="D104" i="3"/>
  <c r="D109" i="3"/>
  <c r="D59" i="3"/>
  <c r="D63" i="3"/>
  <c r="D68" i="3"/>
  <c r="D72" i="3"/>
  <c r="D77" i="3"/>
  <c r="D80" i="3"/>
  <c r="D85" i="3"/>
  <c r="D89" i="3"/>
  <c r="D93" i="3"/>
  <c r="D96" i="3"/>
  <c r="D56" i="3"/>
  <c r="A225" i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H225" i="1"/>
  <c r="H224" i="1"/>
  <c r="I177" i="1" l="1"/>
  <c r="H162" i="1"/>
  <c r="I165" i="1"/>
  <c r="I82" i="1"/>
  <c r="I203" i="1"/>
  <c r="I202" i="1"/>
  <c r="F111" i="1"/>
  <c r="F110" i="1"/>
  <c r="F109" i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N215" i="1"/>
  <c r="G212" i="1"/>
  <c r="G215" i="1"/>
  <c r="E183" i="1"/>
  <c r="E171" i="1"/>
  <c r="E133" i="1"/>
  <c r="E91" i="1"/>
  <c r="E79" i="1"/>
  <c r="E67" i="1"/>
  <c r="G25" i="1"/>
  <c r="G213" i="1" s="1"/>
  <c r="E21" i="1"/>
  <c r="E20" i="1"/>
  <c r="F125" i="1"/>
  <c r="F124" i="1"/>
  <c r="G124" i="1" s="1"/>
  <c r="F123" i="1"/>
  <c r="F122" i="1"/>
  <c r="I124" i="1"/>
  <c r="H175" i="1" l="1"/>
  <c r="H174" i="1"/>
  <c r="H163" i="1"/>
  <c r="H150" i="1"/>
  <c r="H149" i="1"/>
  <c r="F138" i="1"/>
  <c r="F137" i="1"/>
  <c r="F136" i="1"/>
  <c r="G109" i="1"/>
  <c r="I109" i="1"/>
  <c r="F95" i="1"/>
  <c r="F94" i="1"/>
  <c r="F96" i="1"/>
  <c r="G96" i="1" s="1"/>
  <c r="I96" i="1"/>
  <c r="G82" i="1"/>
  <c r="F83" i="1"/>
  <c r="F71" i="1"/>
  <c r="F59" i="1"/>
  <c r="F163" i="1" s="1"/>
  <c r="F58" i="1"/>
  <c r="F162" i="1" s="1"/>
  <c r="I152" i="1"/>
  <c r="I140" i="1"/>
  <c r="I127" i="1"/>
  <c r="J124" i="1" s="1"/>
  <c r="I113" i="1"/>
  <c r="I99" i="1"/>
  <c r="I85" i="1"/>
  <c r="I73" i="1"/>
  <c r="I61" i="1"/>
  <c r="I49" i="1"/>
  <c r="I37" i="1"/>
  <c r="I11" i="1"/>
  <c r="I212" i="1" l="1"/>
  <c r="F47" i="1"/>
  <c r="F46" i="1"/>
  <c r="F34" i="1"/>
  <c r="F35" i="1"/>
  <c r="F9" i="1" l="1"/>
  <c r="F8" i="1"/>
  <c r="I199" i="1"/>
  <c r="G199" i="1"/>
  <c r="I198" i="1"/>
  <c r="G198" i="1"/>
  <c r="F174" i="1" l="1"/>
  <c r="F149" i="1"/>
  <c r="F175" i="1"/>
  <c r="F150" i="1"/>
  <c r="E147" i="3"/>
  <c r="E151" i="3"/>
  <c r="E150" i="3"/>
  <c r="E158" i="1"/>
  <c r="E149" i="3" s="1"/>
  <c r="E146" i="1"/>
  <c r="E148" i="3" s="1"/>
  <c r="E119" i="1"/>
  <c r="E146" i="3" s="1"/>
  <c r="E105" i="1"/>
  <c r="E145" i="3" s="1"/>
  <c r="E143" i="3"/>
  <c r="E142" i="3"/>
  <c r="E55" i="1"/>
  <c r="E141" i="3" s="1"/>
  <c r="E43" i="1"/>
  <c r="E140" i="3" s="1"/>
  <c r="E30" i="1"/>
  <c r="E17" i="1" l="1"/>
  <c r="E139" i="3" s="1"/>
  <c r="E44" i="3" l="1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F43" i="3"/>
  <c r="E43" i="3"/>
  <c r="C42" i="3"/>
  <c r="D42" i="3"/>
  <c r="E40" i="3"/>
  <c r="F40" i="3"/>
  <c r="E41" i="3"/>
  <c r="F41" i="3"/>
  <c r="F39" i="3"/>
  <c r="E39" i="3"/>
  <c r="C38" i="3"/>
  <c r="D38" i="3"/>
  <c r="F34" i="3"/>
  <c r="E34" i="3"/>
  <c r="C33" i="3"/>
  <c r="D33" i="3"/>
  <c r="E29" i="3"/>
  <c r="C28" i="3"/>
  <c r="D28" i="3"/>
  <c r="F24" i="3"/>
  <c r="E24" i="3"/>
  <c r="C23" i="3"/>
  <c r="D23" i="3"/>
  <c r="C20" i="3"/>
  <c r="D20" i="3"/>
  <c r="E19" i="3"/>
  <c r="F19" i="3"/>
  <c r="F18" i="3"/>
  <c r="E18" i="3"/>
  <c r="C17" i="3"/>
  <c r="D17" i="3"/>
  <c r="C14" i="3"/>
  <c r="D14" i="3"/>
  <c r="E13" i="3"/>
  <c r="E12" i="3"/>
  <c r="C11" i="3"/>
  <c r="D11" i="3"/>
  <c r="E9" i="3"/>
  <c r="F9" i="3"/>
  <c r="E10" i="3"/>
  <c r="F10" i="3"/>
  <c r="C8" i="3"/>
  <c r="D8" i="3"/>
  <c r="E7" i="3"/>
  <c r="F7" i="3"/>
  <c r="F6" i="3"/>
  <c r="E6" i="3"/>
  <c r="C5" i="3"/>
  <c r="D5" i="3"/>
  <c r="I137" i="1" l="1"/>
  <c r="I138" i="1"/>
  <c r="I123" i="1"/>
  <c r="C17" i="2"/>
  <c r="C18" i="2"/>
  <c r="C19" i="2"/>
  <c r="C20" i="2"/>
  <c r="C21" i="2"/>
  <c r="B21" i="2"/>
  <c r="B20" i="2"/>
  <c r="B19" i="2"/>
  <c r="B18" i="2"/>
  <c r="B17" i="2"/>
  <c r="C147" i="3" l="1"/>
  <c r="C127" i="3"/>
  <c r="D147" i="3"/>
  <c r="D127" i="3"/>
  <c r="C151" i="3"/>
  <c r="C131" i="3"/>
  <c r="C150" i="3"/>
  <c r="C130" i="3"/>
  <c r="C149" i="3"/>
  <c r="C129" i="3"/>
  <c r="C128" i="3"/>
  <c r="C148" i="3"/>
  <c r="D131" i="3"/>
  <c r="D151" i="3"/>
  <c r="D150" i="3"/>
  <c r="D130" i="3"/>
  <c r="D129" i="3"/>
  <c r="D149" i="3"/>
  <c r="D148" i="3"/>
  <c r="D128" i="3"/>
  <c r="M177" i="1"/>
  <c r="M165" i="1"/>
  <c r="M152" i="1"/>
  <c r="M140" i="1"/>
  <c r="N140" i="1" s="1"/>
  <c r="I162" i="1"/>
  <c r="G162" i="1"/>
  <c r="G137" i="1"/>
  <c r="F13" i="3"/>
  <c r="F12" i="3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3" i="1"/>
  <c r="G163" i="1"/>
  <c r="I161" i="1"/>
  <c r="G161" i="1"/>
  <c r="G156" i="1"/>
  <c r="I155" i="1"/>
  <c r="M155" i="1" s="1"/>
  <c r="I154" i="1"/>
  <c r="M154" i="1" s="1"/>
  <c r="N154" i="1" s="1"/>
  <c r="I153" i="1"/>
  <c r="M153" i="1" s="1"/>
  <c r="N153" i="1" s="1"/>
  <c r="I150" i="1"/>
  <c r="G150" i="1"/>
  <c r="I149" i="1"/>
  <c r="G149" i="1"/>
  <c r="G144" i="1"/>
  <c r="I143" i="1"/>
  <c r="M143" i="1" s="1"/>
  <c r="I142" i="1"/>
  <c r="M142" i="1" s="1"/>
  <c r="N142" i="1" s="1"/>
  <c r="I141" i="1"/>
  <c r="M141" i="1" s="1"/>
  <c r="N141" i="1" s="1"/>
  <c r="G138" i="1"/>
  <c r="I136" i="1"/>
  <c r="G136" i="1"/>
  <c r="H25" i="2"/>
  <c r="G139" i="1" l="1"/>
  <c r="D18" i="2" s="1"/>
  <c r="I164" i="1"/>
  <c r="G164" i="1"/>
  <c r="G151" i="1"/>
  <c r="G176" i="1"/>
  <c r="I144" i="1"/>
  <c r="I139" i="1"/>
  <c r="N165" i="1"/>
  <c r="M169" i="1"/>
  <c r="I181" i="1"/>
  <c r="M144" i="1"/>
  <c r="N152" i="1"/>
  <c r="M156" i="1"/>
  <c r="I151" i="1"/>
  <c r="N177" i="1"/>
  <c r="M181" i="1"/>
  <c r="I156" i="1"/>
  <c r="I169" i="1"/>
  <c r="I176" i="1"/>
  <c r="A1" i="3"/>
  <c r="G170" i="1" l="1"/>
  <c r="G171" i="1" s="1"/>
  <c r="D20" i="2"/>
  <c r="J149" i="1"/>
  <c r="E19" i="2"/>
  <c r="G182" i="1"/>
  <c r="G183" i="1" s="1"/>
  <c r="D21" i="2"/>
  <c r="J163" i="1"/>
  <c r="E20" i="2"/>
  <c r="J175" i="1"/>
  <c r="E21" i="2"/>
  <c r="G157" i="1"/>
  <c r="G158" i="1" s="1"/>
  <c r="D19" i="2"/>
  <c r="G145" i="1"/>
  <c r="G146" i="1" s="1"/>
  <c r="J137" i="1"/>
  <c r="E18" i="2"/>
  <c r="J162" i="1"/>
  <c r="J161" i="1"/>
  <c r="I170" i="1"/>
  <c r="I171" i="1" s="1"/>
  <c r="I145" i="1"/>
  <c r="I146" i="1" s="1"/>
  <c r="J174" i="1"/>
  <c r="N144" i="1"/>
  <c r="J150" i="1"/>
  <c r="N169" i="1"/>
  <c r="O169" i="1" s="1"/>
  <c r="I157" i="1"/>
  <c r="I158" i="1" s="1"/>
  <c r="I182" i="1"/>
  <c r="I183" i="1" s="1"/>
  <c r="J138" i="1"/>
  <c r="N181" i="1"/>
  <c r="O181" i="1" s="1"/>
  <c r="N156" i="1"/>
  <c r="O156" i="1" s="1"/>
  <c r="J136" i="1"/>
  <c r="L35" i="2"/>
  <c r="G131" i="1"/>
  <c r="I130" i="1"/>
  <c r="M130" i="1" s="1"/>
  <c r="I129" i="1"/>
  <c r="M129" i="1" s="1"/>
  <c r="N129" i="1" s="1"/>
  <c r="I128" i="1"/>
  <c r="M128" i="1" s="1"/>
  <c r="N128" i="1" s="1"/>
  <c r="M127" i="1"/>
  <c r="I125" i="1"/>
  <c r="G125" i="1"/>
  <c r="G123" i="1"/>
  <c r="I122" i="1"/>
  <c r="G122" i="1"/>
  <c r="G19" i="2" l="1"/>
  <c r="G21" i="2"/>
  <c r="G20" i="2"/>
  <c r="G18" i="2"/>
  <c r="J176" i="1"/>
  <c r="J164" i="1"/>
  <c r="J139" i="1"/>
  <c r="J151" i="1"/>
  <c r="G126" i="1"/>
  <c r="D17" i="2" s="1"/>
  <c r="I126" i="1"/>
  <c r="N127" i="1"/>
  <c r="M131" i="1"/>
  <c r="I131" i="1"/>
  <c r="E17" i="2" l="1"/>
  <c r="G132" i="1"/>
  <c r="G133" i="1" s="1"/>
  <c r="J125" i="1"/>
  <c r="J123" i="1"/>
  <c r="J122" i="1"/>
  <c r="I132" i="1"/>
  <c r="I133" i="1" s="1"/>
  <c r="N131" i="1"/>
  <c r="O131" i="1" s="1"/>
  <c r="G17" i="2" l="1"/>
  <c r="J126" i="1"/>
  <c r="G87" i="1" l="1"/>
  <c r="G214" i="1" s="1"/>
  <c r="C13" i="2" l="1"/>
  <c r="B13" i="2"/>
  <c r="C11" i="2"/>
  <c r="I110" i="1"/>
  <c r="G110" i="1"/>
  <c r="I83" i="1"/>
  <c r="G83" i="1"/>
  <c r="I71" i="1"/>
  <c r="G71" i="1"/>
  <c r="C123" i="3" l="1"/>
  <c r="C143" i="3"/>
  <c r="C141" i="3"/>
  <c r="C121" i="3"/>
  <c r="D123" i="3"/>
  <c r="D143" i="3"/>
  <c r="I59" i="1"/>
  <c r="G59" i="1"/>
  <c r="G21" i="1"/>
  <c r="G22" i="1"/>
  <c r="G77" i="1" l="1"/>
  <c r="I76" i="1"/>
  <c r="M76" i="1" s="1"/>
  <c r="I75" i="1"/>
  <c r="M75" i="1" s="1"/>
  <c r="N75" i="1" s="1"/>
  <c r="I74" i="1"/>
  <c r="M74" i="1" s="1"/>
  <c r="N74" i="1" s="1"/>
  <c r="M73" i="1"/>
  <c r="I70" i="1"/>
  <c r="G70" i="1"/>
  <c r="I47" i="1"/>
  <c r="G47" i="1"/>
  <c r="I34" i="1"/>
  <c r="G34" i="1"/>
  <c r="I72" i="1" l="1"/>
  <c r="G72" i="1"/>
  <c r="N73" i="1"/>
  <c r="M77" i="1"/>
  <c r="I77" i="1"/>
  <c r="G78" i="1" l="1"/>
  <c r="G79" i="1" s="1"/>
  <c r="D13" i="2"/>
  <c r="E13" i="2"/>
  <c r="J71" i="1"/>
  <c r="I78" i="1"/>
  <c r="I79" i="1" s="1"/>
  <c r="J70" i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96" i="1"/>
  <c r="G13" i="2"/>
  <c r="J72" i="1"/>
  <c r="I64" i="1"/>
  <c r="M64" i="1" s="1"/>
  <c r="I63" i="1"/>
  <c r="M63" i="1" s="1"/>
  <c r="I62" i="1"/>
  <c r="M62" i="1" s="1"/>
  <c r="I116" i="1"/>
  <c r="M116" i="1" s="1"/>
  <c r="I114" i="1"/>
  <c r="M114" i="1" s="1"/>
  <c r="I102" i="1"/>
  <c r="M102" i="1" s="1"/>
  <c r="I101" i="1"/>
  <c r="I100" i="1"/>
  <c r="I88" i="1"/>
  <c r="M88" i="1" s="1"/>
  <c r="I87" i="1"/>
  <c r="I86" i="1"/>
  <c r="M86" i="1" s="1"/>
  <c r="I52" i="1"/>
  <c r="M52" i="1" s="1"/>
  <c r="I51" i="1"/>
  <c r="M51" i="1" s="1"/>
  <c r="I50" i="1"/>
  <c r="M50" i="1" s="1"/>
  <c r="I40" i="1"/>
  <c r="M40" i="1" s="1"/>
  <c r="I38" i="1"/>
  <c r="I27" i="1"/>
  <c r="M27" i="1" s="1"/>
  <c r="I26" i="1"/>
  <c r="M26" i="1" s="1"/>
  <c r="M25" i="1"/>
  <c r="I14" i="1"/>
  <c r="I13" i="1"/>
  <c r="I12" i="1"/>
  <c r="B31" i="2"/>
  <c r="I213" i="1" l="1"/>
  <c r="I215" i="1"/>
  <c r="E31" i="2" s="1"/>
  <c r="A108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09" i="1"/>
  <c r="M13" i="1"/>
  <c r="M12" i="1"/>
  <c r="M101" i="1"/>
  <c r="M14" i="1"/>
  <c r="M215" i="1" s="1"/>
  <c r="M100" i="1"/>
  <c r="M87" i="1"/>
  <c r="I28" i="1"/>
  <c r="I53" i="1"/>
  <c r="M38" i="1"/>
  <c r="G41" i="1"/>
  <c r="G117" i="1"/>
  <c r="I39" i="1"/>
  <c r="M39" i="1" s="1"/>
  <c r="I115" i="1"/>
  <c r="G15" i="1"/>
  <c r="G65" i="1"/>
  <c r="D31" i="2"/>
  <c r="G103" i="1"/>
  <c r="G89" i="1"/>
  <c r="G53" i="1"/>
  <c r="G28" i="1"/>
  <c r="I214" i="1" l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24" i="1"/>
  <c r="J31" i="2"/>
  <c r="I103" i="1"/>
  <c r="I15" i="1"/>
  <c r="I65" i="1"/>
  <c r="I89" i="1"/>
  <c r="I117" i="1"/>
  <c r="M115" i="1"/>
  <c r="I41" i="1"/>
  <c r="I200" i="1"/>
  <c r="G200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E30" i="2" l="1"/>
  <c r="E29" i="2"/>
  <c r="D30" i="2"/>
  <c r="D29" i="2"/>
  <c r="C10" i="2"/>
  <c r="C14" i="2"/>
  <c r="C15" i="2"/>
  <c r="C16" i="2"/>
  <c r="C12" i="2"/>
  <c r="C22" i="2"/>
  <c r="B22" i="2"/>
  <c r="B12" i="2"/>
  <c r="B16" i="2"/>
  <c r="B15" i="2"/>
  <c r="B14" i="2"/>
  <c r="B11" i="2"/>
  <c r="B10" i="2"/>
  <c r="C9" i="2"/>
  <c r="C8" i="2"/>
  <c r="B9" i="2"/>
  <c r="B8" i="2"/>
  <c r="I97" i="1"/>
  <c r="G97" i="1"/>
  <c r="N87" i="1"/>
  <c r="N86" i="1"/>
  <c r="M85" i="1"/>
  <c r="N51" i="1"/>
  <c r="N50" i="1"/>
  <c r="M49" i="1"/>
  <c r="I46" i="1"/>
  <c r="G46" i="1"/>
  <c r="N26" i="1"/>
  <c r="N25" i="1"/>
  <c r="M24" i="1"/>
  <c r="N38" i="1"/>
  <c r="M37" i="1"/>
  <c r="I35" i="1"/>
  <c r="G35" i="1"/>
  <c r="I33" i="1"/>
  <c r="G33" i="1"/>
  <c r="N101" i="1"/>
  <c r="N100" i="1"/>
  <c r="M99" i="1"/>
  <c r="I95" i="1"/>
  <c r="G95" i="1"/>
  <c r="I94" i="1"/>
  <c r="G94" i="1"/>
  <c r="N115" i="1"/>
  <c r="N114" i="1"/>
  <c r="M113" i="1"/>
  <c r="I111" i="1"/>
  <c r="G111" i="1"/>
  <c r="N63" i="1"/>
  <c r="N62" i="1"/>
  <c r="M61" i="1"/>
  <c r="I58" i="1"/>
  <c r="G58" i="1"/>
  <c r="C120" i="3" l="1"/>
  <c r="C140" i="3"/>
  <c r="C126" i="3"/>
  <c r="C146" i="3"/>
  <c r="C139" i="3"/>
  <c r="C119" i="3"/>
  <c r="C152" i="3"/>
  <c r="C132" i="3"/>
  <c r="C125" i="3"/>
  <c r="C145" i="3"/>
  <c r="C144" i="3"/>
  <c r="C124" i="3"/>
  <c r="C122" i="3"/>
  <c r="C142" i="3"/>
  <c r="D132" i="3"/>
  <c r="D152" i="3"/>
  <c r="D126" i="3"/>
  <c r="D146" i="3"/>
  <c r="D125" i="3"/>
  <c r="D145" i="3"/>
  <c r="D124" i="3"/>
  <c r="D144" i="3"/>
  <c r="D122" i="3"/>
  <c r="D142" i="3"/>
  <c r="D121" i="3"/>
  <c r="D141" i="3"/>
  <c r="D140" i="3"/>
  <c r="D120" i="3"/>
  <c r="D139" i="3"/>
  <c r="D119" i="3"/>
  <c r="N24" i="1"/>
  <c r="M28" i="1"/>
  <c r="N61" i="1"/>
  <c r="M65" i="1"/>
  <c r="N113" i="1"/>
  <c r="M117" i="1"/>
  <c r="N99" i="1"/>
  <c r="M103" i="1"/>
  <c r="N85" i="1"/>
  <c r="M89" i="1"/>
  <c r="N49" i="1"/>
  <c r="M53" i="1"/>
  <c r="N37" i="1"/>
  <c r="M41" i="1"/>
  <c r="N41" i="1" s="1"/>
  <c r="O41" i="1" s="1"/>
  <c r="E28" i="2"/>
  <c r="E32" i="2" s="1"/>
  <c r="G48" i="1"/>
  <c r="D11" i="2" s="1"/>
  <c r="D28" i="2"/>
  <c r="D32" i="2" s="1"/>
  <c r="G23" i="1"/>
  <c r="D9" i="2" s="1"/>
  <c r="G84" i="1"/>
  <c r="I84" i="1"/>
  <c r="J82" i="1" s="1"/>
  <c r="I48" i="1"/>
  <c r="I23" i="1"/>
  <c r="G36" i="1"/>
  <c r="N39" i="1"/>
  <c r="I36" i="1"/>
  <c r="J35" i="1" s="1"/>
  <c r="G98" i="1"/>
  <c r="I60" i="1"/>
  <c r="I98" i="1"/>
  <c r="G60" i="1"/>
  <c r="G186" i="1"/>
  <c r="I186" i="1"/>
  <c r="G206" i="1"/>
  <c r="G216" i="1" s="1"/>
  <c r="M204" i="1"/>
  <c r="M214" i="1" s="1"/>
  <c r="M203" i="1"/>
  <c r="M213" i="1" s="1"/>
  <c r="M202" i="1"/>
  <c r="B29" i="2"/>
  <c r="B30" i="2"/>
  <c r="B28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A15" i="2" s="1"/>
  <c r="M212" i="1" l="1"/>
  <c r="J94" i="1"/>
  <c r="J96" i="1"/>
  <c r="J83" i="1"/>
  <c r="J95" i="1"/>
  <c r="M15" i="1"/>
  <c r="J97" i="1"/>
  <c r="N202" i="1"/>
  <c r="A16" i="2"/>
  <c r="A17" i="2" s="1"/>
  <c r="A18" i="2" s="1"/>
  <c r="A19" i="2" s="1"/>
  <c r="A20" i="2" s="1"/>
  <c r="A21" i="2" s="1"/>
  <c r="E11" i="2"/>
  <c r="J47" i="1"/>
  <c r="N203" i="1"/>
  <c r="N204" i="1"/>
  <c r="J30" i="2"/>
  <c r="J34" i="1"/>
  <c r="J59" i="1"/>
  <c r="J46" i="1"/>
  <c r="J33" i="1"/>
  <c r="J58" i="1"/>
  <c r="G54" i="1"/>
  <c r="G55" i="1" s="1"/>
  <c r="G29" i="1"/>
  <c r="G30" i="1" s="1"/>
  <c r="N12" i="1"/>
  <c r="J29" i="2"/>
  <c r="N13" i="1"/>
  <c r="G90" i="1"/>
  <c r="G91" i="1" s="1"/>
  <c r="D14" i="2"/>
  <c r="G42" i="1"/>
  <c r="G43" i="1" s="1"/>
  <c r="D10" i="2"/>
  <c r="I54" i="1"/>
  <c r="I55" i="1" s="1"/>
  <c r="G66" i="1"/>
  <c r="G67" i="1" s="1"/>
  <c r="D12" i="2"/>
  <c r="I66" i="1"/>
  <c r="I67" i="1" s="1"/>
  <c r="E12" i="2"/>
  <c r="I42" i="1"/>
  <c r="I43" i="1" s="1"/>
  <c r="E10" i="2"/>
  <c r="I104" i="1"/>
  <c r="I105" i="1" s="1"/>
  <c r="E15" i="2"/>
  <c r="G104" i="1"/>
  <c r="G105" i="1" s="1"/>
  <c r="D15" i="2"/>
  <c r="I29" i="1"/>
  <c r="I30" i="1" s="1"/>
  <c r="E9" i="2"/>
  <c r="I90" i="1"/>
  <c r="I91" i="1" s="1"/>
  <c r="E14" i="2"/>
  <c r="N53" i="1"/>
  <c r="O53" i="1" s="1"/>
  <c r="N89" i="1"/>
  <c r="O89" i="1" s="1"/>
  <c r="N28" i="1"/>
  <c r="O28" i="1" s="1"/>
  <c r="N103" i="1"/>
  <c r="O103" i="1" s="1"/>
  <c r="N117" i="1"/>
  <c r="O117" i="1" s="1"/>
  <c r="N65" i="1"/>
  <c r="O65" i="1" s="1"/>
  <c r="G10" i="1"/>
  <c r="I10" i="1"/>
  <c r="I206" i="1"/>
  <c r="I216" i="1" s="1"/>
  <c r="I201" i="1"/>
  <c r="G201" i="1"/>
  <c r="N11" i="1"/>
  <c r="N214" i="1" l="1"/>
  <c r="N212" i="1"/>
  <c r="N213" i="1"/>
  <c r="J199" i="1"/>
  <c r="J198" i="1"/>
  <c r="G12" i="2"/>
  <c r="G14" i="2"/>
  <c r="G11" i="2"/>
  <c r="G15" i="2"/>
  <c r="G9" i="2"/>
  <c r="G10" i="2"/>
  <c r="D22" i="2"/>
  <c r="J60" i="1"/>
  <c r="J48" i="1"/>
  <c r="J28" i="2"/>
  <c r="J32" i="2" s="1"/>
  <c r="J36" i="1"/>
  <c r="E22" i="2"/>
  <c r="J23" i="1"/>
  <c r="J98" i="1"/>
  <c r="J193" i="1"/>
  <c r="J197" i="1"/>
  <c r="J194" i="1"/>
  <c r="J191" i="1"/>
  <c r="J192" i="1"/>
  <c r="J200" i="1"/>
  <c r="J195" i="1"/>
  <c r="J196" i="1"/>
  <c r="J190" i="1"/>
  <c r="J188" i="1"/>
  <c r="J189" i="1"/>
  <c r="J187" i="1"/>
  <c r="J9" i="1"/>
  <c r="J8" i="1"/>
  <c r="J84" i="1"/>
  <c r="G207" i="1"/>
  <c r="E8" i="2"/>
  <c r="G16" i="1"/>
  <c r="D8" i="2"/>
  <c r="J186" i="1"/>
  <c r="I207" i="1"/>
  <c r="M206" i="1"/>
  <c r="M216" i="1" s="1"/>
  <c r="I16" i="1"/>
  <c r="I17" i="1" s="1"/>
  <c r="N15" i="1"/>
  <c r="G22" i="2" l="1"/>
  <c r="G8" i="2"/>
  <c r="G17" i="1"/>
  <c r="J201" i="1"/>
  <c r="N206" i="1"/>
  <c r="J10" i="1"/>
  <c r="O206" i="1" l="1"/>
  <c r="N216" i="1"/>
  <c r="N23" i="1" l="1"/>
  <c r="M23" i="1"/>
  <c r="J9" i="2" l="1"/>
  <c r="M29" i="1"/>
  <c r="M30" i="1" s="1"/>
  <c r="N30" i="1" l="1"/>
  <c r="L9" i="2"/>
  <c r="P23" i="1"/>
  <c r="Q23" i="1" s="1"/>
  <c r="N29" i="1"/>
  <c r="N9" i="2" l="1"/>
  <c r="M9" i="2"/>
  <c r="O110" i="1" l="1"/>
  <c r="O33" i="1"/>
  <c r="O97" i="1"/>
  <c r="F29" i="3"/>
  <c r="F108" i="1"/>
  <c r="G108" i="1" s="1"/>
  <c r="G112" i="1" s="1"/>
  <c r="G118" i="1" s="1"/>
  <c r="G119" i="1" s="1"/>
  <c r="I108" i="1"/>
  <c r="D16" i="2" l="1"/>
  <c r="D23" i="2" s="1"/>
  <c r="D25" i="2" s="1"/>
  <c r="D34" i="2" s="1"/>
  <c r="I112" i="1"/>
  <c r="J109" i="1" s="1"/>
  <c r="G211" i="1"/>
  <c r="G217" i="1" s="1"/>
  <c r="J111" i="1" l="1"/>
  <c r="I211" i="1"/>
  <c r="I217" i="1" s="1"/>
  <c r="J110" i="1"/>
  <c r="I118" i="1"/>
  <c r="I119" i="1" s="1"/>
  <c r="E16" i="2"/>
  <c r="J108" i="1"/>
  <c r="J112" i="1" s="1"/>
  <c r="E23" i="2" l="1"/>
  <c r="G16" i="2"/>
  <c r="G23" i="2" l="1"/>
  <c r="F8" i="2"/>
  <c r="F10" i="2"/>
  <c r="F15" i="2"/>
  <c r="F19" i="2"/>
  <c r="F22" i="2"/>
  <c r="F18" i="2"/>
  <c r="F21" i="2"/>
  <c r="F23" i="2"/>
  <c r="F25" i="2" s="1"/>
  <c r="F11" i="2"/>
  <c r="F14" i="2"/>
  <c r="F20" i="2"/>
  <c r="E25" i="2"/>
  <c r="F13" i="2"/>
  <c r="F9" i="2"/>
  <c r="F17" i="2"/>
  <c r="F12" i="2"/>
  <c r="F16" i="2"/>
  <c r="E34" i="2" l="1"/>
  <c r="H22" i="2"/>
  <c r="I22" i="2" s="1"/>
  <c r="K201" i="1" s="1"/>
  <c r="G25" i="2"/>
  <c r="H11" i="2"/>
  <c r="I11" i="2" s="1"/>
  <c r="K48" i="1" s="1"/>
  <c r="H13" i="2"/>
  <c r="I13" i="2" s="1"/>
  <c r="K72" i="1" s="1"/>
  <c r="H14" i="2"/>
  <c r="I14" i="2" s="1"/>
  <c r="K84" i="1" s="1"/>
  <c r="H8" i="2"/>
  <c r="I8" i="2" s="1"/>
  <c r="H20" i="2"/>
  <c r="I20" i="2" s="1"/>
  <c r="K164" i="1" s="1"/>
  <c r="H19" i="2"/>
  <c r="I19" i="2" s="1"/>
  <c r="K151" i="1" s="1"/>
  <c r="H9" i="2"/>
  <c r="I9" i="2" s="1"/>
  <c r="H18" i="2"/>
  <c r="I18" i="2" s="1"/>
  <c r="K139" i="1" s="1"/>
  <c r="H21" i="2"/>
  <c r="I21" i="2" s="1"/>
  <c r="K176" i="1" s="1"/>
  <c r="H15" i="2"/>
  <c r="I15" i="2" s="1"/>
  <c r="K98" i="1" s="1"/>
  <c r="H10" i="2"/>
  <c r="I10" i="2" s="1"/>
  <c r="K36" i="1" s="1"/>
  <c r="H17" i="2"/>
  <c r="I17" i="2" s="1"/>
  <c r="K126" i="1" s="1"/>
  <c r="H12" i="2"/>
  <c r="I12" i="2" s="1"/>
  <c r="K60" i="1" s="1"/>
  <c r="H16" i="2"/>
  <c r="I16" i="2" s="1"/>
  <c r="K112" i="1" s="1"/>
  <c r="K127" i="1" l="1"/>
  <c r="S126" i="1"/>
  <c r="L124" i="1" s="1"/>
  <c r="G36" i="3" s="1"/>
  <c r="J36" i="3" s="1"/>
  <c r="I23" i="2"/>
  <c r="I25" i="2" s="1"/>
  <c r="K10" i="1"/>
  <c r="K37" i="1"/>
  <c r="S36" i="1"/>
  <c r="K85" i="1"/>
  <c r="S84" i="1"/>
  <c r="L82" i="1" s="1"/>
  <c r="G21" i="3" s="1"/>
  <c r="K165" i="1"/>
  <c r="S164" i="1"/>
  <c r="K73" i="1"/>
  <c r="S72" i="1"/>
  <c r="K61" i="1"/>
  <c r="S60" i="1"/>
  <c r="K177" i="1"/>
  <c r="S176" i="1"/>
  <c r="S48" i="1"/>
  <c r="K49" i="1"/>
  <c r="K99" i="1"/>
  <c r="S98" i="1"/>
  <c r="K140" i="1"/>
  <c r="S139" i="1"/>
  <c r="K23" i="1"/>
  <c r="O9" i="2"/>
  <c r="K202" i="1"/>
  <c r="S201" i="1"/>
  <c r="K113" i="1"/>
  <c r="S112" i="1"/>
  <c r="K152" i="1"/>
  <c r="S151" i="1"/>
  <c r="L97" i="1" l="1"/>
  <c r="G27" i="3" s="1"/>
  <c r="J27" i="3" s="1"/>
  <c r="L96" i="1"/>
  <c r="G26" i="3" s="1"/>
  <c r="J26" i="3" s="1"/>
  <c r="T124" i="1"/>
  <c r="M124" i="1"/>
  <c r="N124" i="1" s="1"/>
  <c r="O124" i="1" s="1"/>
  <c r="M82" i="1"/>
  <c r="T82" i="1"/>
  <c r="L47" i="1"/>
  <c r="L46" i="1"/>
  <c r="L59" i="1"/>
  <c r="L58" i="1"/>
  <c r="G15" i="3" s="1"/>
  <c r="L111" i="1"/>
  <c r="G32" i="3" s="1"/>
  <c r="J32" i="3" s="1"/>
  <c r="L109" i="1"/>
  <c r="G30" i="3" s="1"/>
  <c r="J30" i="3" s="1"/>
  <c r="L110" i="1"/>
  <c r="G31" i="3" s="1"/>
  <c r="J31" i="3" s="1"/>
  <c r="L108" i="1"/>
  <c r="L34" i="1"/>
  <c r="L35" i="1"/>
  <c r="L33" i="1"/>
  <c r="L83" i="1"/>
  <c r="G22" i="3" s="1"/>
  <c r="J22" i="3" s="1"/>
  <c r="L194" i="1"/>
  <c r="L190" i="1"/>
  <c r="L193" i="1"/>
  <c r="L197" i="1"/>
  <c r="L188" i="1"/>
  <c r="L196" i="1"/>
  <c r="L195" i="1"/>
  <c r="L191" i="1"/>
  <c r="L198" i="1"/>
  <c r="L187" i="1"/>
  <c r="L186" i="1"/>
  <c r="L199" i="1"/>
  <c r="L189" i="1"/>
  <c r="L200" i="1"/>
  <c r="L192" i="1"/>
  <c r="L71" i="1"/>
  <c r="L70" i="1"/>
  <c r="K11" i="1"/>
  <c r="S10" i="1"/>
  <c r="L137" i="1"/>
  <c r="L138" i="1"/>
  <c r="L136" i="1"/>
  <c r="L125" i="1"/>
  <c r="G37" i="3" s="1"/>
  <c r="J37" i="3" s="1"/>
  <c r="L123" i="1"/>
  <c r="G35" i="3" s="1"/>
  <c r="J35" i="3" s="1"/>
  <c r="L122" i="1"/>
  <c r="L95" i="1"/>
  <c r="G25" i="3" s="1"/>
  <c r="J25" i="3" s="1"/>
  <c r="L94" i="1"/>
  <c r="K24" i="1"/>
  <c r="R23" i="1"/>
  <c r="L163" i="1" l="1"/>
  <c r="G16" i="3"/>
  <c r="J16" i="3" s="1"/>
  <c r="M58" i="1"/>
  <c r="L162" i="1"/>
  <c r="T96" i="1"/>
  <c r="M96" i="1"/>
  <c r="N96" i="1" s="1"/>
  <c r="O96" i="1" s="1"/>
  <c r="N82" i="1"/>
  <c r="O82" i="1" s="1"/>
  <c r="G45" i="3"/>
  <c r="J45" i="3" s="1"/>
  <c r="M188" i="1"/>
  <c r="T188" i="1"/>
  <c r="T97" i="1"/>
  <c r="M97" i="1"/>
  <c r="N97" i="1" s="1"/>
  <c r="T162" i="1"/>
  <c r="M162" i="1"/>
  <c r="T137" i="1"/>
  <c r="G40" i="3"/>
  <c r="J40" i="3" s="1"/>
  <c r="M137" i="1"/>
  <c r="T199" i="1"/>
  <c r="M199" i="1"/>
  <c r="M197" i="1"/>
  <c r="T197" i="1"/>
  <c r="G54" i="3"/>
  <c r="J54" i="3" s="1"/>
  <c r="T34" i="1"/>
  <c r="M34" i="1"/>
  <c r="G9" i="3"/>
  <c r="J9" i="3" s="1"/>
  <c r="M161" i="1"/>
  <c r="L9" i="1"/>
  <c r="L225" i="1" s="1"/>
  <c r="G58" i="3" s="1"/>
  <c r="J58" i="3" s="1"/>
  <c r="L8" i="1"/>
  <c r="L224" i="1" s="1"/>
  <c r="G57" i="3" s="1"/>
  <c r="J57" i="3" s="1"/>
  <c r="T186" i="1"/>
  <c r="M186" i="1"/>
  <c r="G43" i="3"/>
  <c r="J43" i="3" s="1"/>
  <c r="M193" i="1"/>
  <c r="G50" i="3"/>
  <c r="J50" i="3" s="1"/>
  <c r="T193" i="1"/>
  <c r="G29" i="3"/>
  <c r="J29" i="3" s="1"/>
  <c r="T108" i="1"/>
  <c r="M108" i="1"/>
  <c r="T163" i="1"/>
  <c r="M163" i="1"/>
  <c r="G44" i="3"/>
  <c r="J44" i="3" s="1"/>
  <c r="T187" i="1"/>
  <c r="M187" i="1"/>
  <c r="M190" i="1"/>
  <c r="G47" i="3"/>
  <c r="J47" i="3" s="1"/>
  <c r="T190" i="1"/>
  <c r="M110" i="1"/>
  <c r="T110" i="1"/>
  <c r="G46" i="3"/>
  <c r="J46" i="3" s="1"/>
  <c r="T189" i="1"/>
  <c r="M189" i="1"/>
  <c r="G18" i="3"/>
  <c r="J18" i="3" s="1"/>
  <c r="T70" i="1"/>
  <c r="M70" i="1"/>
  <c r="T198" i="1"/>
  <c r="M198" i="1"/>
  <c r="T194" i="1"/>
  <c r="M194" i="1"/>
  <c r="G51" i="3"/>
  <c r="J51" i="3" s="1"/>
  <c r="T109" i="1"/>
  <c r="M109" i="1"/>
  <c r="G10" i="3"/>
  <c r="J10" i="3" s="1"/>
  <c r="T35" i="1"/>
  <c r="M35" i="1"/>
  <c r="T122" i="1"/>
  <c r="G34" i="3"/>
  <c r="J34" i="3" s="1"/>
  <c r="M122" i="1"/>
  <c r="T71" i="1"/>
  <c r="M71" i="1"/>
  <c r="G19" i="3"/>
  <c r="J19" i="3" s="1"/>
  <c r="G48" i="3"/>
  <c r="J48" i="3" s="1"/>
  <c r="T191" i="1"/>
  <c r="M191" i="1"/>
  <c r="J21" i="3"/>
  <c r="T83" i="1"/>
  <c r="M83" i="1"/>
  <c r="T111" i="1"/>
  <c r="M111" i="1"/>
  <c r="T138" i="1"/>
  <c r="G41" i="3"/>
  <c r="J41" i="3" s="1"/>
  <c r="M138" i="1"/>
  <c r="T123" i="1"/>
  <c r="M123" i="1"/>
  <c r="T192" i="1"/>
  <c r="M192" i="1"/>
  <c r="G49" i="3"/>
  <c r="J49" i="3" s="1"/>
  <c r="T195" i="1"/>
  <c r="M195" i="1"/>
  <c r="G52" i="3"/>
  <c r="J52" i="3" s="1"/>
  <c r="N58" i="1"/>
  <c r="T95" i="1"/>
  <c r="M95" i="1"/>
  <c r="N95" i="1" s="1"/>
  <c r="O95" i="1" s="1"/>
  <c r="G24" i="3"/>
  <c r="J24" i="3" s="1"/>
  <c r="T94" i="1"/>
  <c r="M94" i="1"/>
  <c r="T125" i="1"/>
  <c r="M125" i="1"/>
  <c r="G39" i="3"/>
  <c r="J39" i="3" s="1"/>
  <c r="T136" i="1"/>
  <c r="M136" i="1"/>
  <c r="G55" i="3"/>
  <c r="J55" i="3" s="1"/>
  <c r="T200" i="1"/>
  <c r="M200" i="1"/>
  <c r="G53" i="3"/>
  <c r="J53" i="3" s="1"/>
  <c r="T196" i="1"/>
  <c r="M196" i="1"/>
  <c r="M33" i="1"/>
  <c r="J15" i="3"/>
  <c r="T59" i="1"/>
  <c r="M59" i="1"/>
  <c r="L174" i="1" l="1"/>
  <c r="T174" i="1" s="1"/>
  <c r="L149" i="1"/>
  <c r="L150" i="1"/>
  <c r="L175" i="1"/>
  <c r="N195" i="1"/>
  <c r="O195" i="1" s="1"/>
  <c r="N111" i="1"/>
  <c r="O111" i="1" s="1"/>
  <c r="N194" i="1"/>
  <c r="O194" i="1" s="1"/>
  <c r="N161" i="1"/>
  <c r="M164" i="1"/>
  <c r="P162" i="1" s="1"/>
  <c r="Q162" i="1" s="1"/>
  <c r="N197" i="1"/>
  <c r="O197" i="1" s="1"/>
  <c r="N125" i="1"/>
  <c r="O125" i="1" s="1"/>
  <c r="N193" i="1"/>
  <c r="O193" i="1" s="1"/>
  <c r="N186" i="1"/>
  <c r="M201" i="1"/>
  <c r="P198" i="1" s="1"/>
  <c r="Q198" i="1" s="1"/>
  <c r="N199" i="1"/>
  <c r="O199" i="1" s="1"/>
  <c r="N192" i="1"/>
  <c r="O192" i="1" s="1"/>
  <c r="N71" i="1"/>
  <c r="O71" i="1" s="1"/>
  <c r="N35" i="1"/>
  <c r="O35" i="1" s="1"/>
  <c r="N198" i="1"/>
  <c r="O198" i="1" s="1"/>
  <c r="N108" i="1"/>
  <c r="M112" i="1"/>
  <c r="P109" i="1" s="1"/>
  <c r="Q109" i="1" s="1"/>
  <c r="N122" i="1"/>
  <c r="M126" i="1"/>
  <c r="P125" i="1" s="1"/>
  <c r="Q125" i="1" s="1"/>
  <c r="N110" i="1"/>
  <c r="N59" i="1"/>
  <c r="O59" i="1" s="1"/>
  <c r="M60" i="1"/>
  <c r="P59" i="1" s="1"/>
  <c r="Q59" i="1" s="1"/>
  <c r="N83" i="1"/>
  <c r="M84" i="1"/>
  <c r="P82" i="1" s="1"/>
  <c r="N189" i="1"/>
  <c r="O189" i="1" s="1"/>
  <c r="N190" i="1"/>
  <c r="O190" i="1" s="1"/>
  <c r="G6" i="3"/>
  <c r="J6" i="3" s="1"/>
  <c r="T8" i="1"/>
  <c r="M8" i="1"/>
  <c r="N137" i="1"/>
  <c r="O137" i="1" s="1"/>
  <c r="N94" i="1"/>
  <c r="M98" i="1"/>
  <c r="N33" i="1"/>
  <c r="M36" i="1"/>
  <c r="P33" i="1" s="1"/>
  <c r="N136" i="1"/>
  <c r="M139" i="1"/>
  <c r="P138" i="1" s="1"/>
  <c r="Q138" i="1" s="1"/>
  <c r="N70" i="1"/>
  <c r="M72" i="1"/>
  <c r="N187" i="1"/>
  <c r="O187" i="1" s="1"/>
  <c r="G7" i="3"/>
  <c r="J7" i="3" s="1"/>
  <c r="M9" i="1"/>
  <c r="T9" i="1"/>
  <c r="N34" i="1"/>
  <c r="O34" i="1" s="1"/>
  <c r="N123" i="1"/>
  <c r="O123" i="1" s="1"/>
  <c r="N163" i="1"/>
  <c r="O163" i="1" s="1"/>
  <c r="N200" i="1"/>
  <c r="O200" i="1" s="1"/>
  <c r="O58" i="1"/>
  <c r="N138" i="1"/>
  <c r="O138" i="1" s="1"/>
  <c r="N109" i="1"/>
  <c r="O109" i="1" s="1"/>
  <c r="N188" i="1"/>
  <c r="O188" i="1" s="1"/>
  <c r="N196" i="1"/>
  <c r="O196" i="1" s="1"/>
  <c r="N191" i="1"/>
  <c r="O191" i="1" s="1"/>
  <c r="N162" i="1"/>
  <c r="O162" i="1" s="1"/>
  <c r="M175" i="1" l="1"/>
  <c r="N175" i="1" s="1"/>
  <c r="O175" i="1" s="1"/>
  <c r="T175" i="1"/>
  <c r="T150" i="1"/>
  <c r="M150" i="1"/>
  <c r="T149" i="1"/>
  <c r="M149" i="1"/>
  <c r="M174" i="1"/>
  <c r="P123" i="1"/>
  <c r="Q123" i="1" s="1"/>
  <c r="P71" i="1"/>
  <c r="Q71" i="1" s="1"/>
  <c r="Q82" i="1"/>
  <c r="P161" i="1"/>
  <c r="Q161" i="1" s="1"/>
  <c r="P163" i="1"/>
  <c r="Q163" i="1" s="1"/>
  <c r="P108" i="1"/>
  <c r="Q108" i="1" s="1"/>
  <c r="N36" i="1"/>
  <c r="O36" i="1" s="1"/>
  <c r="N60" i="1"/>
  <c r="P70" i="1"/>
  <c r="Q70" i="1" s="1"/>
  <c r="P122" i="1"/>
  <c r="Q122" i="1" s="1"/>
  <c r="P191" i="1"/>
  <c r="Q191" i="1" s="1"/>
  <c r="Q33" i="1"/>
  <c r="P200" i="1"/>
  <c r="Q200" i="1" s="1"/>
  <c r="R60" i="1"/>
  <c r="M66" i="1"/>
  <c r="J12" i="2"/>
  <c r="P58" i="1"/>
  <c r="R112" i="1"/>
  <c r="M118" i="1"/>
  <c r="J16" i="2"/>
  <c r="O186" i="1"/>
  <c r="N201" i="1"/>
  <c r="O201" i="1" s="1"/>
  <c r="P111" i="1"/>
  <c r="Q111" i="1" s="1"/>
  <c r="G13" i="3"/>
  <c r="J13" i="3" s="1"/>
  <c r="M47" i="1"/>
  <c r="T47" i="1"/>
  <c r="M46" i="1"/>
  <c r="G12" i="3"/>
  <c r="J12" i="3" s="1"/>
  <c r="P186" i="1"/>
  <c r="P194" i="1"/>
  <c r="Q194" i="1" s="1"/>
  <c r="P94" i="1"/>
  <c r="M104" i="1"/>
  <c r="P96" i="1"/>
  <c r="Q96" i="1" s="1"/>
  <c r="R98" i="1"/>
  <c r="P97" i="1"/>
  <c r="Q97" i="1" s="1"/>
  <c r="P95" i="1"/>
  <c r="Q95" i="1" s="1"/>
  <c r="J15" i="2"/>
  <c r="N112" i="1"/>
  <c r="O108" i="1"/>
  <c r="P197" i="1"/>
  <c r="Q197" i="1" s="1"/>
  <c r="P187" i="1"/>
  <c r="Q187" i="1" s="1"/>
  <c r="O94" i="1"/>
  <c r="N98" i="1"/>
  <c r="P190" i="1"/>
  <c r="Q190" i="1" s="1"/>
  <c r="P110" i="1"/>
  <c r="Q110" i="1" s="1"/>
  <c r="J22" i="2"/>
  <c r="R201" i="1"/>
  <c r="M207" i="1"/>
  <c r="N207" i="1" s="1"/>
  <c r="O207" i="1" s="1"/>
  <c r="N22" i="2" s="1"/>
  <c r="P196" i="1"/>
  <c r="Q196" i="1" s="1"/>
  <c r="P188" i="1"/>
  <c r="Q188" i="1" s="1"/>
  <c r="O60" i="1"/>
  <c r="L12" i="2"/>
  <c r="R139" i="1"/>
  <c r="J18" i="2"/>
  <c r="M145" i="1"/>
  <c r="P137" i="1"/>
  <c r="Q137" i="1" s="1"/>
  <c r="P192" i="1"/>
  <c r="Q192" i="1" s="1"/>
  <c r="R164" i="1"/>
  <c r="M170" i="1"/>
  <c r="J20" i="2"/>
  <c r="M42" i="1"/>
  <c r="R36" i="1"/>
  <c r="J10" i="2"/>
  <c r="P34" i="1"/>
  <c r="Q34" i="1" s="1"/>
  <c r="R72" i="1"/>
  <c r="M78" i="1"/>
  <c r="J13" i="2"/>
  <c r="N139" i="1"/>
  <c r="O136" i="1"/>
  <c r="P189" i="1"/>
  <c r="Q189" i="1" s="1"/>
  <c r="P124" i="1"/>
  <c r="Q124" i="1" s="1"/>
  <c r="R126" i="1"/>
  <c r="M132" i="1"/>
  <c r="J17" i="2"/>
  <c r="O161" i="1"/>
  <c r="N164" i="1"/>
  <c r="P195" i="1"/>
  <c r="Q195" i="1" s="1"/>
  <c r="O83" i="1"/>
  <c r="N84" i="1"/>
  <c r="N9" i="1"/>
  <c r="O9" i="1" s="1"/>
  <c r="O70" i="1"/>
  <c r="N72" i="1"/>
  <c r="P136" i="1"/>
  <c r="M10" i="1"/>
  <c r="P9" i="1" s="1"/>
  <c r="Q9" i="1" s="1"/>
  <c r="N8" i="1"/>
  <c r="M90" i="1"/>
  <c r="J14" i="2"/>
  <c r="R84" i="1"/>
  <c r="P83" i="1"/>
  <c r="N126" i="1"/>
  <c r="O122" i="1"/>
  <c r="P35" i="1"/>
  <c r="Q35" i="1" s="1"/>
  <c r="P199" i="1"/>
  <c r="Q199" i="1" s="1"/>
  <c r="P193" i="1"/>
  <c r="Q193" i="1" s="1"/>
  <c r="P72" i="1" l="1"/>
  <c r="Q72" i="1" s="1"/>
  <c r="N149" i="1"/>
  <c r="M151" i="1"/>
  <c r="P149" i="1" s="1"/>
  <c r="N150" i="1"/>
  <c r="O150" i="1" s="1"/>
  <c r="M176" i="1"/>
  <c r="N174" i="1"/>
  <c r="L10" i="2"/>
  <c r="M10" i="2" s="1"/>
  <c r="P164" i="1"/>
  <c r="Q164" i="1" s="1"/>
  <c r="O126" i="1"/>
  <c r="L17" i="2"/>
  <c r="P84" i="1"/>
  <c r="Q84" i="1" s="1"/>
  <c r="Q83" i="1"/>
  <c r="O72" i="1"/>
  <c r="L13" i="2"/>
  <c r="O10" i="2"/>
  <c r="O15" i="2"/>
  <c r="P201" i="1"/>
  <c r="Q201" i="1" s="1"/>
  <c r="Q186" i="1"/>
  <c r="N47" i="1"/>
  <c r="O47" i="1" s="1"/>
  <c r="Q58" i="1"/>
  <c r="P60" i="1"/>
  <c r="Q60" i="1" s="1"/>
  <c r="O139" i="1"/>
  <c r="L18" i="2"/>
  <c r="O12" i="2"/>
  <c r="L16" i="2"/>
  <c r="O112" i="1"/>
  <c r="G152" i="3"/>
  <c r="G132" i="3"/>
  <c r="P112" i="1"/>
  <c r="Q112" i="1" s="1"/>
  <c r="N66" i="1"/>
  <c r="O66" i="1" s="1"/>
  <c r="N12" i="2" s="1"/>
  <c r="M67" i="1"/>
  <c r="N67" i="1" s="1"/>
  <c r="Q136" i="1"/>
  <c r="P139" i="1"/>
  <c r="Q139" i="1" s="1"/>
  <c r="O13" i="2"/>
  <c r="N90" i="1"/>
  <c r="O90" i="1" s="1"/>
  <c r="N14" i="2" s="1"/>
  <c r="M91" i="1"/>
  <c r="N91" i="1" s="1"/>
  <c r="O17" i="2"/>
  <c r="N78" i="1"/>
  <c r="O78" i="1" s="1"/>
  <c r="N13" i="2" s="1"/>
  <c r="M79" i="1"/>
  <c r="N79" i="1" s="1"/>
  <c r="M146" i="1"/>
  <c r="N146" i="1" s="1"/>
  <c r="N145" i="1"/>
  <c r="O145" i="1" s="1"/>
  <c r="N18" i="2" s="1"/>
  <c r="O14" i="2"/>
  <c r="O8" i="1"/>
  <c r="N10" i="1"/>
  <c r="L14" i="2"/>
  <c r="O84" i="1"/>
  <c r="M133" i="1"/>
  <c r="N133" i="1" s="1"/>
  <c r="F147" i="3" s="1"/>
  <c r="N132" i="1"/>
  <c r="O132" i="1" s="1"/>
  <c r="N17" i="2" s="1"/>
  <c r="O20" i="2"/>
  <c r="O18" i="2"/>
  <c r="L22" i="2"/>
  <c r="O22" i="2"/>
  <c r="M43" i="1"/>
  <c r="N43" i="1" s="1"/>
  <c r="N42" i="1"/>
  <c r="O42" i="1" s="1"/>
  <c r="N10" i="2" s="1"/>
  <c r="R10" i="1"/>
  <c r="J8" i="2"/>
  <c r="M16" i="1"/>
  <c r="M171" i="1"/>
  <c r="N171" i="1" s="1"/>
  <c r="N170" i="1"/>
  <c r="O170" i="1" s="1"/>
  <c r="N20" i="2" s="1"/>
  <c r="L15" i="2"/>
  <c r="O98" i="1"/>
  <c r="N104" i="1"/>
  <c r="O104" i="1" s="1"/>
  <c r="N15" i="2" s="1"/>
  <c r="M105" i="1"/>
  <c r="N105" i="1" s="1"/>
  <c r="F145" i="3" s="1"/>
  <c r="O16" i="2"/>
  <c r="P36" i="1"/>
  <c r="Q36" i="1" s="1"/>
  <c r="L20" i="2"/>
  <c r="O164" i="1"/>
  <c r="P8" i="1"/>
  <c r="P126" i="1"/>
  <c r="Q126" i="1" s="1"/>
  <c r="M12" i="2"/>
  <c r="F122" i="3"/>
  <c r="Q94" i="1"/>
  <c r="P98" i="1"/>
  <c r="Q98" i="1" s="1"/>
  <c r="N46" i="1"/>
  <c r="M48" i="1"/>
  <c r="P46" i="1" s="1"/>
  <c r="N118" i="1"/>
  <c r="O118" i="1" s="1"/>
  <c r="N16" i="2" s="1"/>
  <c r="M119" i="1"/>
  <c r="N119" i="1" s="1"/>
  <c r="Q149" i="1" l="1"/>
  <c r="P150" i="1"/>
  <c r="Q150" i="1" s="1"/>
  <c r="N176" i="1"/>
  <c r="O174" i="1"/>
  <c r="P175" i="1"/>
  <c r="Q175" i="1" s="1"/>
  <c r="M182" i="1"/>
  <c r="J21" i="2"/>
  <c r="O21" i="2" s="1"/>
  <c r="R176" i="1"/>
  <c r="P174" i="1"/>
  <c r="R151" i="1"/>
  <c r="M157" i="1"/>
  <c r="J19" i="2"/>
  <c r="O19" i="2" s="1"/>
  <c r="N151" i="1"/>
  <c r="O149" i="1"/>
  <c r="F120" i="3"/>
  <c r="M211" i="1"/>
  <c r="M217" i="1" s="1"/>
  <c r="Q46" i="1"/>
  <c r="F123" i="3"/>
  <c r="M13" i="2"/>
  <c r="M15" i="2"/>
  <c r="F125" i="3"/>
  <c r="O10" i="1"/>
  <c r="L8" i="2"/>
  <c r="G128" i="3"/>
  <c r="G148" i="3"/>
  <c r="O91" i="1"/>
  <c r="F144" i="3"/>
  <c r="G122" i="3"/>
  <c r="G142" i="3"/>
  <c r="G140" i="3"/>
  <c r="G120" i="3"/>
  <c r="F148" i="3"/>
  <c r="O146" i="1"/>
  <c r="G144" i="3"/>
  <c r="G124" i="3"/>
  <c r="M18" i="2"/>
  <c r="F128" i="3"/>
  <c r="O43" i="1"/>
  <c r="F140" i="3"/>
  <c r="P10" i="1"/>
  <c r="Q10" i="1" s="1"/>
  <c r="Q8" i="1"/>
  <c r="G130" i="3"/>
  <c r="G150" i="3"/>
  <c r="F130" i="3"/>
  <c r="M20" i="2"/>
  <c r="G126" i="3"/>
  <c r="G146" i="3"/>
  <c r="O171" i="1"/>
  <c r="F150" i="3"/>
  <c r="G147" i="3"/>
  <c r="G127" i="3"/>
  <c r="F143" i="3"/>
  <c r="O79" i="1"/>
  <c r="N48" i="1"/>
  <c r="O46" i="1"/>
  <c r="F124" i="3"/>
  <c r="M14" i="2"/>
  <c r="O119" i="1"/>
  <c r="F146" i="3"/>
  <c r="M17" i="1"/>
  <c r="N17" i="1" s="1"/>
  <c r="N16" i="1"/>
  <c r="O16" i="1" s="1"/>
  <c r="N8" i="2" s="1"/>
  <c r="G143" i="3"/>
  <c r="G123" i="3"/>
  <c r="F127" i="3"/>
  <c r="M17" i="2"/>
  <c r="M22" i="2"/>
  <c r="F132" i="3"/>
  <c r="R48" i="1"/>
  <c r="J11" i="2"/>
  <c r="M54" i="1"/>
  <c r="G145" i="3"/>
  <c r="G125" i="3"/>
  <c r="O8" i="2"/>
  <c r="O67" i="1"/>
  <c r="F142" i="3"/>
  <c r="F126" i="3"/>
  <c r="M16" i="2"/>
  <c r="P47" i="1"/>
  <c r="Q47" i="1" s="1"/>
  <c r="J23" i="2" l="1"/>
  <c r="P151" i="1"/>
  <c r="Q151" i="1" s="1"/>
  <c r="Q174" i="1"/>
  <c r="P176" i="1"/>
  <c r="Q176" i="1" s="1"/>
  <c r="N182" i="1"/>
  <c r="O182" i="1" s="1"/>
  <c r="N21" i="2" s="1"/>
  <c r="M183" i="1"/>
  <c r="N183" i="1" s="1"/>
  <c r="O183" i="1" s="1"/>
  <c r="F151" i="3" s="1"/>
  <c r="O151" i="1"/>
  <c r="L19" i="2"/>
  <c r="N157" i="1"/>
  <c r="O157" i="1" s="1"/>
  <c r="N19" i="2" s="1"/>
  <c r="M158" i="1"/>
  <c r="N158" i="1" s="1"/>
  <c r="L21" i="2"/>
  <c r="O176" i="1"/>
  <c r="F119" i="3"/>
  <c r="M8" i="2"/>
  <c r="O48" i="1"/>
  <c r="L11" i="2"/>
  <c r="P48" i="1"/>
  <c r="Q48" i="1" s="1"/>
  <c r="F139" i="3"/>
  <c r="O17" i="1"/>
  <c r="K9" i="2"/>
  <c r="J25" i="2"/>
  <c r="J34" i="2" s="1"/>
  <c r="L34" i="2" s="1"/>
  <c r="K23" i="2"/>
  <c r="K25" i="2" s="1"/>
  <c r="O23" i="2"/>
  <c r="O25" i="2" s="1"/>
  <c r="L23" i="2"/>
  <c r="K17" i="2"/>
  <c r="K12" i="2"/>
  <c r="K10" i="2"/>
  <c r="K22" i="2"/>
  <c r="K19" i="2"/>
  <c r="K16" i="2"/>
  <c r="K13" i="2"/>
  <c r="K14" i="2"/>
  <c r="K20" i="2"/>
  <c r="K15" i="2"/>
  <c r="K21" i="2"/>
  <c r="K18" i="2"/>
  <c r="K8" i="2"/>
  <c r="M55" i="1"/>
  <c r="N55" i="1" s="1"/>
  <c r="N54" i="1"/>
  <c r="O54" i="1" s="1"/>
  <c r="N11" i="2" s="1"/>
  <c r="K11" i="2"/>
  <c r="O11" i="2"/>
  <c r="G119" i="3"/>
  <c r="G139" i="3"/>
  <c r="N211" i="1"/>
  <c r="G129" i="3" l="1"/>
  <c r="G149" i="3"/>
  <c r="M19" i="2"/>
  <c r="F129" i="3"/>
  <c r="G151" i="3"/>
  <c r="G131" i="3"/>
  <c r="F149" i="3"/>
  <c r="O158" i="1"/>
  <c r="F131" i="3"/>
  <c r="M21" i="2"/>
  <c r="L25" i="2"/>
  <c r="M23" i="2"/>
  <c r="M25" i="2" s="1"/>
  <c r="F121" i="3"/>
  <c r="M11" i="2"/>
  <c r="G121" i="3"/>
  <c r="G141" i="3"/>
  <c r="N217" i="1"/>
  <c r="O211" i="1"/>
  <c r="S232" i="1" s="1"/>
  <c r="L232" i="1" s="1"/>
  <c r="O55" i="1"/>
  <c r="F141" i="3"/>
  <c r="F133" i="3"/>
  <c r="L36" i="2"/>
  <c r="L37" i="2" s="1"/>
  <c r="N34" i="2"/>
  <c r="G133" i="3" s="1"/>
  <c r="T232" i="1" l="1"/>
  <c r="G65" i="3"/>
  <c r="J65" i="3" s="1"/>
  <c r="S279" i="1"/>
  <c r="L279" i="1" s="1"/>
  <c r="S278" i="1"/>
  <c r="L278" i="1" s="1"/>
  <c r="S275" i="1"/>
  <c r="L275" i="1" s="1"/>
  <c r="S266" i="1"/>
  <c r="L266" i="1" s="1"/>
  <c r="S259" i="1"/>
  <c r="L259" i="1" s="1"/>
  <c r="S251" i="1"/>
  <c r="L251" i="1" s="1"/>
  <c r="S243" i="1"/>
  <c r="L243" i="1" s="1"/>
  <c r="S233" i="1"/>
  <c r="L233" i="1" s="1"/>
  <c r="S224" i="1"/>
  <c r="T224" i="1" s="1"/>
  <c r="S274" i="1"/>
  <c r="L274" i="1" s="1"/>
  <c r="S250" i="1"/>
  <c r="L250" i="1" s="1"/>
  <c r="S242" i="1"/>
  <c r="L242" i="1" s="1"/>
  <c r="S231" i="1"/>
  <c r="L231" i="1" s="1"/>
  <c r="S253" i="1"/>
  <c r="L253" i="1" s="1"/>
  <c r="S273" i="1"/>
  <c r="L273" i="1" s="1"/>
  <c r="S265" i="1"/>
  <c r="L265" i="1" s="1"/>
  <c r="S258" i="1"/>
  <c r="L258" i="1" s="1"/>
  <c r="S249" i="1"/>
  <c r="L249" i="1" s="1"/>
  <c r="S241" i="1"/>
  <c r="L241" i="1" s="1"/>
  <c r="S229" i="1"/>
  <c r="L229" i="1" s="1"/>
  <c r="S272" i="1"/>
  <c r="L272" i="1" s="1"/>
  <c r="S264" i="1"/>
  <c r="L264" i="1" s="1"/>
  <c r="S257" i="1"/>
  <c r="L257" i="1" s="1"/>
  <c r="S248" i="1"/>
  <c r="L248" i="1" s="1"/>
  <c r="S240" i="1"/>
  <c r="L240" i="1" s="1"/>
  <c r="S225" i="1"/>
  <c r="T225" i="1" s="1"/>
  <c r="S269" i="1"/>
  <c r="L269" i="1" s="1"/>
  <c r="S254" i="1"/>
  <c r="L254" i="1" s="1"/>
  <c r="S236" i="1"/>
  <c r="L236" i="1" s="1"/>
  <c r="S234" i="1"/>
  <c r="L234" i="1" s="1"/>
  <c r="S228" i="1"/>
  <c r="L228" i="1" s="1"/>
  <c r="S277" i="1"/>
  <c r="L277" i="1" s="1"/>
  <c r="S270" i="1"/>
  <c r="L270" i="1" s="1"/>
  <c r="S262" i="1"/>
  <c r="L262" i="1" s="1"/>
  <c r="S255" i="1"/>
  <c r="L255" i="1" s="1"/>
  <c r="S246" i="1"/>
  <c r="L246" i="1" s="1"/>
  <c r="S238" i="1"/>
  <c r="L238" i="1" s="1"/>
  <c r="S227" i="1"/>
  <c r="L227" i="1" s="1"/>
  <c r="S245" i="1"/>
  <c r="L245" i="1" s="1"/>
  <c r="S237" i="1"/>
  <c r="L237" i="1" s="1"/>
  <c r="S261" i="1"/>
  <c r="L261" i="1" s="1"/>
  <c r="S268" i="1"/>
  <c r="L268" i="1" s="1"/>
  <c r="O217" i="1"/>
  <c r="N219" i="1"/>
  <c r="T253" i="1" l="1"/>
  <c r="G86" i="3"/>
  <c r="J86" i="3" s="1"/>
  <c r="T238" i="1"/>
  <c r="G71" i="3"/>
  <c r="J71" i="3" s="1"/>
  <c r="T236" i="1"/>
  <c r="G69" i="3"/>
  <c r="J69" i="3" s="1"/>
  <c r="T272" i="1"/>
  <c r="G105" i="3"/>
  <c r="J105" i="3" s="1"/>
  <c r="T231" i="1"/>
  <c r="G64" i="3"/>
  <c r="J64" i="3" s="1"/>
  <c r="T259" i="1"/>
  <c r="G92" i="3"/>
  <c r="J92" i="3" s="1"/>
  <c r="T246" i="1"/>
  <c r="G79" i="3"/>
  <c r="J79" i="3" s="1"/>
  <c r="T254" i="1"/>
  <c r="G87" i="3"/>
  <c r="J87" i="3" s="1"/>
  <c r="T229" i="1"/>
  <c r="G62" i="3"/>
  <c r="J62" i="3" s="1"/>
  <c r="T242" i="1"/>
  <c r="G75" i="3"/>
  <c r="J75" i="3" s="1"/>
  <c r="T266" i="1"/>
  <c r="G99" i="3"/>
  <c r="J99" i="3" s="1"/>
  <c r="T255" i="1"/>
  <c r="G88" i="3"/>
  <c r="J88" i="3" s="1"/>
  <c r="T269" i="1"/>
  <c r="G102" i="3"/>
  <c r="J102" i="3" s="1"/>
  <c r="T241" i="1"/>
  <c r="G74" i="3"/>
  <c r="J74" i="3" s="1"/>
  <c r="T250" i="1"/>
  <c r="G83" i="3"/>
  <c r="J83" i="3" s="1"/>
  <c r="T275" i="1"/>
  <c r="G108" i="3"/>
  <c r="J108" i="3" s="1"/>
  <c r="T264" i="1"/>
  <c r="G97" i="3"/>
  <c r="J97" i="3" s="1"/>
  <c r="T262" i="1"/>
  <c r="G95" i="3"/>
  <c r="J95" i="3" s="1"/>
  <c r="T249" i="1"/>
  <c r="G82" i="3"/>
  <c r="J82" i="3" s="1"/>
  <c r="T274" i="1"/>
  <c r="G107" i="3"/>
  <c r="J107" i="3" s="1"/>
  <c r="T278" i="1"/>
  <c r="G111" i="3"/>
  <c r="J111" i="3" s="1"/>
  <c r="T234" i="1"/>
  <c r="G67" i="3"/>
  <c r="J67" i="3" s="1"/>
  <c r="T240" i="1"/>
  <c r="G73" i="3"/>
  <c r="J73" i="3" s="1"/>
  <c r="T258" i="1"/>
  <c r="G91" i="3"/>
  <c r="J91" i="3" s="1"/>
  <c r="T279" i="1"/>
  <c r="G112" i="3"/>
  <c r="J112" i="3" s="1"/>
  <c r="T251" i="1"/>
  <c r="G84" i="3"/>
  <c r="J84" i="3" s="1"/>
  <c r="T268" i="1"/>
  <c r="G101" i="3"/>
  <c r="J101" i="3" s="1"/>
  <c r="T261" i="1"/>
  <c r="G94" i="3"/>
  <c r="J94" i="3" s="1"/>
  <c r="T237" i="1"/>
  <c r="G70" i="3"/>
  <c r="J70" i="3" s="1"/>
  <c r="T277" i="1"/>
  <c r="G110" i="3"/>
  <c r="J110" i="3" s="1"/>
  <c r="T248" i="1"/>
  <c r="G81" i="3"/>
  <c r="J81" i="3" s="1"/>
  <c r="T265" i="1"/>
  <c r="G98" i="3"/>
  <c r="J98" i="3" s="1"/>
  <c r="T233" i="1"/>
  <c r="G66" i="3"/>
  <c r="J66" i="3" s="1"/>
  <c r="T227" i="1"/>
  <c r="G60" i="3"/>
  <c r="J60" i="3" s="1"/>
  <c r="T270" i="1"/>
  <c r="G103" i="3"/>
  <c r="J103" i="3" s="1"/>
  <c r="T245" i="1"/>
  <c r="G78" i="3"/>
  <c r="J78" i="3" s="1"/>
  <c r="T228" i="1"/>
  <c r="G61" i="3"/>
  <c r="J61" i="3" s="1"/>
  <c r="T257" i="1"/>
  <c r="G90" i="3"/>
  <c r="J90" i="3" s="1"/>
  <c r="T273" i="1"/>
  <c r="G106" i="3"/>
  <c r="J106" i="3" s="1"/>
  <c r="T243" i="1"/>
  <c r="G76" i="3"/>
  <c r="J76" i="3" s="1"/>
</calcChain>
</file>

<file path=xl/sharedStrings.xml><?xml version="1.0" encoding="utf-8"?>
<sst xmlns="http://schemas.openxmlformats.org/spreadsheetml/2006/main" count="344" uniqueCount="123">
  <si>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</si>
  <si>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</si>
  <si>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</si>
  <si>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</si>
  <si>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</si>
  <si>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</si>
  <si>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</si>
  <si>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</si>
  <si>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</si>
  <si>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</si>
  <si>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</si>
  <si>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</si>
  <si>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</si>
  <si>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</si>
  <si>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</si>
  <si>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</si>
  <si>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</si>
  <si>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</si>
  <si>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</si>
  <si>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</si>
  <si>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</si>
  <si>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</si>
  <si>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</si>
  <si>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</si>
  <si>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</si>
  <si>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</si>
  <si>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</si>
  <si>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</si>
  <si>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</si>
  <si>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</si>
  <si>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</si>
  <si>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</si>
  <si>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</si>
  <si>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</si>
  <si>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</si>
  <si>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</si>
  <si>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</si>
  <si>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</si>
  <si>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</si>
  <si>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</si>
  <si>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</si>
  <si>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</si>
  <si>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</si>
  <si>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</si>
  <si>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</si>
  <si>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</si>
  <si>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</si>
  <si>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</si>
  <si>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</si>
  <si>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</si>
  <si>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</si>
  <si>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</si>
  <si>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</si>
  <si>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</si>
  <si>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</si>
  <si>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</si>
  <si>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</si>
  <si>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</si>
  <si>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</si>
  <si>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</si>
  <si>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</si>
  <si>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</si>
  <si>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</si>
  <si>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SALT RIVER ELECTRIC COOPERATIVE</t>
  </si>
  <si>
    <t>175 Watt Mercury Vapor</t>
  </si>
  <si>
    <t>100 HPS Sodium Vapor</t>
  </si>
  <si>
    <t>250 HPS Sodium Vapor</t>
  </si>
  <si>
    <t>400 HPS Sodium Vapor</t>
  </si>
  <si>
    <t>100 HPS Decorative UDG</t>
  </si>
  <si>
    <t>175 MV Decorative</t>
  </si>
  <si>
    <t>175 MV Decorative W/P</t>
  </si>
  <si>
    <t>175 MV Overhead Durastar</t>
  </si>
  <si>
    <t>LED Open Bottom</t>
  </si>
  <si>
    <t>LED Cobra Head</t>
  </si>
  <si>
    <t>LED Directional Flood</t>
  </si>
  <si>
    <t>LED Ornamental with Pole</t>
  </si>
  <si>
    <t>Metal Halide (MH)</t>
  </si>
  <si>
    <t>URD Metal Halide w/o Pole</t>
  </si>
  <si>
    <t>URD Metal Halide w Pole</t>
  </si>
  <si>
    <t>Farm &amp; Home Service A-5</t>
  </si>
  <si>
    <t>Residential Marketing Rate R1</t>
  </si>
  <si>
    <t>Large Power 500-3000 KW LLP2</t>
  </si>
  <si>
    <t>Commercial &amp; Small Power B2</t>
  </si>
  <si>
    <t>Large Power LLP-1</t>
  </si>
  <si>
    <t>Large Power LLP-3</t>
  </si>
  <si>
    <t>Large Power LPR-2</t>
  </si>
  <si>
    <t>Large Power LLP-4-B1</t>
  </si>
  <si>
    <t>Demand Charge Contract per kW</t>
  </si>
  <si>
    <t>Demand Charge Excess per kW</t>
  </si>
  <si>
    <t>Large Power LPR-1-B1</t>
  </si>
  <si>
    <t>LPR-3</t>
  </si>
  <si>
    <t>Net Metering</t>
  </si>
  <si>
    <t>Net Metering LLP-1 Large Power</t>
  </si>
  <si>
    <t>Prepaid Metering</t>
  </si>
  <si>
    <t>Large Power LPR-1-B2</t>
  </si>
  <si>
    <t>5,10</t>
  </si>
  <si>
    <t xml:space="preserve">Customers  </t>
  </si>
  <si>
    <t>Street Lighting Service OL &amp; LED</t>
  </si>
  <si>
    <t>OL</t>
  </si>
  <si>
    <t>LED</t>
  </si>
  <si>
    <t>RATES WITH NO CURRENT MEMBERS</t>
  </si>
  <si>
    <t>Energy Charge On Peak per kWh</t>
  </si>
  <si>
    <t>Energy Charge Off Peak per kWh</t>
  </si>
  <si>
    <t>Farm &amp; Home Service Taxable A-5T</t>
  </si>
  <si>
    <t>Farm &amp; Home Service TOD Option A</t>
  </si>
  <si>
    <t>Farm &amp; Home Service TOD Option B</t>
  </si>
  <si>
    <t>Farm &amp; Home Service Taxable TOD Option A</t>
  </si>
  <si>
    <t>Farm &amp; Home Service Taxable TOD Option B</t>
  </si>
  <si>
    <t>Large Power LLP-3-B1</t>
  </si>
  <si>
    <t>Large Power LLP-3-C1</t>
  </si>
  <si>
    <t>Large Power LLP-4-C1</t>
  </si>
  <si>
    <t>Large Power LPR-1</t>
  </si>
  <si>
    <t>Large Power LPR-1-C1</t>
  </si>
  <si>
    <t>Large Power LPR-1-C2</t>
  </si>
  <si>
    <t>Large Power LPR-1-B3</t>
  </si>
  <si>
    <t>Large Power LPR-1-C3</t>
  </si>
  <si>
    <t>Same as A5</t>
  </si>
  <si>
    <t>Energy Charge Winter On Peak per kWh</t>
  </si>
  <si>
    <t>Energy Charge Winter Off Peak per kWh</t>
  </si>
  <si>
    <t>Energy Charge Summer All Hrs per kWh</t>
  </si>
  <si>
    <t>Present &amp; Proposed Rates</t>
  </si>
  <si>
    <t>Note:</t>
  </si>
  <si>
    <t>Rate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</si>
</sst>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&quot;$&quot;#,##0"/>
    <numFmt numFmtId="173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2" fontId="3" fillId="0" borderId="2" xfId="0" applyNumberFormat="1" applyFont="1" applyBorder="1"/>
    <xf numFmtId="10" fontId="3" fillId="0" borderId="2" xfId="3" applyNumberFormat="1" applyFont="1" applyBorder="1"/>
    <xf numFmtId="172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165" fontId="3" fillId="0" borderId="0" xfId="2" applyNumberFormat="1" applyFont="1" applyFill="1" applyAlignment="1"/>
    <xf numFmtId="165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10" fontId="3" fillId="0" borderId="0" xfId="3" applyNumberFormat="1" applyFont="1" applyAlignment="1">
      <alignment horizontal="right"/>
    </xf>
    <xf numFmtId="170" fontId="7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7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8" fontId="7" fillId="0" borderId="0" xfId="1" applyNumberFormat="1" applyFont="1" applyFill="1"/>
    <xf numFmtId="10" fontId="7" fillId="0" borderId="5" xfId="3" applyNumberFormat="1" applyFont="1" applyFill="1" applyBorder="1" applyAlignment="1">
      <alignment horizontal="right" vertical="center"/>
    </xf>
    <xf numFmtId="10" fontId="7" fillId="0" borderId="3" xfId="3" applyNumberFormat="1" applyFont="1" applyFill="1" applyBorder="1" applyAlignment="1">
      <alignment horizontal="right" vertical="center"/>
    </xf>
    <xf numFmtId="10" fontId="7" fillId="0" borderId="0" xfId="3" applyNumberFormat="1" applyFont="1" applyFill="1" applyAlignment="1">
      <alignment horizontal="right"/>
    </xf>
    <xf numFmtId="164" fontId="7" fillId="0" borderId="6" xfId="1" applyNumberFormat="1" applyFont="1" applyFill="1" applyBorder="1"/>
    <xf numFmtId="166" fontId="7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6" fontId="4" fillId="4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8"/>
  <sheetViews>
    <sheetView tabSelected="1" zoomScale="75" zoomScaleNormal="75" workbookViewId="0">
      <selection activeCell="P9" sqref="P9"/>
    </sheetView>
  </sheetViews>
  <sheetFormatPr defaultColWidth="8.88671875" defaultRowHeight="13.2" x14ac:dyDescent="0.25"/>
  <cols>
    <col min="1" max="1" width="5.21875" style="2" customWidth="1"/>
    <col min="2" max="2" width="30.21875" style="2" bestFit="1" customWidth="1"/>
    <col min="3" max="3" width="5.88671875" style="11" bestFit="1" customWidth="1"/>
    <col min="4" max="4" width="14.21875" style="2" hidden="1" customWidth="1"/>
    <col min="5" max="5" width="13.88671875" style="2" bestFit="1" customWidth="1"/>
    <col min="6" max="6" width="8.5546875" style="2" bestFit="1" customWidth="1"/>
    <col min="7" max="7" width="12.6640625" style="2" bestFit="1" customWidth="1"/>
    <col min="8" max="8" width="10.44140625" style="2" customWidth="1"/>
    <col min="9" max="9" width="11.6640625" style="2" bestFit="1" customWidth="1"/>
    <col min="10" max="10" width="13.88671875" style="2" bestFit="1" customWidth="1"/>
    <col min="11" max="11" width="12.1093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1.218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1" t="s">
        <v>38</v>
      </c>
      <c r="L4" s="158">
        <v>4074984</v>
      </c>
      <c r="M4" s="4"/>
    </row>
    <row r="5" spans="1:22" x14ac:dyDescent="0.25">
      <c r="M5" s="4"/>
      <c r="N5" s="4"/>
    </row>
    <row r="6" spans="1:22" s="8" customFormat="1" ht="31.95" customHeight="1" x14ac:dyDescent="0.25">
      <c r="A6" s="6" t="s">
        <v>1</v>
      </c>
      <c r="B6" s="6" t="s">
        <v>2</v>
      </c>
      <c r="C6" s="7" t="s">
        <v>11</v>
      </c>
      <c r="D6" s="24" t="s">
        <v>21</v>
      </c>
      <c r="E6" s="24" t="s">
        <v>3</v>
      </c>
      <c r="F6" s="24" t="s">
        <v>22</v>
      </c>
      <c r="G6" s="24" t="s">
        <v>33</v>
      </c>
      <c r="H6" s="24" t="s">
        <v>34</v>
      </c>
      <c r="I6" s="24" t="s">
        <v>35</v>
      </c>
      <c r="J6" s="24" t="s">
        <v>4</v>
      </c>
      <c r="K6" s="24" t="s">
        <v>24</v>
      </c>
      <c r="L6" s="24" t="s">
        <v>47</v>
      </c>
      <c r="M6" s="75" t="s">
        <v>45</v>
      </c>
      <c r="N6" s="75" t="s">
        <v>46</v>
      </c>
      <c r="O6" s="9" t="s">
        <v>37</v>
      </c>
      <c r="Q6" s="2"/>
      <c r="R6" s="2"/>
      <c r="S6" s="2"/>
      <c r="T6" s="2"/>
      <c r="U6" s="2"/>
      <c r="V6" s="2"/>
    </row>
    <row r="7" spans="1:22" s="35" customFormat="1" x14ac:dyDescent="0.25">
      <c r="A7" s="3">
        <v>1</v>
      </c>
      <c r="B7" s="31" t="s">
        <v>5</v>
      </c>
      <c r="C7" s="69"/>
      <c r="D7" s="31"/>
      <c r="E7" s="32"/>
      <c r="F7" s="33"/>
      <c r="G7" s="33"/>
      <c r="H7" s="8"/>
      <c r="I7" s="8"/>
      <c r="J7" s="32"/>
      <c r="K7" s="33"/>
      <c r="L7" s="32"/>
      <c r="M7" s="34"/>
      <c r="N7" s="34"/>
      <c r="Q7" s="2"/>
      <c r="R7" s="2"/>
      <c r="S7" s="2"/>
      <c r="T7" s="2"/>
      <c r="U7" s="2"/>
      <c r="V7" s="2"/>
    </row>
    <row r="8" spans="1:22" s="35" customFormat="1" x14ac:dyDescent="0.25">
      <c r="A8" s="3">
        <f>A7+1</f>
        <v>2</v>
      </c>
      <c r="B8" s="35" t="str">
        <f>'Billing Detail'!B7</f>
        <v>Farm &amp; Home Service A-5</v>
      </c>
      <c r="C8" s="11">
        <f>'Billing Detail'!C7</f>
        <v>1</v>
      </c>
      <c r="D8" s="36">
        <f>'Billing Detail'!G10</f>
        <v>61421128.052560002</v>
      </c>
      <c r="E8" s="36">
        <f>'Billing Detail'!I10</f>
        <v>60265069.324939996</v>
      </c>
      <c r="F8" s="34">
        <f t="shared" ref="F8:F23" si="0">E8/E$23</f>
        <v>0.62943050417421731</v>
      </c>
      <c r="G8" s="106">
        <f>E8</f>
        <v>60265069.324939996</v>
      </c>
      <c r="H8" s="107">
        <f t="shared" ref="H8:H22" si="1">G8/G$23</f>
        <v>0.62943050417421731</v>
      </c>
      <c r="I8" s="108">
        <f t="shared" ref="I8:I22" si="2">ROUND(L$4*H8,2)</f>
        <v>2564919.23</v>
      </c>
      <c r="J8" s="36">
        <f>'Billing Detail'!M10</f>
        <v>62830950.797130004</v>
      </c>
      <c r="K8" s="34">
        <f t="shared" ref="K8:K23" si="3">J8/J$23</f>
        <v>0.62943761974926038</v>
      </c>
      <c r="L8" s="36">
        <f>'Billing Detail'!N10</f>
        <v>2565881.4721900057</v>
      </c>
      <c r="M8" s="34">
        <f>IF(E8=0,0,L8/E8)</f>
        <v>4.2576595379906844E-2</v>
      </c>
      <c r="N8" s="34">
        <f>'Billing Detail'!O16</f>
        <v>3.9000692696612972E-2</v>
      </c>
      <c r="O8" s="38">
        <f>J8-I8-E8</f>
        <v>962.24219001084566</v>
      </c>
      <c r="Q8" s="2"/>
      <c r="R8" s="2"/>
      <c r="S8" s="2"/>
      <c r="T8" s="2"/>
      <c r="U8" s="2"/>
      <c r="V8" s="2"/>
    </row>
    <row r="9" spans="1:22" s="35" customFormat="1" x14ac:dyDescent="0.25">
      <c r="A9" s="3">
        <f t="shared" ref="A9:A37" si="4">A8+1</f>
        <v>3</v>
      </c>
      <c r="B9" s="35" t="str">
        <f>'Billing Detail'!B19</f>
        <v>Residential Marketing Rate R1</v>
      </c>
      <c r="C9" s="11" t="str">
        <f>'Billing Detail'!C19</f>
        <v>5,10</v>
      </c>
      <c r="D9" s="36">
        <f>'Billing Detail'!G23</f>
        <v>53112.095299999994</v>
      </c>
      <c r="E9" s="36">
        <f>'Billing Detail'!I23</f>
        <v>0</v>
      </c>
      <c r="F9" s="34">
        <f t="shared" si="0"/>
        <v>0</v>
      </c>
      <c r="G9" s="106">
        <f t="shared" ref="G9:G22" si="5">E9</f>
        <v>0</v>
      </c>
      <c r="H9" s="107">
        <f t="shared" si="1"/>
        <v>0</v>
      </c>
      <c r="I9" s="108">
        <f t="shared" si="2"/>
        <v>0</v>
      </c>
      <c r="J9" s="36">
        <f>'Billing Detail'!M23</f>
        <v>0</v>
      </c>
      <c r="K9" s="34">
        <f t="shared" si="3"/>
        <v>0</v>
      </c>
      <c r="L9" s="36">
        <f>'Billing Detail'!N23</f>
        <v>0</v>
      </c>
      <c r="M9" s="34">
        <f t="shared" ref="M9:M22" si="6">IF(E9=0,0,L9/E9)</f>
        <v>0</v>
      </c>
      <c r="N9" s="98" t="str">
        <f>'Billing Detail'!O29</f>
        <v>NA</v>
      </c>
      <c r="O9" s="38">
        <f t="shared" ref="O9:O23" si="7">J9-I9-E9</f>
        <v>0</v>
      </c>
      <c r="Q9" s="2"/>
      <c r="R9" s="2"/>
      <c r="S9" s="2"/>
      <c r="T9" s="2"/>
      <c r="U9" s="2"/>
      <c r="V9" s="2"/>
    </row>
    <row r="10" spans="1:22" s="35" customFormat="1" x14ac:dyDescent="0.25">
      <c r="A10" s="3">
        <f t="shared" si="4"/>
        <v>4</v>
      </c>
      <c r="B10" s="35" t="str">
        <f>'Billing Detail'!B32</f>
        <v>Large Power 500-3000 KW LLP2</v>
      </c>
      <c r="C10" s="11">
        <f>'Billing Detail'!C32</f>
        <v>7</v>
      </c>
      <c r="D10" s="36">
        <f>'Billing Detail'!G36</f>
        <v>5002763.2782099992</v>
      </c>
      <c r="E10" s="36">
        <f>'Billing Detail'!I36</f>
        <v>4900880.3325500004</v>
      </c>
      <c r="F10" s="34">
        <f t="shared" si="0"/>
        <v>5.1186593049148937E-2</v>
      </c>
      <c r="G10" s="106">
        <f t="shared" si="5"/>
        <v>4900880.3325500004</v>
      </c>
      <c r="H10" s="107">
        <f t="shared" si="1"/>
        <v>5.1186593049148937E-2</v>
      </c>
      <c r="I10" s="108">
        <f t="shared" si="2"/>
        <v>208584.55</v>
      </c>
      <c r="J10" s="36">
        <f>'Billing Detail'!M36</f>
        <v>5109506.5527617596</v>
      </c>
      <c r="K10" s="34">
        <f t="shared" si="3"/>
        <v>5.1186805258571964E-2</v>
      </c>
      <c r="L10" s="36">
        <f>'Billing Detail'!N36</f>
        <v>208626.22021175968</v>
      </c>
      <c r="M10" s="34">
        <f t="shared" si="6"/>
        <v>4.2569131677452805E-2</v>
      </c>
      <c r="N10" s="34">
        <f>'Billing Detail'!O42</f>
        <v>3.9176501265563025E-2</v>
      </c>
      <c r="O10" s="38">
        <f t="shared" si="7"/>
        <v>41.670211759395897</v>
      </c>
      <c r="Q10" s="2"/>
      <c r="R10" s="2"/>
      <c r="S10" s="2"/>
      <c r="T10" s="2"/>
      <c r="U10" s="2"/>
      <c r="V10" s="2"/>
    </row>
    <row r="11" spans="1:22" s="35" customFormat="1" x14ac:dyDescent="0.25">
      <c r="A11" s="3">
        <f t="shared" si="4"/>
        <v>5</v>
      </c>
      <c r="B11" s="35" t="str">
        <f>'Billing Detail'!B45</f>
        <v>Commercial &amp; Small Power B2</v>
      </c>
      <c r="C11" s="11">
        <f>'Billing Detail'!C45</f>
        <v>8</v>
      </c>
      <c r="D11" s="36">
        <f>'Billing Detail'!G48</f>
        <v>7442898.4771999996</v>
      </c>
      <c r="E11" s="36">
        <f>'Billing Detail'!I48</f>
        <v>7310108.5937999999</v>
      </c>
      <c r="F11" s="34">
        <f t="shared" si="0"/>
        <v>7.6349457310914554E-2</v>
      </c>
      <c r="G11" s="106">
        <f t="shared" si="5"/>
        <v>7310108.5937999999</v>
      </c>
      <c r="H11" s="107">
        <f t="shared" si="1"/>
        <v>7.6349457310914554E-2</v>
      </c>
      <c r="I11" s="108">
        <f t="shared" si="2"/>
        <v>311122.82</v>
      </c>
      <c r="J11" s="36">
        <f>'Billing Detail'!M48</f>
        <v>7621156.6765000001</v>
      </c>
      <c r="K11" s="34">
        <f t="shared" si="3"/>
        <v>7.6348402456635489E-2</v>
      </c>
      <c r="L11" s="36">
        <f>'Billing Detail'!N48</f>
        <v>311048.08270000038</v>
      </c>
      <c r="M11" s="34">
        <f t="shared" si="6"/>
        <v>4.2550405196964229E-2</v>
      </c>
      <c r="N11" s="34">
        <f>'Billing Detail'!O54</f>
        <v>3.8881541327157307E-2</v>
      </c>
      <c r="O11" s="38">
        <f t="shared" si="7"/>
        <v>-74.737300000153482</v>
      </c>
      <c r="Q11" s="2"/>
      <c r="R11" s="2"/>
      <c r="S11" s="2"/>
      <c r="T11" s="2"/>
      <c r="U11" s="2"/>
      <c r="V11" s="2"/>
    </row>
    <row r="12" spans="1:22" s="35" customFormat="1" x14ac:dyDescent="0.25">
      <c r="A12" s="3">
        <f t="shared" si="4"/>
        <v>6</v>
      </c>
      <c r="B12" s="35" t="str">
        <f>'Billing Detail'!B57</f>
        <v>Large Power LLP-1</v>
      </c>
      <c r="C12" s="11">
        <f>'Billing Detail'!C57</f>
        <v>9</v>
      </c>
      <c r="D12" s="36">
        <f>'Billing Detail'!G60</f>
        <v>4826391.8146599997</v>
      </c>
      <c r="E12" s="36">
        <f>'Billing Detail'!I60</f>
        <v>4733613.8797000004</v>
      </c>
      <c r="F12" s="34">
        <f t="shared" si="0"/>
        <v>4.9439600820845996E-2</v>
      </c>
      <c r="G12" s="106">
        <f t="shared" si="5"/>
        <v>4733613.8797000004</v>
      </c>
      <c r="H12" s="107">
        <f t="shared" si="1"/>
        <v>4.9439600820845996E-2</v>
      </c>
      <c r="I12" s="108">
        <f t="shared" si="2"/>
        <v>201465.58</v>
      </c>
      <c r="J12" s="36">
        <f>'Billing Detail'!M60</f>
        <v>4935832.9424700001</v>
      </c>
      <c r="K12" s="34">
        <f t="shared" si="3"/>
        <v>4.9446950895580231E-2</v>
      </c>
      <c r="L12" s="36">
        <f>'Billing Detail'!N60</f>
        <v>202219.06277000019</v>
      </c>
      <c r="M12" s="34">
        <f>IF(E12=0,0,L12/E12)</f>
        <v>4.271980518673317E-2</v>
      </c>
      <c r="N12" s="34">
        <f>'Billing Detail'!O66</f>
        <v>3.9230096949051101E-2</v>
      </c>
      <c r="O12" s="38">
        <f>J12-I12-E12</f>
        <v>753.4827699996531</v>
      </c>
      <c r="Q12" s="2"/>
      <c r="R12" s="2"/>
      <c r="S12" s="2"/>
      <c r="T12" s="2"/>
      <c r="U12" s="2"/>
      <c r="V12" s="2"/>
    </row>
    <row r="13" spans="1:22" s="35" customFormat="1" x14ac:dyDescent="0.25">
      <c r="A13" s="3">
        <f t="shared" si="4"/>
        <v>7</v>
      </c>
      <c r="B13" s="35" t="str">
        <f>'Billing Detail'!B69</f>
        <v>Large Power LLP-3</v>
      </c>
      <c r="C13" s="11">
        <f>'Billing Detail'!C69</f>
        <v>11</v>
      </c>
      <c r="D13" s="36">
        <f>'Billing Detail'!G72</f>
        <v>6400419.8645899994</v>
      </c>
      <c r="E13" s="36">
        <f>'Billing Detail'!I72</f>
        <v>6263488.0980899995</v>
      </c>
      <c r="F13" s="34">
        <f t="shared" si="0"/>
        <v>6.5418168694256679E-2</v>
      </c>
      <c r="G13" s="106">
        <f t="shared" si="5"/>
        <v>6263488.0980899995</v>
      </c>
      <c r="H13" s="107">
        <f t="shared" si="1"/>
        <v>6.5418168694256679E-2</v>
      </c>
      <c r="I13" s="108">
        <f t="shared" si="2"/>
        <v>266577.99</v>
      </c>
      <c r="J13" s="36">
        <f>'Billing Detail'!M72</f>
        <v>6529589.5544800004</v>
      </c>
      <c r="K13" s="34">
        <f t="shared" si="3"/>
        <v>6.5413132460495252E-2</v>
      </c>
      <c r="L13" s="36">
        <f>'Billing Detail'!N72</f>
        <v>266101.45639000041</v>
      </c>
      <c r="M13" s="34">
        <f t="shared" ref="M13" si="8">IF(E13=0,0,L13/E13)</f>
        <v>4.2484547303785238E-2</v>
      </c>
      <c r="N13" s="34">
        <f>'Billing Detail'!O78</f>
        <v>3.9627878034932895E-2</v>
      </c>
      <c r="O13" s="38">
        <f t="shared" ref="O13" si="9">J13-I13-E13</f>
        <v>-476.53360999934375</v>
      </c>
      <c r="Q13" s="2"/>
      <c r="R13" s="2"/>
      <c r="S13" s="2"/>
      <c r="T13" s="2"/>
      <c r="U13" s="2"/>
      <c r="V13" s="2"/>
    </row>
    <row r="14" spans="1:22" s="35" customFormat="1" x14ac:dyDescent="0.25">
      <c r="A14" s="3">
        <f t="shared" si="4"/>
        <v>8</v>
      </c>
      <c r="B14" s="35" t="str">
        <f>'Billing Detail'!B81</f>
        <v>Large Power LPR-2</v>
      </c>
      <c r="C14" s="11">
        <f>'Billing Detail'!C81</f>
        <v>13</v>
      </c>
      <c r="D14" s="36">
        <f>'Billing Detail'!G84</f>
        <v>427494.02324999997</v>
      </c>
      <c r="E14" s="36">
        <f>'Billing Detail'!I84</f>
        <v>418377.98414999997</v>
      </c>
      <c r="F14" s="34">
        <f t="shared" si="0"/>
        <v>4.3696932310662269E-3</v>
      </c>
      <c r="G14" s="106">
        <f t="shared" si="5"/>
        <v>418377.98414999997</v>
      </c>
      <c r="H14" s="107">
        <f t="shared" si="1"/>
        <v>4.3696932310662269E-3</v>
      </c>
      <c r="I14" s="108">
        <f t="shared" si="2"/>
        <v>17806.43</v>
      </c>
      <c r="J14" s="95">
        <f>'Billing Detail'!M84</f>
        <v>436122.51674999995</v>
      </c>
      <c r="K14" s="34">
        <f t="shared" si="3"/>
        <v>4.3690556227380228E-3</v>
      </c>
      <c r="L14" s="95">
        <f>'Billing Detail'!N84</f>
        <v>17744.532600000006</v>
      </c>
      <c r="M14" s="61">
        <f t="shared" si="6"/>
        <v>4.2412682483880665E-2</v>
      </c>
      <c r="N14" s="61">
        <f>'Billing Detail'!O90</f>
        <v>3.9355113757009244E-2</v>
      </c>
      <c r="O14" s="38">
        <f t="shared" si="7"/>
        <v>-61.897400000016205</v>
      </c>
      <c r="Q14" s="2"/>
      <c r="R14" s="2"/>
      <c r="S14" s="2"/>
      <c r="T14" s="2"/>
      <c r="U14" s="2"/>
      <c r="V14" s="2"/>
    </row>
    <row r="15" spans="1:22" s="35" customFormat="1" x14ac:dyDescent="0.25">
      <c r="A15" s="3">
        <f t="shared" si="4"/>
        <v>9</v>
      </c>
      <c r="B15" s="35" t="str">
        <f>'Billing Detail'!B93</f>
        <v>Large Power LLP-4-B1</v>
      </c>
      <c r="C15" s="11">
        <f>'Billing Detail'!C93</f>
        <v>14</v>
      </c>
      <c r="D15" s="36">
        <f>'Billing Detail'!G98</f>
        <v>3159608.8053199998</v>
      </c>
      <c r="E15" s="36">
        <f>'Billing Detail'!I98</f>
        <v>3078487.5636800001</v>
      </c>
      <c r="F15" s="34">
        <f t="shared" si="0"/>
        <v>3.2152854066315135E-2</v>
      </c>
      <c r="G15" s="106">
        <f t="shared" si="5"/>
        <v>3078487.5636800001</v>
      </c>
      <c r="H15" s="107">
        <f t="shared" si="1"/>
        <v>3.2152854066315135E-2</v>
      </c>
      <c r="I15" s="108">
        <f t="shared" si="2"/>
        <v>131022.37</v>
      </c>
      <c r="J15" s="36">
        <f>'Billing Detail'!M98</f>
        <v>3209215.4396799998</v>
      </c>
      <c r="K15" s="34">
        <f t="shared" si="3"/>
        <v>3.2149774943514377E-2</v>
      </c>
      <c r="L15" s="36">
        <f>'Billing Detail'!N98</f>
        <v>130727.8759999999</v>
      </c>
      <c r="M15" s="34">
        <f t="shared" ref="M15:M16" si="10">IF(E15=0,0,L15/E15)</f>
        <v>4.2464968038957683E-2</v>
      </c>
      <c r="N15" s="61">
        <f>'Billing Detail'!O104</f>
        <v>3.9452489710328172E-2</v>
      </c>
      <c r="O15" s="38">
        <f t="shared" si="7"/>
        <v>-294.49400000041351</v>
      </c>
      <c r="Q15" s="2"/>
      <c r="R15" s="2"/>
      <c r="S15" s="2"/>
      <c r="T15" s="2"/>
      <c r="U15" s="2"/>
      <c r="V15" s="2"/>
    </row>
    <row r="16" spans="1:22" s="35" customFormat="1" x14ac:dyDescent="0.25">
      <c r="A16" s="3">
        <f t="shared" si="4"/>
        <v>10</v>
      </c>
      <c r="B16" s="35" t="str">
        <f>'Billing Detail'!B107</f>
        <v>Large Power LPR-1-B1</v>
      </c>
      <c r="C16" s="11">
        <f>'Billing Detail'!C107</f>
        <v>15</v>
      </c>
      <c r="D16" s="36">
        <f>'Billing Detail'!G112</f>
        <v>2321029.42368</v>
      </c>
      <c r="E16" s="36">
        <f>'Billing Detail'!I112</f>
        <v>2254039.0416000001</v>
      </c>
      <c r="F16" s="34">
        <f t="shared" si="0"/>
        <v>2.3542011089922037E-2</v>
      </c>
      <c r="G16" s="106">
        <f t="shared" si="5"/>
        <v>2254039.0416000001</v>
      </c>
      <c r="H16" s="107">
        <f t="shared" si="1"/>
        <v>2.3542011089922037E-2</v>
      </c>
      <c r="I16" s="108">
        <f t="shared" si="2"/>
        <v>95933.32</v>
      </c>
      <c r="J16" s="36">
        <f>'Billing Detail'!M112</f>
        <v>2349566.8579199999</v>
      </c>
      <c r="K16" s="34">
        <f t="shared" si="3"/>
        <v>2.3537854381131963E-2</v>
      </c>
      <c r="L16" s="36">
        <f>'Billing Detail'!N112</f>
        <v>95527.816320000056</v>
      </c>
      <c r="M16" s="34">
        <f t="shared" si="10"/>
        <v>4.2380728353396617E-2</v>
      </c>
      <c r="N16" s="34">
        <f>'Billing Detail'!O118</f>
        <v>3.9746096552733506E-2</v>
      </c>
      <c r="O16" s="38">
        <f t="shared" si="7"/>
        <v>-405.50368000008166</v>
      </c>
      <c r="Q16" s="2"/>
      <c r="R16" s="2"/>
      <c r="S16" s="2"/>
      <c r="T16" s="2"/>
      <c r="U16" s="2"/>
      <c r="V16" s="2"/>
    </row>
    <row r="17" spans="1:22" s="35" customFormat="1" x14ac:dyDescent="0.25">
      <c r="A17" s="3">
        <f t="shared" si="4"/>
        <v>11</v>
      </c>
      <c r="B17" s="35" t="str">
        <f>'Billing Detail'!B121</f>
        <v>Large Power LPR-1-B2</v>
      </c>
      <c r="C17" s="11">
        <f>'Billing Detail'!C121</f>
        <v>25</v>
      </c>
      <c r="D17" s="36">
        <f>'Billing Detail'!G126</f>
        <v>2535695.8956900002</v>
      </c>
      <c r="E17" s="36">
        <f>'Billing Detail'!I126</f>
        <v>2459092.6561500002</v>
      </c>
      <c r="F17" s="34">
        <f t="shared" si="0"/>
        <v>2.5683666304703964E-2</v>
      </c>
      <c r="G17" s="106">
        <f t="shared" si="5"/>
        <v>2459092.6561500002</v>
      </c>
      <c r="H17" s="107">
        <f t="shared" si="1"/>
        <v>2.5683666304703964E-2</v>
      </c>
      <c r="I17" s="108">
        <f t="shared" si="2"/>
        <v>104660.53</v>
      </c>
      <c r="J17" s="36">
        <f>'Billing Detail'!M126</f>
        <v>2563625.6963999998</v>
      </c>
      <c r="K17" s="34">
        <f t="shared" si="3"/>
        <v>2.5682286131244791E-2</v>
      </c>
      <c r="L17" s="36">
        <f>'Billing Detail'!N126</f>
        <v>104533.04024999969</v>
      </c>
      <c r="M17" s="34">
        <f t="shared" ref="M17:M21" si="11">IF(E17=0,0,L17/E17)</f>
        <v>4.2508784688763415E-2</v>
      </c>
      <c r="N17" s="34">
        <f>'Billing Detail'!O132</f>
        <v>3.9746749588140173E-2</v>
      </c>
      <c r="O17" s="38">
        <f t="shared" ref="O17:O21" si="12">J17-I17-E17</f>
        <v>-127.48975000018254</v>
      </c>
      <c r="Q17" s="2"/>
      <c r="R17" s="2"/>
      <c r="S17" s="2"/>
      <c r="T17" s="2"/>
      <c r="U17" s="2"/>
      <c r="V17" s="2"/>
    </row>
    <row r="18" spans="1:22" s="35" customFormat="1" x14ac:dyDescent="0.25">
      <c r="A18" s="3">
        <f t="shared" si="4"/>
        <v>12</v>
      </c>
      <c r="B18" s="35" t="str">
        <f>'Billing Detail'!B135</f>
        <v>LPR-3</v>
      </c>
      <c r="C18" s="11">
        <f>'Billing Detail'!C135</f>
        <v>36</v>
      </c>
      <c r="D18" s="36">
        <f>'Billing Detail'!G139</f>
        <v>986995.10869999987</v>
      </c>
      <c r="E18" s="36">
        <f>'Billing Detail'!I139</f>
        <v>964286.99793999991</v>
      </c>
      <c r="F18" s="34">
        <f t="shared" si="0"/>
        <v>1.0071367345641413E-2</v>
      </c>
      <c r="G18" s="106">
        <f t="shared" si="5"/>
        <v>964286.99793999991</v>
      </c>
      <c r="H18" s="107">
        <f t="shared" si="1"/>
        <v>1.0071367345641413E-2</v>
      </c>
      <c r="I18" s="108">
        <f t="shared" si="2"/>
        <v>41040.660000000003</v>
      </c>
      <c r="J18" s="36">
        <f>'Billing Detail'!M139</f>
        <v>1005194.2553</v>
      </c>
      <c r="K18" s="34">
        <f t="shared" si="3"/>
        <v>1.0069990528785109E-2</v>
      </c>
      <c r="L18" s="36">
        <f>'Billing Detail'!N139</f>
        <v>40907.25736000004</v>
      </c>
      <c r="M18" s="34">
        <f t="shared" si="11"/>
        <v>4.2422284493506546E-2</v>
      </c>
      <c r="N18" s="34">
        <f>'Billing Detail'!O145</f>
        <v>3.9436152094687552E-2</v>
      </c>
      <c r="O18" s="38">
        <f t="shared" si="12"/>
        <v>-133.40263999998569</v>
      </c>
      <c r="Q18" s="2"/>
      <c r="R18" s="2"/>
      <c r="S18" s="2"/>
      <c r="T18" s="2"/>
      <c r="U18" s="2"/>
      <c r="V18" s="2"/>
    </row>
    <row r="19" spans="1:22" s="35" customFormat="1" x14ac:dyDescent="0.25">
      <c r="A19" s="3">
        <f t="shared" si="4"/>
        <v>13</v>
      </c>
      <c r="B19" s="35" t="str">
        <f>'Billing Detail'!B148</f>
        <v>Net Metering</v>
      </c>
      <c r="C19" s="11">
        <f>'Billing Detail'!C148</f>
        <v>41</v>
      </c>
      <c r="D19" s="36">
        <f>'Billing Detail'!G151</f>
        <v>67364.449919999999</v>
      </c>
      <c r="E19" s="36">
        <f>'Billing Detail'!I151</f>
        <v>66085.680080000006</v>
      </c>
      <c r="F19" s="34">
        <f t="shared" si="0"/>
        <v>6.9022309934083613E-4</v>
      </c>
      <c r="G19" s="106">
        <f t="shared" si="5"/>
        <v>66085.680080000006</v>
      </c>
      <c r="H19" s="107">
        <f t="shared" si="1"/>
        <v>6.9022309934083613E-4</v>
      </c>
      <c r="I19" s="108">
        <f t="shared" si="2"/>
        <v>2812.65</v>
      </c>
      <c r="J19" s="36">
        <f>'Billing Detail'!M151</f>
        <v>68899.147160000008</v>
      </c>
      <c r="K19" s="34">
        <f t="shared" si="3"/>
        <v>6.9022853611066745E-4</v>
      </c>
      <c r="L19" s="36">
        <f>'Billing Detail'!N151</f>
        <v>2813.467080000004</v>
      </c>
      <c r="M19" s="34">
        <f t="shared" si="11"/>
        <v>4.2573021516827278E-2</v>
      </c>
      <c r="N19" s="34">
        <f>'Billing Detail'!O157</f>
        <v>3.9486752985455793E-2</v>
      </c>
      <c r="O19" s="38">
        <f t="shared" si="12"/>
        <v>0.81708000000799075</v>
      </c>
      <c r="Q19" s="2"/>
      <c r="R19" s="2"/>
      <c r="S19" s="2"/>
      <c r="T19" s="2"/>
      <c r="U19" s="2"/>
      <c r="V19" s="2"/>
    </row>
    <row r="20" spans="1:22" s="35" customFormat="1" x14ac:dyDescent="0.25">
      <c r="A20" s="3">
        <f t="shared" si="4"/>
        <v>14</v>
      </c>
      <c r="B20" s="35" t="str">
        <f>'Billing Detail'!B160</f>
        <v>Net Metering LLP-1 Large Power</v>
      </c>
      <c r="C20" s="11">
        <f>'Billing Detail'!C160</f>
        <v>43</v>
      </c>
      <c r="D20" s="36">
        <f>'Billing Detail'!G164</f>
        <v>124527.9624</v>
      </c>
      <c r="E20" s="36">
        <f>'Billing Detail'!I164</f>
        <v>122087.05200000001</v>
      </c>
      <c r="F20" s="34">
        <f t="shared" si="0"/>
        <v>1.2751219828382801E-3</v>
      </c>
      <c r="G20" s="106">
        <f t="shared" si="5"/>
        <v>122087.05200000001</v>
      </c>
      <c r="H20" s="107">
        <f t="shared" si="1"/>
        <v>1.2751219828382801E-3</v>
      </c>
      <c r="I20" s="108">
        <f t="shared" si="2"/>
        <v>5196.1000000000004</v>
      </c>
      <c r="J20" s="36">
        <f>'Billing Detail'!M164</f>
        <v>127301.2056</v>
      </c>
      <c r="K20" s="34">
        <f t="shared" si="3"/>
        <v>1.2752977127911823E-3</v>
      </c>
      <c r="L20" s="36">
        <f>'Billing Detail'!N164</f>
        <v>5214.1535999999942</v>
      </c>
      <c r="M20" s="34">
        <f t="shared" si="11"/>
        <v>4.2708489676693918E-2</v>
      </c>
      <c r="N20" s="34">
        <f>'Billing Detail'!O170</f>
        <v>3.9255234824221122E-2</v>
      </c>
      <c r="O20" s="38">
        <f t="shared" si="12"/>
        <v>18.053599999984726</v>
      </c>
      <c r="Q20" s="2"/>
      <c r="R20" s="2"/>
      <c r="S20" s="2"/>
      <c r="T20" s="2"/>
      <c r="U20" s="2"/>
      <c r="V20" s="2"/>
    </row>
    <row r="21" spans="1:22" s="35" customFormat="1" x14ac:dyDescent="0.25">
      <c r="A21" s="3">
        <f t="shared" si="4"/>
        <v>15</v>
      </c>
      <c r="B21" s="35" t="str">
        <f>'Billing Detail'!B173</f>
        <v>Prepaid Metering</v>
      </c>
      <c r="C21" s="11">
        <f>'Billing Detail'!C173</f>
        <v>51</v>
      </c>
      <c r="D21" s="36">
        <f>'Billing Detail'!G176</f>
        <v>2074165.4824000001</v>
      </c>
      <c r="E21" s="36">
        <f>'Billing Detail'!I176</f>
        <v>2035120.0326</v>
      </c>
      <c r="F21" s="34">
        <f t="shared" si="0"/>
        <v>2.1255540606245592E-2</v>
      </c>
      <c r="G21" s="106">
        <f t="shared" si="5"/>
        <v>2035120.0326</v>
      </c>
      <c r="H21" s="107">
        <f t="shared" si="1"/>
        <v>2.1255540606245592E-2</v>
      </c>
      <c r="I21" s="108">
        <f t="shared" si="2"/>
        <v>86615.99</v>
      </c>
      <c r="J21" s="36">
        <f>'Billing Detail'!M176</f>
        <v>2121768.3877000003</v>
      </c>
      <c r="K21" s="34">
        <f t="shared" si="3"/>
        <v>2.1255779622455083E-2</v>
      </c>
      <c r="L21" s="36">
        <f>'Billing Detail'!N176</f>
        <v>86648.355100000219</v>
      </c>
      <c r="M21" s="34">
        <f t="shared" si="11"/>
        <v>4.2576532937618046E-2</v>
      </c>
      <c r="N21" s="34">
        <f>'Billing Detail'!O182</f>
        <v>3.905712824277318E-2</v>
      </c>
      <c r="O21" s="38">
        <f t="shared" si="12"/>
        <v>32.365100000286475</v>
      </c>
      <c r="Q21" s="2"/>
      <c r="R21" s="2"/>
      <c r="S21" s="2"/>
      <c r="T21" s="2"/>
      <c r="U21" s="2"/>
      <c r="V21" s="2"/>
    </row>
    <row r="22" spans="1:22" s="35" customFormat="1" x14ac:dyDescent="0.25">
      <c r="A22" s="3">
        <f t="shared" si="4"/>
        <v>16</v>
      </c>
      <c r="B22" s="35" t="str">
        <f>'Billing Detail'!B185</f>
        <v>Street Lighting Service OL &amp; LED</v>
      </c>
      <c r="C22" s="11">
        <f>'Billing Detail'!C185</f>
        <v>6</v>
      </c>
      <c r="D22" s="36">
        <f>'Billing Detail'!G201</f>
        <v>884266.37999999989</v>
      </c>
      <c r="E22" s="36">
        <f>'Billing Detail'!I201</f>
        <v>874653.12</v>
      </c>
      <c r="F22" s="34">
        <f t="shared" si="0"/>
        <v>9.1351982245429925E-3</v>
      </c>
      <c r="G22" s="106">
        <f t="shared" si="5"/>
        <v>874653.12</v>
      </c>
      <c r="H22" s="107">
        <f t="shared" si="1"/>
        <v>9.1351982245429925E-3</v>
      </c>
      <c r="I22" s="108">
        <f t="shared" si="2"/>
        <v>37225.79</v>
      </c>
      <c r="J22" s="36">
        <f>'Billing Detail'!M201</f>
        <v>912044.62</v>
      </c>
      <c r="K22" s="34">
        <f t="shared" si="3"/>
        <v>9.136821700685473E-3</v>
      </c>
      <c r="L22" s="36">
        <f t="shared" ref="L22:L23" si="13">J22-E22</f>
        <v>37391.5</v>
      </c>
      <c r="M22" s="34">
        <f t="shared" si="6"/>
        <v>4.2750090458718082E-2</v>
      </c>
      <c r="N22" s="34">
        <f>'Billing Detail'!O207</f>
        <v>4.0683231523432659E-2</v>
      </c>
      <c r="O22" s="38">
        <f t="shared" si="7"/>
        <v>165.70999999996275</v>
      </c>
      <c r="Q22" s="2"/>
      <c r="R22" s="2"/>
      <c r="S22" s="2"/>
      <c r="T22" s="2"/>
      <c r="U22" s="2"/>
      <c r="V22" s="2"/>
    </row>
    <row r="23" spans="1:22" s="35" customFormat="1" ht="16.2" customHeight="1" x14ac:dyDescent="0.25">
      <c r="A23" s="3">
        <f t="shared" si="4"/>
        <v>17</v>
      </c>
      <c r="B23" s="39" t="s">
        <v>44</v>
      </c>
      <c r="C23" s="70"/>
      <c r="D23" s="40">
        <f>SUM(D8:D22)</f>
        <v>97727861.113879994</v>
      </c>
      <c r="E23" s="40">
        <f>SUM(E8:E22)</f>
        <v>95745390.357280001</v>
      </c>
      <c r="F23" s="41">
        <f t="shared" si="0"/>
        <v>1</v>
      </c>
      <c r="G23" s="40">
        <f>SUM(G8:G22)</f>
        <v>95745390.357280001</v>
      </c>
      <c r="H23" s="41">
        <v>1</v>
      </c>
      <c r="I23" s="40">
        <f>SUM(I8:I22)</f>
        <v>4074984.0100000002</v>
      </c>
      <c r="J23" s="40">
        <f>SUM(J8:J22)</f>
        <v>99820774.649851769</v>
      </c>
      <c r="K23" s="41">
        <f t="shared" si="3"/>
        <v>1</v>
      </c>
      <c r="L23" s="40">
        <f t="shared" si="13"/>
        <v>4075384.2925717682</v>
      </c>
      <c r="M23" s="41">
        <f t="shared" ref="M23" si="14">L23/E23</f>
        <v>4.2564809411337855E-2</v>
      </c>
      <c r="N23" s="41"/>
      <c r="O23" s="42">
        <f t="shared" si="7"/>
        <v>400.28257176280022</v>
      </c>
      <c r="Q23" s="2"/>
      <c r="R23" s="2"/>
      <c r="S23" s="2"/>
      <c r="T23" s="2"/>
      <c r="U23" s="2"/>
      <c r="V23" s="2"/>
    </row>
    <row r="24" spans="1:22" s="35" customFormat="1" ht="16.2" customHeight="1" x14ac:dyDescent="0.25">
      <c r="A24" s="3">
        <f t="shared" si="4"/>
        <v>18</v>
      </c>
      <c r="B24" s="43"/>
      <c r="C24" s="71"/>
      <c r="D24" s="44"/>
      <c r="E24" s="44"/>
      <c r="F24" s="45"/>
      <c r="G24" s="44"/>
      <c r="H24" s="45"/>
      <c r="I24" s="44"/>
      <c r="J24" s="44"/>
      <c r="K24" s="45"/>
      <c r="L24" s="44"/>
      <c r="M24" s="45"/>
      <c r="N24" s="45"/>
      <c r="O24" s="46"/>
      <c r="Q24" s="2"/>
      <c r="R24" s="2"/>
      <c r="S24" s="2"/>
      <c r="T24" s="2"/>
      <c r="U24" s="2"/>
      <c r="V24" s="2"/>
    </row>
    <row r="25" spans="1:22" s="35" customFormat="1" ht="16.2" customHeight="1" x14ac:dyDescent="0.25">
      <c r="A25" s="3">
        <f t="shared" si="4"/>
        <v>19</v>
      </c>
      <c r="B25" s="47" t="s">
        <v>43</v>
      </c>
      <c r="C25" s="72"/>
      <c r="D25" s="48">
        <f>D23</f>
        <v>97727861.113879994</v>
      </c>
      <c r="E25" s="48">
        <f t="shared" ref="E25:O25" si="15">E23</f>
        <v>95745390.357280001</v>
      </c>
      <c r="F25" s="94">
        <f t="shared" si="15"/>
        <v>1</v>
      </c>
      <c r="G25" s="48">
        <f t="shared" si="15"/>
        <v>95745390.357280001</v>
      </c>
      <c r="H25" s="94">
        <f t="shared" si="15"/>
        <v>1</v>
      </c>
      <c r="I25" s="48">
        <f t="shared" si="15"/>
        <v>4074984.0100000002</v>
      </c>
      <c r="J25" s="48">
        <f t="shared" si="15"/>
        <v>99820774.649851769</v>
      </c>
      <c r="K25" s="94">
        <f t="shared" si="15"/>
        <v>1</v>
      </c>
      <c r="L25" s="48">
        <f t="shared" si="15"/>
        <v>4075384.2925717682</v>
      </c>
      <c r="M25" s="94">
        <f t="shared" si="15"/>
        <v>4.2564809411337855E-2</v>
      </c>
      <c r="N25" s="48"/>
      <c r="O25" s="48">
        <f t="shared" si="15"/>
        <v>400.28257176280022</v>
      </c>
    </row>
    <row r="26" spans="1:22" s="35" customFormat="1" ht="12.6" customHeight="1" x14ac:dyDescent="0.25">
      <c r="A26" s="3">
        <f t="shared" si="4"/>
        <v>20</v>
      </c>
      <c r="C26" s="11"/>
      <c r="S26" s="36"/>
    </row>
    <row r="27" spans="1:22" s="35" customFormat="1" x14ac:dyDescent="0.25">
      <c r="A27" s="3">
        <f t="shared" si="4"/>
        <v>21</v>
      </c>
      <c r="B27" s="31" t="s">
        <v>7</v>
      </c>
      <c r="C27" s="69"/>
      <c r="D27" s="31"/>
    </row>
    <row r="28" spans="1:22" s="35" customFormat="1" x14ac:dyDescent="0.25">
      <c r="A28" s="3">
        <f t="shared" si="4"/>
        <v>22</v>
      </c>
      <c r="B28" s="35" t="str">
        <f>'Billing Detail'!D11</f>
        <v xml:space="preserve">    FAC</v>
      </c>
      <c r="C28" s="11"/>
      <c r="D28" s="36">
        <f>'Billing Detail'!G212</f>
        <v>-4869923.3099999996</v>
      </c>
      <c r="E28" s="36">
        <f>'Billing Detail'!I212</f>
        <v>-2949129.3475951198</v>
      </c>
      <c r="F28" s="49"/>
      <c r="G28" s="50"/>
      <c r="H28" s="50"/>
      <c r="I28" s="50"/>
      <c r="J28" s="36">
        <f>'Billing Detail'!M212</f>
        <v>-2949129.3475951198</v>
      </c>
      <c r="K28" s="51"/>
      <c r="L28" s="51"/>
      <c r="M28" s="50"/>
      <c r="N28" s="50"/>
    </row>
    <row r="29" spans="1:22" s="35" customFormat="1" x14ac:dyDescent="0.25">
      <c r="A29" s="3">
        <f t="shared" si="4"/>
        <v>23</v>
      </c>
      <c r="B29" s="35" t="str">
        <f>'Billing Detail'!D12</f>
        <v xml:space="preserve">    ES</v>
      </c>
      <c r="C29" s="11"/>
      <c r="D29" s="36">
        <f>'Billing Detail'!G213</f>
        <v>11371779.790000001</v>
      </c>
      <c r="E29" s="36">
        <f>'Billing Detail'!I213</f>
        <v>11366118.060000001</v>
      </c>
      <c r="F29" s="50"/>
      <c r="G29" s="50"/>
      <c r="H29" s="50"/>
      <c r="I29" s="50"/>
      <c r="J29" s="36">
        <f>'Billing Detail'!M213</f>
        <v>11366118.060000001</v>
      </c>
      <c r="K29" s="51"/>
      <c r="L29" s="51"/>
      <c r="M29" s="50"/>
      <c r="N29" s="50"/>
    </row>
    <row r="30" spans="1:22" s="35" customFormat="1" x14ac:dyDescent="0.25">
      <c r="A30" s="3">
        <f t="shared" si="4"/>
        <v>24</v>
      </c>
      <c r="B30" s="35" t="str">
        <f>'Billing Detail'!D13</f>
        <v xml:space="preserve">    Misc Adj</v>
      </c>
      <c r="C30" s="11"/>
      <c r="D30" s="36">
        <f>'Billing Detail'!G214</f>
        <v>0</v>
      </c>
      <c r="E30" s="36">
        <f>'Billing Detail'!I214</f>
        <v>0</v>
      </c>
      <c r="F30" s="50"/>
      <c r="G30" s="50"/>
      <c r="H30" s="50"/>
      <c r="I30" s="50"/>
      <c r="J30" s="36">
        <f>'Billing Detail'!M214</f>
        <v>0</v>
      </c>
      <c r="K30" s="51"/>
      <c r="L30" s="51"/>
      <c r="M30" s="50"/>
      <c r="N30" s="50"/>
    </row>
    <row r="31" spans="1:22" s="35" customFormat="1" x14ac:dyDescent="0.25">
      <c r="A31" s="3">
        <f t="shared" si="4"/>
        <v>25</v>
      </c>
      <c r="B31" s="35" t="str">
        <f>'Billing Detail'!D14</f>
        <v xml:space="preserve">    Other</v>
      </c>
      <c r="C31" s="11"/>
      <c r="D31" s="36">
        <f>'Billing Detail'!G215</f>
        <v>0</v>
      </c>
      <c r="E31" s="36">
        <f>'Billing Detail'!I215</f>
        <v>0</v>
      </c>
      <c r="F31" s="50"/>
      <c r="G31" s="50"/>
      <c r="H31" s="50"/>
      <c r="I31" s="50"/>
      <c r="J31" s="36">
        <f>'Billing Detail'!M215</f>
        <v>0</v>
      </c>
      <c r="K31" s="51"/>
      <c r="L31" s="51"/>
      <c r="M31" s="50"/>
      <c r="N31" s="60"/>
    </row>
    <row r="32" spans="1:22" s="35" customFormat="1" x14ac:dyDescent="0.25">
      <c r="A32" s="3">
        <f t="shared" si="4"/>
        <v>26</v>
      </c>
      <c r="B32" s="39" t="s">
        <v>8</v>
      </c>
      <c r="C32" s="70"/>
      <c r="D32" s="40">
        <f>SUM(D28:D31)</f>
        <v>6501856.4800000014</v>
      </c>
      <c r="E32" s="40">
        <f>SUM(E28:E31)</f>
        <v>8416988.7124048807</v>
      </c>
      <c r="F32" s="52"/>
      <c r="G32" s="52"/>
      <c r="H32" s="52"/>
      <c r="I32" s="52"/>
      <c r="J32" s="40">
        <f>SUM(J28:J31)</f>
        <v>8416988.7124048807</v>
      </c>
      <c r="K32" s="53"/>
      <c r="L32" s="53"/>
      <c r="M32" s="52"/>
      <c r="N32" s="59"/>
    </row>
    <row r="33" spans="1:14" s="35" customFormat="1" x14ac:dyDescent="0.25">
      <c r="A33" s="3">
        <f t="shared" si="4"/>
        <v>27</v>
      </c>
      <c r="C33" s="11"/>
    </row>
    <row r="34" spans="1:14" s="35" customFormat="1" ht="18" customHeight="1" thickBot="1" x14ac:dyDescent="0.3">
      <c r="A34" s="3">
        <f t="shared" si="4"/>
        <v>28</v>
      </c>
      <c r="B34" s="54" t="s">
        <v>9</v>
      </c>
      <c r="C34" s="73"/>
      <c r="D34" s="55">
        <f>D25+D32</f>
        <v>104229717.59388</v>
      </c>
      <c r="E34" s="55">
        <f>E25+E32</f>
        <v>104162379.06968488</v>
      </c>
      <c r="F34" s="56"/>
      <c r="G34" s="56"/>
      <c r="H34" s="56"/>
      <c r="I34" s="56"/>
      <c r="J34" s="55">
        <f>J25+J32</f>
        <v>108237763.36225665</v>
      </c>
      <c r="K34" s="57"/>
      <c r="L34" s="56">
        <f t="shared" ref="L34" si="16">J34-E34</f>
        <v>4075384.2925717682</v>
      </c>
      <c r="M34" s="54"/>
      <c r="N34" s="58">
        <f>L34/E34</f>
        <v>3.9125299642448895E-2</v>
      </c>
    </row>
    <row r="35" spans="1:14" s="35" customFormat="1" ht="18" customHeight="1" thickTop="1" x14ac:dyDescent="0.25">
      <c r="A35" s="3">
        <f t="shared" si="4"/>
        <v>29</v>
      </c>
      <c r="B35" s="35" t="s">
        <v>10</v>
      </c>
      <c r="C35" s="11"/>
      <c r="D35" s="37"/>
      <c r="L35" s="44">
        <f>L4</f>
        <v>4074984</v>
      </c>
    </row>
    <row r="36" spans="1:14" s="35" customFormat="1" ht="15" customHeight="1" x14ac:dyDescent="0.25">
      <c r="A36" s="3">
        <f t="shared" si="4"/>
        <v>30</v>
      </c>
      <c r="B36" s="39" t="s">
        <v>39</v>
      </c>
      <c r="C36" s="70"/>
      <c r="D36" s="40"/>
      <c r="E36" s="39"/>
      <c r="F36" s="39"/>
      <c r="G36" s="39"/>
      <c r="H36" s="39"/>
      <c r="I36" s="39"/>
      <c r="J36" s="39"/>
      <c r="K36" s="39"/>
      <c r="L36" s="40">
        <f>L34-L35</f>
        <v>400.29257176816463</v>
      </c>
    </row>
    <row r="37" spans="1:14" s="35" customFormat="1" ht="15" customHeight="1" x14ac:dyDescent="0.25">
      <c r="A37" s="3">
        <f t="shared" si="4"/>
        <v>31</v>
      </c>
      <c r="B37" s="35" t="s">
        <v>39</v>
      </c>
      <c r="C37" s="11"/>
      <c r="D37" s="34"/>
      <c r="L37" s="34">
        <f>L36/L35</f>
        <v>9.8231691650363449E-5</v>
      </c>
    </row>
    <row r="38" spans="1:14" x14ac:dyDescent="0.25">
      <c r="A38" s="3"/>
    </row>
  </sheetData>
  <printOptions horizontalCentered="1"/>
  <pageMargins left="0.7" right="0.7" top="0.75" bottom="0.75" header="0.3" footer="0.3"/>
  <pageSetup scale="76" orientation="landscape" r:id="rId1"/>
  <headerFooter>
    <oddHeader>&amp;R&amp;"Arial,Bold"&amp;10Exhibit 3 
Page &amp;P of &amp;N</oddHeader>
  </headerFooter>
  <ignoredErrors>
    <ignoredError sqref="J23 F23 J15:J16 J8:J11 G22 G8: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279"/>
  <sheetViews>
    <sheetView view="pageBreakPreview" zoomScale="75" zoomScaleNormal="75" zoomScaleSheetLayoutView="75" workbookViewId="0">
      <pane xSplit="4" ySplit="5" topLeftCell="E258" activePane="bottomRight" state="frozen"/>
      <selection activeCell="H30" sqref="H30"/>
      <selection pane="topRight" activeCell="H30" sqref="H30"/>
      <selection pane="bottomLeft" activeCell="H30" sqref="H30"/>
      <selection pane="bottomRight" activeCell="P23" sqref="P23"/>
    </sheetView>
  </sheetViews>
  <sheetFormatPr defaultColWidth="8.88671875" defaultRowHeight="13.2" x14ac:dyDescent="0.25"/>
  <cols>
    <col min="1" max="1" width="7.44140625" style="5" customWidth="1"/>
    <col min="2" max="2" width="33" style="2" customWidth="1"/>
    <col min="3" max="3" width="6.6640625" style="11" customWidth="1"/>
    <col min="4" max="4" width="30.21875" style="109" customWidth="1"/>
    <col min="5" max="5" width="17.44140625" style="109" customWidth="1"/>
    <col min="6" max="6" width="26.5546875" style="109" hidden="1" customWidth="1"/>
    <col min="7" max="7" width="16.6640625" style="109" hidden="1" customWidth="1"/>
    <col min="8" max="8" width="13.44140625" style="109" bestFit="1" customWidth="1"/>
    <col min="9" max="9" width="15.33203125" style="109" bestFit="1" customWidth="1"/>
    <col min="10" max="10" width="8.5546875" style="109" bestFit="1" customWidth="1"/>
    <col min="11" max="11" width="12.6640625" style="109" bestFit="1" customWidth="1"/>
    <col min="12" max="12" width="9.88671875" style="109" bestFit="1" customWidth="1"/>
    <col min="13" max="13" width="13.88671875" style="109" bestFit="1" customWidth="1"/>
    <col min="14" max="14" width="11.6640625" style="109" bestFit="1" customWidth="1"/>
    <col min="15" max="15" width="6.44140625" style="109" bestFit="1" customWidth="1"/>
    <col min="16" max="16" width="9.88671875" style="109" bestFit="1" customWidth="1"/>
    <col min="17" max="17" width="9.44140625" style="109" bestFit="1" customWidth="1"/>
    <col min="18" max="18" width="11.88671875" style="109" customWidth="1"/>
    <col min="19" max="19" width="8.88671875" style="2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0" x14ac:dyDescent="0.25">
      <c r="A1" s="26" t="str">
        <f>Summary!A1</f>
        <v>SALT RIVER ELECTRIC COOPERATIVE</v>
      </c>
      <c r="F1" s="110"/>
      <c r="G1" s="110"/>
    </row>
    <row r="2" spans="1:20" ht="14.4" customHeight="1" x14ac:dyDescent="0.25">
      <c r="A2" s="26" t="str">
        <f>Summary!A2</f>
        <v>Billing Analysis for Pass-Through Rate Increase</v>
      </c>
      <c r="F2" s="110"/>
      <c r="G2" s="111"/>
      <c r="H2" s="97"/>
      <c r="I2" s="112"/>
      <c r="P2" s="113"/>
      <c r="S2" s="22"/>
      <c r="T2" s="22"/>
    </row>
    <row r="3" spans="1:20" x14ac:dyDescent="0.25">
      <c r="S3" s="22"/>
      <c r="T3" s="22"/>
    </row>
    <row r="4" spans="1:20" x14ac:dyDescent="0.25">
      <c r="S4" s="22"/>
      <c r="T4" s="22"/>
    </row>
    <row r="5" spans="1:20" ht="38.4" customHeight="1" x14ac:dyDescent="0.25">
      <c r="A5" s="13" t="s">
        <v>1</v>
      </c>
      <c r="B5" s="13" t="s">
        <v>12</v>
      </c>
      <c r="C5" s="7" t="s">
        <v>11</v>
      </c>
      <c r="D5" s="114" t="s">
        <v>13</v>
      </c>
      <c r="E5" s="115" t="s">
        <v>14</v>
      </c>
      <c r="F5" s="115" t="s">
        <v>20</v>
      </c>
      <c r="G5" s="115" t="s">
        <v>25</v>
      </c>
      <c r="H5" s="115" t="s">
        <v>26</v>
      </c>
      <c r="I5" s="115" t="s">
        <v>27</v>
      </c>
      <c r="J5" s="115" t="s">
        <v>52</v>
      </c>
      <c r="K5" s="115" t="s">
        <v>10</v>
      </c>
      <c r="L5" s="115" t="s">
        <v>23</v>
      </c>
      <c r="M5" s="115" t="s">
        <v>4</v>
      </c>
      <c r="N5" s="115" t="s">
        <v>15</v>
      </c>
      <c r="O5" s="116" t="s">
        <v>16</v>
      </c>
      <c r="P5" s="115" t="s">
        <v>24</v>
      </c>
      <c r="Q5" s="115" t="s">
        <v>28</v>
      </c>
      <c r="R5" s="115" t="s">
        <v>40</v>
      </c>
      <c r="T5" s="9" t="s">
        <v>36</v>
      </c>
    </row>
    <row r="6" spans="1:20" ht="30.6" customHeight="1" thickBot="1" x14ac:dyDescent="0.3">
      <c r="A6" s="27"/>
      <c r="B6" s="17"/>
      <c r="C6" s="18"/>
      <c r="D6" s="117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20"/>
      <c r="P6" s="119"/>
      <c r="Q6" s="119"/>
      <c r="R6" s="119"/>
    </row>
    <row r="7" spans="1:20" x14ac:dyDescent="0.25">
      <c r="A7" s="28">
        <v>1</v>
      </c>
      <c r="B7" s="19" t="s">
        <v>79</v>
      </c>
      <c r="C7" s="20">
        <v>1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1:20" x14ac:dyDescent="0.25">
      <c r="A8" s="28">
        <f>A7+1</f>
        <v>2</v>
      </c>
      <c r="C8" s="2"/>
      <c r="D8" s="109" t="s">
        <v>17</v>
      </c>
      <c r="E8" s="122">
        <v>571526</v>
      </c>
      <c r="F8" s="110">
        <f>H8</f>
        <v>8.84</v>
      </c>
      <c r="G8" s="123">
        <f>F8*E8</f>
        <v>5052289.84</v>
      </c>
      <c r="H8" s="110">
        <v>8.84</v>
      </c>
      <c r="I8" s="123">
        <f>H8*E8</f>
        <v>5052289.84</v>
      </c>
      <c r="J8" s="124">
        <f>I8/I10</f>
        <v>8.383446491629884E-2</v>
      </c>
      <c r="K8" s="124"/>
      <c r="L8" s="110">
        <f>ROUND(H8*S10,2)</f>
        <v>9.2200000000000006</v>
      </c>
      <c r="M8" s="123">
        <f>L8*E8</f>
        <v>5269469.7200000007</v>
      </c>
      <c r="N8" s="123">
        <f t="shared" ref="N8:N13" si="0">M8-I8</f>
        <v>217179.88000000082</v>
      </c>
      <c r="O8" s="124">
        <f>IF(I8=0,0,N8/I8)</f>
        <v>4.2986425339366682E-2</v>
      </c>
      <c r="P8" s="124">
        <f>M8/M10</f>
        <v>8.3867419689607814E-2</v>
      </c>
      <c r="Q8" s="125">
        <f>P8-J8</f>
        <v>3.2954773308974117E-5</v>
      </c>
      <c r="R8" s="125"/>
      <c r="T8" s="4">
        <f>L8/H8-1</f>
        <v>4.2986425339366585E-2</v>
      </c>
    </row>
    <row r="9" spans="1:20" x14ac:dyDescent="0.25">
      <c r="A9" s="28">
        <f t="shared" ref="A9:A72" si="1">A8+1</f>
        <v>3</v>
      </c>
      <c r="B9" s="10"/>
      <c r="D9" s="109" t="s">
        <v>50</v>
      </c>
      <c r="E9" s="122">
        <v>731682739</v>
      </c>
      <c r="F9" s="111">
        <f>H9+0.00158</f>
        <v>7.7039999999999997E-2</v>
      </c>
      <c r="G9" s="123">
        <f t="shared" ref="G9" si="2">F9*E9</f>
        <v>56368838.212559998</v>
      </c>
      <c r="H9" s="111">
        <v>7.5459999999999999E-2</v>
      </c>
      <c r="I9" s="123">
        <f t="shared" ref="I9" si="3">H9*E9</f>
        <v>55212779.48494</v>
      </c>
      <c r="J9" s="124">
        <f>I9/I10</f>
        <v>0.91616553508370124</v>
      </c>
      <c r="K9" s="124"/>
      <c r="L9" s="126">
        <f>ROUND(H9*S10,5)</f>
        <v>7.8670000000000004E-2</v>
      </c>
      <c r="M9" s="123">
        <f t="shared" ref="M9" si="4">L9*E9</f>
        <v>57561481.077130005</v>
      </c>
      <c r="N9" s="123">
        <f t="shared" si="0"/>
        <v>2348701.5921900049</v>
      </c>
      <c r="O9" s="124">
        <f t="shared" ref="O9" si="5">IF(I9=0,0,N9/I9)</f>
        <v>4.2539093559501813E-2</v>
      </c>
      <c r="P9" s="124">
        <f>M9/M10</f>
        <v>0.91613258031039224</v>
      </c>
      <c r="Q9" s="125">
        <f t="shared" ref="Q9:Q10" si="6">P9-J9</f>
        <v>-3.2954773309001872E-5</v>
      </c>
      <c r="R9" s="125"/>
      <c r="T9" s="4">
        <f>L9/H9-1</f>
        <v>4.2539093559501806E-2</v>
      </c>
    </row>
    <row r="10" spans="1:20" s="5" customFormat="1" ht="20.399999999999999" customHeight="1" x14ac:dyDescent="0.3">
      <c r="A10" s="28">
        <f t="shared" si="1"/>
        <v>4</v>
      </c>
      <c r="C10" s="12"/>
      <c r="D10" s="127" t="s">
        <v>6</v>
      </c>
      <c r="E10" s="127"/>
      <c r="F10" s="127"/>
      <c r="G10" s="14">
        <f>SUM(G8:G9)</f>
        <v>61421128.052560002</v>
      </c>
      <c r="H10" s="127"/>
      <c r="I10" s="14">
        <f>SUM(I8:I9)</f>
        <v>60265069.324939996</v>
      </c>
      <c r="J10" s="128">
        <f>SUM(J8:J9)</f>
        <v>1</v>
      </c>
      <c r="K10" s="129">
        <f>I10+Summary!I8</f>
        <v>62829988.554939993</v>
      </c>
      <c r="L10" s="127"/>
      <c r="M10" s="14">
        <f>SUM(M8:M9)</f>
        <v>62830950.797130004</v>
      </c>
      <c r="N10" s="14">
        <f>SUM(N8:N9)</f>
        <v>2565881.4721900057</v>
      </c>
      <c r="O10" s="128">
        <f t="shared" ref="O10" si="7">N10/I10</f>
        <v>4.2576595379906844E-2</v>
      </c>
      <c r="P10" s="128">
        <f>SUM(P8:P9)</f>
        <v>1</v>
      </c>
      <c r="Q10" s="130">
        <f t="shared" si="6"/>
        <v>0</v>
      </c>
      <c r="R10" s="131">
        <f>M10-K10</f>
        <v>962.24219001084566</v>
      </c>
      <c r="S10" s="5">
        <f>K10/I10</f>
        <v>1.0425606285486928</v>
      </c>
    </row>
    <row r="11" spans="1:20" x14ac:dyDescent="0.25">
      <c r="A11" s="28">
        <f t="shared" si="1"/>
        <v>5</v>
      </c>
      <c r="D11" s="109" t="s">
        <v>29</v>
      </c>
      <c r="G11" s="123">
        <v>-2908287.58</v>
      </c>
      <c r="I11" s="132">
        <f>G11+(0.00158*E9)</f>
        <v>-1752228.8523800001</v>
      </c>
      <c r="K11" s="132">
        <f>K10-I10</f>
        <v>2564919.2299999967</v>
      </c>
      <c r="M11" s="123">
        <f>I11</f>
        <v>-1752228.8523800001</v>
      </c>
      <c r="N11" s="123">
        <f t="shared" si="0"/>
        <v>0</v>
      </c>
      <c r="O11" s="110">
        <v>0</v>
      </c>
      <c r="R11" s="133"/>
    </row>
    <row r="12" spans="1:20" x14ac:dyDescent="0.25">
      <c r="A12" s="28">
        <f t="shared" si="1"/>
        <v>6</v>
      </c>
      <c r="D12" s="109" t="s">
        <v>30</v>
      </c>
      <c r="G12" s="123">
        <v>7277823.6100000003</v>
      </c>
      <c r="I12" s="132">
        <f>G12</f>
        <v>7277823.6100000003</v>
      </c>
      <c r="M12" s="123">
        <f t="shared" ref="M12:M14" si="8">I12</f>
        <v>7277823.6100000003</v>
      </c>
      <c r="N12" s="123">
        <f t="shared" si="0"/>
        <v>0</v>
      </c>
      <c r="O12" s="110">
        <v>0</v>
      </c>
    </row>
    <row r="13" spans="1:20" x14ac:dyDescent="0.25">
      <c r="A13" s="28">
        <f t="shared" si="1"/>
        <v>7</v>
      </c>
      <c r="D13" s="109" t="s">
        <v>32</v>
      </c>
      <c r="G13" s="123"/>
      <c r="I13" s="132">
        <f>G13</f>
        <v>0</v>
      </c>
      <c r="M13" s="123">
        <f t="shared" si="8"/>
        <v>0</v>
      </c>
      <c r="N13" s="123">
        <f t="shared" si="0"/>
        <v>0</v>
      </c>
      <c r="O13" s="110">
        <v>0</v>
      </c>
    </row>
    <row r="14" spans="1:20" x14ac:dyDescent="0.25">
      <c r="A14" s="28">
        <f t="shared" si="1"/>
        <v>8</v>
      </c>
      <c r="D14" s="109" t="s">
        <v>41</v>
      </c>
      <c r="G14" s="123">
        <v>0</v>
      </c>
      <c r="I14" s="132">
        <f>G14</f>
        <v>0</v>
      </c>
      <c r="M14" s="123">
        <f t="shared" si="8"/>
        <v>0</v>
      </c>
      <c r="N14" s="123"/>
      <c r="O14" s="110">
        <v>0</v>
      </c>
    </row>
    <row r="15" spans="1:20" x14ac:dyDescent="0.25">
      <c r="A15" s="28">
        <f t="shared" si="1"/>
        <v>9</v>
      </c>
      <c r="D15" s="134" t="s">
        <v>8</v>
      </c>
      <c r="E15" s="134"/>
      <c r="F15" s="134"/>
      <c r="G15" s="135">
        <f>SUM(G11:G14)</f>
        <v>4369536.03</v>
      </c>
      <c r="H15" s="134"/>
      <c r="I15" s="135">
        <f>SUM(I11:I14)</f>
        <v>5525594.7576200003</v>
      </c>
      <c r="J15" s="134"/>
      <c r="K15" s="134"/>
      <c r="L15" s="134"/>
      <c r="M15" s="135">
        <f>SUM(M11:M14)</f>
        <v>5525594.7576200003</v>
      </c>
      <c r="N15" s="135">
        <f>M15-I15</f>
        <v>0</v>
      </c>
      <c r="O15" s="136">
        <v>0</v>
      </c>
    </row>
    <row r="16" spans="1:20" s="5" customFormat="1" ht="26.4" customHeight="1" thickBot="1" x14ac:dyDescent="0.3">
      <c r="A16" s="28">
        <f t="shared" si="1"/>
        <v>10</v>
      </c>
      <c r="C16" s="12"/>
      <c r="D16" s="137" t="s">
        <v>19</v>
      </c>
      <c r="E16" s="137"/>
      <c r="F16" s="137"/>
      <c r="G16" s="138">
        <f>G10+G15</f>
        <v>65790664.082560003</v>
      </c>
      <c r="H16" s="137"/>
      <c r="I16" s="139">
        <f>I15+I10</f>
        <v>65790664.082559995</v>
      </c>
      <c r="J16" s="137"/>
      <c r="K16" s="137"/>
      <c r="L16" s="137"/>
      <c r="M16" s="138">
        <f>M15+M10</f>
        <v>68356545.55475001</v>
      </c>
      <c r="N16" s="138">
        <f>M16-I16</f>
        <v>2565881.472190015</v>
      </c>
      <c r="O16" s="140">
        <f>N16/I16</f>
        <v>3.9000692696612972E-2</v>
      </c>
      <c r="P16" s="109"/>
      <c r="Q16" s="109"/>
      <c r="R16" s="109"/>
    </row>
    <row r="17" spans="1:23" ht="13.8" thickTop="1" x14ac:dyDescent="0.25">
      <c r="A17" s="28">
        <f t="shared" si="1"/>
        <v>11</v>
      </c>
      <c r="D17" s="109" t="s">
        <v>18</v>
      </c>
      <c r="E17" s="110">
        <f>E9/E8</f>
        <v>1280.2265146292557</v>
      </c>
      <c r="G17" s="141">
        <f>G16/E8</f>
        <v>115.11403520147816</v>
      </c>
      <c r="I17" s="141">
        <f>I16/E8</f>
        <v>115.11403520147815</v>
      </c>
      <c r="M17" s="141">
        <f>M16/E8</f>
        <v>119.60356231343808</v>
      </c>
      <c r="N17" s="141">
        <f>M17-I17</f>
        <v>4.48952711195993</v>
      </c>
      <c r="O17" s="124">
        <f>N17/I17</f>
        <v>3.900069269661291E-2</v>
      </c>
    </row>
    <row r="18" spans="1:23" ht="13.8" thickBot="1" x14ac:dyDescent="0.3">
      <c r="A18" s="28">
        <f t="shared" si="1"/>
        <v>12</v>
      </c>
    </row>
    <row r="19" spans="1:23" x14ac:dyDescent="0.25">
      <c r="A19" s="28">
        <f t="shared" si="1"/>
        <v>13</v>
      </c>
      <c r="B19" s="19" t="s">
        <v>80</v>
      </c>
      <c r="C19" s="20" t="s">
        <v>95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23" x14ac:dyDescent="0.25">
      <c r="A20" s="28">
        <f t="shared" si="1"/>
        <v>14</v>
      </c>
      <c r="C20" s="2"/>
      <c r="D20" s="109" t="s">
        <v>17</v>
      </c>
      <c r="E20" s="122">
        <f>3086+415</f>
        <v>3501</v>
      </c>
      <c r="F20" s="110"/>
      <c r="G20" s="123"/>
      <c r="H20" s="110"/>
      <c r="I20" s="123"/>
      <c r="J20" s="124"/>
      <c r="K20" s="124"/>
      <c r="L20" s="124"/>
      <c r="M20" s="123"/>
      <c r="N20" s="123"/>
      <c r="O20" s="124"/>
      <c r="P20" s="124"/>
      <c r="Q20" s="125"/>
      <c r="R20" s="125"/>
    </row>
    <row r="21" spans="1:23" x14ac:dyDescent="0.25">
      <c r="A21" s="28">
        <f t="shared" si="1"/>
        <v>15</v>
      </c>
      <c r="B21" s="155" t="s">
        <v>121</v>
      </c>
      <c r="D21" s="109" t="s">
        <v>50</v>
      </c>
      <c r="E21" s="122">
        <f>823455+325660</f>
        <v>1149115</v>
      </c>
      <c r="F21" s="111">
        <v>4.6219999999999997E-2</v>
      </c>
      <c r="G21" s="123">
        <f t="shared" ref="G21" si="9">F21*E21</f>
        <v>53112.095299999994</v>
      </c>
      <c r="H21" s="142"/>
      <c r="I21" s="123"/>
      <c r="J21" s="124"/>
      <c r="K21" s="124"/>
      <c r="L21" s="124"/>
      <c r="M21" s="123"/>
      <c r="N21" s="123"/>
      <c r="O21" s="124"/>
      <c r="P21" s="124"/>
      <c r="Q21" s="125"/>
      <c r="R21" s="125"/>
      <c r="T21" s="4"/>
    </row>
    <row r="22" spans="1:23" x14ac:dyDescent="0.25">
      <c r="A22" s="28">
        <f t="shared" si="1"/>
        <v>16</v>
      </c>
      <c r="B22" s="154" t="s">
        <v>122</v>
      </c>
      <c r="D22" s="109" t="s">
        <v>51</v>
      </c>
      <c r="E22" s="122">
        <v>0</v>
      </c>
      <c r="F22" s="110">
        <v>0</v>
      </c>
      <c r="G22" s="123">
        <f t="shared" ref="G22" si="10">F22*E22</f>
        <v>0</v>
      </c>
      <c r="H22" s="110"/>
      <c r="I22" s="123"/>
      <c r="J22" s="124"/>
      <c r="K22" s="124"/>
      <c r="L22" s="110"/>
      <c r="M22" s="123"/>
      <c r="N22" s="123"/>
      <c r="O22" s="124"/>
      <c r="P22" s="124"/>
      <c r="Q22" s="125"/>
      <c r="R22" s="125"/>
      <c r="T22" s="4"/>
    </row>
    <row r="23" spans="1:23" s="5" customFormat="1" ht="20.399999999999999" customHeight="1" x14ac:dyDescent="0.25">
      <c r="A23" s="28">
        <f t="shared" si="1"/>
        <v>17</v>
      </c>
      <c r="C23" s="12"/>
      <c r="D23" s="127" t="s">
        <v>6</v>
      </c>
      <c r="E23" s="127"/>
      <c r="F23" s="127"/>
      <c r="G23" s="14">
        <f>SUM(G20:G22)</f>
        <v>53112.095299999994</v>
      </c>
      <c r="H23" s="127"/>
      <c r="I23" s="14">
        <f>SUM(I20:I22)</f>
        <v>0</v>
      </c>
      <c r="J23" s="128">
        <f>SUM(J20:J22)</f>
        <v>0</v>
      </c>
      <c r="K23" s="129">
        <f>I23+Summary!I9</f>
        <v>0</v>
      </c>
      <c r="L23" s="127"/>
      <c r="M23" s="14">
        <f>SUM(M20:M22)</f>
        <v>0</v>
      </c>
      <c r="N23" s="14">
        <f>SUM(N20:N22)</f>
        <v>0</v>
      </c>
      <c r="O23" s="143" t="s">
        <v>61</v>
      </c>
      <c r="P23" s="128">
        <f>SUM(P20:P22)</f>
        <v>0</v>
      </c>
      <c r="Q23" s="130">
        <f t="shared" ref="Q23" si="11">P23-J23</f>
        <v>0</v>
      </c>
      <c r="R23" s="131">
        <f>M23-K23</f>
        <v>0</v>
      </c>
      <c r="S23" s="63">
        <v>0</v>
      </c>
      <c r="W23" s="2"/>
    </row>
    <row r="24" spans="1:23" x14ac:dyDescent="0.25">
      <c r="A24" s="28">
        <f t="shared" si="1"/>
        <v>18</v>
      </c>
      <c r="D24" s="109" t="s">
        <v>29</v>
      </c>
      <c r="G24" s="123">
        <v>-767.96</v>
      </c>
      <c r="I24" s="132">
        <v>0</v>
      </c>
      <c r="K24" s="132">
        <f>K23-I23</f>
        <v>0</v>
      </c>
      <c r="M24" s="123">
        <f>I24</f>
        <v>0</v>
      </c>
      <c r="N24" s="123">
        <f t="shared" ref="N24:N29" si="12">M24-I24</f>
        <v>0</v>
      </c>
      <c r="O24" s="110">
        <v>0</v>
      </c>
    </row>
    <row r="25" spans="1:23" x14ac:dyDescent="0.25">
      <c r="A25" s="28">
        <f t="shared" si="1"/>
        <v>19</v>
      </c>
      <c r="D25" s="109" t="s">
        <v>30</v>
      </c>
      <c r="G25" s="123">
        <f>4178.43+1483.3</f>
        <v>5661.7300000000005</v>
      </c>
      <c r="I25" s="132">
        <v>0</v>
      </c>
      <c r="M25" s="123">
        <f t="shared" ref="M25:M27" si="13">I25</f>
        <v>0</v>
      </c>
      <c r="N25" s="123">
        <f t="shared" si="12"/>
        <v>0</v>
      </c>
      <c r="O25" s="110">
        <v>0</v>
      </c>
    </row>
    <row r="26" spans="1:23" x14ac:dyDescent="0.25">
      <c r="A26" s="28">
        <f t="shared" si="1"/>
        <v>20</v>
      </c>
      <c r="D26" s="109" t="s">
        <v>32</v>
      </c>
      <c r="G26" s="123">
        <v>0</v>
      </c>
      <c r="I26" s="132">
        <f t="shared" ref="I26:I27" si="14">G26</f>
        <v>0</v>
      </c>
      <c r="M26" s="123">
        <f t="shared" si="13"/>
        <v>0</v>
      </c>
      <c r="N26" s="123">
        <f t="shared" si="12"/>
        <v>0</v>
      </c>
      <c r="O26" s="110">
        <v>0</v>
      </c>
    </row>
    <row r="27" spans="1:23" x14ac:dyDescent="0.25">
      <c r="A27" s="28">
        <f t="shared" si="1"/>
        <v>21</v>
      </c>
      <c r="D27" s="109" t="s">
        <v>41</v>
      </c>
      <c r="G27" s="123">
        <v>0</v>
      </c>
      <c r="I27" s="132">
        <f t="shared" si="14"/>
        <v>0</v>
      </c>
      <c r="M27" s="123">
        <f t="shared" si="13"/>
        <v>0</v>
      </c>
      <c r="N27" s="123"/>
      <c r="O27" s="110"/>
    </row>
    <row r="28" spans="1:23" x14ac:dyDescent="0.25">
      <c r="A28" s="28">
        <f t="shared" si="1"/>
        <v>22</v>
      </c>
      <c r="D28" s="134" t="s">
        <v>8</v>
      </c>
      <c r="E28" s="134"/>
      <c r="F28" s="134"/>
      <c r="G28" s="135">
        <f>SUM(G24:G27)</f>
        <v>4893.7700000000004</v>
      </c>
      <c r="H28" s="134"/>
      <c r="I28" s="135">
        <f>SUM(I24:I27)</f>
        <v>0</v>
      </c>
      <c r="J28" s="134"/>
      <c r="K28" s="134"/>
      <c r="L28" s="134"/>
      <c r="M28" s="135">
        <f>SUM(M24:M27)</f>
        <v>0</v>
      </c>
      <c r="N28" s="135">
        <f t="shared" si="12"/>
        <v>0</v>
      </c>
      <c r="O28" s="136">
        <f t="shared" ref="O28" si="15">N28-J28</f>
        <v>0</v>
      </c>
    </row>
    <row r="29" spans="1:23" s="5" customFormat="1" ht="26.4" customHeight="1" thickBot="1" x14ac:dyDescent="0.3">
      <c r="A29" s="28">
        <f t="shared" si="1"/>
        <v>23</v>
      </c>
      <c r="C29" s="12"/>
      <c r="D29" s="137" t="s">
        <v>19</v>
      </c>
      <c r="E29" s="137"/>
      <c r="F29" s="137"/>
      <c r="G29" s="138">
        <f>G23+G28</f>
        <v>58005.86529999999</v>
      </c>
      <c r="H29" s="137"/>
      <c r="I29" s="139">
        <f>I28+I23</f>
        <v>0</v>
      </c>
      <c r="J29" s="137"/>
      <c r="K29" s="137"/>
      <c r="L29" s="137"/>
      <c r="M29" s="138">
        <f>M28+M23</f>
        <v>0</v>
      </c>
      <c r="N29" s="138">
        <f t="shared" si="12"/>
        <v>0</v>
      </c>
      <c r="O29" s="144" t="s">
        <v>61</v>
      </c>
      <c r="P29" s="109"/>
      <c r="Q29" s="109"/>
      <c r="R29" s="109"/>
    </row>
    <row r="30" spans="1:23" ht="13.8" thickTop="1" x14ac:dyDescent="0.25">
      <c r="A30" s="28">
        <f t="shared" si="1"/>
        <v>24</v>
      </c>
      <c r="D30" s="109" t="s">
        <v>18</v>
      </c>
      <c r="E30" s="110">
        <f>E21/E20</f>
        <v>328.22479291630964</v>
      </c>
      <c r="G30" s="141">
        <f>G29/E20</f>
        <v>16.568370551271062</v>
      </c>
      <c r="I30" s="141">
        <f>I29/E20</f>
        <v>0</v>
      </c>
      <c r="M30" s="141">
        <f>M29/E20</f>
        <v>0</v>
      </c>
      <c r="N30" s="141">
        <f>M30-I30</f>
        <v>0</v>
      </c>
      <c r="O30" s="145" t="s">
        <v>61</v>
      </c>
    </row>
    <row r="31" spans="1:23" ht="13.8" thickBot="1" x14ac:dyDescent="0.3">
      <c r="A31" s="28">
        <f t="shared" si="1"/>
        <v>25</v>
      </c>
    </row>
    <row r="32" spans="1:23" x14ac:dyDescent="0.25">
      <c r="A32" s="28">
        <f t="shared" si="1"/>
        <v>26</v>
      </c>
      <c r="B32" s="19" t="s">
        <v>81</v>
      </c>
      <c r="C32" s="20">
        <v>7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1:23" x14ac:dyDescent="0.25">
      <c r="A33" s="28">
        <f t="shared" si="1"/>
        <v>27</v>
      </c>
      <c r="C33" s="2"/>
      <c r="D33" s="109" t="s">
        <v>17</v>
      </c>
      <c r="E33" s="122">
        <v>562</v>
      </c>
      <c r="F33" s="110">
        <v>0</v>
      </c>
      <c r="G33" s="123">
        <f>F33*E33</f>
        <v>0</v>
      </c>
      <c r="H33" s="110">
        <v>0</v>
      </c>
      <c r="I33" s="123">
        <f>H33*E33</f>
        <v>0</v>
      </c>
      <c r="J33" s="124">
        <f>I33/I36</f>
        <v>0</v>
      </c>
      <c r="K33" s="124"/>
      <c r="L33" s="110">
        <f>ROUND(H33*S36,2)</f>
        <v>0</v>
      </c>
      <c r="M33" s="123">
        <f>L33*E33</f>
        <v>0</v>
      </c>
      <c r="N33" s="123">
        <f>M33-I33</f>
        <v>0</v>
      </c>
      <c r="O33" s="124">
        <f>IF(I33=0,0,N33/I33)</f>
        <v>0</v>
      </c>
      <c r="P33" s="124">
        <f>M33/M$36</f>
        <v>0</v>
      </c>
      <c r="Q33" s="125">
        <f>P33-J33</f>
        <v>0</v>
      </c>
      <c r="R33" s="125"/>
      <c r="T33" s="4"/>
    </row>
    <row r="34" spans="1:23" x14ac:dyDescent="0.25">
      <c r="A34" s="28">
        <f t="shared" si="1"/>
        <v>28</v>
      </c>
      <c r="D34" s="109" t="s">
        <v>50</v>
      </c>
      <c r="E34" s="122">
        <v>64482877</v>
      </c>
      <c r="F34" s="111">
        <f>H34+0.00158</f>
        <v>5.9129999999999995E-2</v>
      </c>
      <c r="G34" s="123">
        <f t="shared" ref="G34" si="16">F34*E34</f>
        <v>3812872.5170099996</v>
      </c>
      <c r="H34" s="111">
        <v>5.7549999999999997E-2</v>
      </c>
      <c r="I34" s="123">
        <f t="shared" ref="I34" si="17">H34*E34</f>
        <v>3710989.5713499999</v>
      </c>
      <c r="J34" s="124">
        <f>I34/I36</f>
        <v>0.75720877057594205</v>
      </c>
      <c r="K34" s="124"/>
      <c r="L34" s="126">
        <f>ROUND(H34*S36,5)</f>
        <v>0.06</v>
      </c>
      <c r="M34" s="123">
        <f t="shared" ref="M34" si="18">L34*E34</f>
        <v>3868972.6199999996</v>
      </c>
      <c r="N34" s="123">
        <f t="shared" ref="N34" si="19">M34-I34</f>
        <v>157983.04864999978</v>
      </c>
      <c r="O34" s="124">
        <f t="shared" ref="O34" si="20">IF(I34=0,0,N34/I34)</f>
        <v>4.257167680278013E-2</v>
      </c>
      <c r="P34" s="124">
        <f t="shared" ref="P34:P35" si="21">M34/M$36</f>
        <v>0.75721061907803322</v>
      </c>
      <c r="Q34" s="125">
        <f t="shared" ref="Q34" si="22">P34-J34</f>
        <v>1.8485020911729322E-6</v>
      </c>
      <c r="R34" s="125"/>
      <c r="T34" s="4">
        <f>L34/H34-1</f>
        <v>4.2571676802780178E-2</v>
      </c>
    </row>
    <row r="35" spans="1:23" x14ac:dyDescent="0.25">
      <c r="A35" s="28">
        <f t="shared" si="1"/>
        <v>29</v>
      </c>
      <c r="D35" s="109" t="s">
        <v>51</v>
      </c>
      <c r="E35" s="122">
        <v>177595.636</v>
      </c>
      <c r="F35" s="110">
        <f>H35</f>
        <v>6.7</v>
      </c>
      <c r="G35" s="123">
        <f t="shared" ref="G35" si="23">F35*E35</f>
        <v>1189890.7612000001</v>
      </c>
      <c r="H35" s="110">
        <v>6.7</v>
      </c>
      <c r="I35" s="123">
        <f t="shared" ref="I35" si="24">H35*E35</f>
        <v>1189890.7612000001</v>
      </c>
      <c r="J35" s="124">
        <f>I35/I36</f>
        <v>0.24279122942405784</v>
      </c>
      <c r="K35" s="124"/>
      <c r="L35" s="110">
        <f>ROUND(H35*S36,5)</f>
        <v>6.9851599999999996</v>
      </c>
      <c r="M35" s="123">
        <f t="shared" ref="M35" si="25">L35*E35</f>
        <v>1240533.93276176</v>
      </c>
      <c r="N35" s="123">
        <f t="shared" ref="N35:N43" si="26">M35-I35</f>
        <v>50643.171561759897</v>
      </c>
      <c r="O35" s="124">
        <f t="shared" ref="O35" si="27">IF(I35=0,0,N35/I35)</f>
        <v>4.256119402985066E-2</v>
      </c>
      <c r="P35" s="124">
        <f t="shared" si="21"/>
        <v>0.24278938092196672</v>
      </c>
      <c r="Q35" s="125">
        <f t="shared" ref="Q35:Q36" si="28">P35-J35</f>
        <v>-1.848502091117421E-6</v>
      </c>
      <c r="R35" s="125"/>
      <c r="T35" s="4">
        <f>L35/H35-1</f>
        <v>4.2561194029850702E-2</v>
      </c>
    </row>
    <row r="36" spans="1:23" s="5" customFormat="1" ht="20.399999999999999" customHeight="1" x14ac:dyDescent="0.3">
      <c r="A36" s="28">
        <f t="shared" si="1"/>
        <v>30</v>
      </c>
      <c r="C36" s="12"/>
      <c r="D36" s="127" t="s">
        <v>6</v>
      </c>
      <c r="E36" s="127"/>
      <c r="F36" s="127"/>
      <c r="G36" s="14">
        <f>SUM(G33:G35)</f>
        <v>5002763.2782099992</v>
      </c>
      <c r="H36" s="127"/>
      <c r="I36" s="14">
        <f>SUM(I33:I35)</f>
        <v>4900880.3325500004</v>
      </c>
      <c r="J36" s="128">
        <f>SUM(J33:J35)</f>
        <v>0.99999999999999989</v>
      </c>
      <c r="K36" s="129">
        <f>I36+Summary!I10</f>
        <v>5109464.8825500002</v>
      </c>
      <c r="L36" s="127"/>
      <c r="M36" s="14">
        <f>SUM(M33:M35)</f>
        <v>5109506.5527617596</v>
      </c>
      <c r="N36" s="14">
        <f>SUM(N33:N35)</f>
        <v>208626.22021175968</v>
      </c>
      <c r="O36" s="128">
        <f t="shared" ref="O36" si="29">N36/I36</f>
        <v>4.2569131677452805E-2</v>
      </c>
      <c r="P36" s="128">
        <f>SUM(P33:P35)</f>
        <v>1</v>
      </c>
      <c r="Q36" s="130">
        <f t="shared" si="28"/>
        <v>0</v>
      </c>
      <c r="R36" s="131">
        <f>M36-K36</f>
        <v>41.670211759395897</v>
      </c>
      <c r="S36" s="5">
        <f>K36/I36</f>
        <v>1.0425606290801779</v>
      </c>
    </row>
    <row r="37" spans="1:23" x14ac:dyDescent="0.25">
      <c r="A37" s="28">
        <f t="shared" si="1"/>
        <v>31</v>
      </c>
      <c r="D37" s="109" t="s">
        <v>29</v>
      </c>
      <c r="G37" s="123">
        <v>-261602.42</v>
      </c>
      <c r="I37" s="132">
        <f>G37+(0.00158*(E35+E34))</f>
        <v>-159438.87323512003</v>
      </c>
      <c r="K37" s="132">
        <f>K36-I36</f>
        <v>208584.54999999981</v>
      </c>
      <c r="M37" s="123">
        <f>I37</f>
        <v>-159438.87323512003</v>
      </c>
      <c r="N37" s="123">
        <f t="shared" si="26"/>
        <v>0</v>
      </c>
      <c r="O37" s="110">
        <v>0</v>
      </c>
    </row>
    <row r="38" spans="1:23" x14ac:dyDescent="0.25">
      <c r="A38" s="28">
        <f t="shared" si="1"/>
        <v>32</v>
      </c>
      <c r="D38" s="109" t="s">
        <v>30</v>
      </c>
      <c r="G38" s="123">
        <v>583848.28</v>
      </c>
      <c r="I38" s="132">
        <f t="shared" ref="I38:I40" si="30">G38</f>
        <v>583848.28</v>
      </c>
      <c r="M38" s="123">
        <f t="shared" ref="M38:M40" si="31">I38</f>
        <v>583848.28</v>
      </c>
      <c r="N38" s="123">
        <f t="shared" si="26"/>
        <v>0</v>
      </c>
      <c r="O38" s="110">
        <v>0</v>
      </c>
    </row>
    <row r="39" spans="1:23" x14ac:dyDescent="0.25">
      <c r="A39" s="28">
        <f t="shared" si="1"/>
        <v>33</v>
      </c>
      <c r="D39" s="109" t="s">
        <v>32</v>
      </c>
      <c r="G39" s="123">
        <v>0</v>
      </c>
      <c r="I39" s="132">
        <f t="shared" si="30"/>
        <v>0</v>
      </c>
      <c r="M39" s="123">
        <f t="shared" si="31"/>
        <v>0</v>
      </c>
      <c r="N39" s="123">
        <f t="shared" si="26"/>
        <v>0</v>
      </c>
      <c r="O39" s="110">
        <v>0</v>
      </c>
    </row>
    <row r="40" spans="1:23" x14ac:dyDescent="0.25">
      <c r="A40" s="28">
        <f t="shared" si="1"/>
        <v>34</v>
      </c>
      <c r="D40" s="109" t="s">
        <v>41</v>
      </c>
      <c r="G40" s="123">
        <v>0</v>
      </c>
      <c r="I40" s="132">
        <f t="shared" si="30"/>
        <v>0</v>
      </c>
      <c r="M40" s="123">
        <f t="shared" si="31"/>
        <v>0</v>
      </c>
      <c r="N40" s="123"/>
      <c r="O40" s="110"/>
    </row>
    <row r="41" spans="1:23" x14ac:dyDescent="0.25">
      <c r="A41" s="28">
        <f t="shared" si="1"/>
        <v>35</v>
      </c>
      <c r="D41" s="134" t="s">
        <v>8</v>
      </c>
      <c r="E41" s="134"/>
      <c r="F41" s="134"/>
      <c r="G41" s="135">
        <f>SUM(G37:G40)</f>
        <v>322245.86</v>
      </c>
      <c r="H41" s="134"/>
      <c r="I41" s="135">
        <f>SUM(I37:I40)</f>
        <v>424409.40676488</v>
      </c>
      <c r="J41" s="134"/>
      <c r="K41" s="134"/>
      <c r="L41" s="134"/>
      <c r="M41" s="135">
        <f>SUM(M37:M40)</f>
        <v>424409.40676488</v>
      </c>
      <c r="N41" s="135">
        <f t="shared" si="26"/>
        <v>0</v>
      </c>
      <c r="O41" s="136">
        <f t="shared" ref="O41" si="32">N41-J41</f>
        <v>0</v>
      </c>
    </row>
    <row r="42" spans="1:23" s="5" customFormat="1" ht="26.4" customHeight="1" thickBot="1" x14ac:dyDescent="0.3">
      <c r="A42" s="28">
        <f t="shared" si="1"/>
        <v>36</v>
      </c>
      <c r="C42" s="12"/>
      <c r="D42" s="137" t="s">
        <v>19</v>
      </c>
      <c r="E42" s="137"/>
      <c r="F42" s="137"/>
      <c r="G42" s="138">
        <f>G36+G41</f>
        <v>5325009.1382099995</v>
      </c>
      <c r="H42" s="137"/>
      <c r="I42" s="139">
        <f>I41+I36</f>
        <v>5325289.7393148802</v>
      </c>
      <c r="J42" s="137"/>
      <c r="K42" s="137"/>
      <c r="L42" s="137"/>
      <c r="M42" s="138">
        <f>M41+M36</f>
        <v>5533915.9595266394</v>
      </c>
      <c r="N42" s="138">
        <f t="shared" si="26"/>
        <v>208626.22021175921</v>
      </c>
      <c r="O42" s="140">
        <f>N42/I42</f>
        <v>3.9176501265563025E-2</v>
      </c>
      <c r="P42" s="109"/>
      <c r="Q42" s="109"/>
      <c r="R42" s="109"/>
    </row>
    <row r="43" spans="1:23" ht="13.8" thickTop="1" x14ac:dyDescent="0.25">
      <c r="A43" s="28">
        <f t="shared" si="1"/>
        <v>37</v>
      </c>
      <c r="D43" s="109" t="s">
        <v>18</v>
      </c>
      <c r="E43" s="110">
        <f>(E34+E35)/E33</f>
        <v>115054.22177224199</v>
      </c>
      <c r="G43" s="141">
        <f>G42/E33</f>
        <v>9475.1052281316715</v>
      </c>
      <c r="I43" s="141">
        <f>I42/E33</f>
        <v>9475.604518353879</v>
      </c>
      <c r="M43" s="141">
        <f>M42/E33</f>
        <v>9846.8255507591457</v>
      </c>
      <c r="N43" s="141">
        <f t="shared" si="26"/>
        <v>371.22103240526667</v>
      </c>
      <c r="O43" s="124">
        <f>N43/I43</f>
        <v>3.917650126556315E-2</v>
      </c>
    </row>
    <row r="44" spans="1:23" ht="13.8" thickBot="1" x14ac:dyDescent="0.3">
      <c r="A44" s="28">
        <f t="shared" si="1"/>
        <v>38</v>
      </c>
    </row>
    <row r="45" spans="1:23" x14ac:dyDescent="0.25">
      <c r="A45" s="28">
        <f t="shared" si="1"/>
        <v>39</v>
      </c>
      <c r="B45" s="19" t="s">
        <v>82</v>
      </c>
      <c r="C45" s="20">
        <v>8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1:23" x14ac:dyDescent="0.25">
      <c r="A46" s="28">
        <f t="shared" si="1"/>
        <v>40</v>
      </c>
      <c r="C46" s="2"/>
      <c r="D46" s="109" t="s">
        <v>17</v>
      </c>
      <c r="E46" s="122">
        <v>34772</v>
      </c>
      <c r="F46" s="110">
        <f>H46</f>
        <v>11.89</v>
      </c>
      <c r="G46" s="123">
        <f>F46*E46</f>
        <v>413439.08</v>
      </c>
      <c r="H46" s="110">
        <v>11.89</v>
      </c>
      <c r="I46" s="123">
        <f>H46*E46</f>
        <v>413439.08</v>
      </c>
      <c r="J46" s="124">
        <f>I46/I48</f>
        <v>5.6557173494064715E-2</v>
      </c>
      <c r="K46" s="124"/>
      <c r="L46" s="110">
        <f>ROUND(H46*S48,2)</f>
        <v>12.4</v>
      </c>
      <c r="M46" s="123">
        <f>L46*E46</f>
        <v>431172.8</v>
      </c>
      <c r="N46" s="123">
        <f>M46-I46</f>
        <v>17733.719999999972</v>
      </c>
      <c r="O46" s="124">
        <f>IF(I46=0,0,N46/I46)</f>
        <v>4.2893187552565111E-2</v>
      </c>
      <c r="P46" s="124">
        <f>M46/M$48</f>
        <v>5.6575769046912597E-2</v>
      </c>
      <c r="Q46" s="125">
        <f>P46-J46</f>
        <v>1.859555284788178E-5</v>
      </c>
      <c r="R46" s="125"/>
    </row>
    <row r="47" spans="1:23" x14ac:dyDescent="0.25">
      <c r="A47" s="28">
        <f t="shared" si="1"/>
        <v>41</v>
      </c>
      <c r="D47" s="109" t="s">
        <v>50</v>
      </c>
      <c r="E47" s="122">
        <v>84044230</v>
      </c>
      <c r="F47" s="111">
        <f>H47+0.00158</f>
        <v>8.3639999999999992E-2</v>
      </c>
      <c r="G47" s="123">
        <f t="shared" ref="G47" si="33">F47*E47</f>
        <v>7029459.3971999995</v>
      </c>
      <c r="H47" s="111">
        <v>8.2059999999999994E-2</v>
      </c>
      <c r="I47" s="123">
        <f t="shared" ref="I47" si="34">H47*E47</f>
        <v>6896669.5137999998</v>
      </c>
      <c r="J47" s="124">
        <f>I47/I48</f>
        <v>0.94344282650593525</v>
      </c>
      <c r="K47" s="124"/>
      <c r="L47" s="126">
        <f>ROUND(H47*S48,5)</f>
        <v>8.5550000000000001E-2</v>
      </c>
      <c r="M47" s="123">
        <f t="shared" ref="M47" si="35">L47*E47</f>
        <v>7189983.8765000002</v>
      </c>
      <c r="N47" s="123">
        <f t="shared" ref="N47" si="36">M47-I47</f>
        <v>293314.36270000041</v>
      </c>
      <c r="O47" s="124">
        <f t="shared" ref="O47" si="37">IF(I47=0,0,N47/I47)</f>
        <v>4.2529856202778514E-2</v>
      </c>
      <c r="P47" s="124">
        <f>M47/M$48</f>
        <v>0.94342423095308747</v>
      </c>
      <c r="Q47" s="125">
        <f t="shared" ref="Q47" si="38">P47-J47</f>
        <v>-1.8595552847777697E-5</v>
      </c>
      <c r="R47" s="125"/>
      <c r="T47" s="4">
        <f>L47/H47-1</f>
        <v>4.2529856202778493E-2</v>
      </c>
    </row>
    <row r="48" spans="1:23" s="5" customFormat="1" ht="20.399999999999999" customHeight="1" x14ac:dyDescent="0.25">
      <c r="A48" s="28">
        <f t="shared" si="1"/>
        <v>42</v>
      </c>
      <c r="C48" s="12"/>
      <c r="D48" s="127" t="s">
        <v>6</v>
      </c>
      <c r="E48" s="127"/>
      <c r="F48" s="127"/>
      <c r="G48" s="14">
        <f>SUM(G46:G47)</f>
        <v>7442898.4771999996</v>
      </c>
      <c r="H48" s="127"/>
      <c r="I48" s="14">
        <f>SUM(I46:I47)</f>
        <v>7310108.5937999999</v>
      </c>
      <c r="J48" s="128">
        <f>SUM(J46:J47)</f>
        <v>1</v>
      </c>
      <c r="K48" s="129">
        <f>I48+Summary!I11</f>
        <v>7621231.4138000002</v>
      </c>
      <c r="L48" s="127"/>
      <c r="M48" s="14">
        <f>SUM(M46:M47)</f>
        <v>7621156.6765000001</v>
      </c>
      <c r="N48" s="14">
        <f>SUM(N46:N47)</f>
        <v>311048.08270000038</v>
      </c>
      <c r="O48" s="128">
        <f t="shared" ref="O48" si="39">N48/I48</f>
        <v>4.2550405196964229E-2</v>
      </c>
      <c r="P48" s="128">
        <f>SUM(P46:P47)</f>
        <v>1</v>
      </c>
      <c r="Q48" s="130">
        <f t="shared" ref="Q48" si="40">P48-J48</f>
        <v>0</v>
      </c>
      <c r="R48" s="131">
        <f>M48-K48</f>
        <v>-74.737300000153482</v>
      </c>
      <c r="S48" s="5">
        <f>K48/I48</f>
        <v>1.0425606290259322</v>
      </c>
      <c r="W48" s="2"/>
    </row>
    <row r="49" spans="1:20" x14ac:dyDescent="0.25">
      <c r="A49" s="28">
        <f t="shared" si="1"/>
        <v>43</v>
      </c>
      <c r="D49" s="109" t="s">
        <v>29</v>
      </c>
      <c r="G49" s="123">
        <v>-342407.89</v>
      </c>
      <c r="I49" s="132">
        <f>G49+(0.00158*E47)</f>
        <v>-209618.00660000002</v>
      </c>
      <c r="K49" s="132">
        <f>K48-I48</f>
        <v>311122.8200000003</v>
      </c>
      <c r="M49" s="123">
        <f>I49</f>
        <v>-209618.00660000002</v>
      </c>
      <c r="N49" s="123">
        <f t="shared" ref="N49:N55" si="41">M49-I49</f>
        <v>0</v>
      </c>
      <c r="O49" s="110">
        <v>0</v>
      </c>
    </row>
    <row r="50" spans="1:20" x14ac:dyDescent="0.25">
      <c r="A50" s="28">
        <f t="shared" si="1"/>
        <v>44</v>
      </c>
      <c r="D50" s="109" t="s">
        <v>30</v>
      </c>
      <c r="G50" s="123">
        <v>899400.16</v>
      </c>
      <c r="I50" s="132">
        <f t="shared" ref="I50:I52" si="42">G50</f>
        <v>899400.16</v>
      </c>
      <c r="M50" s="123">
        <f t="shared" ref="M50:M52" si="43">I50</f>
        <v>899400.16</v>
      </c>
      <c r="N50" s="123">
        <f t="shared" si="41"/>
        <v>0</v>
      </c>
      <c r="O50" s="110">
        <v>0</v>
      </c>
    </row>
    <row r="51" spans="1:20" x14ac:dyDescent="0.25">
      <c r="A51" s="28">
        <f t="shared" si="1"/>
        <v>45</v>
      </c>
      <c r="D51" s="109" t="s">
        <v>32</v>
      </c>
      <c r="G51" s="123">
        <v>0</v>
      </c>
      <c r="I51" s="132">
        <f t="shared" si="42"/>
        <v>0</v>
      </c>
      <c r="M51" s="123">
        <f t="shared" si="43"/>
        <v>0</v>
      </c>
      <c r="N51" s="123">
        <f t="shared" si="41"/>
        <v>0</v>
      </c>
      <c r="O51" s="110">
        <v>0</v>
      </c>
    </row>
    <row r="52" spans="1:20" x14ac:dyDescent="0.25">
      <c r="A52" s="28">
        <f t="shared" si="1"/>
        <v>46</v>
      </c>
      <c r="D52" s="109" t="s">
        <v>41</v>
      </c>
      <c r="G52" s="123">
        <v>0</v>
      </c>
      <c r="I52" s="132">
        <f t="shared" si="42"/>
        <v>0</v>
      </c>
      <c r="M52" s="123">
        <f t="shared" si="43"/>
        <v>0</v>
      </c>
      <c r="N52" s="123"/>
      <c r="O52" s="110"/>
    </row>
    <row r="53" spans="1:20" x14ac:dyDescent="0.25">
      <c r="A53" s="28">
        <f t="shared" si="1"/>
        <v>47</v>
      </c>
      <c r="D53" s="134" t="s">
        <v>8</v>
      </c>
      <c r="E53" s="134"/>
      <c r="F53" s="134"/>
      <c r="G53" s="135">
        <f>SUM(G49:G52)</f>
        <v>556992.27</v>
      </c>
      <c r="H53" s="134"/>
      <c r="I53" s="135">
        <f>SUM(I49:I52)</f>
        <v>689782.15339999995</v>
      </c>
      <c r="J53" s="134"/>
      <c r="K53" s="134"/>
      <c r="L53" s="134"/>
      <c r="M53" s="135">
        <f>SUM(M49:M52)</f>
        <v>689782.15339999995</v>
      </c>
      <c r="N53" s="135">
        <f t="shared" si="41"/>
        <v>0</v>
      </c>
      <c r="O53" s="136">
        <f t="shared" ref="O53" si="44">N53-J53</f>
        <v>0</v>
      </c>
    </row>
    <row r="54" spans="1:20" s="5" customFormat="1" ht="26.4" customHeight="1" thickBot="1" x14ac:dyDescent="0.3">
      <c r="A54" s="28">
        <f t="shared" si="1"/>
        <v>48</v>
      </c>
      <c r="C54" s="12"/>
      <c r="D54" s="137" t="s">
        <v>19</v>
      </c>
      <c r="E54" s="137"/>
      <c r="F54" s="137"/>
      <c r="G54" s="138">
        <f>G48+G53</f>
        <v>7999890.7471999992</v>
      </c>
      <c r="H54" s="137"/>
      <c r="I54" s="139">
        <f>I53+I48</f>
        <v>7999890.7472000001</v>
      </c>
      <c r="J54" s="137"/>
      <c r="K54" s="137"/>
      <c r="L54" s="137"/>
      <c r="M54" s="138">
        <f>M53+M48</f>
        <v>8310938.8299000002</v>
      </c>
      <c r="N54" s="138">
        <f t="shared" si="41"/>
        <v>311048.08270000014</v>
      </c>
      <c r="O54" s="140">
        <f>N54/I54</f>
        <v>3.8881541327157307E-2</v>
      </c>
      <c r="P54" s="109"/>
      <c r="Q54" s="109"/>
      <c r="R54" s="109"/>
    </row>
    <row r="55" spans="1:20" ht="13.8" thickTop="1" x14ac:dyDescent="0.25">
      <c r="A55" s="28">
        <f t="shared" si="1"/>
        <v>49</v>
      </c>
      <c r="D55" s="109" t="s">
        <v>18</v>
      </c>
      <c r="E55" s="110">
        <f>E47/E46</f>
        <v>2417.0088001840563</v>
      </c>
      <c r="G55" s="141">
        <f>G54/E46</f>
        <v>230.06702942597491</v>
      </c>
      <c r="I55" s="141">
        <f>I54/E46</f>
        <v>230.06702942597494</v>
      </c>
      <c r="M55" s="141">
        <f>M54/E46</f>
        <v>239.01239013861729</v>
      </c>
      <c r="N55" s="141">
        <f t="shared" si="41"/>
        <v>8.9453607126423549</v>
      </c>
      <c r="O55" s="124">
        <f>N55/I55</f>
        <v>3.8881541327157279E-2</v>
      </c>
    </row>
    <row r="56" spans="1:20" ht="13.8" thickBot="1" x14ac:dyDescent="0.3">
      <c r="A56" s="28">
        <f t="shared" si="1"/>
        <v>50</v>
      </c>
    </row>
    <row r="57" spans="1:20" x14ac:dyDescent="0.25">
      <c r="A57" s="28">
        <f t="shared" si="1"/>
        <v>51</v>
      </c>
      <c r="B57" s="19" t="s">
        <v>83</v>
      </c>
      <c r="C57" s="20">
        <v>9</v>
      </c>
      <c r="D57" s="121" t="s">
        <v>96</v>
      </c>
      <c r="E57" s="146">
        <v>1784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1:20" x14ac:dyDescent="0.25">
      <c r="A58" s="28">
        <f t="shared" si="1"/>
        <v>52</v>
      </c>
      <c r="C58" s="2"/>
      <c r="D58" s="109" t="s">
        <v>51</v>
      </c>
      <c r="E58" s="122">
        <v>168825.20499999999</v>
      </c>
      <c r="F58" s="110">
        <f>H58</f>
        <v>6.7</v>
      </c>
      <c r="G58" s="123">
        <f>F58*E58</f>
        <v>1131128.8735</v>
      </c>
      <c r="H58" s="110">
        <v>6.7</v>
      </c>
      <c r="I58" s="123">
        <f>H58*E58</f>
        <v>1131128.8735</v>
      </c>
      <c r="J58" s="124">
        <f>I58/I60</f>
        <v>0.23895672571664989</v>
      </c>
      <c r="K58" s="124"/>
      <c r="L58" s="110">
        <f>ROUND(H58*S60,2)</f>
        <v>6.99</v>
      </c>
      <c r="M58" s="123">
        <f>L58*E58</f>
        <v>1180088.18295</v>
      </c>
      <c r="N58" s="123">
        <f>M58-I58</f>
        <v>48959.309450000059</v>
      </c>
      <c r="O58" s="124">
        <f>IF(I58=0,0,N58/I58)</f>
        <v>4.328358208955229E-2</v>
      </c>
      <c r="P58" s="124">
        <f>M58/M$60</f>
        <v>0.2390859246462782</v>
      </c>
      <c r="Q58" s="125">
        <f>P58-J58</f>
        <v>1.2919892962831581E-4</v>
      </c>
      <c r="R58" s="125"/>
      <c r="T58" s="4"/>
    </row>
    <row r="59" spans="1:20" x14ac:dyDescent="0.25">
      <c r="A59" s="28">
        <f t="shared" si="1"/>
        <v>53</v>
      </c>
      <c r="D59" s="109" t="s">
        <v>50</v>
      </c>
      <c r="E59" s="122">
        <v>58720212</v>
      </c>
      <c r="F59" s="111">
        <f>H59+0.00158</f>
        <v>6.293E-2</v>
      </c>
      <c r="G59" s="123">
        <f t="shared" ref="G59" si="45">F59*E59</f>
        <v>3695262.9411599999</v>
      </c>
      <c r="H59" s="142">
        <v>6.1350000000000002E-2</v>
      </c>
      <c r="I59" s="123">
        <f t="shared" ref="I59" si="46">H59*E59</f>
        <v>3602485.0062000002</v>
      </c>
      <c r="J59" s="124">
        <f>I59/I60</f>
        <v>0.76104327428335006</v>
      </c>
      <c r="K59" s="124"/>
      <c r="L59" s="147">
        <f>ROUND(H59*S60,5)</f>
        <v>6.3960000000000003E-2</v>
      </c>
      <c r="M59" s="123">
        <f t="shared" ref="M59" si="47">L59*E59</f>
        <v>3755744.7595200003</v>
      </c>
      <c r="N59" s="123">
        <f t="shared" ref="N59" si="48">M59-I59</f>
        <v>153259.75332000013</v>
      </c>
      <c r="O59" s="124">
        <f t="shared" ref="O59" si="49">IF(I59=0,0,N59/I59)</f>
        <v>4.2542787286063602E-2</v>
      </c>
      <c r="P59" s="124">
        <f>M59/M$60</f>
        <v>0.7609140753537218</v>
      </c>
      <c r="Q59" s="125">
        <f t="shared" ref="Q59" si="50">P59-J59</f>
        <v>-1.291989296282603E-4</v>
      </c>
      <c r="R59" s="125"/>
      <c r="T59" s="4">
        <f>L59/H59-1</f>
        <v>4.2542787286063533E-2</v>
      </c>
    </row>
    <row r="60" spans="1:20" s="5" customFormat="1" ht="20.399999999999999" customHeight="1" x14ac:dyDescent="0.3">
      <c r="A60" s="28">
        <f t="shared" si="1"/>
        <v>54</v>
      </c>
      <c r="C60" s="12"/>
      <c r="D60" s="127" t="s">
        <v>6</v>
      </c>
      <c r="E60" s="127"/>
      <c r="F60" s="127"/>
      <c r="G60" s="14">
        <f>SUM(G58:G59)</f>
        <v>4826391.8146599997</v>
      </c>
      <c r="H60" s="127"/>
      <c r="I60" s="14">
        <f>SUM(I58:I59)</f>
        <v>4733613.8797000004</v>
      </c>
      <c r="J60" s="128">
        <f>SUM(J58:J59)</f>
        <v>1</v>
      </c>
      <c r="K60" s="129">
        <f>I60+Summary!I12</f>
        <v>4935079.4597000005</v>
      </c>
      <c r="L60" s="127"/>
      <c r="M60" s="14">
        <f>SUM(M58:M59)</f>
        <v>4935832.9424700001</v>
      </c>
      <c r="N60" s="14">
        <f>SUM(N58:N59)</f>
        <v>202219.06277000019</v>
      </c>
      <c r="O60" s="128">
        <f t="shared" ref="O60" si="51">N60/I60</f>
        <v>4.271980518673317E-2</v>
      </c>
      <c r="P60" s="128">
        <f>SUM(P58:P59)</f>
        <v>1</v>
      </c>
      <c r="Q60" s="130">
        <f t="shared" ref="Q60" si="52">P60-J60</f>
        <v>0</v>
      </c>
      <c r="R60" s="131">
        <f>M60-K60</f>
        <v>753.4827699996531</v>
      </c>
      <c r="S60" s="5">
        <f>K60/I60</f>
        <v>1.0425606281205109</v>
      </c>
    </row>
    <row r="61" spans="1:20" x14ac:dyDescent="0.25">
      <c r="A61" s="28">
        <f t="shared" si="1"/>
        <v>55</v>
      </c>
      <c r="D61" s="109" t="s">
        <v>29</v>
      </c>
      <c r="G61" s="123">
        <v>-232938.56</v>
      </c>
      <c r="I61" s="132">
        <f>G61+(0.00158*(E59))</f>
        <v>-140160.62504000001</v>
      </c>
      <c r="K61" s="132">
        <f>K60-I60</f>
        <v>201465.58000000007</v>
      </c>
      <c r="M61" s="123">
        <f>I61</f>
        <v>-140160.62504000001</v>
      </c>
      <c r="N61" s="123">
        <f t="shared" ref="N61:N67" si="53">M61-I61</f>
        <v>0</v>
      </c>
      <c r="O61" s="110">
        <v>0</v>
      </c>
    </row>
    <row r="62" spans="1:20" x14ac:dyDescent="0.25">
      <c r="A62" s="28">
        <f t="shared" si="1"/>
        <v>56</v>
      </c>
      <c r="D62" s="109" t="s">
        <v>30</v>
      </c>
      <c r="G62" s="123">
        <v>561238.64</v>
      </c>
      <c r="I62" s="132">
        <f t="shared" ref="I62:I64" si="54">G62</f>
        <v>561238.64</v>
      </c>
      <c r="M62" s="123">
        <f t="shared" ref="M62:M64" si="55">I62</f>
        <v>561238.64</v>
      </c>
      <c r="N62" s="123">
        <f t="shared" si="53"/>
        <v>0</v>
      </c>
      <c r="O62" s="110">
        <v>0</v>
      </c>
    </row>
    <row r="63" spans="1:20" x14ac:dyDescent="0.25">
      <c r="A63" s="28">
        <f t="shared" si="1"/>
        <v>57</v>
      </c>
      <c r="D63" s="109" t="s">
        <v>32</v>
      </c>
      <c r="G63" s="123">
        <v>0</v>
      </c>
      <c r="I63" s="132">
        <f t="shared" si="54"/>
        <v>0</v>
      </c>
      <c r="M63" s="123">
        <f t="shared" si="55"/>
        <v>0</v>
      </c>
      <c r="N63" s="123">
        <f t="shared" si="53"/>
        <v>0</v>
      </c>
      <c r="O63" s="110">
        <v>0</v>
      </c>
    </row>
    <row r="64" spans="1:20" x14ac:dyDescent="0.25">
      <c r="A64" s="28">
        <f t="shared" si="1"/>
        <v>58</v>
      </c>
      <c r="D64" s="109" t="s">
        <v>41</v>
      </c>
      <c r="G64" s="123">
        <v>0</v>
      </c>
      <c r="I64" s="132">
        <f t="shared" si="54"/>
        <v>0</v>
      </c>
      <c r="M64" s="123">
        <f t="shared" si="55"/>
        <v>0</v>
      </c>
      <c r="N64" s="123"/>
      <c r="O64" s="110"/>
    </row>
    <row r="65" spans="1:20" x14ac:dyDescent="0.25">
      <c r="A65" s="28">
        <f t="shared" si="1"/>
        <v>59</v>
      </c>
      <c r="D65" s="134" t="s">
        <v>8</v>
      </c>
      <c r="E65" s="134"/>
      <c r="F65" s="134"/>
      <c r="G65" s="135">
        <f>SUM(G61:G64)</f>
        <v>328300.08</v>
      </c>
      <c r="H65" s="134"/>
      <c r="I65" s="135">
        <f>SUM(I61:I64)</f>
        <v>421078.01496</v>
      </c>
      <c r="J65" s="134"/>
      <c r="K65" s="134"/>
      <c r="L65" s="134"/>
      <c r="M65" s="135">
        <f>SUM(M61:M64)</f>
        <v>421078.01496</v>
      </c>
      <c r="N65" s="135">
        <f t="shared" si="53"/>
        <v>0</v>
      </c>
      <c r="O65" s="136">
        <f t="shared" ref="O65" si="56">N65-J65</f>
        <v>0</v>
      </c>
    </row>
    <row r="66" spans="1:20" s="5" customFormat="1" ht="26.4" customHeight="1" thickBot="1" x14ac:dyDescent="0.3">
      <c r="A66" s="28">
        <f t="shared" si="1"/>
        <v>60</v>
      </c>
      <c r="C66" s="12"/>
      <c r="D66" s="137" t="s">
        <v>19</v>
      </c>
      <c r="E66" s="137"/>
      <c r="F66" s="137"/>
      <c r="G66" s="138">
        <f>G60+G65</f>
        <v>5154691.8946599998</v>
      </c>
      <c r="H66" s="137"/>
      <c r="I66" s="139">
        <f>I65+I60</f>
        <v>5154691.8946600007</v>
      </c>
      <c r="J66" s="137"/>
      <c r="K66" s="137"/>
      <c r="L66" s="137"/>
      <c r="M66" s="138">
        <f>M65+M60</f>
        <v>5356910.9574300004</v>
      </c>
      <c r="N66" s="138">
        <f t="shared" si="53"/>
        <v>202219.06276999973</v>
      </c>
      <c r="O66" s="140">
        <f>N66/I66</f>
        <v>3.9230096949051101E-2</v>
      </c>
      <c r="P66" s="109"/>
      <c r="Q66" s="109"/>
      <c r="R66" s="109"/>
    </row>
    <row r="67" spans="1:20" ht="13.8" thickTop="1" x14ac:dyDescent="0.25">
      <c r="A67" s="28">
        <f t="shared" si="1"/>
        <v>61</v>
      </c>
      <c r="D67" s="109" t="s">
        <v>18</v>
      </c>
      <c r="E67" s="110">
        <f>E59/E57</f>
        <v>32914.917040358741</v>
      </c>
      <c r="G67" s="141">
        <f>G66/E57</f>
        <v>2889.4012862443947</v>
      </c>
      <c r="I67" s="141">
        <f>I66/E57</f>
        <v>2889.4012862443951</v>
      </c>
      <c r="M67" s="141">
        <f>M66/E57</f>
        <v>3002.7527788284756</v>
      </c>
      <c r="N67" s="141">
        <f t="shared" si="53"/>
        <v>113.35149258408046</v>
      </c>
      <c r="O67" s="124">
        <f>N67/I67</f>
        <v>3.9230096949051066E-2</v>
      </c>
    </row>
    <row r="68" spans="1:20" ht="13.8" thickBot="1" x14ac:dyDescent="0.3">
      <c r="A68" s="28">
        <f t="shared" si="1"/>
        <v>62</v>
      </c>
      <c r="B68" s="22"/>
      <c r="C68" s="23"/>
    </row>
    <row r="69" spans="1:20" x14ac:dyDescent="0.25">
      <c r="A69" s="28">
        <f t="shared" si="1"/>
        <v>63</v>
      </c>
      <c r="B69" s="19" t="s">
        <v>84</v>
      </c>
      <c r="C69" s="20">
        <v>11</v>
      </c>
      <c r="D69" s="121" t="s">
        <v>96</v>
      </c>
      <c r="E69" s="121">
        <v>227</v>
      </c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1:20" x14ac:dyDescent="0.25">
      <c r="A70" s="28">
        <f t="shared" si="1"/>
        <v>64</v>
      </c>
      <c r="C70" s="2"/>
      <c r="D70" s="109" t="s">
        <v>51</v>
      </c>
      <c r="E70" s="122">
        <v>192037.68799999999</v>
      </c>
      <c r="F70" s="109">
        <v>6.68</v>
      </c>
      <c r="G70" s="123">
        <f>F70*E70</f>
        <v>1282811.75584</v>
      </c>
      <c r="H70" s="110">
        <v>6.68</v>
      </c>
      <c r="I70" s="123">
        <f>H70*E70</f>
        <v>1282811.75584</v>
      </c>
      <c r="J70" s="124">
        <f>I70/I72</f>
        <v>0.20480788591762203</v>
      </c>
      <c r="K70" s="124"/>
      <c r="L70" s="110">
        <f>ROUND(H70*S72,2)</f>
        <v>6.96</v>
      </c>
      <c r="M70" s="123">
        <f>L70*E70</f>
        <v>1336582.3084799999</v>
      </c>
      <c r="N70" s="123">
        <f>M70-I70</f>
        <v>53770.552639999893</v>
      </c>
      <c r="O70" s="124">
        <f>IF(I70=0,0,N70/I70)</f>
        <v>4.1916167664670573E-2</v>
      </c>
      <c r="P70" s="124">
        <f>M70/M$72</f>
        <v>0.20469622130581863</v>
      </c>
      <c r="Q70" s="125">
        <f>P70-J70</f>
        <v>-1.1166461180339704E-4</v>
      </c>
      <c r="R70" s="125"/>
      <c r="T70" s="4">
        <f>L70/H70-1</f>
        <v>4.1916167664670656E-2</v>
      </c>
    </row>
    <row r="71" spans="1:20" x14ac:dyDescent="0.25">
      <c r="A71" s="28">
        <f t="shared" si="1"/>
        <v>65</v>
      </c>
      <c r="D71" s="109" t="s">
        <v>50</v>
      </c>
      <c r="E71" s="122">
        <v>86665675</v>
      </c>
      <c r="F71" s="111">
        <f>H71+0.00158</f>
        <v>5.9049999999999998E-2</v>
      </c>
      <c r="G71" s="123">
        <f t="shared" ref="G71" si="57">F71*E71</f>
        <v>5117608.1087499997</v>
      </c>
      <c r="H71" s="111">
        <v>5.747E-2</v>
      </c>
      <c r="I71" s="123">
        <f t="shared" ref="I71" si="58">H71*E71</f>
        <v>4980676.3422499998</v>
      </c>
      <c r="J71" s="124">
        <f>I71/I72</f>
        <v>0.795192114082378</v>
      </c>
      <c r="K71" s="124"/>
      <c r="L71" s="126">
        <f>ROUND(H71*S72,5)</f>
        <v>5.9920000000000001E-2</v>
      </c>
      <c r="M71" s="123">
        <f t="shared" ref="M71" si="59">L71*E71</f>
        <v>5193007.2460000003</v>
      </c>
      <c r="N71" s="123">
        <f t="shared" ref="N71" si="60">M71-I71</f>
        <v>212330.90375000052</v>
      </c>
      <c r="O71" s="124">
        <f t="shared" ref="O71" si="61">IF(I71=0,0,N71/I71)</f>
        <v>4.2630937880633483E-2</v>
      </c>
      <c r="P71" s="124">
        <f>M71/M$72</f>
        <v>0.79530377869418134</v>
      </c>
      <c r="Q71" s="125">
        <f t="shared" ref="Q71" si="62">P71-J71</f>
        <v>1.1166461180334153E-4</v>
      </c>
      <c r="R71" s="125"/>
      <c r="T71" s="4">
        <f>L71/H71-1</f>
        <v>4.2630937880633324E-2</v>
      </c>
    </row>
    <row r="72" spans="1:20" s="5" customFormat="1" ht="20.399999999999999" customHeight="1" x14ac:dyDescent="0.3">
      <c r="A72" s="28">
        <f t="shared" si="1"/>
        <v>66</v>
      </c>
      <c r="C72" s="12"/>
      <c r="D72" s="127" t="s">
        <v>6</v>
      </c>
      <c r="E72" s="127"/>
      <c r="F72" s="127"/>
      <c r="G72" s="14">
        <f>SUM(G70:G71)</f>
        <v>6400419.8645899994</v>
      </c>
      <c r="H72" s="127"/>
      <c r="I72" s="14">
        <f>SUM(I70:I71)</f>
        <v>6263488.0980899995</v>
      </c>
      <c r="J72" s="128">
        <f>SUM(J70:J71)</f>
        <v>1</v>
      </c>
      <c r="K72" s="129">
        <f>I72+Summary!I13</f>
        <v>6530066.0880899997</v>
      </c>
      <c r="L72" s="127"/>
      <c r="M72" s="14">
        <f>SUM(M70:M71)</f>
        <v>6529589.5544800004</v>
      </c>
      <c r="N72" s="14">
        <f>SUM(N70:N71)</f>
        <v>266101.45639000041</v>
      </c>
      <c r="O72" s="128">
        <f t="shared" ref="O72" si="63">N72/I72</f>
        <v>4.2484547303785238E-2</v>
      </c>
      <c r="P72" s="128">
        <f>SUM(P70:P71)</f>
        <v>1</v>
      </c>
      <c r="Q72" s="130">
        <f t="shared" ref="Q72" si="64">P72-J72</f>
        <v>0</v>
      </c>
      <c r="R72" s="131">
        <f>M72-K72</f>
        <v>-476.53360999934375</v>
      </c>
      <c r="S72" s="5">
        <f>K72/I72</f>
        <v>1.0425606284909028</v>
      </c>
    </row>
    <row r="73" spans="1:20" x14ac:dyDescent="0.25">
      <c r="A73" s="28">
        <f t="shared" ref="A73:A139" si="65">A72+1</f>
        <v>67</v>
      </c>
      <c r="D73" s="109" t="s">
        <v>29</v>
      </c>
      <c r="G73" s="123">
        <v>-349476.91</v>
      </c>
      <c r="I73" s="132">
        <f>G73+(0.00158*(E71))</f>
        <v>-212545.14349999998</v>
      </c>
      <c r="K73" s="132">
        <f>K72-I72</f>
        <v>266577.99000000022</v>
      </c>
      <c r="M73" s="123">
        <f>I73</f>
        <v>-212545.14349999998</v>
      </c>
      <c r="N73" s="123">
        <f t="shared" ref="N73:N75" si="66">M73-I73</f>
        <v>0</v>
      </c>
      <c r="O73" s="110">
        <v>0</v>
      </c>
    </row>
    <row r="74" spans="1:20" x14ac:dyDescent="0.25">
      <c r="A74" s="28">
        <f t="shared" si="65"/>
        <v>68</v>
      </c>
      <c r="D74" s="109" t="s">
        <v>30</v>
      </c>
      <c r="G74" s="123">
        <v>664063.49</v>
      </c>
      <c r="I74" s="132">
        <f t="shared" ref="I74:I76" si="67">G74</f>
        <v>664063.49</v>
      </c>
      <c r="M74" s="123">
        <f t="shared" ref="M74:M76" si="68">I74</f>
        <v>664063.49</v>
      </c>
      <c r="N74" s="123">
        <f t="shared" si="66"/>
        <v>0</v>
      </c>
      <c r="O74" s="110">
        <v>0</v>
      </c>
    </row>
    <row r="75" spans="1:20" x14ac:dyDescent="0.25">
      <c r="A75" s="28">
        <f t="shared" si="65"/>
        <v>69</v>
      </c>
      <c r="D75" s="109" t="s">
        <v>32</v>
      </c>
      <c r="G75" s="123">
        <v>0</v>
      </c>
      <c r="I75" s="132">
        <f t="shared" si="67"/>
        <v>0</v>
      </c>
      <c r="M75" s="123">
        <f t="shared" si="68"/>
        <v>0</v>
      </c>
      <c r="N75" s="123">
        <f t="shared" si="66"/>
        <v>0</v>
      </c>
      <c r="O75" s="110">
        <v>0</v>
      </c>
    </row>
    <row r="76" spans="1:20" x14ac:dyDescent="0.25">
      <c r="A76" s="28">
        <f t="shared" si="65"/>
        <v>70</v>
      </c>
      <c r="D76" s="109" t="s">
        <v>41</v>
      </c>
      <c r="G76" s="123">
        <v>0</v>
      </c>
      <c r="I76" s="132">
        <f t="shared" si="67"/>
        <v>0</v>
      </c>
      <c r="M76" s="123">
        <f t="shared" si="68"/>
        <v>0</v>
      </c>
      <c r="N76" s="123"/>
      <c r="O76" s="110"/>
    </row>
    <row r="77" spans="1:20" x14ac:dyDescent="0.25">
      <c r="A77" s="28">
        <f t="shared" si="65"/>
        <v>71</v>
      </c>
      <c r="D77" s="134" t="s">
        <v>8</v>
      </c>
      <c r="E77" s="134"/>
      <c r="F77" s="134"/>
      <c r="G77" s="135">
        <f>SUM(G73:G76)</f>
        <v>314586.58</v>
      </c>
      <c r="H77" s="134"/>
      <c r="I77" s="135">
        <f>SUM(I73:I76)</f>
        <v>451518.34649999999</v>
      </c>
      <c r="J77" s="134"/>
      <c r="K77" s="134"/>
      <c r="L77" s="134"/>
      <c r="M77" s="135">
        <f>SUM(M73:M76)</f>
        <v>451518.34649999999</v>
      </c>
      <c r="N77" s="135">
        <f t="shared" ref="N77:N79" si="69">M77-I77</f>
        <v>0</v>
      </c>
      <c r="O77" s="136">
        <f t="shared" ref="O77" si="70">N77-J77</f>
        <v>0</v>
      </c>
    </row>
    <row r="78" spans="1:20" s="5" customFormat="1" ht="26.4" customHeight="1" thickBot="1" x14ac:dyDescent="0.3">
      <c r="A78" s="28">
        <f t="shared" si="65"/>
        <v>72</v>
      </c>
      <c r="C78" s="12"/>
      <c r="D78" s="137" t="s">
        <v>19</v>
      </c>
      <c r="E78" s="137"/>
      <c r="F78" s="137"/>
      <c r="G78" s="138">
        <f>G72+G77</f>
        <v>6715006.4445899995</v>
      </c>
      <c r="H78" s="137"/>
      <c r="I78" s="139">
        <f>I77+I72</f>
        <v>6715006.4445899995</v>
      </c>
      <c r="J78" s="137"/>
      <c r="K78" s="137"/>
      <c r="L78" s="137"/>
      <c r="M78" s="138">
        <f>M77+M72</f>
        <v>6981107.9009800004</v>
      </c>
      <c r="N78" s="138">
        <f t="shared" si="69"/>
        <v>266101.45639000088</v>
      </c>
      <c r="O78" s="140">
        <f>N78/I78</f>
        <v>3.9627878034932895E-2</v>
      </c>
      <c r="P78" s="109"/>
      <c r="Q78" s="109"/>
      <c r="R78" s="109"/>
    </row>
    <row r="79" spans="1:20" ht="13.8" thickTop="1" x14ac:dyDescent="0.25">
      <c r="A79" s="28">
        <f t="shared" si="65"/>
        <v>73</v>
      </c>
      <c r="D79" s="109" t="s">
        <v>18</v>
      </c>
      <c r="E79" s="110">
        <f>E71/E69</f>
        <v>381787.11453744496</v>
      </c>
      <c r="G79" s="141">
        <f>G78/E69</f>
        <v>29581.526187621144</v>
      </c>
      <c r="I79" s="141">
        <f>I78/E69</f>
        <v>29581.526187621144</v>
      </c>
      <c r="M79" s="141">
        <f>M78/E69</f>
        <v>30753.779299471367</v>
      </c>
      <c r="N79" s="141">
        <f t="shared" si="69"/>
        <v>1172.2531118502229</v>
      </c>
      <c r="O79" s="124">
        <f>N79/I79</f>
        <v>3.9627878034932854E-2</v>
      </c>
    </row>
    <row r="80" spans="1:20" ht="13.8" thickBot="1" x14ac:dyDescent="0.3">
      <c r="A80" s="28">
        <f t="shared" si="65"/>
        <v>74</v>
      </c>
    </row>
    <row r="81" spans="1:20" x14ac:dyDescent="0.25">
      <c r="A81" s="28">
        <f t="shared" si="65"/>
        <v>75</v>
      </c>
      <c r="B81" s="19" t="s">
        <v>85</v>
      </c>
      <c r="C81" s="20">
        <v>13</v>
      </c>
      <c r="D81" s="121" t="s">
        <v>96</v>
      </c>
      <c r="E81" s="121">
        <v>24</v>
      </c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1:20" x14ac:dyDescent="0.25">
      <c r="A82" s="28">
        <f t="shared" si="65"/>
        <v>76</v>
      </c>
      <c r="C82" s="2"/>
      <c r="D82" s="109" t="s">
        <v>51</v>
      </c>
      <c r="E82" s="122">
        <v>17244</v>
      </c>
      <c r="F82" s="109">
        <v>9.4499999999999993</v>
      </c>
      <c r="G82" s="123">
        <f>F82*E82</f>
        <v>162955.79999999999</v>
      </c>
      <c r="H82" s="110">
        <v>9.4499999999999993</v>
      </c>
      <c r="I82" s="123">
        <f>H82*E82</f>
        <v>162955.79999999999</v>
      </c>
      <c r="J82" s="124">
        <f>I82/I84</f>
        <v>0.3894942042207839</v>
      </c>
      <c r="K82" s="124"/>
      <c r="L82" s="110">
        <f>ROUND(H82*S84,2)</f>
        <v>9.85</v>
      </c>
      <c r="M82" s="123">
        <f>L82*E82</f>
        <v>169853.4</v>
      </c>
      <c r="N82" s="123">
        <f>M82-I82</f>
        <v>6897.6000000000058</v>
      </c>
      <c r="O82" s="124">
        <f>IF(I82=0,0,N82/I82)</f>
        <v>4.2328042328042367E-2</v>
      </c>
      <c r="P82" s="124">
        <f>M82/M$84</f>
        <v>0.38946257869406375</v>
      </c>
      <c r="Q82" s="125">
        <f>P82-J82</f>
        <v>-3.1625526720147068E-5</v>
      </c>
      <c r="R82" s="125"/>
      <c r="T82" s="4">
        <f>L82/H82-1</f>
        <v>4.2328042328042326E-2</v>
      </c>
    </row>
    <row r="83" spans="1:20" x14ac:dyDescent="0.25">
      <c r="A83" s="28">
        <f t="shared" si="65"/>
        <v>77</v>
      </c>
      <c r="D83" s="109" t="s">
        <v>50</v>
      </c>
      <c r="E83" s="122">
        <v>5769645</v>
      </c>
      <c r="F83" s="111">
        <f>H83+0.00158</f>
        <v>4.5849999999999995E-2</v>
      </c>
      <c r="G83" s="123">
        <f t="shared" ref="G83" si="71">F83*E83</f>
        <v>264538.22324999998</v>
      </c>
      <c r="H83" s="111">
        <v>4.4269999999999997E-2</v>
      </c>
      <c r="I83" s="123">
        <f t="shared" ref="I83" si="72">H83*E83</f>
        <v>255422.18414999999</v>
      </c>
      <c r="J83" s="124">
        <f>IF(I84=0,0,I83/I84)</f>
        <v>0.61050579577921604</v>
      </c>
      <c r="K83" s="124"/>
      <c r="L83" s="126">
        <f>ROUND(H83*S84,5)</f>
        <v>4.6149999999999997E-2</v>
      </c>
      <c r="M83" s="123">
        <f t="shared" ref="M83" si="73">L83*E83</f>
        <v>266269.11674999999</v>
      </c>
      <c r="N83" s="123">
        <f t="shared" ref="N83" si="74">M83-I83</f>
        <v>10846.9326</v>
      </c>
      <c r="O83" s="124">
        <f t="shared" ref="O83" si="75">IF(I83=0,0,N83/I83)</f>
        <v>4.2466681725773663E-2</v>
      </c>
      <c r="P83" s="124">
        <f>IF(M84=0,0,M83/M84)</f>
        <v>0.61053742130593636</v>
      </c>
      <c r="Q83" s="125">
        <f t="shared" ref="Q83" si="76">P83-J83</f>
        <v>3.1625526720313601E-5</v>
      </c>
      <c r="R83" s="125"/>
      <c r="T83" s="4">
        <f>L83/H83-1</f>
        <v>4.2466681725773725E-2</v>
      </c>
    </row>
    <row r="84" spans="1:20" s="5" customFormat="1" ht="20.399999999999999" customHeight="1" x14ac:dyDescent="0.3">
      <c r="A84" s="28">
        <f t="shared" si="65"/>
        <v>78</v>
      </c>
      <c r="C84" s="12"/>
      <c r="D84" s="127" t="s">
        <v>6</v>
      </c>
      <c r="E84" s="127"/>
      <c r="F84" s="127"/>
      <c r="G84" s="14">
        <f>SUM(G82:G83)</f>
        <v>427494.02324999997</v>
      </c>
      <c r="H84" s="127"/>
      <c r="I84" s="14">
        <f>SUM(I82:I83)</f>
        <v>418377.98414999997</v>
      </c>
      <c r="J84" s="128">
        <f>SUM(J82:J83)</f>
        <v>1</v>
      </c>
      <c r="K84" s="129">
        <f>I84+Summary!I14</f>
        <v>436184.41414999997</v>
      </c>
      <c r="L84" s="127"/>
      <c r="M84" s="14">
        <f>SUM(M82:M83)</f>
        <v>436122.51674999995</v>
      </c>
      <c r="N84" s="14">
        <f>SUM(N82:N83)</f>
        <v>17744.532600000006</v>
      </c>
      <c r="O84" s="128">
        <f>IF(I84=0,0,N84/I84)</f>
        <v>4.2412682483880665E-2</v>
      </c>
      <c r="P84" s="128">
        <f>SUM(P82:P83)</f>
        <v>1</v>
      </c>
      <c r="Q84" s="130">
        <f t="shared" ref="Q84" si="77">P84-J84</f>
        <v>0</v>
      </c>
      <c r="R84" s="131">
        <f>M84-K84</f>
        <v>-61.897400000016205</v>
      </c>
      <c r="S84" s="5">
        <f>IF(I84=0,0,K84/I84)</f>
        <v>1.0425606286051989</v>
      </c>
    </row>
    <row r="85" spans="1:20" x14ac:dyDescent="0.25">
      <c r="A85" s="28">
        <f t="shared" si="65"/>
        <v>79</v>
      </c>
      <c r="D85" s="109" t="s">
        <v>29</v>
      </c>
      <c r="G85" s="123">
        <v>-23034.43</v>
      </c>
      <c r="I85" s="132">
        <f>G85+(0.00158*(E83))</f>
        <v>-13918.3909</v>
      </c>
      <c r="K85" s="132">
        <f>K84-I84</f>
        <v>17806.429999999993</v>
      </c>
      <c r="M85" s="123">
        <f>I85</f>
        <v>-13918.3909</v>
      </c>
      <c r="N85" s="123">
        <f t="shared" ref="N85:N90" si="78">M85-I85</f>
        <v>0</v>
      </c>
      <c r="O85" s="110">
        <v>0</v>
      </c>
    </row>
    <row r="86" spans="1:20" x14ac:dyDescent="0.25">
      <c r="A86" s="28">
        <f t="shared" si="65"/>
        <v>80</v>
      </c>
      <c r="D86" s="109" t="s">
        <v>30</v>
      </c>
      <c r="G86" s="123">
        <v>46422.92</v>
      </c>
      <c r="I86" s="132">
        <f t="shared" ref="I86:I88" si="79">G86</f>
        <v>46422.92</v>
      </c>
      <c r="M86" s="123">
        <f t="shared" ref="M86:M88" si="80">I86</f>
        <v>46422.92</v>
      </c>
      <c r="N86" s="123">
        <f t="shared" si="78"/>
        <v>0</v>
      </c>
      <c r="O86" s="110">
        <v>0</v>
      </c>
    </row>
    <row r="87" spans="1:20" x14ac:dyDescent="0.25">
      <c r="A87" s="28">
        <f t="shared" si="65"/>
        <v>81</v>
      </c>
      <c r="D87" s="109" t="s">
        <v>32</v>
      </c>
      <c r="F87" s="110"/>
      <c r="G87" s="123">
        <f>F87*E87</f>
        <v>0</v>
      </c>
      <c r="I87" s="132">
        <f t="shared" si="79"/>
        <v>0</v>
      </c>
      <c r="M87" s="123">
        <f t="shared" si="80"/>
        <v>0</v>
      </c>
      <c r="N87" s="123">
        <f t="shared" si="78"/>
        <v>0</v>
      </c>
      <c r="O87" s="110">
        <v>0</v>
      </c>
    </row>
    <row r="88" spans="1:20" x14ac:dyDescent="0.25">
      <c r="A88" s="28">
        <f t="shared" si="65"/>
        <v>82</v>
      </c>
      <c r="D88" s="109" t="s">
        <v>41</v>
      </c>
      <c r="G88" s="123">
        <v>0</v>
      </c>
      <c r="I88" s="132">
        <f t="shared" si="79"/>
        <v>0</v>
      </c>
      <c r="M88" s="123">
        <f t="shared" si="80"/>
        <v>0</v>
      </c>
      <c r="N88" s="123"/>
      <c r="O88" s="110"/>
    </row>
    <row r="89" spans="1:20" x14ac:dyDescent="0.25">
      <c r="A89" s="28">
        <f t="shared" si="65"/>
        <v>83</v>
      </c>
      <c r="D89" s="134" t="s">
        <v>8</v>
      </c>
      <c r="E89" s="134"/>
      <c r="F89" s="134"/>
      <c r="G89" s="135">
        <f>SUM(G85:G88)</f>
        <v>23388.489999999998</v>
      </c>
      <c r="H89" s="134"/>
      <c r="I89" s="135">
        <f>SUM(I85:I88)</f>
        <v>32504.5291</v>
      </c>
      <c r="J89" s="134"/>
      <c r="K89" s="134"/>
      <c r="L89" s="134"/>
      <c r="M89" s="135">
        <f>SUM(M85:M88)</f>
        <v>32504.5291</v>
      </c>
      <c r="N89" s="135">
        <f t="shared" si="78"/>
        <v>0</v>
      </c>
      <c r="O89" s="136">
        <f t="shared" ref="O89" si="81">N89-J89</f>
        <v>0</v>
      </c>
    </row>
    <row r="90" spans="1:20" s="5" customFormat="1" ht="26.4" customHeight="1" thickBot="1" x14ac:dyDescent="0.3">
      <c r="A90" s="28">
        <f t="shared" si="65"/>
        <v>84</v>
      </c>
      <c r="C90" s="12"/>
      <c r="D90" s="137" t="s">
        <v>19</v>
      </c>
      <c r="E90" s="137"/>
      <c r="F90" s="137"/>
      <c r="G90" s="138">
        <f>G84+G89</f>
        <v>450882.51324999996</v>
      </c>
      <c r="H90" s="137"/>
      <c r="I90" s="139">
        <f>I89+I84</f>
        <v>450882.51324999996</v>
      </c>
      <c r="J90" s="137"/>
      <c r="K90" s="137"/>
      <c r="L90" s="137"/>
      <c r="M90" s="138">
        <f>M89+M84</f>
        <v>468627.04584999994</v>
      </c>
      <c r="N90" s="138">
        <f t="shared" si="78"/>
        <v>17744.532599999977</v>
      </c>
      <c r="O90" s="140">
        <f>IF(I90=0,0,N90/I90)</f>
        <v>3.9355113757009244E-2</v>
      </c>
      <c r="P90" s="109"/>
      <c r="Q90" s="109"/>
      <c r="R90" s="109"/>
    </row>
    <row r="91" spans="1:20" ht="13.8" thickTop="1" x14ac:dyDescent="0.25">
      <c r="A91" s="28">
        <f t="shared" si="65"/>
        <v>85</v>
      </c>
      <c r="D91" s="109" t="s">
        <v>18</v>
      </c>
      <c r="E91" s="148">
        <f>E83/E81</f>
        <v>240401.875</v>
      </c>
      <c r="G91" s="141">
        <f>G90/E81</f>
        <v>18786.771385416665</v>
      </c>
      <c r="I91" s="141">
        <f>I90/E81</f>
        <v>18786.771385416665</v>
      </c>
      <c r="M91" s="141">
        <f>M90/E81</f>
        <v>19526.126910416664</v>
      </c>
      <c r="N91" s="141">
        <f>M91-I91</f>
        <v>739.35552499999903</v>
      </c>
      <c r="O91" s="124">
        <f>N91/I91</f>
        <v>3.9355113757009244E-2</v>
      </c>
    </row>
    <row r="92" spans="1:20" ht="13.8" thickBot="1" x14ac:dyDescent="0.3">
      <c r="A92" s="28">
        <f t="shared" si="65"/>
        <v>86</v>
      </c>
    </row>
    <row r="93" spans="1:20" x14ac:dyDescent="0.25">
      <c r="A93" s="28">
        <f t="shared" si="65"/>
        <v>87</v>
      </c>
      <c r="B93" s="19" t="s">
        <v>86</v>
      </c>
      <c r="C93" s="20">
        <v>14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1:20" x14ac:dyDescent="0.25">
      <c r="A94" s="28">
        <f t="shared" si="65"/>
        <v>88</v>
      </c>
      <c r="C94" s="2"/>
      <c r="D94" s="109" t="s">
        <v>17</v>
      </c>
      <c r="E94" s="122">
        <v>48</v>
      </c>
      <c r="F94" s="110">
        <f>H94</f>
        <v>1782.73</v>
      </c>
      <c r="G94" s="123">
        <f>F94*E94</f>
        <v>85571.040000000008</v>
      </c>
      <c r="H94" s="110">
        <v>1782.73</v>
      </c>
      <c r="I94" s="123">
        <f>H94*E94</f>
        <v>85571.040000000008</v>
      </c>
      <c r="J94" s="124">
        <f>IF(I98=0,0,I94/I98)</f>
        <v>2.7796454664805938E-2</v>
      </c>
      <c r="K94" s="124"/>
      <c r="L94" s="110">
        <f>ROUND(H94*S98,2)</f>
        <v>1858.6</v>
      </c>
      <c r="M94" s="123">
        <f>L94*E94</f>
        <v>89212.799999999988</v>
      </c>
      <c r="N94" s="123">
        <f>M94-I94</f>
        <v>3641.7599999999802</v>
      </c>
      <c r="O94" s="124">
        <f>IF(I94=0,0,N94/I94)</f>
        <v>4.2558323470183138E-2</v>
      </c>
      <c r="P94" s="124">
        <f>IF(M$98=0,0,M94/M$98)</f>
        <v>2.7798943909136762E-2</v>
      </c>
      <c r="Q94" s="125">
        <f>P94-J94</f>
        <v>2.4892443308242862E-6</v>
      </c>
      <c r="R94" s="125"/>
      <c r="T94" s="4">
        <f t="shared" ref="T94:T97" si="82">L94/H94-1</f>
        <v>4.2558323470183401E-2</v>
      </c>
    </row>
    <row r="95" spans="1:20" x14ac:dyDescent="0.25">
      <c r="A95" s="28">
        <f t="shared" si="65"/>
        <v>89</v>
      </c>
      <c r="D95" s="109" t="s">
        <v>50</v>
      </c>
      <c r="E95" s="122">
        <v>51342558</v>
      </c>
      <c r="F95" s="111">
        <f>H95+0.00158</f>
        <v>4.854E-2</v>
      </c>
      <c r="G95" s="123">
        <f t="shared" ref="G95:G96" si="83">F95*E95</f>
        <v>2492167.7653199998</v>
      </c>
      <c r="H95" s="111">
        <v>4.6960000000000002E-2</v>
      </c>
      <c r="I95" s="123">
        <f t="shared" ref="I95:I96" si="84">H95*E95</f>
        <v>2411046.5236800001</v>
      </c>
      <c r="J95" s="124">
        <f>IF(I99=0,0,I95/I$98)</f>
        <v>0.78319189985547766</v>
      </c>
      <c r="K95" s="124"/>
      <c r="L95" s="126">
        <f>ROUND(H95*S98,5)</f>
        <v>4.8959999999999997E-2</v>
      </c>
      <c r="M95" s="123">
        <f t="shared" ref="M95:M96" si="85">L95*E95</f>
        <v>2513731.63968</v>
      </c>
      <c r="N95" s="123">
        <f t="shared" ref="N95:N104" si="86">M95-I95</f>
        <v>102685.11599999992</v>
      </c>
      <c r="O95" s="124">
        <f t="shared" ref="O95:O96" si="87">IF(I95=0,0,N95/I95)</f>
        <v>4.2589437819420747E-2</v>
      </c>
      <c r="P95" s="124">
        <f>IF(M$98=0,0,M95/M$98)</f>
        <v>0.78328541256508832</v>
      </c>
      <c r="Q95" s="125">
        <f t="shared" ref="Q95:Q98" si="88">P95-J95</f>
        <v>9.3512709610665823E-5</v>
      </c>
      <c r="R95" s="125"/>
      <c r="T95" s="4">
        <f t="shared" si="82"/>
        <v>4.2589437819420706E-2</v>
      </c>
    </row>
    <row r="96" spans="1:20" x14ac:dyDescent="0.25">
      <c r="A96" s="28">
        <f>A94+1</f>
        <v>89</v>
      </c>
      <c r="D96" s="109" t="s">
        <v>87</v>
      </c>
      <c r="E96" s="122">
        <v>93850</v>
      </c>
      <c r="F96" s="110">
        <f>H96</f>
        <v>6.2</v>
      </c>
      <c r="G96" s="123">
        <f t="shared" si="83"/>
        <v>581870</v>
      </c>
      <c r="H96" s="110">
        <v>6.2</v>
      </c>
      <c r="I96" s="123">
        <f t="shared" si="84"/>
        <v>581870</v>
      </c>
      <c r="J96" s="124">
        <f>IF(I99=0,0,I96/I$98)</f>
        <v>0.18901164547971638</v>
      </c>
      <c r="K96" s="124"/>
      <c r="L96" s="110">
        <f>ROUND(H96*S98,2)</f>
        <v>6.46</v>
      </c>
      <c r="M96" s="123">
        <f t="shared" si="85"/>
        <v>606271</v>
      </c>
      <c r="N96" s="123">
        <f t="shared" si="86"/>
        <v>24401</v>
      </c>
      <c r="O96" s="124">
        <f t="shared" si="87"/>
        <v>4.1935483870967745E-2</v>
      </c>
      <c r="P96" s="124">
        <f>IF(M$98=0,0,M96/M$98)</f>
        <v>0.18891564352577495</v>
      </c>
      <c r="Q96" s="125">
        <f t="shared" si="88"/>
        <v>-9.6001953941438067E-5</v>
      </c>
      <c r="R96" s="125"/>
      <c r="T96" s="4">
        <f t="shared" ref="T96" si="89">L96/H96-1</f>
        <v>4.1935483870967794E-2</v>
      </c>
    </row>
    <row r="97" spans="1:23" x14ac:dyDescent="0.25">
      <c r="A97" s="28">
        <f>A95+1</f>
        <v>90</v>
      </c>
      <c r="D97" s="109" t="s">
        <v>88</v>
      </c>
      <c r="E97" s="122">
        <v>0</v>
      </c>
      <c r="F97" s="110">
        <v>8.98</v>
      </c>
      <c r="G97" s="123">
        <f t="shared" ref="G97" si="90">F97*E97</f>
        <v>0</v>
      </c>
      <c r="H97" s="110">
        <v>8.98</v>
      </c>
      <c r="I97" s="123">
        <f t="shared" ref="I97" si="91">H97*E97</f>
        <v>0</v>
      </c>
      <c r="J97" s="124">
        <f>IF(I100=0,0,I97/I$98)</f>
        <v>0</v>
      </c>
      <c r="K97" s="124"/>
      <c r="L97" s="110">
        <f>ROUND(H97*S98,2)</f>
        <v>9.36</v>
      </c>
      <c r="M97" s="123">
        <f t="shared" ref="M97" si="92">L97*E97</f>
        <v>0</v>
      </c>
      <c r="N97" s="123">
        <f t="shared" ref="N97" si="93">M97-I97</f>
        <v>0</v>
      </c>
      <c r="O97" s="124">
        <f t="shared" ref="O97" si="94">IF(I97=0,0,N97/I97)</f>
        <v>0</v>
      </c>
      <c r="P97" s="124">
        <f>IF(M$98=0,0,M97/M$98)</f>
        <v>0</v>
      </c>
      <c r="Q97" s="125">
        <f t="shared" ref="Q97" si="95">P97-J97</f>
        <v>0</v>
      </c>
      <c r="R97" s="125"/>
      <c r="T97" s="4">
        <f t="shared" si="82"/>
        <v>4.231625835189301E-2</v>
      </c>
    </row>
    <row r="98" spans="1:23" s="5" customFormat="1" ht="20.399999999999999" customHeight="1" x14ac:dyDescent="0.25">
      <c r="A98" s="28">
        <f t="shared" si="65"/>
        <v>91</v>
      </c>
      <c r="C98" s="12"/>
      <c r="D98" s="127" t="s">
        <v>6</v>
      </c>
      <c r="E98" s="127"/>
      <c r="F98" s="127"/>
      <c r="G98" s="14">
        <f>SUM(G94:G97)</f>
        <v>3159608.8053199998</v>
      </c>
      <c r="H98" s="127"/>
      <c r="I98" s="14">
        <f>SUM(I94:I97)</f>
        <v>3078487.5636800001</v>
      </c>
      <c r="J98" s="128">
        <f>SUM(J94:J97)</f>
        <v>1</v>
      </c>
      <c r="K98" s="129">
        <f>I98+Summary!I15</f>
        <v>3209509.9336800002</v>
      </c>
      <c r="L98" s="127"/>
      <c r="M98" s="14">
        <f>SUM(M94:M97)</f>
        <v>3209215.4396799998</v>
      </c>
      <c r="N98" s="14">
        <f>SUM(N94:N97)</f>
        <v>130727.8759999999</v>
      </c>
      <c r="O98" s="128">
        <f>IF(I98=0,0,N98/I98)</f>
        <v>4.2464968038957683E-2</v>
      </c>
      <c r="P98" s="128">
        <f>SUM(P94:P97)</f>
        <v>1</v>
      </c>
      <c r="Q98" s="130">
        <f t="shared" si="88"/>
        <v>0</v>
      </c>
      <c r="R98" s="131">
        <f>M98-K98</f>
        <v>-294.49400000041351</v>
      </c>
      <c r="S98" s="5">
        <f>IF(I98=0,0,K98/I98)</f>
        <v>1.0425606299488757</v>
      </c>
      <c r="W98" s="2"/>
    </row>
    <row r="99" spans="1:23" x14ac:dyDescent="0.25">
      <c r="A99" s="28">
        <f t="shared" si="65"/>
        <v>92</v>
      </c>
      <c r="D99" s="109" t="s">
        <v>29</v>
      </c>
      <c r="G99" s="123">
        <v>-207892.12</v>
      </c>
      <c r="I99" s="132">
        <f>G99+(0.00158*(E95))</f>
        <v>-126770.87835999999</v>
      </c>
      <c r="K99" s="132">
        <f>K98-I98</f>
        <v>131022.37000000011</v>
      </c>
      <c r="M99" s="123">
        <f>I99</f>
        <v>-126770.87835999999</v>
      </c>
      <c r="N99" s="123">
        <f t="shared" si="86"/>
        <v>0</v>
      </c>
      <c r="O99" s="110">
        <v>0</v>
      </c>
    </row>
    <row r="100" spans="1:23" x14ac:dyDescent="0.25">
      <c r="A100" s="28">
        <f t="shared" si="65"/>
        <v>93</v>
      </c>
      <c r="D100" s="109" t="s">
        <v>30</v>
      </c>
      <c r="G100" s="123">
        <v>361835.31</v>
      </c>
      <c r="I100" s="132">
        <f t="shared" ref="I100:I102" si="96">G100</f>
        <v>361835.31</v>
      </c>
      <c r="M100" s="123">
        <f t="shared" ref="M100:M102" si="97">I100</f>
        <v>361835.31</v>
      </c>
      <c r="N100" s="123">
        <f t="shared" si="86"/>
        <v>0</v>
      </c>
      <c r="O100" s="110">
        <v>0</v>
      </c>
    </row>
    <row r="101" spans="1:23" x14ac:dyDescent="0.25">
      <c r="A101" s="28">
        <f t="shared" si="65"/>
        <v>94</v>
      </c>
      <c r="D101" s="109" t="s">
        <v>32</v>
      </c>
      <c r="G101" s="123">
        <v>0</v>
      </c>
      <c r="I101" s="132">
        <f t="shared" si="96"/>
        <v>0</v>
      </c>
      <c r="M101" s="123">
        <f t="shared" si="97"/>
        <v>0</v>
      </c>
      <c r="N101" s="123">
        <f t="shared" si="86"/>
        <v>0</v>
      </c>
      <c r="O101" s="110">
        <v>0</v>
      </c>
    </row>
    <row r="102" spans="1:23" x14ac:dyDescent="0.25">
      <c r="A102" s="28">
        <f t="shared" si="65"/>
        <v>95</v>
      </c>
      <c r="D102" s="109" t="s">
        <v>41</v>
      </c>
      <c r="G102" s="123">
        <v>0</v>
      </c>
      <c r="I102" s="132">
        <f t="shared" si="96"/>
        <v>0</v>
      </c>
      <c r="M102" s="123">
        <f t="shared" si="97"/>
        <v>0</v>
      </c>
      <c r="N102" s="123"/>
      <c r="O102" s="110"/>
    </row>
    <row r="103" spans="1:23" x14ac:dyDescent="0.25">
      <c r="A103" s="28">
        <f t="shared" si="65"/>
        <v>96</v>
      </c>
      <c r="D103" s="134" t="s">
        <v>8</v>
      </c>
      <c r="E103" s="134"/>
      <c r="F103" s="134"/>
      <c r="G103" s="135">
        <f>SUM(G99:G102)</f>
        <v>153943.19</v>
      </c>
      <c r="H103" s="134"/>
      <c r="I103" s="135">
        <f>SUM(I99:I102)</f>
        <v>235064.43164000002</v>
      </c>
      <c r="J103" s="134"/>
      <c r="K103" s="134"/>
      <c r="L103" s="134"/>
      <c r="M103" s="135">
        <f>SUM(M99:M102)</f>
        <v>235064.43164000002</v>
      </c>
      <c r="N103" s="135">
        <f t="shared" si="86"/>
        <v>0</v>
      </c>
      <c r="O103" s="136">
        <f t="shared" ref="O103" si="98">N103-J103</f>
        <v>0</v>
      </c>
    </row>
    <row r="104" spans="1:23" s="5" customFormat="1" ht="26.4" customHeight="1" thickBot="1" x14ac:dyDescent="0.3">
      <c r="A104" s="28">
        <f t="shared" si="65"/>
        <v>97</v>
      </c>
      <c r="C104" s="12"/>
      <c r="D104" s="137" t="s">
        <v>19</v>
      </c>
      <c r="E104" s="137"/>
      <c r="F104" s="137"/>
      <c r="G104" s="138">
        <f>G98+G103</f>
        <v>3313551.9953199998</v>
      </c>
      <c r="H104" s="137"/>
      <c r="I104" s="139">
        <f>I103+I98</f>
        <v>3313551.9953200002</v>
      </c>
      <c r="J104" s="137"/>
      <c r="K104" s="137"/>
      <c r="L104" s="137"/>
      <c r="M104" s="138">
        <f>M103+M98</f>
        <v>3444279.8713199999</v>
      </c>
      <c r="N104" s="138">
        <f t="shared" si="86"/>
        <v>130727.8759999997</v>
      </c>
      <c r="O104" s="140">
        <f>IF(I104=0,0,N104/I104)</f>
        <v>3.9452489710328172E-2</v>
      </c>
      <c r="P104" s="109"/>
      <c r="Q104" s="109"/>
      <c r="R104" s="109"/>
    </row>
    <row r="105" spans="1:23" ht="13.8" thickTop="1" x14ac:dyDescent="0.25">
      <c r="A105" s="28">
        <f t="shared" si="65"/>
        <v>98</v>
      </c>
      <c r="D105" s="149"/>
      <c r="E105" s="150">
        <f>E95/E94</f>
        <v>1069636.625</v>
      </c>
      <c r="F105" s="150"/>
      <c r="G105" s="150">
        <f>G104/E94</f>
        <v>69032.333235833328</v>
      </c>
      <c r="H105" s="150"/>
      <c r="I105" s="150">
        <f>I104/E94</f>
        <v>69032.333235833343</v>
      </c>
      <c r="J105" s="150"/>
      <c r="K105" s="150"/>
      <c r="L105" s="150"/>
      <c r="M105" s="150">
        <f>M104/E94</f>
        <v>71755.830652499993</v>
      </c>
      <c r="N105" s="150">
        <f>M105-I105</f>
        <v>2723.4974166666507</v>
      </c>
      <c r="O105" s="149"/>
      <c r="P105" s="149"/>
      <c r="Q105" s="149"/>
    </row>
    <row r="106" spans="1:23" ht="13.8" thickBot="1" x14ac:dyDescent="0.3">
      <c r="A106" s="28">
        <f t="shared" si="65"/>
        <v>99</v>
      </c>
    </row>
    <row r="107" spans="1:23" x14ac:dyDescent="0.25">
      <c r="A107" s="28">
        <f t="shared" si="65"/>
        <v>100</v>
      </c>
      <c r="B107" s="19" t="s">
        <v>89</v>
      </c>
      <c r="C107" s="20">
        <v>15</v>
      </c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1:23" x14ac:dyDescent="0.25">
      <c r="A108" s="28">
        <f t="shared" si="65"/>
        <v>101</v>
      </c>
      <c r="C108" s="2"/>
      <c r="D108" s="109" t="s">
        <v>17</v>
      </c>
      <c r="E108" s="122">
        <v>12</v>
      </c>
      <c r="F108" s="110">
        <f>H108</f>
        <v>3421.91</v>
      </c>
      <c r="G108" s="123">
        <f>F108*E108</f>
        <v>41062.92</v>
      </c>
      <c r="H108" s="110">
        <v>3421.91</v>
      </c>
      <c r="I108" s="123">
        <f>H108*E108</f>
        <v>41062.92</v>
      </c>
      <c r="J108" s="124">
        <f>I108/I112</f>
        <v>1.8217483922040686E-2</v>
      </c>
      <c r="K108" s="124"/>
      <c r="L108" s="110">
        <f>ROUND(H108*S112,2)</f>
        <v>3567.55</v>
      </c>
      <c r="M108" s="123">
        <f>L108*E108</f>
        <v>42810.600000000006</v>
      </c>
      <c r="N108" s="123">
        <f>M108-I108</f>
        <v>1747.6800000000076</v>
      </c>
      <c r="O108" s="124">
        <f>IF(I108=0,0,N108/I108)</f>
        <v>4.2561025859827011E-2</v>
      </c>
      <c r="P108" s="124">
        <f>M108/M$112</f>
        <v>1.822063494626364E-2</v>
      </c>
      <c r="Q108" s="125">
        <f>P108-J108</f>
        <v>3.1510242229533525E-6</v>
      </c>
      <c r="R108" s="125"/>
      <c r="T108" s="4">
        <f t="shared" ref="T108:T111" si="99">L108/H108-1</f>
        <v>4.2561025859827017E-2</v>
      </c>
    </row>
    <row r="109" spans="1:23" x14ac:dyDescent="0.25">
      <c r="A109" s="28">
        <f>A107+1</f>
        <v>101</v>
      </c>
      <c r="D109" s="109" t="s">
        <v>87</v>
      </c>
      <c r="E109" s="122">
        <v>63900</v>
      </c>
      <c r="F109" s="110">
        <f>H109</f>
        <v>6.2</v>
      </c>
      <c r="G109" s="123">
        <f t="shared" ref="G109" si="100">F109*E109</f>
        <v>396180</v>
      </c>
      <c r="H109" s="110">
        <v>6.2</v>
      </c>
      <c r="I109" s="123">
        <f t="shared" ref="I109" si="101">H109*E109</f>
        <v>396180</v>
      </c>
      <c r="J109" s="124">
        <f>I109/I112</f>
        <v>0.17576447997936043</v>
      </c>
      <c r="K109" s="124"/>
      <c r="L109" s="110">
        <f>ROUND(H109*S$112,2)</f>
        <v>6.46</v>
      </c>
      <c r="M109" s="123">
        <f t="shared" ref="M109" si="102">L109*E109</f>
        <v>412794</v>
      </c>
      <c r="N109" s="123">
        <f t="shared" ref="N109" si="103">M109-I109</f>
        <v>16614</v>
      </c>
      <c r="O109" s="124">
        <f t="shared" ref="O109" si="104">IF(I109=0,0,N109/I109)</f>
        <v>4.1935483870967745E-2</v>
      </c>
      <c r="P109" s="124">
        <f>M109/M$112</f>
        <v>0.17568940360583482</v>
      </c>
      <c r="Q109" s="125">
        <f t="shared" ref="Q109" si="105">P109-J109</f>
        <v>-7.5076373525606588E-5</v>
      </c>
      <c r="R109" s="125"/>
      <c r="T109" s="4">
        <f t="shared" si="99"/>
        <v>4.1935483870967794E-2</v>
      </c>
    </row>
    <row r="110" spans="1:23" x14ac:dyDescent="0.25">
      <c r="A110" s="28">
        <f>A108+1</f>
        <v>102</v>
      </c>
      <c r="D110" s="109" t="s">
        <v>88</v>
      </c>
      <c r="E110" s="122"/>
      <c r="F110" s="110">
        <f>H110</f>
        <v>8.98</v>
      </c>
      <c r="G110" s="123">
        <f t="shared" ref="G110" si="106">F110*E110</f>
        <v>0</v>
      </c>
      <c r="H110" s="110">
        <v>8.98</v>
      </c>
      <c r="I110" s="123">
        <f t="shared" ref="I110" si="107">H110*E110</f>
        <v>0</v>
      </c>
      <c r="J110" s="124">
        <f>I110/I112</f>
        <v>0</v>
      </c>
      <c r="K110" s="124"/>
      <c r="L110" s="110">
        <f>ROUND(H110*S$112,2)</f>
        <v>9.36</v>
      </c>
      <c r="M110" s="123">
        <f t="shared" ref="M110" si="108">L110*E110</f>
        <v>0</v>
      </c>
      <c r="N110" s="123">
        <f t="shared" ref="N110" si="109">M110-I110</f>
        <v>0</v>
      </c>
      <c r="O110" s="124">
        <f t="shared" ref="O110" si="110">IF(I110=0,0,N110/I110)</f>
        <v>0</v>
      </c>
      <c r="P110" s="124">
        <f>M110/M$112</f>
        <v>0</v>
      </c>
      <c r="Q110" s="125">
        <f t="shared" ref="Q110" si="111">P110-J110</f>
        <v>0</v>
      </c>
      <c r="R110" s="125"/>
      <c r="T110" s="4">
        <f t="shared" ref="T110" si="112">L110/H110-1</f>
        <v>4.231625835189301E-2</v>
      </c>
    </row>
    <row r="111" spans="1:23" x14ac:dyDescent="0.25">
      <c r="A111" s="28">
        <f t="shared" si="65"/>
        <v>103</v>
      </c>
      <c r="B111" s="62"/>
      <c r="D111" s="109" t="s">
        <v>50</v>
      </c>
      <c r="E111" s="122">
        <v>42398976</v>
      </c>
      <c r="F111" s="111">
        <f>H111+0.00158</f>
        <v>4.4429999999999997E-2</v>
      </c>
      <c r="G111" s="123">
        <f t="shared" ref="G111" si="113">F111*E111</f>
        <v>1883786.5036799998</v>
      </c>
      <c r="H111" s="111">
        <v>4.2849999999999999E-2</v>
      </c>
      <c r="I111" s="123">
        <f t="shared" ref="I111" si="114">H111*E111</f>
        <v>1816796.1216</v>
      </c>
      <c r="J111" s="124">
        <f>I111/I112</f>
        <v>0.80601803609859879</v>
      </c>
      <c r="K111" s="124"/>
      <c r="L111" s="126">
        <f>ROUND(H111*S112,5)</f>
        <v>4.4670000000000001E-2</v>
      </c>
      <c r="M111" s="123">
        <f t="shared" ref="M111" si="115">L111*E111</f>
        <v>1893962.25792</v>
      </c>
      <c r="N111" s="123">
        <f t="shared" ref="N111:N119" si="116">M111-I111</f>
        <v>77166.136320000049</v>
      </c>
      <c r="O111" s="124">
        <f t="shared" ref="O111" si="117">IF(I111=0,0,N111/I111)</f>
        <v>4.247374562427074E-2</v>
      </c>
      <c r="P111" s="124">
        <f>M111/M$112</f>
        <v>0.80608996144790157</v>
      </c>
      <c r="Q111" s="125">
        <f t="shared" ref="Q111:Q112" si="118">P111-J111</f>
        <v>7.1925349302781605E-5</v>
      </c>
      <c r="R111" s="125"/>
      <c r="T111" s="4">
        <f t="shared" si="99"/>
        <v>4.2473745624270753E-2</v>
      </c>
    </row>
    <row r="112" spans="1:23" s="5" customFormat="1" ht="20.399999999999999" customHeight="1" x14ac:dyDescent="0.3">
      <c r="A112" s="28">
        <f t="shared" si="65"/>
        <v>104</v>
      </c>
      <c r="C112" s="12"/>
      <c r="D112" s="127" t="s">
        <v>6</v>
      </c>
      <c r="E112" s="127"/>
      <c r="F112" s="127"/>
      <c r="G112" s="14">
        <f>SUM(G108:G111)</f>
        <v>2321029.42368</v>
      </c>
      <c r="H112" s="127"/>
      <c r="I112" s="14">
        <f>SUM(I108:I111)</f>
        <v>2254039.0416000001</v>
      </c>
      <c r="J112" s="128">
        <f>SUM(J108:J111)</f>
        <v>0.99999999999999989</v>
      </c>
      <c r="K112" s="129">
        <f>I112+Summary!I16</f>
        <v>2349972.3615999999</v>
      </c>
      <c r="L112" s="127"/>
      <c r="M112" s="14">
        <f>SUM(M108:M111)</f>
        <v>2349566.8579199999</v>
      </c>
      <c r="N112" s="14">
        <f>SUM(N108:N111)</f>
        <v>95527.816320000056</v>
      </c>
      <c r="O112" s="128">
        <f t="shared" ref="O112" si="119">N112/I112</f>
        <v>4.2380728353396617E-2</v>
      </c>
      <c r="P112" s="128">
        <f>SUM(P108:P111)</f>
        <v>1</v>
      </c>
      <c r="Q112" s="130">
        <f t="shared" si="118"/>
        <v>0</v>
      </c>
      <c r="R112" s="131">
        <f>M112-K112</f>
        <v>-405.50368000008166</v>
      </c>
      <c r="S112" s="5">
        <f>K112/I112</f>
        <v>1.0425606292657215</v>
      </c>
    </row>
    <row r="113" spans="1:25" x14ac:dyDescent="0.25">
      <c r="A113" s="28">
        <f t="shared" si="65"/>
        <v>105</v>
      </c>
      <c r="D113" s="109" t="s">
        <v>29</v>
      </c>
      <c r="G113" s="123">
        <v>-172185.03</v>
      </c>
      <c r="I113" s="132">
        <f>G113+(0.00158*E111)</f>
        <v>-105194.64792</v>
      </c>
      <c r="K113" s="132">
        <f>K112-I112</f>
        <v>95933.319999999832</v>
      </c>
      <c r="M113" s="123">
        <f>I113</f>
        <v>-105194.64792</v>
      </c>
      <c r="N113" s="123">
        <f t="shared" si="116"/>
        <v>0</v>
      </c>
      <c r="O113" s="110">
        <v>0</v>
      </c>
    </row>
    <row r="114" spans="1:25" x14ac:dyDescent="0.25">
      <c r="A114" s="28">
        <f t="shared" si="65"/>
        <v>106</v>
      </c>
      <c r="D114" s="109" t="s">
        <v>30</v>
      </c>
      <c r="G114" s="123">
        <v>254607.13</v>
      </c>
      <c r="I114" s="132">
        <f t="shared" ref="I114:I116" si="120">G114</f>
        <v>254607.13</v>
      </c>
      <c r="M114" s="123">
        <f t="shared" ref="M114:M116" si="121">I114</f>
        <v>254607.13</v>
      </c>
      <c r="N114" s="123">
        <f t="shared" si="116"/>
        <v>0</v>
      </c>
      <c r="O114" s="110">
        <v>0</v>
      </c>
    </row>
    <row r="115" spans="1:25" x14ac:dyDescent="0.25">
      <c r="A115" s="28">
        <f t="shared" si="65"/>
        <v>107</v>
      </c>
      <c r="D115" s="109" t="s">
        <v>32</v>
      </c>
      <c r="G115" s="123">
        <v>0</v>
      </c>
      <c r="I115" s="132">
        <f t="shared" si="120"/>
        <v>0</v>
      </c>
      <c r="M115" s="123">
        <f t="shared" si="121"/>
        <v>0</v>
      </c>
      <c r="N115" s="123">
        <f t="shared" si="116"/>
        <v>0</v>
      </c>
      <c r="O115" s="110">
        <v>0</v>
      </c>
    </row>
    <row r="116" spans="1:25" x14ac:dyDescent="0.25">
      <c r="A116" s="28">
        <f t="shared" si="65"/>
        <v>108</v>
      </c>
      <c r="D116" s="109" t="s">
        <v>41</v>
      </c>
      <c r="G116" s="123">
        <v>0</v>
      </c>
      <c r="I116" s="132">
        <f t="shared" si="120"/>
        <v>0</v>
      </c>
      <c r="M116" s="123">
        <f t="shared" si="121"/>
        <v>0</v>
      </c>
      <c r="N116" s="123"/>
      <c r="O116" s="110"/>
    </row>
    <row r="117" spans="1:25" x14ac:dyDescent="0.25">
      <c r="A117" s="28">
        <f t="shared" si="65"/>
        <v>109</v>
      </c>
      <c r="D117" s="134" t="s">
        <v>8</v>
      </c>
      <c r="E117" s="134"/>
      <c r="F117" s="134"/>
      <c r="G117" s="135">
        <f>SUM(G113:G116)</f>
        <v>82422.100000000006</v>
      </c>
      <c r="H117" s="134"/>
      <c r="I117" s="135">
        <f>SUM(I113:I116)</f>
        <v>149412.48207999999</v>
      </c>
      <c r="J117" s="134"/>
      <c r="K117" s="134"/>
      <c r="L117" s="134"/>
      <c r="M117" s="135">
        <f>SUM(M113:M116)</f>
        <v>149412.48207999999</v>
      </c>
      <c r="N117" s="135">
        <f t="shared" si="116"/>
        <v>0</v>
      </c>
      <c r="O117" s="136">
        <f t="shared" ref="O117" si="122">N117-J117</f>
        <v>0</v>
      </c>
    </row>
    <row r="118" spans="1:25" s="5" customFormat="1" ht="26.4" customHeight="1" thickBot="1" x14ac:dyDescent="0.3">
      <c r="A118" s="28">
        <f t="shared" si="65"/>
        <v>110</v>
      </c>
      <c r="C118" s="12"/>
      <c r="D118" s="137" t="s">
        <v>19</v>
      </c>
      <c r="E118" s="137"/>
      <c r="F118" s="137"/>
      <c r="G118" s="138">
        <f>G112+G117</f>
        <v>2403451.5236800001</v>
      </c>
      <c r="H118" s="137"/>
      <c r="I118" s="139">
        <f>I117+I112</f>
        <v>2403451.5236800001</v>
      </c>
      <c r="J118" s="137"/>
      <c r="K118" s="137"/>
      <c r="L118" s="137"/>
      <c r="M118" s="138">
        <f>M117+M112</f>
        <v>2498979.34</v>
      </c>
      <c r="N118" s="138">
        <f t="shared" si="116"/>
        <v>95527.816319999751</v>
      </c>
      <c r="O118" s="140">
        <f>N118/I118</f>
        <v>3.9746096552733506E-2</v>
      </c>
      <c r="P118" s="109"/>
      <c r="Q118" s="109"/>
      <c r="R118" s="109"/>
    </row>
    <row r="119" spans="1:25" ht="13.8" thickTop="1" x14ac:dyDescent="0.25">
      <c r="A119" s="28">
        <f t="shared" si="65"/>
        <v>111</v>
      </c>
      <c r="D119" s="109" t="s">
        <v>18</v>
      </c>
      <c r="E119" s="110">
        <f>E111/E108</f>
        <v>3533248</v>
      </c>
      <c r="G119" s="141">
        <f>G118/E108</f>
        <v>200287.62697333333</v>
      </c>
      <c r="I119" s="141">
        <f>I118/E108</f>
        <v>200287.62697333333</v>
      </c>
      <c r="M119" s="141">
        <f>M118/E108</f>
        <v>208248.27833333332</v>
      </c>
      <c r="N119" s="141">
        <f t="shared" si="116"/>
        <v>7960.6513599999889</v>
      </c>
      <c r="O119" s="124">
        <f>N119/I119</f>
        <v>3.9746096552733562E-2</v>
      </c>
    </row>
    <row r="120" spans="1:25" ht="13.8" thickBot="1" x14ac:dyDescent="0.3">
      <c r="A120" s="28">
        <f t="shared" si="65"/>
        <v>112</v>
      </c>
    </row>
    <row r="121" spans="1:25" x14ac:dyDescent="0.25">
      <c r="A121" s="28">
        <f t="shared" si="65"/>
        <v>113</v>
      </c>
      <c r="B121" s="19" t="s">
        <v>94</v>
      </c>
      <c r="C121" s="20">
        <v>25</v>
      </c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X121" s="5"/>
      <c r="Y121" s="5"/>
    </row>
    <row r="122" spans="1:25" x14ac:dyDescent="0.25">
      <c r="A122" s="28">
        <f t="shared" si="65"/>
        <v>114</v>
      </c>
      <c r="C122" s="2"/>
      <c r="D122" s="109" t="s">
        <v>17</v>
      </c>
      <c r="E122" s="122">
        <v>12</v>
      </c>
      <c r="F122" s="110">
        <f>H122</f>
        <v>3421.91</v>
      </c>
      <c r="G122" s="123">
        <f>F122*E122</f>
        <v>41062.92</v>
      </c>
      <c r="H122" s="110">
        <v>3421.91</v>
      </c>
      <c r="I122" s="123">
        <f>H122*E122</f>
        <v>41062.92</v>
      </c>
      <c r="J122" s="124">
        <f>I122/I126</f>
        <v>1.6698402924064215E-2</v>
      </c>
      <c r="K122" s="124"/>
      <c r="L122" s="110">
        <f>ROUND(H122*S126,2)</f>
        <v>3567.55</v>
      </c>
      <c r="M122" s="123">
        <f>L122*E122</f>
        <v>42810.600000000006</v>
      </c>
      <c r="N122" s="123">
        <f>M122-I122</f>
        <v>1747.6800000000076</v>
      </c>
      <c r="O122" s="124">
        <f>IF(I122=0,0,N122/I122)</f>
        <v>4.2561025859827011E-2</v>
      </c>
      <c r="P122" s="124">
        <f>M122/M$126</f>
        <v>1.6699239697947042E-2</v>
      </c>
      <c r="Q122" s="125">
        <f>P122-J122</f>
        <v>8.367738828264637E-7</v>
      </c>
      <c r="R122" s="125"/>
      <c r="T122" s="4">
        <f t="shared" ref="T122:T125" si="123">L122/H122-1</f>
        <v>4.2561025859827017E-2</v>
      </c>
      <c r="V122" s="30"/>
      <c r="X122" s="5"/>
      <c r="Y122" s="5"/>
    </row>
    <row r="123" spans="1:25" x14ac:dyDescent="0.25">
      <c r="A123" s="28">
        <f t="shared" si="65"/>
        <v>115</v>
      </c>
      <c r="D123" s="109" t="s">
        <v>87</v>
      </c>
      <c r="E123" s="122">
        <v>69000</v>
      </c>
      <c r="F123" s="110">
        <f>H123</f>
        <v>6.2</v>
      </c>
      <c r="G123" s="123">
        <f t="shared" ref="G123:G125" si="124">F123*E123</f>
        <v>427800</v>
      </c>
      <c r="H123" s="110">
        <v>6.2</v>
      </c>
      <c r="I123" s="123">
        <f>H123*E123</f>
        <v>427800</v>
      </c>
      <c r="J123" s="124">
        <f>I123/I126</f>
        <v>0.17396660468653158</v>
      </c>
      <c r="K123" s="124"/>
      <c r="L123" s="110">
        <f>ROUND(H123*S126,2)</f>
        <v>6.46</v>
      </c>
      <c r="M123" s="123">
        <f t="shared" ref="M123:M125" si="125">L123*E123</f>
        <v>445740</v>
      </c>
      <c r="N123" s="123">
        <f t="shared" ref="N123:N129" si="126">M123-I123</f>
        <v>17940</v>
      </c>
      <c r="O123" s="124">
        <f t="shared" ref="O123:O125" si="127">IF(I123=0,0,N123/I123)</f>
        <v>4.1935483870967745E-2</v>
      </c>
      <c r="P123" s="124">
        <f>M123/M$126</f>
        <v>0.17387093623922378</v>
      </c>
      <c r="Q123" s="125">
        <f t="shared" ref="Q123:Q126" si="128">P123-J123</f>
        <v>-9.5668447307795113E-5</v>
      </c>
      <c r="R123" s="125"/>
      <c r="T123" s="4">
        <f t="shared" si="123"/>
        <v>4.1935483870967794E-2</v>
      </c>
      <c r="X123" s="5"/>
      <c r="Y123" s="5"/>
    </row>
    <row r="124" spans="1:25" x14ac:dyDescent="0.25">
      <c r="A124" s="28">
        <f t="shared" si="65"/>
        <v>116</v>
      </c>
      <c r="D124" s="109" t="s">
        <v>88</v>
      </c>
      <c r="E124" s="122">
        <v>0</v>
      </c>
      <c r="F124" s="110">
        <f>H124</f>
        <v>8.98</v>
      </c>
      <c r="G124" s="123">
        <f t="shared" ref="G124" si="129">F124*E124</f>
        <v>0</v>
      </c>
      <c r="H124" s="110">
        <v>8.98</v>
      </c>
      <c r="I124" s="123">
        <f>H124*E124</f>
        <v>0</v>
      </c>
      <c r="J124" s="124">
        <f>I124/I127</f>
        <v>0</v>
      </c>
      <c r="K124" s="124"/>
      <c r="L124" s="110">
        <f>ROUND(H124*S126,2)</f>
        <v>9.36</v>
      </c>
      <c r="M124" s="123">
        <f t="shared" ref="M124" si="130">L124*E124</f>
        <v>0</v>
      </c>
      <c r="N124" s="123">
        <f t="shared" ref="N124" si="131">M124-I124</f>
        <v>0</v>
      </c>
      <c r="O124" s="124">
        <f t="shared" ref="O124" si="132">IF(I124=0,0,N124/I124)</f>
        <v>0</v>
      </c>
      <c r="P124" s="124">
        <f>M124/M$126</f>
        <v>0</v>
      </c>
      <c r="Q124" s="125">
        <f t="shared" ref="Q124" si="133">P124-J124</f>
        <v>0</v>
      </c>
      <c r="R124" s="125"/>
      <c r="T124" s="4">
        <f t="shared" ref="T124" si="134">L124/H124-1</f>
        <v>4.231625835189301E-2</v>
      </c>
      <c r="X124" s="5"/>
      <c r="Y124" s="5"/>
    </row>
    <row r="125" spans="1:25" x14ac:dyDescent="0.25">
      <c r="A125" s="28">
        <f>A123+1</f>
        <v>116</v>
      </c>
      <c r="D125" s="109" t="s">
        <v>50</v>
      </c>
      <c r="E125" s="122">
        <v>48483063</v>
      </c>
      <c r="F125" s="111">
        <f>H125+0.00158</f>
        <v>4.2630000000000001E-2</v>
      </c>
      <c r="G125" s="123">
        <f t="shared" si="124"/>
        <v>2066832.97569</v>
      </c>
      <c r="H125" s="111">
        <v>4.1050000000000003E-2</v>
      </c>
      <c r="I125" s="123">
        <f t="shared" ref="I125" si="135">H125*E125</f>
        <v>1990229.7361500002</v>
      </c>
      <c r="J125" s="124">
        <f>I125/I126</f>
        <v>0.80933499238940421</v>
      </c>
      <c r="K125" s="124"/>
      <c r="L125" s="126">
        <f>ROUND(H125*S126,5)</f>
        <v>4.2799999999999998E-2</v>
      </c>
      <c r="M125" s="123">
        <f t="shared" si="125"/>
        <v>2075075.0963999999</v>
      </c>
      <c r="N125" s="123">
        <f t="shared" si="126"/>
        <v>84845.360249999678</v>
      </c>
      <c r="O125" s="124">
        <f t="shared" si="127"/>
        <v>4.2630937880633206E-2</v>
      </c>
      <c r="P125" s="124">
        <f>M125/M$126</f>
        <v>0.80942982406282926</v>
      </c>
      <c r="Q125" s="125">
        <f t="shared" si="128"/>
        <v>9.4831673425055385E-5</v>
      </c>
      <c r="R125" s="125"/>
      <c r="T125" s="4">
        <f t="shared" si="123"/>
        <v>4.2630937880633324E-2</v>
      </c>
      <c r="X125" s="5"/>
      <c r="Y125" s="5"/>
    </row>
    <row r="126" spans="1:25" s="5" customFormat="1" ht="20.399999999999999" customHeight="1" x14ac:dyDescent="0.3">
      <c r="A126" s="28">
        <f t="shared" si="65"/>
        <v>117</v>
      </c>
      <c r="C126" s="12"/>
      <c r="D126" s="127" t="s">
        <v>6</v>
      </c>
      <c r="E126" s="127"/>
      <c r="F126" s="127"/>
      <c r="G126" s="14">
        <f>SUM(G122:G125)</f>
        <v>2535695.8956900002</v>
      </c>
      <c r="H126" s="127"/>
      <c r="I126" s="14">
        <f>SUM(I122:I125)</f>
        <v>2459092.6561500002</v>
      </c>
      <c r="J126" s="128">
        <f>SUM(J122:J125)</f>
        <v>1</v>
      </c>
      <c r="K126" s="129">
        <f>I126+Summary!I17</f>
        <v>2563753.18615</v>
      </c>
      <c r="L126" s="127"/>
      <c r="M126" s="14">
        <f>SUM(M122:M125)</f>
        <v>2563625.6963999998</v>
      </c>
      <c r="N126" s="14">
        <f>SUM(N122:N125)</f>
        <v>104533.04024999969</v>
      </c>
      <c r="O126" s="128">
        <f t="shared" ref="O126" si="136">N126/I126</f>
        <v>4.2508784688763415E-2</v>
      </c>
      <c r="P126" s="128">
        <f>SUM(P122:P125)</f>
        <v>1</v>
      </c>
      <c r="Q126" s="130">
        <f t="shared" si="128"/>
        <v>0</v>
      </c>
      <c r="R126" s="131">
        <f>M126-K126</f>
        <v>-127.48975000018254</v>
      </c>
      <c r="S126" s="74">
        <f>K126/I126</f>
        <v>1.0425606289125593</v>
      </c>
    </row>
    <row r="127" spans="1:25" x14ac:dyDescent="0.25">
      <c r="A127" s="28">
        <f t="shared" si="65"/>
        <v>118</v>
      </c>
      <c r="D127" s="109" t="s">
        <v>29</v>
      </c>
      <c r="G127" s="123">
        <v>-194100.67</v>
      </c>
      <c r="I127" s="132">
        <f>G127+(0.00158*E125)</f>
        <v>-117497.43046000002</v>
      </c>
      <c r="K127" s="132">
        <f>K126-I126</f>
        <v>104660.5299999998</v>
      </c>
      <c r="M127" s="123">
        <f>I127</f>
        <v>-117497.43046000002</v>
      </c>
      <c r="N127" s="123">
        <f t="shared" si="126"/>
        <v>0</v>
      </c>
      <c r="O127" s="110">
        <v>0</v>
      </c>
      <c r="X127" s="5"/>
      <c r="Y127" s="5"/>
    </row>
    <row r="128" spans="1:25" x14ac:dyDescent="0.25">
      <c r="A128" s="28">
        <f t="shared" si="65"/>
        <v>119</v>
      </c>
      <c r="D128" s="109" t="s">
        <v>30</v>
      </c>
      <c r="G128" s="123">
        <v>288381.84999999998</v>
      </c>
      <c r="I128" s="132">
        <f t="shared" ref="I128:I130" si="137">G128</f>
        <v>288381.84999999998</v>
      </c>
      <c r="M128" s="123">
        <f t="shared" ref="M128:M130" si="138">I128</f>
        <v>288381.84999999998</v>
      </c>
      <c r="N128" s="123">
        <f t="shared" si="126"/>
        <v>0</v>
      </c>
      <c r="O128" s="110">
        <v>0</v>
      </c>
      <c r="X128" s="5"/>
      <c r="Y128" s="5"/>
    </row>
    <row r="129" spans="1:25" x14ac:dyDescent="0.25">
      <c r="A129" s="28">
        <f t="shared" si="65"/>
        <v>120</v>
      </c>
      <c r="D129" s="109" t="s">
        <v>32</v>
      </c>
      <c r="G129" s="123">
        <v>0</v>
      </c>
      <c r="I129" s="132">
        <f t="shared" si="137"/>
        <v>0</v>
      </c>
      <c r="M129" s="123">
        <f t="shared" si="138"/>
        <v>0</v>
      </c>
      <c r="N129" s="123">
        <f t="shared" si="126"/>
        <v>0</v>
      </c>
      <c r="O129" s="110">
        <v>0</v>
      </c>
    </row>
    <row r="130" spans="1:25" x14ac:dyDescent="0.25">
      <c r="A130" s="28">
        <f t="shared" si="65"/>
        <v>121</v>
      </c>
      <c r="D130" s="109" t="s">
        <v>41</v>
      </c>
      <c r="G130" s="123">
        <v>0</v>
      </c>
      <c r="I130" s="132">
        <f t="shared" si="137"/>
        <v>0</v>
      </c>
      <c r="M130" s="123">
        <f t="shared" si="138"/>
        <v>0</v>
      </c>
      <c r="N130" s="123"/>
      <c r="O130" s="110"/>
    </row>
    <row r="131" spans="1:25" x14ac:dyDescent="0.25">
      <c r="A131" s="28">
        <f t="shared" si="65"/>
        <v>122</v>
      </c>
      <c r="D131" s="134" t="s">
        <v>8</v>
      </c>
      <c r="E131" s="134"/>
      <c r="F131" s="134"/>
      <c r="G131" s="135">
        <f>SUM(G127:G130)</f>
        <v>94281.179999999964</v>
      </c>
      <c r="H131" s="134"/>
      <c r="I131" s="135">
        <f>SUM(I127:I130)</f>
        <v>170884.41953999997</v>
      </c>
      <c r="J131" s="134"/>
      <c r="K131" s="134"/>
      <c r="L131" s="134"/>
      <c r="M131" s="135">
        <f>SUM(M127:M130)</f>
        <v>170884.41953999997</v>
      </c>
      <c r="N131" s="135">
        <f t="shared" ref="N131:N132" si="139">M131-I131</f>
        <v>0</v>
      </c>
      <c r="O131" s="136">
        <f t="shared" ref="O131" si="140">N131-J131</f>
        <v>0</v>
      </c>
    </row>
    <row r="132" spans="1:25" s="5" customFormat="1" ht="26.4" customHeight="1" thickBot="1" x14ac:dyDescent="0.3">
      <c r="A132" s="28">
        <f t="shared" si="65"/>
        <v>123</v>
      </c>
      <c r="C132" s="12"/>
      <c r="D132" s="137" t="s">
        <v>19</v>
      </c>
      <c r="E132" s="137"/>
      <c r="F132" s="137"/>
      <c r="G132" s="138">
        <f>G126+G131</f>
        <v>2629977.0756900003</v>
      </c>
      <c r="H132" s="137"/>
      <c r="I132" s="139">
        <f>I131+I126</f>
        <v>2629977.0756900003</v>
      </c>
      <c r="J132" s="137"/>
      <c r="K132" s="137"/>
      <c r="L132" s="137"/>
      <c r="M132" s="138">
        <f>M131+M126</f>
        <v>2734510.1159399999</v>
      </c>
      <c r="N132" s="138">
        <f t="shared" si="139"/>
        <v>104533.04024999961</v>
      </c>
      <c r="O132" s="140">
        <f>N132/I132</f>
        <v>3.9746749588140173E-2</v>
      </c>
      <c r="P132" s="109"/>
      <c r="Q132" s="109"/>
      <c r="R132" s="109"/>
    </row>
    <row r="133" spans="1:25" ht="13.8" thickTop="1" x14ac:dyDescent="0.25">
      <c r="A133" s="28">
        <f t="shared" si="65"/>
        <v>124</v>
      </c>
      <c r="E133" s="150">
        <f>E125/E122</f>
        <v>4040255.25</v>
      </c>
      <c r="F133" s="150"/>
      <c r="G133" s="150">
        <f>G132/E122</f>
        <v>219164.75630750004</v>
      </c>
      <c r="H133" s="150"/>
      <c r="I133" s="150">
        <f>I132/E122</f>
        <v>219164.75630750004</v>
      </c>
      <c r="J133" s="150"/>
      <c r="K133" s="150"/>
      <c r="L133" s="150"/>
      <c r="M133" s="150">
        <f>M132/E122</f>
        <v>227875.84299499998</v>
      </c>
      <c r="N133" s="150">
        <f>M133-I133</f>
        <v>8711.0866874999483</v>
      </c>
      <c r="O133" s="124"/>
    </row>
    <row r="134" spans="1:25" ht="13.8" thickBot="1" x14ac:dyDescent="0.3">
      <c r="A134" s="28">
        <f t="shared" si="65"/>
        <v>125</v>
      </c>
    </row>
    <row r="135" spans="1:25" x14ac:dyDescent="0.25">
      <c r="A135" s="28">
        <f t="shared" si="65"/>
        <v>126</v>
      </c>
      <c r="B135" s="19" t="s">
        <v>90</v>
      </c>
      <c r="C135" s="20">
        <v>36</v>
      </c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1:25" x14ac:dyDescent="0.25">
      <c r="A136" s="28">
        <f t="shared" si="65"/>
        <v>127</v>
      </c>
      <c r="C136" s="2"/>
      <c r="D136" s="109" t="s">
        <v>17</v>
      </c>
      <c r="E136" s="122">
        <v>12</v>
      </c>
      <c r="F136" s="110">
        <f>H136</f>
        <v>963.14</v>
      </c>
      <c r="G136" s="123">
        <f>F136*E136</f>
        <v>11557.68</v>
      </c>
      <c r="H136" s="110">
        <v>963.14</v>
      </c>
      <c r="I136" s="123">
        <f>H136*E136</f>
        <v>11557.68</v>
      </c>
      <c r="J136" s="124">
        <f>I136/I139</f>
        <v>1.1985726266858931E-2</v>
      </c>
      <c r="K136" s="124"/>
      <c r="L136" s="110">
        <f>ROUND(H136*S139,2)</f>
        <v>1004.13</v>
      </c>
      <c r="M136" s="123">
        <f>L136*E136</f>
        <v>12049.56</v>
      </c>
      <c r="N136" s="123">
        <f t="shared" ref="N136:N142" si="141">M136-I136</f>
        <v>491.8799999999992</v>
      </c>
      <c r="O136" s="124">
        <f>IF(I136=0,0,N136/I136)</f>
        <v>4.2558714205619047E-2</v>
      </c>
      <c r="P136" s="124">
        <f>M136/M139</f>
        <v>1.1987294929778335E-2</v>
      </c>
      <c r="Q136" s="125">
        <f>P136-J136</f>
        <v>1.5686629194038015E-6</v>
      </c>
      <c r="R136" s="125"/>
      <c r="T136" s="4">
        <f>L136/H136-1</f>
        <v>4.2558714205619186E-2</v>
      </c>
    </row>
    <row r="137" spans="1:25" x14ac:dyDescent="0.25">
      <c r="A137" s="28">
        <f t="shared" si="65"/>
        <v>128</v>
      </c>
      <c r="D137" s="109" t="s">
        <v>51</v>
      </c>
      <c r="E137" s="122">
        <v>33489</v>
      </c>
      <c r="F137" s="110">
        <f>H137</f>
        <v>9.4499999999999993</v>
      </c>
      <c r="G137" s="123">
        <f t="shared" ref="G137" si="142">F137*E137</f>
        <v>316471.05</v>
      </c>
      <c r="H137" s="110">
        <v>9.4499999999999993</v>
      </c>
      <c r="I137" s="123">
        <f t="shared" ref="I137:I138" si="143">H137*E137</f>
        <v>316471.05</v>
      </c>
      <c r="J137" s="124">
        <f>I137/I139</f>
        <v>0.32819176311209736</v>
      </c>
      <c r="K137" s="124"/>
      <c r="L137" s="110">
        <f>ROUND(H137*S139,2)</f>
        <v>9.85</v>
      </c>
      <c r="M137" s="123">
        <f t="shared" ref="M137:M138" si="144">L137*E137</f>
        <v>329866.64999999997</v>
      </c>
      <c r="N137" s="123">
        <f t="shared" si="141"/>
        <v>13395.599999999977</v>
      </c>
      <c r="O137" s="124">
        <f t="shared" ref="O137" si="145">IF(I137=0,0,N137/I137)</f>
        <v>4.2328042328042256E-2</v>
      </c>
      <c r="P137" s="124">
        <f>M137/M139</f>
        <v>0.3281620923127454</v>
      </c>
      <c r="Q137" s="125">
        <f t="shared" ref="Q137" si="146">P137-J137</f>
        <v>-2.9670799351955157E-5</v>
      </c>
      <c r="R137" s="125"/>
      <c r="T137" s="4">
        <f t="shared" ref="T137" si="147">L137/H137-1</f>
        <v>4.2328042328042326E-2</v>
      </c>
      <c r="X137" s="5"/>
      <c r="Y137" s="5"/>
    </row>
    <row r="138" spans="1:25" x14ac:dyDescent="0.25">
      <c r="A138" s="28">
        <f t="shared" si="65"/>
        <v>129</v>
      </c>
      <c r="B138" s="10"/>
      <c r="D138" s="109" t="s">
        <v>50</v>
      </c>
      <c r="E138" s="122">
        <v>14372222</v>
      </c>
      <c r="F138" s="111">
        <f>H138+0.00158</f>
        <v>4.5849999999999995E-2</v>
      </c>
      <c r="G138" s="123">
        <f t="shared" ref="G138" si="148">F138*E138</f>
        <v>658966.37869999988</v>
      </c>
      <c r="H138" s="111">
        <v>4.4269999999999997E-2</v>
      </c>
      <c r="I138" s="123">
        <f t="shared" si="143"/>
        <v>636258.26793999993</v>
      </c>
      <c r="J138" s="124">
        <f>I138/I139</f>
        <v>0.65982251062104369</v>
      </c>
      <c r="K138" s="124"/>
      <c r="L138" s="126">
        <f>ROUND(H138*S139,5)</f>
        <v>4.6149999999999997E-2</v>
      </c>
      <c r="M138" s="123">
        <f t="shared" si="144"/>
        <v>663278.0453</v>
      </c>
      <c r="N138" s="123">
        <f t="shared" si="141"/>
        <v>27019.777360000066</v>
      </c>
      <c r="O138" s="124">
        <f t="shared" ref="O138" si="149">IF(I138=0,0,N138/I138)</f>
        <v>4.2466681725773767E-2</v>
      </c>
      <c r="P138" s="124">
        <f>M138/M139</f>
        <v>0.65985061275747625</v>
      </c>
      <c r="Q138" s="125">
        <f t="shared" ref="Q138:Q139" si="150">P138-J138</f>
        <v>2.8102136432561764E-5</v>
      </c>
      <c r="R138" s="125"/>
      <c r="T138" s="4">
        <f>L138/H138-1</f>
        <v>4.2466681725773725E-2</v>
      </c>
    </row>
    <row r="139" spans="1:25" s="5" customFormat="1" ht="20.399999999999999" customHeight="1" x14ac:dyDescent="0.3">
      <c r="A139" s="28">
        <f t="shared" si="65"/>
        <v>130</v>
      </c>
      <c r="C139" s="12"/>
      <c r="D139" s="127" t="s">
        <v>6</v>
      </c>
      <c r="E139" s="127"/>
      <c r="F139" s="127"/>
      <c r="G139" s="14">
        <f>SUM(G136:G138)</f>
        <v>986995.10869999987</v>
      </c>
      <c r="H139" s="127"/>
      <c r="I139" s="14">
        <f>SUM(I136:I138)</f>
        <v>964286.99793999991</v>
      </c>
      <c r="J139" s="128">
        <f>SUM(J136:J138)</f>
        <v>1</v>
      </c>
      <c r="K139" s="129">
        <f>I139+Summary!I18</f>
        <v>1005327.6579399999</v>
      </c>
      <c r="L139" s="127"/>
      <c r="M139" s="14">
        <f>SUM(M136:M138)</f>
        <v>1005194.2553</v>
      </c>
      <c r="N139" s="14">
        <f>SUM(N136:N138)</f>
        <v>40907.25736000004</v>
      </c>
      <c r="O139" s="128">
        <f t="shared" ref="O139" si="151">N139/I139</f>
        <v>4.2422284493506546E-2</v>
      </c>
      <c r="P139" s="128">
        <f>SUM(P136:P138)</f>
        <v>1</v>
      </c>
      <c r="Q139" s="130">
        <f t="shared" si="150"/>
        <v>0</v>
      </c>
      <c r="R139" s="131">
        <f>M139-K139</f>
        <v>-133.40263999998569</v>
      </c>
      <c r="S139" s="74">
        <f>K139/I139</f>
        <v>1.042560627787863</v>
      </c>
    </row>
    <row r="140" spans="1:25" x14ac:dyDescent="0.25">
      <c r="A140" s="28">
        <f t="shared" ref="A140:A203" si="152">A139+1</f>
        <v>131</v>
      </c>
      <c r="D140" s="109" t="s">
        <v>29</v>
      </c>
      <c r="G140" s="123">
        <v>-57124.01</v>
      </c>
      <c r="I140" s="132">
        <f>G140+(0.00158*E138)</f>
        <v>-34415.899239999999</v>
      </c>
      <c r="K140" s="132">
        <f>K139-I139</f>
        <v>41040.660000000033</v>
      </c>
      <c r="M140" s="123">
        <f>I140</f>
        <v>-34415.899239999999</v>
      </c>
      <c r="N140" s="123">
        <f t="shared" si="141"/>
        <v>0</v>
      </c>
      <c r="O140" s="110">
        <v>0</v>
      </c>
      <c r="R140" s="133"/>
    </row>
    <row r="141" spans="1:25" x14ac:dyDescent="0.25">
      <c r="A141" s="28">
        <f t="shared" si="152"/>
        <v>132</v>
      </c>
      <c r="D141" s="109" t="s">
        <v>30</v>
      </c>
      <c r="G141" s="123">
        <v>107432.37</v>
      </c>
      <c r="I141" s="132">
        <f>G141</f>
        <v>107432.37</v>
      </c>
      <c r="M141" s="123">
        <f t="shared" ref="M141:M143" si="153">I141</f>
        <v>107432.37</v>
      </c>
      <c r="N141" s="123">
        <f t="shared" si="141"/>
        <v>0</v>
      </c>
      <c r="O141" s="110">
        <v>0</v>
      </c>
    </row>
    <row r="142" spans="1:25" x14ac:dyDescent="0.25">
      <c r="A142" s="28">
        <f t="shared" si="152"/>
        <v>133</v>
      </c>
      <c r="D142" s="109" t="s">
        <v>42</v>
      </c>
      <c r="G142" s="123">
        <v>0</v>
      </c>
      <c r="I142" s="132">
        <f>G142</f>
        <v>0</v>
      </c>
      <c r="M142" s="123">
        <f t="shared" si="153"/>
        <v>0</v>
      </c>
      <c r="N142" s="123">
        <f t="shared" si="141"/>
        <v>0</v>
      </c>
      <c r="O142" s="110">
        <v>0</v>
      </c>
    </row>
    <row r="143" spans="1:25" x14ac:dyDescent="0.25">
      <c r="A143" s="28">
        <f t="shared" si="152"/>
        <v>134</v>
      </c>
      <c r="D143" s="109" t="s">
        <v>41</v>
      </c>
      <c r="G143" s="123">
        <v>0</v>
      </c>
      <c r="I143" s="132">
        <f>G143</f>
        <v>0</v>
      </c>
      <c r="M143" s="123">
        <f t="shared" si="153"/>
        <v>0</v>
      </c>
      <c r="N143" s="123"/>
      <c r="O143" s="110">
        <v>0</v>
      </c>
    </row>
    <row r="144" spans="1:25" x14ac:dyDescent="0.25">
      <c r="A144" s="28">
        <f t="shared" si="152"/>
        <v>135</v>
      </c>
      <c r="D144" s="134" t="s">
        <v>8</v>
      </c>
      <c r="E144" s="134"/>
      <c r="F144" s="134"/>
      <c r="G144" s="135">
        <f>SUM(G140:G143)</f>
        <v>50308.359999999993</v>
      </c>
      <c r="H144" s="134"/>
      <c r="I144" s="135">
        <f>SUM(I140:I143)</f>
        <v>73016.470759999997</v>
      </c>
      <c r="J144" s="134"/>
      <c r="K144" s="134"/>
      <c r="L144" s="134"/>
      <c r="M144" s="135">
        <f>SUM(M140:M143)</f>
        <v>73016.470759999997</v>
      </c>
      <c r="N144" s="135">
        <f>M144-I144</f>
        <v>0</v>
      </c>
      <c r="O144" s="136">
        <v>0</v>
      </c>
    </row>
    <row r="145" spans="1:20" s="5" customFormat="1" ht="26.4" customHeight="1" thickBot="1" x14ac:dyDescent="0.3">
      <c r="A145" s="28">
        <f t="shared" si="152"/>
        <v>136</v>
      </c>
      <c r="C145" s="12"/>
      <c r="D145" s="137" t="s">
        <v>19</v>
      </c>
      <c r="E145" s="137"/>
      <c r="F145" s="137"/>
      <c r="G145" s="138">
        <f>G139+G144</f>
        <v>1037303.4686999999</v>
      </c>
      <c r="H145" s="137"/>
      <c r="I145" s="139">
        <f>I144+I139</f>
        <v>1037303.4686999999</v>
      </c>
      <c r="J145" s="137"/>
      <c r="K145" s="137"/>
      <c r="L145" s="137"/>
      <c r="M145" s="138">
        <f>M144+M139</f>
        <v>1078210.72606</v>
      </c>
      <c r="N145" s="138">
        <f>M145-I145</f>
        <v>40907.257360000163</v>
      </c>
      <c r="O145" s="140">
        <f>N145/I145</f>
        <v>3.9436152094687552E-2</v>
      </c>
      <c r="P145" s="109"/>
      <c r="Q145" s="109"/>
      <c r="R145" s="109"/>
    </row>
    <row r="146" spans="1:20" ht="13.8" thickTop="1" x14ac:dyDescent="0.25">
      <c r="A146" s="28">
        <f t="shared" si="152"/>
        <v>137</v>
      </c>
      <c r="D146" s="109" t="s">
        <v>18</v>
      </c>
      <c r="E146" s="110">
        <f>E138/E136</f>
        <v>1197685.1666666667</v>
      </c>
      <c r="G146" s="141">
        <f>G145/E136</f>
        <v>86441.955724999993</v>
      </c>
      <c r="I146" s="141">
        <f>I145/E136</f>
        <v>86441.955724999993</v>
      </c>
      <c r="M146" s="141">
        <f>M145/E136</f>
        <v>89850.89383833333</v>
      </c>
      <c r="N146" s="141">
        <f>M146-I146</f>
        <v>3408.9381133333372</v>
      </c>
      <c r="O146" s="124">
        <f>N146/I146</f>
        <v>3.9436152094687441E-2</v>
      </c>
    </row>
    <row r="147" spans="1:20" ht="13.8" thickBot="1" x14ac:dyDescent="0.3">
      <c r="A147" s="28">
        <f t="shared" si="152"/>
        <v>138</v>
      </c>
    </row>
    <row r="148" spans="1:20" x14ac:dyDescent="0.25">
      <c r="A148" s="28">
        <f t="shared" si="152"/>
        <v>139</v>
      </c>
      <c r="B148" s="19" t="s">
        <v>91</v>
      </c>
      <c r="C148" s="20">
        <v>41</v>
      </c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1:20" x14ac:dyDescent="0.25">
      <c r="A149" s="28">
        <f t="shared" si="152"/>
        <v>140</v>
      </c>
      <c r="C149" s="2"/>
      <c r="D149" s="109" t="s">
        <v>17</v>
      </c>
      <c r="E149" s="122">
        <v>567</v>
      </c>
      <c r="F149" s="110">
        <f>F8</f>
        <v>8.84</v>
      </c>
      <c r="G149" s="123">
        <f>F149*E149</f>
        <v>5012.28</v>
      </c>
      <c r="H149" s="110">
        <f>H8</f>
        <v>8.84</v>
      </c>
      <c r="I149" s="123">
        <f>H149*E149</f>
        <v>5012.28</v>
      </c>
      <c r="J149" s="124">
        <f>I149/I151</f>
        <v>7.5845175443944673E-2</v>
      </c>
      <c r="K149" s="124"/>
      <c r="L149" s="110">
        <f>L8</f>
        <v>9.2200000000000006</v>
      </c>
      <c r="M149" s="123">
        <f>L149*E149</f>
        <v>5227.7400000000007</v>
      </c>
      <c r="N149" s="123">
        <f>M149-I149</f>
        <v>215.46000000000095</v>
      </c>
      <c r="O149" s="124">
        <f>IF(I149=0,0,N149/I149)</f>
        <v>4.298642533936671E-2</v>
      </c>
      <c r="P149" s="124">
        <f>M149/M151</f>
        <v>7.5875249774281825E-2</v>
      </c>
      <c r="Q149" s="125">
        <f>P149-J149</f>
        <v>3.0074330337151456E-5</v>
      </c>
      <c r="R149" s="125"/>
      <c r="T149" s="4">
        <f>L149/H149-1</f>
        <v>4.2986425339366585E-2</v>
      </c>
    </row>
    <row r="150" spans="1:20" x14ac:dyDescent="0.25">
      <c r="A150" s="28">
        <f t="shared" si="152"/>
        <v>141</v>
      </c>
      <c r="D150" s="109" t="s">
        <v>50</v>
      </c>
      <c r="E150" s="122">
        <v>809348</v>
      </c>
      <c r="F150" s="111">
        <f>F9</f>
        <v>7.7039999999999997E-2</v>
      </c>
      <c r="G150" s="123">
        <f t="shared" ref="G150" si="154">F150*E150</f>
        <v>62352.16992</v>
      </c>
      <c r="H150" s="142">
        <f>H9</f>
        <v>7.5459999999999999E-2</v>
      </c>
      <c r="I150" s="123">
        <f t="shared" ref="I150" si="155">H150*E150</f>
        <v>61073.400079999999</v>
      </c>
      <c r="J150" s="124">
        <f>I150/I151</f>
        <v>0.92415482455605524</v>
      </c>
      <c r="K150" s="124"/>
      <c r="L150" s="111">
        <f>L9</f>
        <v>7.8670000000000004E-2</v>
      </c>
      <c r="M150" s="123">
        <f t="shared" ref="M150" si="156">L150*E150</f>
        <v>63671.407160000002</v>
      </c>
      <c r="N150" s="123">
        <f t="shared" ref="N150:N154" si="157">M150-I150</f>
        <v>2598.007080000003</v>
      </c>
      <c r="O150" s="124">
        <f t="shared" ref="O150" si="158">IF(I150=0,0,N150/I150)</f>
        <v>4.2539093559501771E-2</v>
      </c>
      <c r="P150" s="124">
        <f>M150/M151</f>
        <v>0.92412475022571816</v>
      </c>
      <c r="Q150" s="125">
        <f t="shared" ref="Q150:Q151" si="159">P150-J150</f>
        <v>-3.0074330337082067E-5</v>
      </c>
      <c r="R150" s="125"/>
      <c r="T150" s="4">
        <f>L150/H150-1</f>
        <v>4.2539093559501806E-2</v>
      </c>
    </row>
    <row r="151" spans="1:20" s="5" customFormat="1" ht="20.399999999999999" customHeight="1" x14ac:dyDescent="0.3">
      <c r="A151" s="28">
        <f t="shared" si="152"/>
        <v>142</v>
      </c>
      <c r="C151" s="12"/>
      <c r="D151" s="127" t="s">
        <v>6</v>
      </c>
      <c r="E151" s="127"/>
      <c r="F151" s="127"/>
      <c r="G151" s="14">
        <f>SUM(G149:G150)</f>
        <v>67364.449919999999</v>
      </c>
      <c r="H151" s="127"/>
      <c r="I151" s="14">
        <f>SUM(I149:I150)</f>
        <v>66085.680080000006</v>
      </c>
      <c r="J151" s="128">
        <f>SUM(J149:J150)</f>
        <v>0.99999999999999989</v>
      </c>
      <c r="K151" s="129">
        <f>I151+Summary!I19</f>
        <v>68898.33008</v>
      </c>
      <c r="L151" s="127"/>
      <c r="M151" s="14">
        <f>SUM(M149:M150)</f>
        <v>68899.147160000008</v>
      </c>
      <c r="N151" s="14">
        <f>SUM(N149:N150)</f>
        <v>2813.467080000004</v>
      </c>
      <c r="O151" s="128">
        <f t="shared" ref="O151" si="160">N151/I151</f>
        <v>4.2573021516827278E-2</v>
      </c>
      <c r="P151" s="128">
        <f>SUM(P149:P150)</f>
        <v>1</v>
      </c>
      <c r="Q151" s="130">
        <f t="shared" si="159"/>
        <v>0</v>
      </c>
      <c r="R151" s="131">
        <f>M151-K151</f>
        <v>0.81708000000799075</v>
      </c>
      <c r="S151" s="74">
        <f>K151/I151</f>
        <v>1.0425606575674964</v>
      </c>
    </row>
    <row r="152" spans="1:20" x14ac:dyDescent="0.25">
      <c r="A152" s="28">
        <f t="shared" si="152"/>
        <v>143</v>
      </c>
      <c r="D152" s="109" t="s">
        <v>29</v>
      </c>
      <c r="G152" s="123">
        <v>-2931.47</v>
      </c>
      <c r="I152" s="132">
        <f>G152+(0.00158*(E150))</f>
        <v>-1652.7001599999999</v>
      </c>
      <c r="K152" s="132">
        <f>K151-I151</f>
        <v>2812.6499999999942</v>
      </c>
      <c r="M152" s="123">
        <f>I152</f>
        <v>-1652.7001599999999</v>
      </c>
      <c r="N152" s="123">
        <f t="shared" si="157"/>
        <v>0</v>
      </c>
      <c r="O152" s="110">
        <v>0</v>
      </c>
    </row>
    <row r="153" spans="1:20" x14ac:dyDescent="0.25">
      <c r="A153" s="28">
        <f t="shared" si="152"/>
        <v>144</v>
      </c>
      <c r="D153" s="109" t="s">
        <v>30</v>
      </c>
      <c r="G153" s="123">
        <v>6817.93</v>
      </c>
      <c r="I153" s="132">
        <f t="shared" ref="I153:I155" si="161">G153</f>
        <v>6817.93</v>
      </c>
      <c r="M153" s="123">
        <f t="shared" ref="M153:M155" si="162">I153</f>
        <v>6817.93</v>
      </c>
      <c r="N153" s="123">
        <f t="shared" si="157"/>
        <v>0</v>
      </c>
      <c r="O153" s="110">
        <v>0</v>
      </c>
    </row>
    <row r="154" spans="1:20" x14ac:dyDescent="0.25">
      <c r="A154" s="28">
        <f t="shared" si="152"/>
        <v>145</v>
      </c>
      <c r="D154" s="109" t="s">
        <v>32</v>
      </c>
      <c r="G154" s="123">
        <v>0</v>
      </c>
      <c r="I154" s="132">
        <f t="shared" si="161"/>
        <v>0</v>
      </c>
      <c r="M154" s="123">
        <f t="shared" si="162"/>
        <v>0</v>
      </c>
      <c r="N154" s="123">
        <f t="shared" si="157"/>
        <v>0</v>
      </c>
      <c r="O154" s="110">
        <v>0</v>
      </c>
    </row>
    <row r="155" spans="1:20" x14ac:dyDescent="0.25">
      <c r="A155" s="28">
        <f t="shared" si="152"/>
        <v>146</v>
      </c>
      <c r="D155" s="109" t="s">
        <v>41</v>
      </c>
      <c r="G155" s="123">
        <v>0</v>
      </c>
      <c r="I155" s="132">
        <f t="shared" si="161"/>
        <v>0</v>
      </c>
      <c r="M155" s="123">
        <f t="shared" si="162"/>
        <v>0</v>
      </c>
      <c r="N155" s="123"/>
      <c r="O155" s="110"/>
    </row>
    <row r="156" spans="1:20" x14ac:dyDescent="0.25">
      <c r="A156" s="28">
        <f t="shared" si="152"/>
        <v>147</v>
      </c>
      <c r="D156" s="134" t="s">
        <v>8</v>
      </c>
      <c r="E156" s="134"/>
      <c r="F156" s="134"/>
      <c r="G156" s="135">
        <f>SUM(G152:G155)</f>
        <v>3886.4600000000005</v>
      </c>
      <c r="H156" s="134"/>
      <c r="I156" s="135">
        <f>SUM(I152:I155)</f>
        <v>5165.22984</v>
      </c>
      <c r="J156" s="134"/>
      <c r="K156" s="134"/>
      <c r="L156" s="134"/>
      <c r="M156" s="135">
        <f>SUM(M152:M155)</f>
        <v>5165.22984</v>
      </c>
      <c r="N156" s="135">
        <f t="shared" ref="N156:N158" si="163">M156-I156</f>
        <v>0</v>
      </c>
      <c r="O156" s="136">
        <f t="shared" ref="O156" si="164">N156-J156</f>
        <v>0</v>
      </c>
    </row>
    <row r="157" spans="1:20" s="5" customFormat="1" ht="26.4" customHeight="1" thickBot="1" x14ac:dyDescent="0.3">
      <c r="A157" s="28">
        <f t="shared" si="152"/>
        <v>148</v>
      </c>
      <c r="C157" s="12"/>
      <c r="D157" s="137" t="s">
        <v>19</v>
      </c>
      <c r="E157" s="137"/>
      <c r="F157" s="137"/>
      <c r="G157" s="138">
        <f>G151+G156</f>
        <v>71250.909920000006</v>
      </c>
      <c r="H157" s="137"/>
      <c r="I157" s="139">
        <f>I156+I151</f>
        <v>71250.909920000006</v>
      </c>
      <c r="J157" s="137"/>
      <c r="K157" s="137"/>
      <c r="L157" s="137"/>
      <c r="M157" s="138">
        <f>M156+M151</f>
        <v>74064.377000000008</v>
      </c>
      <c r="N157" s="138">
        <f t="shared" si="163"/>
        <v>2813.4670800000022</v>
      </c>
      <c r="O157" s="140">
        <f>N157/I157</f>
        <v>3.9486752985455793E-2</v>
      </c>
      <c r="P157" s="109"/>
      <c r="Q157" s="109"/>
      <c r="R157" s="109"/>
    </row>
    <row r="158" spans="1:20" ht="13.8" thickTop="1" x14ac:dyDescent="0.25">
      <c r="A158" s="28">
        <f t="shared" si="152"/>
        <v>149</v>
      </c>
      <c r="D158" s="109" t="s">
        <v>18</v>
      </c>
      <c r="E158" s="110">
        <f>E150/E149</f>
        <v>1427.42151675485</v>
      </c>
      <c r="G158" s="141">
        <f>G157/E149</f>
        <v>125.6629804585538</v>
      </c>
      <c r="I158" s="141">
        <f>I157/E149</f>
        <v>125.6629804585538</v>
      </c>
      <c r="M158" s="141">
        <f>M157/E149</f>
        <v>130.62500352733687</v>
      </c>
      <c r="N158" s="141">
        <f t="shared" si="163"/>
        <v>4.9620230687830684</v>
      </c>
      <c r="O158" s="124">
        <f>N158/I158</f>
        <v>3.9486752985455759E-2</v>
      </c>
    </row>
    <row r="159" spans="1:20" ht="13.8" thickBot="1" x14ac:dyDescent="0.3">
      <c r="A159" s="28">
        <f t="shared" si="152"/>
        <v>150</v>
      </c>
    </row>
    <row r="160" spans="1:20" x14ac:dyDescent="0.25">
      <c r="A160" s="28">
        <f t="shared" si="152"/>
        <v>151</v>
      </c>
      <c r="B160" s="19" t="s">
        <v>92</v>
      </c>
      <c r="C160" s="20">
        <v>43</v>
      </c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1:20" x14ac:dyDescent="0.25">
      <c r="A161" s="28">
        <f t="shared" si="152"/>
        <v>152</v>
      </c>
      <c r="C161" s="2"/>
      <c r="D161" s="109" t="s">
        <v>17</v>
      </c>
      <c r="E161" s="122">
        <v>12</v>
      </c>
      <c r="F161" s="110">
        <v>0</v>
      </c>
      <c r="G161" s="123">
        <f>F161*E161</f>
        <v>0</v>
      </c>
      <c r="H161" s="110">
        <v>0</v>
      </c>
      <c r="I161" s="123">
        <f>H161*E161</f>
        <v>0</v>
      </c>
      <c r="J161" s="124">
        <f>I161/I164</f>
        <v>0</v>
      </c>
      <c r="K161" s="124"/>
      <c r="L161" s="110">
        <v>0</v>
      </c>
      <c r="M161" s="123">
        <f>L161*E161</f>
        <v>0</v>
      </c>
      <c r="N161" s="123">
        <f>M161-I161</f>
        <v>0</v>
      </c>
      <c r="O161" s="124">
        <f>IF(I161=0,0,N161/I161)</f>
        <v>0</v>
      </c>
      <c r="P161" s="124">
        <f>M161/M164</f>
        <v>0</v>
      </c>
      <c r="Q161" s="125">
        <f>P161-J161</f>
        <v>0</v>
      </c>
      <c r="R161" s="125"/>
      <c r="T161" s="4"/>
    </row>
    <row r="162" spans="1:20" x14ac:dyDescent="0.25">
      <c r="A162" s="28">
        <f t="shared" si="152"/>
        <v>153</v>
      </c>
      <c r="D162" s="109" t="s">
        <v>51</v>
      </c>
      <c r="E162" s="122">
        <v>4075.92</v>
      </c>
      <c r="F162" s="110">
        <f>F58</f>
        <v>6.7</v>
      </c>
      <c r="G162" s="123">
        <f t="shared" ref="G162" si="165">F162*E162</f>
        <v>27308.664000000001</v>
      </c>
      <c r="H162" s="110">
        <f>H58</f>
        <v>6.7</v>
      </c>
      <c r="I162" s="123">
        <f t="shared" ref="I162" si="166">H162*E162</f>
        <v>27308.664000000001</v>
      </c>
      <c r="J162" s="124">
        <f>I162/I164</f>
        <v>0.22368190199235868</v>
      </c>
      <c r="K162" s="124"/>
      <c r="L162" s="110">
        <f>L58</f>
        <v>6.99</v>
      </c>
      <c r="M162" s="123">
        <f t="shared" ref="M162" si="167">L162*E162</f>
        <v>28490.680800000002</v>
      </c>
      <c r="N162" s="123">
        <f t="shared" ref="N162" si="168">M162-I162</f>
        <v>1182.0168000000012</v>
      </c>
      <c r="O162" s="124">
        <f t="shared" ref="O162" si="169">IF(I162=0,0,N162/I162)</f>
        <v>4.3283582089552283E-2</v>
      </c>
      <c r="P162" s="124">
        <f>M162/M164</f>
        <v>0.22380527085911589</v>
      </c>
      <c r="Q162" s="125">
        <f t="shared" ref="Q162" si="170">P162-J162</f>
        <v>1.2336886675720637E-4</v>
      </c>
      <c r="R162" s="125"/>
      <c r="T162" s="4">
        <f>L162/H162-1</f>
        <v>4.3283582089552297E-2</v>
      </c>
    </row>
    <row r="163" spans="1:20" x14ac:dyDescent="0.25">
      <c r="A163" s="28">
        <f t="shared" si="152"/>
        <v>154</v>
      </c>
      <c r="D163" s="109" t="s">
        <v>50</v>
      </c>
      <c r="E163" s="122">
        <v>1544880</v>
      </c>
      <c r="F163" s="111">
        <f>F59</f>
        <v>6.293E-2</v>
      </c>
      <c r="G163" s="123">
        <f t="shared" ref="G163" si="171">F163*E163</f>
        <v>97219.2984</v>
      </c>
      <c r="H163" s="111">
        <f>H59</f>
        <v>6.1350000000000002E-2</v>
      </c>
      <c r="I163" s="123">
        <f t="shared" ref="I163" si="172">H163*E163</f>
        <v>94778.388000000006</v>
      </c>
      <c r="J163" s="124">
        <f>I163/I164</f>
        <v>0.77631809800764129</v>
      </c>
      <c r="K163" s="124"/>
      <c r="L163" s="111">
        <f>L59</f>
        <v>6.3960000000000003E-2</v>
      </c>
      <c r="M163" s="123">
        <f t="shared" ref="M163" si="173">L163*E163</f>
        <v>98810.524799999999</v>
      </c>
      <c r="N163" s="123">
        <f t="shared" ref="N163:N167" si="174">M163-I163</f>
        <v>4032.1367999999929</v>
      </c>
      <c r="O163" s="124">
        <f t="shared" ref="O163" si="175">IF(I163=0,0,N163/I163)</f>
        <v>4.2542787286063491E-2</v>
      </c>
      <c r="P163" s="124">
        <f>M163/M164</f>
        <v>0.77619472914088405</v>
      </c>
      <c r="Q163" s="125">
        <f t="shared" ref="Q163:Q164" si="176">P163-J163</f>
        <v>-1.2336886675723413E-4</v>
      </c>
      <c r="R163" s="125"/>
      <c r="T163" s="4">
        <f>L163/H163-1</f>
        <v>4.2542787286063533E-2</v>
      </c>
    </row>
    <row r="164" spans="1:20" s="5" customFormat="1" ht="20.399999999999999" customHeight="1" x14ac:dyDescent="0.3">
      <c r="A164" s="28">
        <f t="shared" si="152"/>
        <v>155</v>
      </c>
      <c r="C164" s="12"/>
      <c r="D164" s="127" t="s">
        <v>6</v>
      </c>
      <c r="E164" s="127"/>
      <c r="F164" s="127"/>
      <c r="G164" s="14">
        <f>SUM(G161:G163)</f>
        <v>124527.9624</v>
      </c>
      <c r="H164" s="127"/>
      <c r="I164" s="14">
        <f>SUM(I161:I163)</f>
        <v>122087.05200000001</v>
      </c>
      <c r="J164" s="128">
        <f>SUM(J161:J163)</f>
        <v>1</v>
      </c>
      <c r="K164" s="129">
        <f>I164+Summary!I20</f>
        <v>127283.15200000002</v>
      </c>
      <c r="L164" s="127"/>
      <c r="M164" s="14">
        <f>SUM(M161:M163)</f>
        <v>127301.2056</v>
      </c>
      <c r="N164" s="14">
        <f>SUM(N161:N163)</f>
        <v>5214.1535999999942</v>
      </c>
      <c r="O164" s="128">
        <f t="shared" ref="O164" si="177">N164/I164</f>
        <v>4.2708489676693918E-2</v>
      </c>
      <c r="P164" s="128">
        <f>SUM(P161:P163)</f>
        <v>1</v>
      </c>
      <c r="Q164" s="130">
        <f t="shared" si="176"/>
        <v>0</v>
      </c>
      <c r="R164" s="131">
        <f>M164-K164</f>
        <v>18.053599999984726</v>
      </c>
      <c r="S164" s="74">
        <f>K164/I164</f>
        <v>1.0425606148635649</v>
      </c>
    </row>
    <row r="165" spans="1:20" x14ac:dyDescent="0.25">
      <c r="A165" s="28">
        <f t="shared" si="152"/>
        <v>156</v>
      </c>
      <c r="D165" s="109" t="s">
        <v>29</v>
      </c>
      <c r="G165" s="123">
        <v>-6252.08</v>
      </c>
      <c r="I165" s="132">
        <f>G165+(0.00158*(E163))</f>
        <v>-3811.1695999999997</v>
      </c>
      <c r="K165" s="132">
        <f>K164-I164</f>
        <v>5196.1000000000058</v>
      </c>
      <c r="M165" s="123">
        <f>I165</f>
        <v>-3811.1695999999997</v>
      </c>
      <c r="N165" s="123">
        <f t="shared" si="174"/>
        <v>0</v>
      </c>
      <c r="O165" s="110">
        <v>0</v>
      </c>
    </row>
    <row r="166" spans="1:20" x14ac:dyDescent="0.25">
      <c r="A166" s="28">
        <f t="shared" si="152"/>
        <v>157</v>
      </c>
      <c r="D166" s="109" t="s">
        <v>30</v>
      </c>
      <c r="G166" s="123">
        <v>14551.08</v>
      </c>
      <c r="I166" s="132">
        <f t="shared" ref="I166:I168" si="178">G166</f>
        <v>14551.08</v>
      </c>
      <c r="M166" s="123">
        <f t="shared" ref="M166:M168" si="179">I166</f>
        <v>14551.08</v>
      </c>
      <c r="N166" s="123">
        <f t="shared" si="174"/>
        <v>0</v>
      </c>
      <c r="O166" s="110">
        <v>0</v>
      </c>
    </row>
    <row r="167" spans="1:20" x14ac:dyDescent="0.25">
      <c r="A167" s="28">
        <f t="shared" si="152"/>
        <v>158</v>
      </c>
      <c r="D167" s="109" t="s">
        <v>32</v>
      </c>
      <c r="G167" s="123">
        <v>0</v>
      </c>
      <c r="I167" s="132">
        <f t="shared" si="178"/>
        <v>0</v>
      </c>
      <c r="M167" s="123">
        <f t="shared" si="179"/>
        <v>0</v>
      </c>
      <c r="N167" s="123">
        <f t="shared" si="174"/>
        <v>0</v>
      </c>
      <c r="O167" s="110">
        <v>0</v>
      </c>
    </row>
    <row r="168" spans="1:20" x14ac:dyDescent="0.25">
      <c r="A168" s="28">
        <f t="shared" si="152"/>
        <v>159</v>
      </c>
      <c r="D168" s="109" t="s">
        <v>41</v>
      </c>
      <c r="G168" s="123">
        <v>0</v>
      </c>
      <c r="I168" s="132">
        <f t="shared" si="178"/>
        <v>0</v>
      </c>
      <c r="M168" s="123">
        <f t="shared" si="179"/>
        <v>0</v>
      </c>
      <c r="N168" s="123"/>
      <c r="O168" s="110"/>
    </row>
    <row r="169" spans="1:20" x14ac:dyDescent="0.25">
      <c r="A169" s="28">
        <f t="shared" si="152"/>
        <v>160</v>
      </c>
      <c r="D169" s="134" t="s">
        <v>8</v>
      </c>
      <c r="E169" s="134"/>
      <c r="F169" s="134"/>
      <c r="G169" s="135">
        <f>SUM(G165:G168)</f>
        <v>8299</v>
      </c>
      <c r="H169" s="134"/>
      <c r="I169" s="135">
        <f>SUM(I165:I168)</f>
        <v>10739.910400000001</v>
      </c>
      <c r="J169" s="134"/>
      <c r="K169" s="134"/>
      <c r="L169" s="134"/>
      <c r="M169" s="135">
        <f>SUM(M165:M168)</f>
        <v>10739.910400000001</v>
      </c>
      <c r="N169" s="135">
        <f t="shared" ref="N169:N171" si="180">M169-I169</f>
        <v>0</v>
      </c>
      <c r="O169" s="136">
        <f t="shared" ref="O169" si="181">N169-J169</f>
        <v>0</v>
      </c>
    </row>
    <row r="170" spans="1:20" s="5" customFormat="1" ht="26.4" customHeight="1" thickBot="1" x14ac:dyDescent="0.3">
      <c r="A170" s="28">
        <f t="shared" si="152"/>
        <v>161</v>
      </c>
      <c r="C170" s="12"/>
      <c r="D170" s="137" t="s">
        <v>19</v>
      </c>
      <c r="E170" s="137"/>
      <c r="F170" s="137"/>
      <c r="G170" s="138">
        <f>G164+G169</f>
        <v>132826.96240000002</v>
      </c>
      <c r="H170" s="137"/>
      <c r="I170" s="139">
        <f>I169+I164</f>
        <v>132826.96240000002</v>
      </c>
      <c r="J170" s="137"/>
      <c r="K170" s="137"/>
      <c r="L170" s="137"/>
      <c r="M170" s="138">
        <f>M169+M164</f>
        <v>138041.11600000001</v>
      </c>
      <c r="N170" s="138">
        <f t="shared" si="180"/>
        <v>5214.1535999999905</v>
      </c>
      <c r="O170" s="140">
        <f>N170/I170</f>
        <v>3.9255234824221122E-2</v>
      </c>
      <c r="P170" s="109"/>
      <c r="Q170" s="109"/>
      <c r="R170" s="109"/>
    </row>
    <row r="171" spans="1:20" ht="13.8" thickTop="1" x14ac:dyDescent="0.25">
      <c r="A171" s="28">
        <f t="shared" si="152"/>
        <v>162</v>
      </c>
      <c r="D171" s="109" t="s">
        <v>18</v>
      </c>
      <c r="E171" s="110">
        <f>(E163)/E161</f>
        <v>128740</v>
      </c>
      <c r="G171" s="141">
        <f>G170/E161</f>
        <v>11068.913533333334</v>
      </c>
      <c r="I171" s="141">
        <f>I170/E161</f>
        <v>11068.913533333334</v>
      </c>
      <c r="M171" s="141">
        <f>M170/E161</f>
        <v>11503.426333333335</v>
      </c>
      <c r="N171" s="141">
        <f t="shared" si="180"/>
        <v>434.51280000000042</v>
      </c>
      <c r="O171" s="124">
        <f>N171/I171</f>
        <v>3.9255234824221233E-2</v>
      </c>
    </row>
    <row r="172" spans="1:20" ht="13.8" thickBot="1" x14ac:dyDescent="0.3">
      <c r="A172" s="28">
        <f t="shared" si="152"/>
        <v>163</v>
      </c>
    </row>
    <row r="173" spans="1:20" x14ac:dyDescent="0.25">
      <c r="A173" s="28">
        <f t="shared" si="152"/>
        <v>164</v>
      </c>
      <c r="B173" s="19" t="s">
        <v>93</v>
      </c>
      <c r="C173" s="20">
        <v>51</v>
      </c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1:20" x14ac:dyDescent="0.25">
      <c r="A174" s="28">
        <f t="shared" si="152"/>
        <v>165</v>
      </c>
      <c r="C174" s="2"/>
      <c r="D174" s="109" t="s">
        <v>17</v>
      </c>
      <c r="E174" s="122">
        <v>19268</v>
      </c>
      <c r="F174" s="110">
        <f>F8</f>
        <v>8.84</v>
      </c>
      <c r="G174" s="123">
        <f>F174*E174</f>
        <v>170329.12</v>
      </c>
      <c r="H174" s="110">
        <f>H8</f>
        <v>8.84</v>
      </c>
      <c r="I174" s="123">
        <f>H174*E174</f>
        <v>170329.12</v>
      </c>
      <c r="J174" s="124">
        <f>I174/I176</f>
        <v>8.3694876602631307E-2</v>
      </c>
      <c r="K174" s="124"/>
      <c r="L174" s="110">
        <f>L8</f>
        <v>9.2200000000000006</v>
      </c>
      <c r="M174" s="123">
        <f>L174*E174</f>
        <v>177650.96000000002</v>
      </c>
      <c r="N174" s="123">
        <f>M174-I174</f>
        <v>7321.8400000000256</v>
      </c>
      <c r="O174" s="124">
        <f>IF(I174=0,0,N174/I174)</f>
        <v>4.2986425339366668E-2</v>
      </c>
      <c r="P174" s="124">
        <f>M174/M176</f>
        <v>8.3727781519345706E-2</v>
      </c>
      <c r="Q174" s="125">
        <f>P174-J174</f>
        <v>3.2904916714399102E-5</v>
      </c>
      <c r="R174" s="125"/>
      <c r="T174" s="4">
        <f>L174/H174-1</f>
        <v>4.2986425339366585E-2</v>
      </c>
    </row>
    <row r="175" spans="1:20" x14ac:dyDescent="0.25">
      <c r="A175" s="28">
        <f t="shared" si="152"/>
        <v>166</v>
      </c>
      <c r="D175" s="109" t="s">
        <v>50</v>
      </c>
      <c r="E175" s="122">
        <v>24712310</v>
      </c>
      <c r="F175" s="111">
        <f>F9</f>
        <v>7.7039999999999997E-2</v>
      </c>
      <c r="G175" s="123">
        <f t="shared" ref="G175" si="182">F175*E175</f>
        <v>1903836.3624</v>
      </c>
      <c r="H175" s="111">
        <f>H9</f>
        <v>7.5459999999999999E-2</v>
      </c>
      <c r="I175" s="123">
        <f t="shared" ref="I175" si="183">H175*E175</f>
        <v>1864790.9125999999</v>
      </c>
      <c r="J175" s="124">
        <f>I175/I176</f>
        <v>0.91630512339736869</v>
      </c>
      <c r="K175" s="124"/>
      <c r="L175" s="111">
        <f>L9</f>
        <v>7.8670000000000004E-2</v>
      </c>
      <c r="M175" s="123">
        <f t="shared" ref="M175" si="184">L175*E175</f>
        <v>1944117.4277000001</v>
      </c>
      <c r="N175" s="123">
        <f t="shared" ref="N175:N179" si="185">M175-I175</f>
        <v>79326.515100000193</v>
      </c>
      <c r="O175" s="124">
        <f t="shared" ref="O175" si="186">IF(I175=0,0,N175/I175)</f>
        <v>4.2539093559501827E-2</v>
      </c>
      <c r="P175" s="124">
        <f>M175/M176</f>
        <v>0.91627221848065421</v>
      </c>
      <c r="Q175" s="125">
        <f t="shared" ref="Q175:Q176" si="187">P175-J175</f>
        <v>-3.2904916714482368E-5</v>
      </c>
      <c r="R175" s="125"/>
      <c r="T175" s="4">
        <f>L175/H175-1</f>
        <v>4.2539093559501806E-2</v>
      </c>
    </row>
    <row r="176" spans="1:20" s="5" customFormat="1" ht="20.399999999999999" customHeight="1" x14ac:dyDescent="0.3">
      <c r="A176" s="28">
        <f t="shared" si="152"/>
        <v>167</v>
      </c>
      <c r="C176" s="12"/>
      <c r="D176" s="127" t="s">
        <v>6</v>
      </c>
      <c r="E176" s="127"/>
      <c r="F176" s="127"/>
      <c r="G176" s="14">
        <f>SUM(G174:G175)</f>
        <v>2074165.4824000001</v>
      </c>
      <c r="H176" s="127"/>
      <c r="I176" s="14">
        <f>SUM(I174:I175)</f>
        <v>2035120.0326</v>
      </c>
      <c r="J176" s="128">
        <f>SUM(J174:J175)</f>
        <v>1</v>
      </c>
      <c r="K176" s="129">
        <f>I176+Summary!I21</f>
        <v>2121736.0226000003</v>
      </c>
      <c r="L176" s="127"/>
      <c r="M176" s="14">
        <f>SUM(M174:M175)</f>
        <v>2121768.3877000003</v>
      </c>
      <c r="N176" s="14">
        <f>SUM(N174:N175)</f>
        <v>86648.355100000219</v>
      </c>
      <c r="O176" s="128">
        <f t="shared" ref="O176" si="188">N176/I176</f>
        <v>4.2576532937618046E-2</v>
      </c>
      <c r="P176" s="128">
        <f>SUM(P174:P175)</f>
        <v>0.99999999999999989</v>
      </c>
      <c r="Q176" s="130">
        <f t="shared" si="187"/>
        <v>0</v>
      </c>
      <c r="R176" s="131">
        <f>M176-K176</f>
        <v>32.365100000053644</v>
      </c>
      <c r="S176" s="74">
        <f>K176/I176</f>
        <v>1.0425606296496146</v>
      </c>
    </row>
    <row r="177" spans="1:20" x14ac:dyDescent="0.25">
      <c r="A177" s="28">
        <f t="shared" si="152"/>
        <v>168</v>
      </c>
      <c r="D177" s="109" t="s">
        <v>29</v>
      </c>
      <c r="G177" s="123">
        <v>-100031.28</v>
      </c>
      <c r="I177" s="132">
        <f>G177+(0.00158*(E175))</f>
        <v>-60985.830199999997</v>
      </c>
      <c r="K177" s="132">
        <f>K176-I176</f>
        <v>86615.990000000224</v>
      </c>
      <c r="M177" s="123">
        <f>I177</f>
        <v>-60985.830199999997</v>
      </c>
      <c r="N177" s="123">
        <f t="shared" si="185"/>
        <v>0</v>
      </c>
      <c r="O177" s="110">
        <v>0</v>
      </c>
    </row>
    <row r="178" spans="1:20" x14ac:dyDescent="0.25">
      <c r="A178" s="28">
        <f t="shared" si="152"/>
        <v>169</v>
      </c>
      <c r="D178" s="109" t="s">
        <v>30</v>
      </c>
      <c r="G178" s="123">
        <v>244368.77</v>
      </c>
      <c r="I178" s="132">
        <f t="shared" ref="I178:I180" si="189">G178</f>
        <v>244368.77</v>
      </c>
      <c r="M178" s="123">
        <f t="shared" ref="M178:M180" si="190">I178</f>
        <v>244368.77</v>
      </c>
      <c r="N178" s="123">
        <f t="shared" si="185"/>
        <v>0</v>
      </c>
      <c r="O178" s="110">
        <v>0</v>
      </c>
    </row>
    <row r="179" spans="1:20" x14ac:dyDescent="0.25">
      <c r="A179" s="28">
        <f t="shared" si="152"/>
        <v>170</v>
      </c>
      <c r="D179" s="109" t="s">
        <v>32</v>
      </c>
      <c r="G179" s="123">
        <v>0</v>
      </c>
      <c r="I179" s="132">
        <f t="shared" si="189"/>
        <v>0</v>
      </c>
      <c r="M179" s="123">
        <f t="shared" si="190"/>
        <v>0</v>
      </c>
      <c r="N179" s="123">
        <f t="shared" si="185"/>
        <v>0</v>
      </c>
      <c r="O179" s="110">
        <v>0</v>
      </c>
    </row>
    <row r="180" spans="1:20" x14ac:dyDescent="0.25">
      <c r="A180" s="28">
        <f t="shared" si="152"/>
        <v>171</v>
      </c>
      <c r="D180" s="109" t="s">
        <v>41</v>
      </c>
      <c r="G180" s="123">
        <v>0</v>
      </c>
      <c r="I180" s="132">
        <f t="shared" si="189"/>
        <v>0</v>
      </c>
      <c r="M180" s="123">
        <f t="shared" si="190"/>
        <v>0</v>
      </c>
      <c r="N180" s="123"/>
      <c r="O180" s="110"/>
    </row>
    <row r="181" spans="1:20" x14ac:dyDescent="0.25">
      <c r="A181" s="28">
        <f t="shared" si="152"/>
        <v>172</v>
      </c>
      <c r="D181" s="134" t="s">
        <v>8</v>
      </c>
      <c r="E181" s="134"/>
      <c r="F181" s="134"/>
      <c r="G181" s="135">
        <f>SUM(G177:G180)</f>
        <v>144337.49</v>
      </c>
      <c r="H181" s="134"/>
      <c r="I181" s="135">
        <f>SUM(I177:I180)</f>
        <v>183382.93979999999</v>
      </c>
      <c r="J181" s="134"/>
      <c r="K181" s="134"/>
      <c r="L181" s="134"/>
      <c r="M181" s="135">
        <f>SUM(M177:M180)</f>
        <v>183382.93979999999</v>
      </c>
      <c r="N181" s="135">
        <f t="shared" ref="N181:N183" si="191">M181-I181</f>
        <v>0</v>
      </c>
      <c r="O181" s="136">
        <f t="shared" ref="O181" si="192">N181-J181</f>
        <v>0</v>
      </c>
    </row>
    <row r="182" spans="1:20" s="5" customFormat="1" ht="26.4" customHeight="1" thickBot="1" x14ac:dyDescent="0.3">
      <c r="A182" s="28">
        <f t="shared" si="152"/>
        <v>173</v>
      </c>
      <c r="C182" s="12"/>
      <c r="D182" s="137" t="s">
        <v>19</v>
      </c>
      <c r="E182" s="137"/>
      <c r="F182" s="137"/>
      <c r="G182" s="138">
        <f>G176+G181</f>
        <v>2218502.9724000003</v>
      </c>
      <c r="H182" s="137"/>
      <c r="I182" s="139">
        <f>I181+I176</f>
        <v>2218502.9723999999</v>
      </c>
      <c r="J182" s="137"/>
      <c r="K182" s="137"/>
      <c r="L182" s="137"/>
      <c r="M182" s="138">
        <f>M181+M176</f>
        <v>2305151.3275000001</v>
      </c>
      <c r="N182" s="138">
        <f t="shared" si="191"/>
        <v>86648.355100000277</v>
      </c>
      <c r="O182" s="140">
        <f>N182/I182</f>
        <v>3.905712824277318E-2</v>
      </c>
      <c r="P182" s="109"/>
      <c r="Q182" s="109"/>
      <c r="R182" s="109"/>
    </row>
    <row r="183" spans="1:20" ht="13.8" thickTop="1" x14ac:dyDescent="0.25">
      <c r="A183" s="28">
        <f t="shared" si="152"/>
        <v>174</v>
      </c>
      <c r="D183" s="109" t="s">
        <v>18</v>
      </c>
      <c r="E183" s="110">
        <f>(E175)/E174</f>
        <v>1282.5570894747768</v>
      </c>
      <c r="G183" s="141">
        <f>G182/E174</f>
        <v>115.13924498650614</v>
      </c>
      <c r="I183" s="141">
        <f>I182/E174</f>
        <v>115.13924498650611</v>
      </c>
      <c r="M183" s="141">
        <f>M182/E174</f>
        <v>119.63625324372016</v>
      </c>
      <c r="N183" s="141">
        <f t="shared" si="191"/>
        <v>4.4970082572140484</v>
      </c>
      <c r="O183" s="124">
        <f>N183/I183</f>
        <v>3.905712824277318E-2</v>
      </c>
    </row>
    <row r="184" spans="1:20" ht="13.8" thickBot="1" x14ac:dyDescent="0.3">
      <c r="A184" s="28">
        <f t="shared" si="152"/>
        <v>175</v>
      </c>
    </row>
    <row r="185" spans="1:20" x14ac:dyDescent="0.25">
      <c r="A185" s="28">
        <f t="shared" si="152"/>
        <v>176</v>
      </c>
      <c r="B185" s="19" t="s">
        <v>97</v>
      </c>
      <c r="C185" s="20">
        <v>6</v>
      </c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1:20" x14ac:dyDescent="0.25">
      <c r="A186" s="28">
        <f t="shared" si="152"/>
        <v>177</v>
      </c>
      <c r="B186" s="25"/>
      <c r="C186" s="96" t="s">
        <v>98</v>
      </c>
      <c r="D186" s="97" t="s">
        <v>64</v>
      </c>
      <c r="E186" s="122">
        <v>43162</v>
      </c>
      <c r="F186" s="110">
        <v>9.93</v>
      </c>
      <c r="G186" s="123">
        <f t="shared" ref="G186" si="193">F186*E186</f>
        <v>428598.66</v>
      </c>
      <c r="H186" s="110">
        <v>9.81</v>
      </c>
      <c r="I186" s="123">
        <f t="shared" ref="I186" si="194">H186*E186</f>
        <v>423419.22000000003</v>
      </c>
      <c r="J186" s="124">
        <f t="shared" ref="J186:J200" si="195">I186/I$201</f>
        <v>0.4840995936766338</v>
      </c>
      <c r="K186" s="124"/>
      <c r="L186" s="110">
        <f t="shared" ref="L186:L200" si="196">ROUND(H186*S$201,2)</f>
        <v>10.23</v>
      </c>
      <c r="M186" s="123">
        <f t="shared" ref="M186" si="197">L186*E186</f>
        <v>441547.26</v>
      </c>
      <c r="N186" s="123">
        <f t="shared" ref="N186" si="198">M186-I186</f>
        <v>18128.039999999979</v>
      </c>
      <c r="O186" s="124">
        <f t="shared" ref="O186" si="199">IF(I186=0,0,N186/I186)</f>
        <v>4.2813455657492304E-2</v>
      </c>
      <c r="P186" s="124">
        <f t="shared" ref="P186:P200" si="200">M186/M$201</f>
        <v>0.48412901114421353</v>
      </c>
      <c r="Q186" s="125">
        <f t="shared" ref="Q186" si="201">P186-J186</f>
        <v>2.941746757972874E-5</v>
      </c>
      <c r="R186" s="125"/>
      <c r="T186" s="4">
        <f>L186/H186-1</f>
        <v>4.2813455657492394E-2</v>
      </c>
    </row>
    <row r="187" spans="1:20" x14ac:dyDescent="0.25">
      <c r="A187" s="28">
        <f t="shared" si="152"/>
        <v>178</v>
      </c>
      <c r="B187" s="25"/>
      <c r="C187" s="96" t="s">
        <v>98</v>
      </c>
      <c r="D187" s="97" t="s">
        <v>65</v>
      </c>
      <c r="E187" s="122">
        <v>6602</v>
      </c>
      <c r="F187" s="110">
        <v>9.64</v>
      </c>
      <c r="G187" s="123">
        <f t="shared" ref="G187:G190" si="202">F187*E187</f>
        <v>63643.280000000006</v>
      </c>
      <c r="H187" s="110">
        <v>9.56</v>
      </c>
      <c r="I187" s="123">
        <f t="shared" ref="I187:I190" si="203">H187*E187</f>
        <v>63115.12</v>
      </c>
      <c r="J187" s="124">
        <f t="shared" si="195"/>
        <v>7.2160172480720125E-2</v>
      </c>
      <c r="K187" s="124"/>
      <c r="L187" s="110">
        <f t="shared" si="196"/>
        <v>9.9700000000000006</v>
      </c>
      <c r="M187" s="123">
        <f t="shared" ref="M187:M190" si="204">L187*E187</f>
        <v>65821.94</v>
      </c>
      <c r="N187" s="123">
        <f t="shared" ref="N187:N190" si="205">M187-I187</f>
        <v>2706.8199999999997</v>
      </c>
      <c r="O187" s="124">
        <f t="shared" ref="O187:O190" si="206">IF(I187=0,0,N187/I187)</f>
        <v>4.2887029288702923E-2</v>
      </c>
      <c r="P187" s="124">
        <f t="shared" si="200"/>
        <v>7.2169648892835975E-2</v>
      </c>
      <c r="Q187" s="125">
        <f t="shared" ref="Q187:Q190" si="207">P187-J187</f>
        <v>9.4764121158497083E-6</v>
      </c>
      <c r="R187" s="125"/>
      <c r="T187" s="4">
        <f t="shared" ref="T187:T200" si="208">L187/H187-1</f>
        <v>4.2887029288702916E-2</v>
      </c>
    </row>
    <row r="188" spans="1:20" x14ac:dyDescent="0.25">
      <c r="A188" s="28">
        <f t="shared" si="152"/>
        <v>179</v>
      </c>
      <c r="B188" s="25"/>
      <c r="C188" s="96" t="s">
        <v>98</v>
      </c>
      <c r="D188" s="97" t="s">
        <v>66</v>
      </c>
      <c r="E188" s="122">
        <v>3149</v>
      </c>
      <c r="F188" s="110">
        <v>12.55</v>
      </c>
      <c r="G188" s="123">
        <f t="shared" si="202"/>
        <v>39519.950000000004</v>
      </c>
      <c r="H188" s="110">
        <v>12.39</v>
      </c>
      <c r="I188" s="123">
        <f t="shared" si="203"/>
        <v>39016.11</v>
      </c>
      <c r="J188" s="124">
        <f t="shared" si="195"/>
        <v>4.460752395189535E-2</v>
      </c>
      <c r="K188" s="124"/>
      <c r="L188" s="110">
        <f t="shared" si="196"/>
        <v>12.92</v>
      </c>
      <c r="M188" s="123">
        <f t="shared" si="204"/>
        <v>40685.08</v>
      </c>
      <c r="N188" s="123">
        <f t="shared" si="205"/>
        <v>1668.9700000000012</v>
      </c>
      <c r="O188" s="124">
        <f t="shared" si="206"/>
        <v>4.2776432606941112E-2</v>
      </c>
      <c r="P188" s="124">
        <f t="shared" si="200"/>
        <v>4.4608650835526009E-2</v>
      </c>
      <c r="Q188" s="125">
        <f t="shared" si="207"/>
        <v>1.1268836306588259E-6</v>
      </c>
      <c r="R188" s="125"/>
      <c r="T188" s="4">
        <f t="shared" si="208"/>
        <v>4.2776432606941084E-2</v>
      </c>
    </row>
    <row r="189" spans="1:20" x14ac:dyDescent="0.25">
      <c r="A189" s="28">
        <f t="shared" si="152"/>
        <v>180</v>
      </c>
      <c r="B189" s="25"/>
      <c r="C189" s="96" t="s">
        <v>98</v>
      </c>
      <c r="D189" s="97" t="s">
        <v>67</v>
      </c>
      <c r="E189" s="122">
        <v>5702</v>
      </c>
      <c r="F189" s="110">
        <v>16.57</v>
      </c>
      <c r="G189" s="123">
        <f t="shared" si="202"/>
        <v>94482.14</v>
      </c>
      <c r="H189" s="110">
        <v>16.309999999999999</v>
      </c>
      <c r="I189" s="123">
        <f t="shared" si="203"/>
        <v>92999.62</v>
      </c>
      <c r="J189" s="124">
        <f t="shared" si="195"/>
        <v>0.10632743183949311</v>
      </c>
      <c r="K189" s="124"/>
      <c r="L189" s="110">
        <f t="shared" si="196"/>
        <v>17</v>
      </c>
      <c r="M189" s="123">
        <f t="shared" si="204"/>
        <v>96934</v>
      </c>
      <c r="N189" s="123">
        <f t="shared" si="205"/>
        <v>3934.3800000000047</v>
      </c>
      <c r="O189" s="124">
        <f t="shared" si="206"/>
        <v>4.2305334150827767E-2</v>
      </c>
      <c r="P189" s="124">
        <f t="shared" si="200"/>
        <v>0.10628208080433608</v>
      </c>
      <c r="Q189" s="125">
        <f t="shared" si="207"/>
        <v>-4.5351035157029096E-5</v>
      </c>
      <c r="R189" s="125"/>
      <c r="T189" s="4">
        <f t="shared" si="208"/>
        <v>4.2305334150827711E-2</v>
      </c>
    </row>
    <row r="190" spans="1:20" x14ac:dyDescent="0.25">
      <c r="A190" s="28">
        <f t="shared" si="152"/>
        <v>181</v>
      </c>
      <c r="B190" s="25"/>
      <c r="C190" s="96" t="s">
        <v>98</v>
      </c>
      <c r="D190" s="97" t="s">
        <v>68</v>
      </c>
      <c r="E190" s="122">
        <v>590</v>
      </c>
      <c r="F190" s="110">
        <v>10.73</v>
      </c>
      <c r="G190" s="123">
        <f t="shared" si="202"/>
        <v>6330.7</v>
      </c>
      <c r="H190" s="110">
        <v>10.65</v>
      </c>
      <c r="I190" s="123">
        <f t="shared" si="203"/>
        <v>6283.5</v>
      </c>
      <c r="J190" s="124">
        <f t="shared" si="195"/>
        <v>7.1839908374190676E-3</v>
      </c>
      <c r="K190" s="124"/>
      <c r="L190" s="110">
        <f t="shared" si="196"/>
        <v>11.1</v>
      </c>
      <c r="M190" s="123">
        <f t="shared" si="204"/>
        <v>6549</v>
      </c>
      <c r="N190" s="123">
        <f t="shared" si="205"/>
        <v>265.5</v>
      </c>
      <c r="O190" s="124">
        <f t="shared" si="206"/>
        <v>4.2253521126760563E-2</v>
      </c>
      <c r="P190" s="124">
        <f t="shared" si="200"/>
        <v>7.1805697401076717E-3</v>
      </c>
      <c r="Q190" s="125">
        <f t="shared" si="207"/>
        <v>-3.4210973113959001E-6</v>
      </c>
      <c r="R190" s="125"/>
      <c r="T190" s="4">
        <f t="shared" si="208"/>
        <v>4.2253521126760507E-2</v>
      </c>
    </row>
    <row r="191" spans="1:20" x14ac:dyDescent="0.25">
      <c r="A191" s="28">
        <f t="shared" si="152"/>
        <v>182</v>
      </c>
      <c r="B191" s="25"/>
      <c r="C191" s="96" t="s">
        <v>98</v>
      </c>
      <c r="D191" s="97" t="s">
        <v>69</v>
      </c>
      <c r="E191" s="122">
        <v>385</v>
      </c>
      <c r="F191" s="110">
        <v>17.36</v>
      </c>
      <c r="G191" s="123">
        <f t="shared" ref="G191:G200" si="209">F191*E191</f>
        <v>6683.5999999999995</v>
      </c>
      <c r="H191" s="110">
        <v>17.239999999999998</v>
      </c>
      <c r="I191" s="123">
        <f t="shared" ref="I191:I200" si="210">H191*E191</f>
        <v>6637.4</v>
      </c>
      <c r="J191" s="124">
        <f t="shared" si="195"/>
        <v>7.5886083845444919E-3</v>
      </c>
      <c r="K191" s="124"/>
      <c r="L191" s="110">
        <f t="shared" si="196"/>
        <v>17.97</v>
      </c>
      <c r="M191" s="123">
        <f t="shared" ref="M191:M200" si="211">L191*E191</f>
        <v>6918.45</v>
      </c>
      <c r="N191" s="123">
        <f t="shared" ref="N191:N200" si="212">M191-I191</f>
        <v>281.05000000000018</v>
      </c>
      <c r="O191" s="124">
        <f t="shared" ref="O191:O200" si="213">IF(I191=0,0,N191/I191)</f>
        <v>4.2343387470997709E-2</v>
      </c>
      <c r="P191" s="124">
        <f t="shared" si="200"/>
        <v>7.5856486056570345E-3</v>
      </c>
      <c r="Q191" s="125">
        <f t="shared" ref="Q191:Q200" si="214">P191-J191</f>
        <v>-2.9597788874574302E-6</v>
      </c>
      <c r="R191" s="125"/>
      <c r="T191" s="4">
        <f t="shared" si="208"/>
        <v>4.2343387470997751E-2</v>
      </c>
    </row>
    <row r="192" spans="1:20" x14ac:dyDescent="0.25">
      <c r="A192" s="28">
        <f t="shared" si="152"/>
        <v>183</v>
      </c>
      <c r="B192" s="25"/>
      <c r="C192" s="96" t="s">
        <v>98</v>
      </c>
      <c r="D192" s="97" t="s">
        <v>70</v>
      </c>
      <c r="E192" s="122">
        <v>637</v>
      </c>
      <c r="F192" s="110">
        <v>21.61</v>
      </c>
      <c r="G192" s="123">
        <f t="shared" si="209"/>
        <v>13765.57</v>
      </c>
      <c r="H192" s="110">
        <v>21.49</v>
      </c>
      <c r="I192" s="123">
        <f t="shared" si="210"/>
        <v>13689.13</v>
      </c>
      <c r="J192" s="124">
        <f t="shared" si="195"/>
        <v>1.5650924563099938E-2</v>
      </c>
      <c r="K192" s="124"/>
      <c r="L192" s="110">
        <f t="shared" si="196"/>
        <v>22.4</v>
      </c>
      <c r="M192" s="123">
        <f t="shared" si="211"/>
        <v>14268.8</v>
      </c>
      <c r="N192" s="123">
        <f t="shared" si="212"/>
        <v>579.67000000000007</v>
      </c>
      <c r="O192" s="124">
        <f t="shared" si="213"/>
        <v>4.2345276872964174E-2</v>
      </c>
      <c r="P192" s="124">
        <f t="shared" si="200"/>
        <v>1.5644848604007992E-2</v>
      </c>
      <c r="Q192" s="125">
        <f t="shared" si="214"/>
        <v>-6.0759590919459705E-6</v>
      </c>
      <c r="R192" s="125"/>
      <c r="T192" s="4">
        <f t="shared" si="208"/>
        <v>4.2345276872964188E-2</v>
      </c>
    </row>
    <row r="193" spans="1:25" x14ac:dyDescent="0.25">
      <c r="A193" s="28">
        <f t="shared" si="152"/>
        <v>184</v>
      </c>
      <c r="B193" s="25"/>
      <c r="C193" s="96" t="s">
        <v>98</v>
      </c>
      <c r="D193" s="97" t="s">
        <v>71</v>
      </c>
      <c r="E193" s="122">
        <v>48</v>
      </c>
      <c r="F193" s="110">
        <v>10.65</v>
      </c>
      <c r="G193" s="123">
        <f t="shared" si="209"/>
        <v>511.20000000000005</v>
      </c>
      <c r="H193" s="110">
        <v>10.53</v>
      </c>
      <c r="I193" s="123">
        <f t="shared" si="210"/>
        <v>505.43999999999994</v>
      </c>
      <c r="J193" s="124">
        <f t="shared" si="195"/>
        <v>5.7787480367073969E-4</v>
      </c>
      <c r="K193" s="124"/>
      <c r="L193" s="110">
        <f t="shared" si="196"/>
        <v>10.98</v>
      </c>
      <c r="M193" s="123">
        <f t="shared" si="211"/>
        <v>527.04</v>
      </c>
      <c r="N193" s="123">
        <f t="shared" si="212"/>
        <v>21.600000000000023</v>
      </c>
      <c r="O193" s="124">
        <f t="shared" si="213"/>
        <v>4.2735042735042784E-2</v>
      </c>
      <c r="P193" s="124">
        <f t="shared" si="200"/>
        <v>5.7786646447188078E-4</v>
      </c>
      <c r="Q193" s="125">
        <f t="shared" si="214"/>
        <v>-8.3391988589054736E-9</v>
      </c>
      <c r="R193" s="125"/>
      <c r="T193" s="4">
        <f t="shared" si="208"/>
        <v>4.2735042735042805E-2</v>
      </c>
    </row>
    <row r="194" spans="1:25" x14ac:dyDescent="0.25">
      <c r="A194" s="28">
        <f t="shared" si="152"/>
        <v>185</v>
      </c>
      <c r="B194" s="25"/>
      <c r="C194" s="96" t="s">
        <v>99</v>
      </c>
      <c r="D194" s="97" t="s">
        <v>72</v>
      </c>
      <c r="E194" s="122">
        <v>1486</v>
      </c>
      <c r="F194" s="110">
        <v>9.6300000000000008</v>
      </c>
      <c r="G194" s="123">
        <f t="shared" si="209"/>
        <v>14310.18</v>
      </c>
      <c r="H194" s="110">
        <v>9.6</v>
      </c>
      <c r="I194" s="123">
        <f t="shared" si="210"/>
        <v>14265.6</v>
      </c>
      <c r="J194" s="124">
        <f t="shared" si="195"/>
        <v>1.631000870379334E-2</v>
      </c>
      <c r="K194" s="124"/>
      <c r="L194" s="110">
        <f t="shared" si="196"/>
        <v>10.01</v>
      </c>
      <c r="M194" s="123">
        <f t="shared" si="211"/>
        <v>14874.86</v>
      </c>
      <c r="N194" s="123">
        <f t="shared" si="212"/>
        <v>609.26000000000022</v>
      </c>
      <c r="O194" s="124">
        <f t="shared" si="213"/>
        <v>4.2708333333333348E-2</v>
      </c>
      <c r="P194" s="124">
        <f t="shared" si="200"/>
        <v>1.6309355566397617E-2</v>
      </c>
      <c r="Q194" s="125">
        <f t="shared" si="214"/>
        <v>-6.5313739572303575E-7</v>
      </c>
      <c r="R194" s="125"/>
      <c r="T194" s="4">
        <f t="shared" si="208"/>
        <v>4.2708333333333348E-2</v>
      </c>
    </row>
    <row r="195" spans="1:25" x14ac:dyDescent="0.25">
      <c r="A195" s="28">
        <f t="shared" si="152"/>
        <v>186</v>
      </c>
      <c r="B195" s="25"/>
      <c r="C195" s="96" t="s">
        <v>99</v>
      </c>
      <c r="D195" s="97" t="s">
        <v>73</v>
      </c>
      <c r="E195" s="122">
        <v>68</v>
      </c>
      <c r="F195" s="110">
        <v>14.66</v>
      </c>
      <c r="G195" s="123">
        <f t="shared" si="209"/>
        <v>996.88</v>
      </c>
      <c r="H195" s="110">
        <v>14.59</v>
      </c>
      <c r="I195" s="123">
        <f t="shared" si="210"/>
        <v>992.12</v>
      </c>
      <c r="J195" s="124">
        <f t="shared" si="195"/>
        <v>1.1343011044195441E-3</v>
      </c>
      <c r="K195" s="124"/>
      <c r="L195" s="110">
        <f t="shared" si="196"/>
        <v>15.21</v>
      </c>
      <c r="M195" s="123">
        <f t="shared" si="211"/>
        <v>1034.28</v>
      </c>
      <c r="N195" s="123">
        <f t="shared" si="212"/>
        <v>42.159999999999968</v>
      </c>
      <c r="O195" s="124">
        <f t="shared" si="213"/>
        <v>4.2494859492803259E-2</v>
      </c>
      <c r="P195" s="124">
        <f t="shared" si="200"/>
        <v>1.1340234647730283E-3</v>
      </c>
      <c r="Q195" s="125">
        <f t="shared" si="214"/>
        <v>-2.7763964651579195E-7</v>
      </c>
      <c r="R195" s="125"/>
      <c r="T195" s="4">
        <f t="shared" si="208"/>
        <v>4.2494859492803405E-2</v>
      </c>
    </row>
    <row r="196" spans="1:25" x14ac:dyDescent="0.25">
      <c r="A196" s="28">
        <f t="shared" si="152"/>
        <v>187</v>
      </c>
      <c r="B196" s="25"/>
      <c r="C196" s="96" t="s">
        <v>99</v>
      </c>
      <c r="D196" s="97" t="s">
        <v>74</v>
      </c>
      <c r="E196" s="122">
        <v>25</v>
      </c>
      <c r="F196" s="110">
        <v>19.84</v>
      </c>
      <c r="G196" s="123">
        <f t="shared" si="209"/>
        <v>496</v>
      </c>
      <c r="H196" s="110">
        <v>19.760000000000002</v>
      </c>
      <c r="I196" s="123">
        <f t="shared" si="210"/>
        <v>494.00000000000006</v>
      </c>
      <c r="J196" s="124">
        <f t="shared" si="195"/>
        <v>5.6479533280576427E-4</v>
      </c>
      <c r="K196" s="124"/>
      <c r="L196" s="110">
        <f t="shared" si="196"/>
        <v>20.6</v>
      </c>
      <c r="M196" s="123">
        <f t="shared" si="211"/>
        <v>515</v>
      </c>
      <c r="N196" s="123">
        <f t="shared" si="212"/>
        <v>20.999999999999943</v>
      </c>
      <c r="O196" s="124">
        <f t="shared" si="213"/>
        <v>4.2510121457489759E-2</v>
      </c>
      <c r="P196" s="124">
        <f t="shared" si="200"/>
        <v>5.6466535595593996E-4</v>
      </c>
      <c r="Q196" s="125">
        <f t="shared" si="214"/>
        <v>-1.2997684982430854E-7</v>
      </c>
      <c r="R196" s="125"/>
      <c r="T196" s="4">
        <f t="shared" si="208"/>
        <v>4.2510121457489891E-2</v>
      </c>
    </row>
    <row r="197" spans="1:25" x14ac:dyDescent="0.25">
      <c r="A197" s="28">
        <f t="shared" si="152"/>
        <v>188</v>
      </c>
      <c r="B197" s="25"/>
      <c r="C197" s="96" t="s">
        <v>99</v>
      </c>
      <c r="D197" s="97" t="s">
        <v>75</v>
      </c>
      <c r="E197" s="122">
        <v>12</v>
      </c>
      <c r="F197" s="110">
        <v>27.47</v>
      </c>
      <c r="G197" s="123">
        <f t="shared" si="209"/>
        <v>329.64</v>
      </c>
      <c r="H197" s="110">
        <v>27.42</v>
      </c>
      <c r="I197" s="123">
        <f t="shared" si="210"/>
        <v>329.04</v>
      </c>
      <c r="J197" s="124">
        <f t="shared" si="195"/>
        <v>3.7619485082268959E-4</v>
      </c>
      <c r="K197" s="124"/>
      <c r="L197" s="110">
        <f t="shared" si="196"/>
        <v>28.59</v>
      </c>
      <c r="M197" s="123">
        <f t="shared" si="211"/>
        <v>343.08</v>
      </c>
      <c r="N197" s="123">
        <f t="shared" si="212"/>
        <v>14.039999999999964</v>
      </c>
      <c r="O197" s="124">
        <f t="shared" si="213"/>
        <v>4.2669584245076476E-2</v>
      </c>
      <c r="P197" s="124">
        <f t="shared" si="200"/>
        <v>3.7616580644925023E-4</v>
      </c>
      <c r="Q197" s="125">
        <f t="shared" si="214"/>
        <v>-2.904437343935343E-8</v>
      </c>
      <c r="R197" s="125"/>
      <c r="T197" s="4">
        <f t="shared" si="208"/>
        <v>4.2669584245076608E-2</v>
      </c>
    </row>
    <row r="198" spans="1:25" x14ac:dyDescent="0.25">
      <c r="A198" s="28">
        <f t="shared" si="152"/>
        <v>189</v>
      </c>
      <c r="B198" s="25"/>
      <c r="C198" s="96" t="s">
        <v>98</v>
      </c>
      <c r="D198" s="97" t="s">
        <v>76</v>
      </c>
      <c r="E198" s="122">
        <v>20568</v>
      </c>
      <c r="F198" s="110">
        <v>9.8800000000000008</v>
      </c>
      <c r="G198" s="123">
        <f t="shared" ref="G198:G199" si="215">F198*E198</f>
        <v>203211.84000000003</v>
      </c>
      <c r="H198" s="110">
        <v>9.8000000000000007</v>
      </c>
      <c r="I198" s="123">
        <f t="shared" ref="I198:I199" si="216">H198*E198</f>
        <v>201566.40000000002</v>
      </c>
      <c r="J198" s="124">
        <f t="shared" si="195"/>
        <v>0.23045295945437205</v>
      </c>
      <c r="K198" s="124"/>
      <c r="L198" s="110">
        <f t="shared" si="196"/>
        <v>10.220000000000001</v>
      </c>
      <c r="M198" s="123">
        <f t="shared" ref="M198:M199" si="217">L198*E198</f>
        <v>210204.96000000002</v>
      </c>
      <c r="N198" s="123">
        <f t="shared" ref="N198:N199" si="218">M198-I198</f>
        <v>8638.5599999999977</v>
      </c>
      <c r="O198" s="124">
        <f t="shared" ref="O198:O199" si="219">IF(I198=0,0,N198/I198)</f>
        <v>4.2857142857142844E-2</v>
      </c>
      <c r="P198" s="124">
        <f t="shared" si="200"/>
        <v>0.23047661856719248</v>
      </c>
      <c r="Q198" s="125">
        <f t="shared" ref="Q198:Q199" si="220">P198-J198</f>
        <v>2.3659112820428874E-5</v>
      </c>
      <c r="R198" s="125"/>
      <c r="T198" s="4">
        <f t="shared" ref="T198:T199" si="221">L198/H198-1</f>
        <v>4.2857142857142927E-2</v>
      </c>
    </row>
    <row r="199" spans="1:25" x14ac:dyDescent="0.25">
      <c r="A199" s="28">
        <f t="shared" si="152"/>
        <v>190</v>
      </c>
      <c r="B199" s="25"/>
      <c r="C199" s="96" t="s">
        <v>98</v>
      </c>
      <c r="D199" s="97" t="s">
        <v>77</v>
      </c>
      <c r="E199" s="122">
        <v>258</v>
      </c>
      <c r="F199" s="110">
        <v>17.309999999999999</v>
      </c>
      <c r="G199" s="123">
        <f t="shared" si="215"/>
        <v>4465.9799999999996</v>
      </c>
      <c r="H199" s="110">
        <v>17.23</v>
      </c>
      <c r="I199" s="123">
        <f t="shared" si="216"/>
        <v>4445.34</v>
      </c>
      <c r="J199" s="124">
        <f t="shared" si="195"/>
        <v>5.0824034103942829E-3</v>
      </c>
      <c r="K199" s="124"/>
      <c r="L199" s="110">
        <f t="shared" si="196"/>
        <v>17.96</v>
      </c>
      <c r="M199" s="123">
        <f t="shared" si="217"/>
        <v>4633.68</v>
      </c>
      <c r="N199" s="123">
        <f t="shared" si="218"/>
        <v>188.34000000000015</v>
      </c>
      <c r="O199" s="124">
        <f t="shared" si="219"/>
        <v>4.236796285548465E-2</v>
      </c>
      <c r="P199" s="124">
        <f t="shared" si="200"/>
        <v>5.0805409059920779E-3</v>
      </c>
      <c r="Q199" s="125">
        <f t="shared" si="220"/>
        <v>-1.8625044022049439E-6</v>
      </c>
      <c r="R199" s="125"/>
      <c r="T199" s="4">
        <f t="shared" si="221"/>
        <v>4.236796285548472E-2</v>
      </c>
    </row>
    <row r="200" spans="1:25" x14ac:dyDescent="0.25">
      <c r="A200" s="28">
        <f t="shared" si="152"/>
        <v>191</v>
      </c>
      <c r="B200" s="25"/>
      <c r="C200" s="96" t="s">
        <v>98</v>
      </c>
      <c r="D200" s="97" t="s">
        <v>78</v>
      </c>
      <c r="E200" s="122">
        <v>321</v>
      </c>
      <c r="F200" s="110">
        <v>21.56</v>
      </c>
      <c r="G200" s="123">
        <f t="shared" si="209"/>
        <v>6920.7599999999993</v>
      </c>
      <c r="H200" s="110">
        <v>21.48</v>
      </c>
      <c r="I200" s="123">
        <f t="shared" si="210"/>
        <v>6895.08</v>
      </c>
      <c r="J200" s="124">
        <f t="shared" si="195"/>
        <v>7.8832166059157258E-3</v>
      </c>
      <c r="K200" s="124"/>
      <c r="L200" s="110">
        <f t="shared" si="196"/>
        <v>22.39</v>
      </c>
      <c r="M200" s="123">
        <f t="shared" si="211"/>
        <v>7187.1900000000005</v>
      </c>
      <c r="N200" s="123">
        <f t="shared" si="212"/>
        <v>292.11000000000058</v>
      </c>
      <c r="O200" s="124">
        <f t="shared" si="213"/>
        <v>4.2364990689013123E-2</v>
      </c>
      <c r="P200" s="124">
        <f t="shared" si="200"/>
        <v>7.8803052420834425E-3</v>
      </c>
      <c r="Q200" s="125">
        <f t="shared" si="214"/>
        <v>-2.9113638322832841E-6</v>
      </c>
      <c r="R200" s="125"/>
      <c r="T200" s="4">
        <f t="shared" si="208"/>
        <v>4.2364990689013116E-2</v>
      </c>
    </row>
    <row r="201" spans="1:25" s="5" customFormat="1" ht="24.6" customHeight="1" x14ac:dyDescent="0.3">
      <c r="A201" s="28">
        <f t="shared" si="152"/>
        <v>192</v>
      </c>
      <c r="C201" s="12"/>
      <c r="D201" s="127" t="s">
        <v>6</v>
      </c>
      <c r="E201" s="127"/>
      <c r="F201" s="127"/>
      <c r="G201" s="14">
        <f>SUM(G186:G200)</f>
        <v>884266.37999999989</v>
      </c>
      <c r="H201" s="127"/>
      <c r="I201" s="14">
        <f>SUM(I186:I200)</f>
        <v>874653.12</v>
      </c>
      <c r="J201" s="128">
        <f>SUM(J186:J200)</f>
        <v>1</v>
      </c>
      <c r="K201" s="129">
        <f>I201+Summary!I22</f>
        <v>911878.91</v>
      </c>
      <c r="L201" s="127"/>
      <c r="M201" s="14">
        <f>SUM(M186:M200)</f>
        <v>912044.62</v>
      </c>
      <c r="N201" s="14">
        <f>SUM(N186:N200)</f>
        <v>37391.499999999985</v>
      </c>
      <c r="O201" s="128">
        <f t="shared" ref="O201" si="222">N201/I201</f>
        <v>4.2750090458718061E-2</v>
      </c>
      <c r="P201" s="128">
        <f>SUM(P186:P200)</f>
        <v>1</v>
      </c>
      <c r="Q201" s="130">
        <f t="shared" ref="Q201" si="223">P201-J201</f>
        <v>0</v>
      </c>
      <c r="R201" s="131">
        <f>M201-K201</f>
        <v>165.70999999996275</v>
      </c>
      <c r="S201" s="5">
        <f>K201/I201</f>
        <v>1.0425606324939423</v>
      </c>
    </row>
    <row r="202" spans="1:25" x14ac:dyDescent="0.25">
      <c r="A202" s="28">
        <f t="shared" si="152"/>
        <v>193</v>
      </c>
      <c r="D202" s="109" t="s">
        <v>29</v>
      </c>
      <c r="G202" s="123">
        <v>-10890.9</v>
      </c>
      <c r="I202" s="132">
        <f>G202</f>
        <v>-10890.9</v>
      </c>
      <c r="K202" s="132">
        <f>K201-I201</f>
        <v>37225.790000000037</v>
      </c>
      <c r="M202" s="123">
        <f>I202</f>
        <v>-10890.9</v>
      </c>
      <c r="N202" s="123">
        <f>M202-I202</f>
        <v>0</v>
      </c>
      <c r="O202" s="110">
        <v>0</v>
      </c>
    </row>
    <row r="203" spans="1:25" x14ac:dyDescent="0.25">
      <c r="A203" s="28">
        <f t="shared" si="152"/>
        <v>194</v>
      </c>
      <c r="D203" s="109" t="s">
        <v>30</v>
      </c>
      <c r="G203" s="123">
        <v>55326.52</v>
      </c>
      <c r="I203" s="132">
        <f>G203</f>
        <v>55326.52</v>
      </c>
      <c r="M203" s="123">
        <f t="shared" ref="M203:M204" si="224">I203</f>
        <v>55326.52</v>
      </c>
      <c r="N203" s="123">
        <f>M203-I203</f>
        <v>0</v>
      </c>
      <c r="O203" s="110">
        <v>0</v>
      </c>
    </row>
    <row r="204" spans="1:25" x14ac:dyDescent="0.25">
      <c r="A204" s="28">
        <f t="shared" ref="A204:A222" si="225">A203+1</f>
        <v>195</v>
      </c>
      <c r="D204" s="109" t="s">
        <v>32</v>
      </c>
      <c r="G204" s="123">
        <v>0</v>
      </c>
      <c r="I204" s="132">
        <v>0</v>
      </c>
      <c r="M204" s="123">
        <f t="shared" si="224"/>
        <v>0</v>
      </c>
      <c r="N204" s="123">
        <f>M204-I204</f>
        <v>0</v>
      </c>
      <c r="O204" s="110">
        <v>0</v>
      </c>
    </row>
    <row r="205" spans="1:25" x14ac:dyDescent="0.25">
      <c r="A205" s="28">
        <f t="shared" si="225"/>
        <v>196</v>
      </c>
      <c r="D205" s="109" t="s">
        <v>41</v>
      </c>
      <c r="G205" s="123"/>
      <c r="I205" s="132"/>
      <c r="M205" s="123"/>
      <c r="N205" s="123"/>
      <c r="O205" s="110"/>
    </row>
    <row r="206" spans="1:25" x14ac:dyDescent="0.25">
      <c r="A206" s="28">
        <f t="shared" si="225"/>
        <v>197</v>
      </c>
      <c r="D206" s="134" t="s">
        <v>8</v>
      </c>
      <c r="E206" s="134"/>
      <c r="F206" s="134"/>
      <c r="G206" s="135">
        <f>SUM(G202:G204)</f>
        <v>44435.619999999995</v>
      </c>
      <c r="H206" s="134"/>
      <c r="I206" s="135">
        <f>SUM(I202:I204)</f>
        <v>44435.619999999995</v>
      </c>
      <c r="J206" s="134"/>
      <c r="K206" s="134"/>
      <c r="L206" s="134"/>
      <c r="M206" s="135">
        <f>SUM(M202:M204)</f>
        <v>44435.619999999995</v>
      </c>
      <c r="N206" s="135">
        <f>M206-I206</f>
        <v>0</v>
      </c>
      <c r="O206" s="136">
        <f>N206-J206</f>
        <v>0</v>
      </c>
    </row>
    <row r="207" spans="1:25" s="5" customFormat="1" ht="26.4" customHeight="1" thickBot="1" x14ac:dyDescent="0.3">
      <c r="A207" s="28">
        <f t="shared" si="225"/>
        <v>198</v>
      </c>
      <c r="C207" s="12"/>
      <c r="D207" s="137" t="s">
        <v>19</v>
      </c>
      <c r="E207" s="137"/>
      <c r="F207" s="137"/>
      <c r="G207" s="138">
        <f>G201+G206</f>
        <v>928701.99999999988</v>
      </c>
      <c r="H207" s="137"/>
      <c r="I207" s="139">
        <f>I206+I201</f>
        <v>919088.74</v>
      </c>
      <c r="J207" s="137"/>
      <c r="K207" s="137"/>
      <c r="L207" s="137"/>
      <c r="M207" s="138">
        <f>M206+M201</f>
        <v>956480.24</v>
      </c>
      <c r="N207" s="138">
        <f>M207-I207</f>
        <v>37391.5</v>
      </c>
      <c r="O207" s="140">
        <f>N207/I207</f>
        <v>4.0683231523432659E-2</v>
      </c>
      <c r="P207" s="109"/>
      <c r="Q207" s="109"/>
      <c r="R207" s="109"/>
    </row>
    <row r="208" spans="1:25" ht="13.8" thickTop="1" x14ac:dyDescent="0.25">
      <c r="A208" s="28">
        <f t="shared" si="225"/>
        <v>199</v>
      </c>
      <c r="G208" s="141"/>
      <c r="I208" s="141"/>
      <c r="M208" s="141"/>
      <c r="N208" s="141"/>
      <c r="O208" s="124"/>
      <c r="X208" s="5"/>
      <c r="Y208" s="5"/>
    </row>
    <row r="209" spans="1:22" x14ac:dyDescent="0.25">
      <c r="A209" s="28">
        <f t="shared" si="225"/>
        <v>200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2" x14ac:dyDescent="0.25">
      <c r="A210" s="28">
        <f t="shared" si="225"/>
        <v>201</v>
      </c>
    </row>
    <row r="211" spans="1:22" s="5" customFormat="1" ht="19.95" customHeight="1" x14ac:dyDescent="0.3">
      <c r="A211" s="28">
        <f t="shared" si="225"/>
        <v>202</v>
      </c>
      <c r="B211" s="5" t="s">
        <v>31</v>
      </c>
      <c r="C211" s="29"/>
      <c r="D211" s="127" t="s">
        <v>6</v>
      </c>
      <c r="E211" s="127"/>
      <c r="F211" s="127"/>
      <c r="G211" s="151">
        <f t="shared" ref="G211:G216" si="226">G10+G23+G36+G48+G84+G98+G112+G60+G201+G72+G126+G139+G151+G164+G176</f>
        <v>97727861.113879994</v>
      </c>
      <c r="H211" s="151"/>
      <c r="I211" s="151">
        <f t="shared" ref="I211:I216" si="227">I10+I23+I36+I48+I84+I98+I112+I60+I201+I72+I126+I139+I151+I164+I176</f>
        <v>95745390.357280001</v>
      </c>
      <c r="J211" s="127"/>
      <c r="K211" s="127"/>
      <c r="L211" s="127"/>
      <c r="M211" s="151">
        <f t="shared" ref="M211:N216" si="228">M10+M23+M36+M48+M84+M98+M112+M60+M201+M72+M126+M139+M151+M164+M176</f>
        <v>99820774.649851769</v>
      </c>
      <c r="N211" s="151">
        <f t="shared" si="228"/>
        <v>4075384.2925717663</v>
      </c>
      <c r="O211" s="128">
        <f>N211/I211</f>
        <v>4.2564809411337834E-2</v>
      </c>
      <c r="P211" s="152"/>
      <c r="Q211" s="152"/>
      <c r="R211" s="152"/>
    </row>
    <row r="212" spans="1:22" x14ac:dyDescent="0.25">
      <c r="A212" s="28">
        <f t="shared" si="225"/>
        <v>203</v>
      </c>
      <c r="C212" s="23"/>
      <c r="D212" s="109" t="s">
        <v>29</v>
      </c>
      <c r="G212" s="132">
        <f t="shared" si="226"/>
        <v>-4869923.3099999996</v>
      </c>
      <c r="H212" s="132"/>
      <c r="I212" s="132">
        <f t="shared" si="227"/>
        <v>-2949129.3475951198</v>
      </c>
      <c r="M212" s="132">
        <f t="shared" si="228"/>
        <v>-2949129.3475951198</v>
      </c>
      <c r="N212" s="132">
        <f t="shared" si="228"/>
        <v>0</v>
      </c>
    </row>
    <row r="213" spans="1:22" x14ac:dyDescent="0.25">
      <c r="A213" s="28">
        <f t="shared" si="225"/>
        <v>204</v>
      </c>
      <c r="C213" s="23"/>
      <c r="D213" s="109" t="s">
        <v>30</v>
      </c>
      <c r="G213" s="132">
        <f t="shared" si="226"/>
        <v>11371779.790000001</v>
      </c>
      <c r="H213" s="132"/>
      <c r="I213" s="132">
        <f t="shared" si="227"/>
        <v>11366118.060000001</v>
      </c>
      <c r="M213" s="132">
        <f t="shared" si="228"/>
        <v>11366118.060000001</v>
      </c>
      <c r="N213" s="132">
        <f t="shared" si="228"/>
        <v>0</v>
      </c>
    </row>
    <row r="214" spans="1:22" x14ac:dyDescent="0.25">
      <c r="A214" s="28">
        <f t="shared" si="225"/>
        <v>205</v>
      </c>
      <c r="C214" s="23"/>
      <c r="D214" s="109" t="s">
        <v>32</v>
      </c>
      <c r="G214" s="132">
        <f t="shared" si="226"/>
        <v>0</v>
      </c>
      <c r="H214" s="132"/>
      <c r="I214" s="132">
        <f t="shared" si="227"/>
        <v>0</v>
      </c>
      <c r="M214" s="132">
        <f t="shared" si="228"/>
        <v>0</v>
      </c>
      <c r="N214" s="132">
        <f t="shared" si="228"/>
        <v>0</v>
      </c>
    </row>
    <row r="215" spans="1:22" x14ac:dyDescent="0.25">
      <c r="A215" s="28">
        <f t="shared" si="225"/>
        <v>206</v>
      </c>
      <c r="C215" s="23"/>
      <c r="D215" s="109" t="s">
        <v>41</v>
      </c>
      <c r="G215" s="132">
        <f t="shared" si="226"/>
        <v>0</v>
      </c>
      <c r="I215" s="132">
        <f t="shared" si="227"/>
        <v>0</v>
      </c>
      <c r="M215" s="132">
        <f t="shared" si="228"/>
        <v>0</v>
      </c>
      <c r="N215" s="132">
        <f t="shared" si="228"/>
        <v>0</v>
      </c>
      <c r="O215" s="110"/>
    </row>
    <row r="216" spans="1:22" x14ac:dyDescent="0.25">
      <c r="A216" s="28">
        <f t="shared" si="225"/>
        <v>207</v>
      </c>
      <c r="C216" s="23"/>
      <c r="D216" s="134" t="s">
        <v>8</v>
      </c>
      <c r="E216" s="134"/>
      <c r="F216" s="134"/>
      <c r="G216" s="153">
        <f t="shared" si="226"/>
        <v>6501856.4800000004</v>
      </c>
      <c r="H216" s="153"/>
      <c r="I216" s="153">
        <f t="shared" si="227"/>
        <v>8416988.7124048825</v>
      </c>
      <c r="J216" s="134"/>
      <c r="K216" s="134"/>
      <c r="L216" s="134"/>
      <c r="M216" s="153">
        <f t="shared" si="228"/>
        <v>8416988.7124048825</v>
      </c>
      <c r="N216" s="153">
        <f t="shared" si="228"/>
        <v>0</v>
      </c>
      <c r="O216" s="134"/>
    </row>
    <row r="217" spans="1:22" s="5" customFormat="1" ht="21" customHeight="1" thickBot="1" x14ac:dyDescent="0.35">
      <c r="A217" s="28">
        <f t="shared" si="225"/>
        <v>208</v>
      </c>
      <c r="C217" s="29"/>
      <c r="D217" s="137" t="s">
        <v>19</v>
      </c>
      <c r="E217" s="137"/>
      <c r="F217" s="137"/>
      <c r="G217" s="139">
        <f>G216+G211</f>
        <v>104229717.59388</v>
      </c>
      <c r="H217" s="139"/>
      <c r="I217" s="139">
        <f>I216+I211</f>
        <v>104162379.06968488</v>
      </c>
      <c r="J217" s="137"/>
      <c r="K217" s="137"/>
      <c r="L217" s="137"/>
      <c r="M217" s="139">
        <f>M216+M211</f>
        <v>108237763.36225665</v>
      </c>
      <c r="N217" s="139">
        <f>N216+N211</f>
        <v>4075384.2925717663</v>
      </c>
      <c r="O217" s="140">
        <f>N217/I217</f>
        <v>3.9125299642448881E-2</v>
      </c>
      <c r="P217" s="152"/>
      <c r="Q217" s="152"/>
      <c r="R217" s="152"/>
    </row>
    <row r="218" spans="1:22" ht="13.8" thickTop="1" x14ac:dyDescent="0.25">
      <c r="A218" s="28">
        <f t="shared" si="225"/>
        <v>209</v>
      </c>
      <c r="C218" s="23"/>
    </row>
    <row r="219" spans="1:22" x14ac:dyDescent="0.25">
      <c r="A219" s="28">
        <f t="shared" si="225"/>
        <v>210</v>
      </c>
      <c r="D219" s="109" t="s">
        <v>39</v>
      </c>
      <c r="N219" s="132">
        <f>N217-Summary!L4</f>
        <v>400.29257176630199</v>
      </c>
    </row>
    <row r="220" spans="1:22" x14ac:dyDescent="0.25">
      <c r="A220" s="28">
        <f t="shared" si="225"/>
        <v>211</v>
      </c>
      <c r="N220" s="132"/>
    </row>
    <row r="221" spans="1:22" x14ac:dyDescent="0.25">
      <c r="A221" s="28">
        <f t="shared" si="225"/>
        <v>212</v>
      </c>
      <c r="B221" s="1" t="s">
        <v>100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2" ht="13.8" thickBot="1" x14ac:dyDescent="0.3">
      <c r="A222" s="28">
        <f t="shared" si="225"/>
        <v>213</v>
      </c>
      <c r="D222" s="149"/>
      <c r="E222" s="149"/>
      <c r="F222" s="149"/>
      <c r="G222" s="149"/>
    </row>
    <row r="223" spans="1:22" x14ac:dyDescent="0.25">
      <c r="A223" s="28">
        <f t="shared" ref="A223:A279" si="229">A222+1</f>
        <v>214</v>
      </c>
      <c r="B223" s="19" t="s">
        <v>103</v>
      </c>
      <c r="C223" s="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1:22" x14ac:dyDescent="0.25">
      <c r="A224" s="28">
        <f t="shared" si="229"/>
        <v>215</v>
      </c>
      <c r="D224" s="109" t="s">
        <v>17</v>
      </c>
      <c r="E224" s="122"/>
      <c r="F224" s="110"/>
      <c r="G224" s="123"/>
      <c r="H224" s="110">
        <f>H8</f>
        <v>8.84</v>
      </c>
      <c r="I224" s="123"/>
      <c r="J224" s="124"/>
      <c r="K224" s="124"/>
      <c r="L224" s="110">
        <f>L8</f>
        <v>9.2200000000000006</v>
      </c>
      <c r="M224" s="123"/>
      <c r="N224" s="123"/>
      <c r="O224" s="124"/>
      <c r="P224" s="124"/>
      <c r="Q224" s="125"/>
      <c r="R224" s="125"/>
      <c r="S224" s="99">
        <f>1+O$211</f>
        <v>1.0425648094113378</v>
      </c>
      <c r="T224" s="4">
        <f t="shared" ref="T224:T225" si="230">L224/H224-1</f>
        <v>4.2986425339366585E-2</v>
      </c>
      <c r="V224" s="2" t="s">
        <v>116</v>
      </c>
    </row>
    <row r="225" spans="1:22" ht="13.8" thickBot="1" x14ac:dyDescent="0.3">
      <c r="A225" s="28">
        <f t="shared" si="229"/>
        <v>216</v>
      </c>
      <c r="D225" s="109" t="s">
        <v>50</v>
      </c>
      <c r="E225" s="122"/>
      <c r="F225" s="126"/>
      <c r="G225" s="123"/>
      <c r="H225" s="111">
        <f>H9</f>
        <v>7.5459999999999999E-2</v>
      </c>
      <c r="I225" s="123"/>
      <c r="J225" s="124"/>
      <c r="K225" s="124"/>
      <c r="L225" s="111">
        <f>L9</f>
        <v>7.8670000000000004E-2</v>
      </c>
      <c r="M225" s="123"/>
      <c r="N225" s="123"/>
      <c r="O225" s="124"/>
      <c r="P225" s="124"/>
      <c r="Q225" s="125"/>
      <c r="R225" s="125"/>
      <c r="S225" s="99">
        <f t="shared" ref="S225:S275" si="231">1+O$211</f>
        <v>1.0425648094113378</v>
      </c>
      <c r="T225" s="4">
        <f t="shared" si="230"/>
        <v>4.2539093559501806E-2</v>
      </c>
      <c r="V225" s="2" t="s">
        <v>116</v>
      </c>
    </row>
    <row r="226" spans="1:22" x14ac:dyDescent="0.25">
      <c r="A226" s="28">
        <f t="shared" si="229"/>
        <v>217</v>
      </c>
      <c r="B226" s="19" t="s">
        <v>104</v>
      </c>
      <c r="C226" s="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99"/>
    </row>
    <row r="227" spans="1:22" x14ac:dyDescent="0.25">
      <c r="A227" s="28">
        <f t="shared" si="229"/>
        <v>218</v>
      </c>
      <c r="D227" s="109" t="s">
        <v>17</v>
      </c>
      <c r="E227" s="122"/>
      <c r="F227" s="110"/>
      <c r="G227" s="123"/>
      <c r="H227" s="110">
        <v>11.6</v>
      </c>
      <c r="I227" s="123"/>
      <c r="J227" s="124"/>
      <c r="K227" s="124"/>
      <c r="L227" s="110">
        <f t="shared" ref="L227:L275" si="232">H227*S227</f>
        <v>12.093751789171518</v>
      </c>
      <c r="M227" s="123"/>
      <c r="N227" s="123"/>
      <c r="O227" s="124"/>
      <c r="P227" s="124"/>
      <c r="Q227" s="125"/>
      <c r="R227" s="125"/>
      <c r="S227" s="99">
        <f t="shared" si="231"/>
        <v>1.0425648094113378</v>
      </c>
      <c r="T227" s="4">
        <f t="shared" ref="T227:T229" si="233">L227/H227-1</f>
        <v>4.2564809411337778E-2</v>
      </c>
    </row>
    <row r="228" spans="1:22" x14ac:dyDescent="0.25">
      <c r="A228" s="28">
        <f t="shared" si="229"/>
        <v>219</v>
      </c>
      <c r="D228" s="109" t="s">
        <v>101</v>
      </c>
      <c r="E228" s="122"/>
      <c r="F228" s="126"/>
      <c r="G228" s="123"/>
      <c r="H228" s="111">
        <v>9.7110000000000002E-2</v>
      </c>
      <c r="I228" s="123"/>
      <c r="J228" s="124"/>
      <c r="K228" s="124"/>
      <c r="L228" s="111">
        <f t="shared" si="232"/>
        <v>0.10124346864193501</v>
      </c>
      <c r="M228" s="123"/>
      <c r="N228" s="123"/>
      <c r="O228" s="124"/>
      <c r="P228" s="124"/>
      <c r="Q228" s="125"/>
      <c r="R228" s="125"/>
      <c r="S228" s="99">
        <f t="shared" si="231"/>
        <v>1.0425648094113378</v>
      </c>
      <c r="T228" s="4">
        <f t="shared" si="233"/>
        <v>4.2564809411337778E-2</v>
      </c>
    </row>
    <row r="229" spans="1:22" ht="13.8" thickBot="1" x14ac:dyDescent="0.3">
      <c r="A229" s="28">
        <f t="shared" si="229"/>
        <v>220</v>
      </c>
      <c r="D229" s="109" t="s">
        <v>102</v>
      </c>
      <c r="E229" s="122"/>
      <c r="F229" s="126"/>
      <c r="G229" s="123"/>
      <c r="H229" s="111">
        <v>5.228E-2</v>
      </c>
      <c r="I229" s="123"/>
      <c r="J229" s="124"/>
      <c r="K229" s="124"/>
      <c r="L229" s="111">
        <f t="shared" si="232"/>
        <v>5.450528823602474E-2</v>
      </c>
      <c r="M229" s="123"/>
      <c r="N229" s="123"/>
      <c r="O229" s="124"/>
      <c r="P229" s="124"/>
      <c r="Q229" s="125"/>
      <c r="R229" s="125"/>
      <c r="S229" s="99">
        <f t="shared" si="231"/>
        <v>1.0425648094113378</v>
      </c>
      <c r="T229" s="4">
        <f t="shared" si="233"/>
        <v>4.2564809411337778E-2</v>
      </c>
    </row>
    <row r="230" spans="1:22" x14ac:dyDescent="0.25">
      <c r="A230" s="28">
        <f t="shared" si="229"/>
        <v>221</v>
      </c>
      <c r="B230" s="19" t="s">
        <v>105</v>
      </c>
      <c r="C230" s="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99"/>
    </row>
    <row r="231" spans="1:22" x14ac:dyDescent="0.25">
      <c r="A231" s="28">
        <f t="shared" si="229"/>
        <v>222</v>
      </c>
      <c r="D231" s="109" t="s">
        <v>17</v>
      </c>
      <c r="E231" s="122"/>
      <c r="F231" s="110"/>
      <c r="G231" s="123"/>
      <c r="H231" s="110">
        <v>11.6</v>
      </c>
      <c r="I231" s="123"/>
      <c r="J231" s="124"/>
      <c r="K231" s="124"/>
      <c r="L231" s="110">
        <f t="shared" si="232"/>
        <v>12.093751789171518</v>
      </c>
      <c r="M231" s="123"/>
      <c r="N231" s="123"/>
      <c r="O231" s="124"/>
      <c r="P231" s="124"/>
      <c r="Q231" s="125"/>
      <c r="R231" s="125"/>
      <c r="S231" s="99">
        <f t="shared" si="231"/>
        <v>1.0425648094113378</v>
      </c>
      <c r="T231" s="4">
        <f t="shared" ref="T231:T234" si="234">L231/H231-1</f>
        <v>4.2564809411337778E-2</v>
      </c>
    </row>
    <row r="232" spans="1:22" x14ac:dyDescent="0.25">
      <c r="A232" s="28">
        <f t="shared" si="229"/>
        <v>223</v>
      </c>
      <c r="D232" s="109" t="s">
        <v>117</v>
      </c>
      <c r="E232" s="122"/>
      <c r="F232" s="126"/>
      <c r="G232" s="123"/>
      <c r="H232" s="111">
        <v>9.7110000000000002E-2</v>
      </c>
      <c r="I232" s="123"/>
      <c r="J232" s="124"/>
      <c r="K232" s="124"/>
      <c r="L232" s="111">
        <f t="shared" ref="L232" si="235">H232*S232</f>
        <v>0.10124346864193501</v>
      </c>
      <c r="M232" s="123"/>
      <c r="N232" s="123"/>
      <c r="O232" s="124"/>
      <c r="P232" s="124"/>
      <c r="Q232" s="125"/>
      <c r="R232" s="125"/>
      <c r="S232" s="99">
        <f t="shared" ref="S232" si="236">1+O$211</f>
        <v>1.0425648094113378</v>
      </c>
      <c r="T232" s="4">
        <f t="shared" ref="T232" si="237">L232/H232-1</f>
        <v>4.2564809411337778E-2</v>
      </c>
    </row>
    <row r="233" spans="1:22" x14ac:dyDescent="0.25">
      <c r="A233" s="28">
        <f t="shared" si="229"/>
        <v>224</v>
      </c>
      <c r="D233" s="109" t="s">
        <v>118</v>
      </c>
      <c r="E233" s="122"/>
      <c r="F233" s="126"/>
      <c r="G233" s="123"/>
      <c r="H233" s="111">
        <v>5.228E-2</v>
      </c>
      <c r="I233" s="123"/>
      <c r="J233" s="124"/>
      <c r="K233" s="124"/>
      <c r="L233" s="111">
        <f t="shared" si="232"/>
        <v>5.450528823602474E-2</v>
      </c>
      <c r="M233" s="123"/>
      <c r="N233" s="123"/>
      <c r="O233" s="124"/>
      <c r="P233" s="124"/>
      <c r="Q233" s="125"/>
      <c r="R233" s="125"/>
      <c r="S233" s="99">
        <f t="shared" si="231"/>
        <v>1.0425648094113378</v>
      </c>
      <c r="T233" s="4">
        <f t="shared" si="234"/>
        <v>4.2564809411337778E-2</v>
      </c>
    </row>
    <row r="234" spans="1:22" ht="13.8" thickBot="1" x14ac:dyDescent="0.3">
      <c r="A234" s="28">
        <f t="shared" si="229"/>
        <v>225</v>
      </c>
      <c r="D234" s="109" t="s">
        <v>119</v>
      </c>
      <c r="E234" s="122"/>
      <c r="F234" s="126"/>
      <c r="G234" s="123"/>
      <c r="H234" s="111">
        <v>7.5459999999999999E-2</v>
      </c>
      <c r="I234" s="123"/>
      <c r="J234" s="124"/>
      <c r="K234" s="124"/>
      <c r="L234" s="111">
        <f t="shared" si="232"/>
        <v>7.8671940518179551E-2</v>
      </c>
      <c r="M234" s="123"/>
      <c r="N234" s="123"/>
      <c r="O234" s="124"/>
      <c r="P234" s="124"/>
      <c r="Q234" s="125"/>
      <c r="R234" s="125"/>
      <c r="S234" s="99">
        <f t="shared" si="231"/>
        <v>1.0425648094113378</v>
      </c>
      <c r="T234" s="4">
        <f t="shared" si="234"/>
        <v>4.2564809411337778E-2</v>
      </c>
    </row>
    <row r="235" spans="1:22" x14ac:dyDescent="0.25">
      <c r="A235" s="28">
        <f t="shared" si="229"/>
        <v>226</v>
      </c>
      <c r="B235" s="19" t="s">
        <v>106</v>
      </c>
      <c r="C235" s="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99"/>
    </row>
    <row r="236" spans="1:22" x14ac:dyDescent="0.25">
      <c r="A236" s="28">
        <f t="shared" si="229"/>
        <v>227</v>
      </c>
      <c r="D236" s="109" t="s">
        <v>17</v>
      </c>
      <c r="E236" s="122"/>
      <c r="F236" s="110"/>
      <c r="G236" s="123"/>
      <c r="H236" s="110">
        <v>11.6</v>
      </c>
      <c r="I236" s="123"/>
      <c r="J236" s="124"/>
      <c r="K236" s="124"/>
      <c r="L236" s="110">
        <f t="shared" si="232"/>
        <v>12.093751789171518</v>
      </c>
      <c r="M236" s="123"/>
      <c r="N236" s="123"/>
      <c r="O236" s="124"/>
      <c r="P236" s="124"/>
      <c r="Q236" s="125"/>
      <c r="R236" s="125"/>
      <c r="S236" s="99">
        <f t="shared" si="231"/>
        <v>1.0425648094113378</v>
      </c>
      <c r="T236" s="4">
        <f t="shared" ref="T236:T238" si="238">L236/H236-1</f>
        <v>4.2564809411337778E-2</v>
      </c>
    </row>
    <row r="237" spans="1:22" x14ac:dyDescent="0.25">
      <c r="A237" s="28">
        <f t="shared" si="229"/>
        <v>228</v>
      </c>
      <c r="D237" s="109" t="s">
        <v>101</v>
      </c>
      <c r="E237" s="122"/>
      <c r="F237" s="126"/>
      <c r="G237" s="123"/>
      <c r="H237" s="111">
        <v>9.7110000000000002E-2</v>
      </c>
      <c r="I237" s="123"/>
      <c r="J237" s="124"/>
      <c r="K237" s="124"/>
      <c r="L237" s="111">
        <f t="shared" si="232"/>
        <v>0.10124346864193501</v>
      </c>
      <c r="M237" s="123"/>
      <c r="N237" s="123"/>
      <c r="O237" s="124"/>
      <c r="P237" s="124"/>
      <c r="Q237" s="125"/>
      <c r="R237" s="125"/>
      <c r="S237" s="99">
        <f t="shared" si="231"/>
        <v>1.0425648094113378</v>
      </c>
      <c r="T237" s="4">
        <f t="shared" si="238"/>
        <v>4.2564809411337778E-2</v>
      </c>
    </row>
    <row r="238" spans="1:22" ht="13.8" thickBot="1" x14ac:dyDescent="0.3">
      <c r="A238" s="28">
        <f t="shared" si="229"/>
        <v>229</v>
      </c>
      <c r="D238" s="109" t="s">
        <v>102</v>
      </c>
      <c r="E238" s="122"/>
      <c r="F238" s="126"/>
      <c r="G238" s="123"/>
      <c r="H238" s="111">
        <v>5.228E-2</v>
      </c>
      <c r="I238" s="123"/>
      <c r="J238" s="124"/>
      <c r="K238" s="124"/>
      <c r="L238" s="111">
        <f t="shared" si="232"/>
        <v>5.450528823602474E-2</v>
      </c>
      <c r="M238" s="123"/>
      <c r="N238" s="123"/>
      <c r="O238" s="124"/>
      <c r="P238" s="124"/>
      <c r="Q238" s="125"/>
      <c r="R238" s="125"/>
      <c r="S238" s="99">
        <f t="shared" si="231"/>
        <v>1.0425648094113378</v>
      </c>
      <c r="T238" s="4">
        <f t="shared" si="238"/>
        <v>4.2564809411337778E-2</v>
      </c>
    </row>
    <row r="239" spans="1:22" x14ac:dyDescent="0.25">
      <c r="A239" s="28">
        <f t="shared" si="229"/>
        <v>230</v>
      </c>
      <c r="B239" s="19" t="s">
        <v>107</v>
      </c>
      <c r="C239" s="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99"/>
    </row>
    <row r="240" spans="1:22" x14ac:dyDescent="0.25">
      <c r="A240" s="28">
        <f t="shared" si="229"/>
        <v>231</v>
      </c>
      <c r="D240" s="109" t="s">
        <v>17</v>
      </c>
      <c r="E240" s="122"/>
      <c r="F240" s="110"/>
      <c r="G240" s="123"/>
      <c r="H240" s="110">
        <v>11.6</v>
      </c>
      <c r="I240" s="123"/>
      <c r="J240" s="124"/>
      <c r="K240" s="124"/>
      <c r="L240" s="110">
        <f t="shared" si="232"/>
        <v>12.093751789171518</v>
      </c>
      <c r="M240" s="123"/>
      <c r="N240" s="123"/>
      <c r="O240" s="124"/>
      <c r="P240" s="124"/>
      <c r="Q240" s="125"/>
      <c r="R240" s="125"/>
      <c r="S240" s="99">
        <f t="shared" si="231"/>
        <v>1.0425648094113378</v>
      </c>
      <c r="T240" s="4">
        <f t="shared" ref="T240:T243" si="239">L240/H240-1</f>
        <v>4.2564809411337778E-2</v>
      </c>
    </row>
    <row r="241" spans="1:20" x14ac:dyDescent="0.25">
      <c r="A241" s="28">
        <f t="shared" si="229"/>
        <v>232</v>
      </c>
      <c r="D241" s="109" t="s">
        <v>117</v>
      </c>
      <c r="E241" s="122"/>
      <c r="F241" s="126"/>
      <c r="G241" s="123"/>
      <c r="H241" s="111">
        <v>9.7110000000000002E-2</v>
      </c>
      <c r="I241" s="123"/>
      <c r="J241" s="124"/>
      <c r="K241" s="124"/>
      <c r="L241" s="111">
        <f t="shared" si="232"/>
        <v>0.10124346864193501</v>
      </c>
      <c r="M241" s="123"/>
      <c r="N241" s="123"/>
      <c r="O241" s="124"/>
      <c r="P241" s="124"/>
      <c r="Q241" s="125"/>
      <c r="R241" s="125"/>
      <c r="S241" s="99">
        <f t="shared" si="231"/>
        <v>1.0425648094113378</v>
      </c>
      <c r="T241" s="4">
        <f t="shared" si="239"/>
        <v>4.2564809411337778E-2</v>
      </c>
    </row>
    <row r="242" spans="1:20" x14ac:dyDescent="0.25">
      <c r="A242" s="28">
        <f t="shared" si="229"/>
        <v>233</v>
      </c>
      <c r="D242" s="109" t="s">
        <v>118</v>
      </c>
      <c r="E242" s="122"/>
      <c r="F242" s="126"/>
      <c r="G242" s="123"/>
      <c r="H242" s="111">
        <v>5.228E-2</v>
      </c>
      <c r="I242" s="123"/>
      <c r="J242" s="124"/>
      <c r="K242" s="124"/>
      <c r="L242" s="111">
        <f t="shared" si="232"/>
        <v>5.450528823602474E-2</v>
      </c>
      <c r="M242" s="123"/>
      <c r="N242" s="123"/>
      <c r="O242" s="124"/>
      <c r="P242" s="124"/>
      <c r="Q242" s="125"/>
      <c r="R242" s="125"/>
      <c r="S242" s="99">
        <f t="shared" si="231"/>
        <v>1.0425648094113378</v>
      </c>
      <c r="T242" s="4">
        <f t="shared" si="239"/>
        <v>4.2564809411337778E-2</v>
      </c>
    </row>
    <row r="243" spans="1:20" ht="13.8" thickBot="1" x14ac:dyDescent="0.3">
      <c r="A243" s="28">
        <f t="shared" si="229"/>
        <v>234</v>
      </c>
      <c r="D243" s="109" t="s">
        <v>119</v>
      </c>
      <c r="E243" s="122"/>
      <c r="F243" s="126"/>
      <c r="G243" s="123"/>
      <c r="H243" s="111">
        <v>7.5459999999999999E-2</v>
      </c>
      <c r="I243" s="123"/>
      <c r="J243" s="124"/>
      <c r="K243" s="124"/>
      <c r="L243" s="111">
        <f t="shared" si="232"/>
        <v>7.8671940518179551E-2</v>
      </c>
      <c r="M243" s="123"/>
      <c r="N243" s="123"/>
      <c r="O243" s="124"/>
      <c r="P243" s="124"/>
      <c r="Q243" s="125"/>
      <c r="R243" s="125"/>
      <c r="S243" s="99">
        <f t="shared" si="231"/>
        <v>1.0425648094113378</v>
      </c>
      <c r="T243" s="4">
        <f t="shared" si="239"/>
        <v>4.2564809411337778E-2</v>
      </c>
    </row>
    <row r="244" spans="1:20" x14ac:dyDescent="0.25">
      <c r="A244" s="28">
        <f t="shared" si="229"/>
        <v>235</v>
      </c>
      <c r="B244" s="19" t="s">
        <v>84</v>
      </c>
      <c r="C244" s="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99"/>
    </row>
    <row r="245" spans="1:20" x14ac:dyDescent="0.25">
      <c r="A245" s="28">
        <f t="shared" si="229"/>
        <v>236</v>
      </c>
      <c r="D245" s="109" t="s">
        <v>51</v>
      </c>
      <c r="E245" s="122"/>
      <c r="F245" s="126"/>
      <c r="G245" s="123"/>
      <c r="H245" s="110">
        <v>6.68</v>
      </c>
      <c r="I245" s="123"/>
      <c r="J245" s="124"/>
      <c r="K245" s="124"/>
      <c r="L245" s="110">
        <f t="shared" si="232"/>
        <v>6.9643329268677361</v>
      </c>
      <c r="M245" s="123"/>
      <c r="N245" s="123"/>
      <c r="O245" s="124"/>
      <c r="P245" s="124"/>
      <c r="Q245" s="125"/>
      <c r="R245" s="125"/>
      <c r="S245" s="99">
        <f t="shared" si="231"/>
        <v>1.0425648094113378</v>
      </c>
      <c r="T245" s="4">
        <f t="shared" ref="T245:T246" si="240">L245/H245-1</f>
        <v>4.2564809411337778E-2</v>
      </c>
    </row>
    <row r="246" spans="1:20" ht="13.8" thickBot="1" x14ac:dyDescent="0.3">
      <c r="A246" s="28">
        <f t="shared" si="229"/>
        <v>237</v>
      </c>
      <c r="D246" s="109" t="s">
        <v>50</v>
      </c>
      <c r="E246" s="122"/>
      <c r="F246" s="126"/>
      <c r="G246" s="123"/>
      <c r="H246" s="126">
        <v>5.747E-2</v>
      </c>
      <c r="I246" s="123"/>
      <c r="J246" s="124"/>
      <c r="K246" s="124"/>
      <c r="L246" s="126">
        <f t="shared" si="232"/>
        <v>5.9916199596869585E-2</v>
      </c>
      <c r="M246" s="123"/>
      <c r="N246" s="123"/>
      <c r="O246" s="124"/>
      <c r="P246" s="124"/>
      <c r="Q246" s="125"/>
      <c r="R246" s="125"/>
      <c r="S246" s="99">
        <f t="shared" si="231"/>
        <v>1.0425648094113378</v>
      </c>
      <c r="T246" s="4">
        <f t="shared" si="240"/>
        <v>4.2564809411337778E-2</v>
      </c>
    </row>
    <row r="247" spans="1:20" x14ac:dyDescent="0.25">
      <c r="A247" s="28">
        <f t="shared" si="229"/>
        <v>238</v>
      </c>
      <c r="B247" s="19" t="s">
        <v>108</v>
      </c>
      <c r="C247" s="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99"/>
    </row>
    <row r="248" spans="1:20" x14ac:dyDescent="0.25">
      <c r="A248" s="28">
        <f t="shared" si="229"/>
        <v>239</v>
      </c>
      <c r="D248" s="109" t="s">
        <v>17</v>
      </c>
      <c r="E248" s="122"/>
      <c r="F248" s="110"/>
      <c r="G248" s="123"/>
      <c r="H248" s="110">
        <v>963.14</v>
      </c>
      <c r="I248" s="123"/>
      <c r="J248" s="124"/>
      <c r="K248" s="124"/>
      <c r="L248" s="110">
        <f t="shared" si="232"/>
        <v>1004.1358705364358</v>
      </c>
      <c r="M248" s="123"/>
      <c r="N248" s="123"/>
      <c r="O248" s="124"/>
      <c r="P248" s="124"/>
      <c r="Q248" s="125"/>
      <c r="R248" s="125"/>
      <c r="S248" s="99">
        <f t="shared" si="231"/>
        <v>1.0425648094113378</v>
      </c>
      <c r="T248" s="4">
        <f t="shared" ref="T248:T251" si="241">L248/H248-1</f>
        <v>4.2564809411337778E-2</v>
      </c>
    </row>
    <row r="249" spans="1:20" x14ac:dyDescent="0.25">
      <c r="A249" s="28">
        <f t="shared" si="229"/>
        <v>240</v>
      </c>
      <c r="D249" s="109" t="s">
        <v>87</v>
      </c>
      <c r="E249" s="122"/>
      <c r="F249" s="126"/>
      <c r="G249" s="123"/>
      <c r="H249" s="110">
        <v>6.2</v>
      </c>
      <c r="I249" s="123"/>
      <c r="J249" s="124"/>
      <c r="K249" s="124"/>
      <c r="L249" s="110">
        <f t="shared" si="232"/>
        <v>6.4639018183502941</v>
      </c>
      <c r="M249" s="123"/>
      <c r="N249" s="123"/>
      <c r="O249" s="124"/>
      <c r="P249" s="124"/>
      <c r="Q249" s="125"/>
      <c r="R249" s="125"/>
      <c r="S249" s="99">
        <f t="shared" si="231"/>
        <v>1.0425648094113378</v>
      </c>
      <c r="T249" s="4">
        <f t="shared" si="241"/>
        <v>4.2564809411337778E-2</v>
      </c>
    </row>
    <row r="250" spans="1:20" x14ac:dyDescent="0.25">
      <c r="A250" s="28">
        <f t="shared" si="229"/>
        <v>241</v>
      </c>
      <c r="D250" s="109" t="s">
        <v>88</v>
      </c>
      <c r="E250" s="122"/>
      <c r="F250" s="126"/>
      <c r="G250" s="123"/>
      <c r="H250" s="110">
        <v>8.98</v>
      </c>
      <c r="I250" s="123"/>
      <c r="J250" s="124"/>
      <c r="K250" s="124"/>
      <c r="L250" s="110">
        <f t="shared" si="232"/>
        <v>9.3622319885138143</v>
      </c>
      <c r="M250" s="123"/>
      <c r="N250" s="123"/>
      <c r="O250" s="124"/>
      <c r="P250" s="124"/>
      <c r="Q250" s="125"/>
      <c r="R250" s="125"/>
      <c r="S250" s="99">
        <f t="shared" si="231"/>
        <v>1.0425648094113378</v>
      </c>
      <c r="T250" s="4">
        <f t="shared" si="241"/>
        <v>4.2564809411337778E-2</v>
      </c>
    </row>
    <row r="251" spans="1:20" ht="13.8" thickBot="1" x14ac:dyDescent="0.3">
      <c r="A251" s="28">
        <f t="shared" si="229"/>
        <v>242</v>
      </c>
      <c r="D251" s="109" t="s">
        <v>50</v>
      </c>
      <c r="E251" s="122"/>
      <c r="F251" s="126"/>
      <c r="G251" s="123"/>
      <c r="H251" s="126">
        <v>5.0319999999999997E-2</v>
      </c>
      <c r="I251" s="123"/>
      <c r="J251" s="124"/>
      <c r="K251" s="124"/>
      <c r="L251" s="126">
        <f t="shared" si="232"/>
        <v>5.2461861209578513E-2</v>
      </c>
      <c r="M251" s="123"/>
      <c r="N251" s="123"/>
      <c r="O251" s="124"/>
      <c r="P251" s="124"/>
      <c r="Q251" s="125"/>
      <c r="R251" s="125"/>
      <c r="S251" s="99">
        <f t="shared" si="231"/>
        <v>1.0425648094113378</v>
      </c>
      <c r="T251" s="4">
        <f t="shared" si="241"/>
        <v>4.2564809411337778E-2</v>
      </c>
    </row>
    <row r="252" spans="1:20" x14ac:dyDescent="0.25">
      <c r="A252" s="28">
        <f t="shared" si="229"/>
        <v>243</v>
      </c>
      <c r="B252" s="19" t="s">
        <v>109</v>
      </c>
      <c r="C252" s="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99"/>
    </row>
    <row r="253" spans="1:20" x14ac:dyDescent="0.25">
      <c r="A253" s="28">
        <f t="shared" si="229"/>
        <v>244</v>
      </c>
      <c r="D253" s="109" t="s">
        <v>17</v>
      </c>
      <c r="E253" s="122"/>
      <c r="F253" s="110"/>
      <c r="G253" s="123"/>
      <c r="H253" s="110">
        <v>963.14</v>
      </c>
      <c r="I253" s="123"/>
      <c r="J253" s="124"/>
      <c r="K253" s="124"/>
      <c r="L253" s="110">
        <f t="shared" si="232"/>
        <v>1004.1358705364358</v>
      </c>
      <c r="M253" s="123"/>
      <c r="N253" s="123"/>
      <c r="O253" s="124"/>
      <c r="P253" s="124"/>
      <c r="Q253" s="125"/>
      <c r="R253" s="125"/>
      <c r="S253" s="99">
        <f t="shared" si="231"/>
        <v>1.0425648094113378</v>
      </c>
      <c r="T253" s="4">
        <f t="shared" ref="T253:T255" si="242">L253/H253-1</f>
        <v>4.2564809411337778E-2</v>
      </c>
    </row>
    <row r="254" spans="1:20" x14ac:dyDescent="0.25">
      <c r="A254" s="28">
        <f t="shared" si="229"/>
        <v>245</v>
      </c>
      <c r="D254" s="109" t="s">
        <v>51</v>
      </c>
      <c r="E254" s="122"/>
      <c r="F254" s="126"/>
      <c r="G254" s="123"/>
      <c r="H254" s="110">
        <v>6.2</v>
      </c>
      <c r="I254" s="123"/>
      <c r="J254" s="124"/>
      <c r="K254" s="124"/>
      <c r="L254" s="110">
        <f t="shared" si="232"/>
        <v>6.4639018183502941</v>
      </c>
      <c r="M254" s="123"/>
      <c r="N254" s="123"/>
      <c r="O254" s="124"/>
      <c r="P254" s="124"/>
      <c r="Q254" s="125"/>
      <c r="R254" s="125"/>
      <c r="S254" s="99">
        <f t="shared" si="231"/>
        <v>1.0425648094113378</v>
      </c>
      <c r="T254" s="4">
        <f t="shared" si="242"/>
        <v>4.2564809411337778E-2</v>
      </c>
    </row>
    <row r="255" spans="1:20" ht="13.8" thickBot="1" x14ac:dyDescent="0.3">
      <c r="A255" s="28">
        <f t="shared" si="229"/>
        <v>246</v>
      </c>
      <c r="D255" s="109" t="s">
        <v>50</v>
      </c>
      <c r="E255" s="122"/>
      <c r="F255" s="126"/>
      <c r="G255" s="123"/>
      <c r="H255" s="126">
        <v>5.0319999999999997E-2</v>
      </c>
      <c r="I255" s="123"/>
      <c r="J255" s="124"/>
      <c r="K255" s="124"/>
      <c r="L255" s="126">
        <f t="shared" si="232"/>
        <v>5.2461861209578513E-2</v>
      </c>
      <c r="M255" s="123"/>
      <c r="N255" s="123"/>
      <c r="O255" s="124"/>
      <c r="P255" s="124"/>
      <c r="Q255" s="125"/>
      <c r="R255" s="125"/>
      <c r="S255" s="99">
        <f t="shared" si="231"/>
        <v>1.0425648094113378</v>
      </c>
      <c r="T255" s="4">
        <f t="shared" si="242"/>
        <v>4.2564809411337778E-2</v>
      </c>
    </row>
    <row r="256" spans="1:20" x14ac:dyDescent="0.25">
      <c r="A256" s="28">
        <f t="shared" si="229"/>
        <v>247</v>
      </c>
      <c r="B256" s="19" t="s">
        <v>110</v>
      </c>
      <c r="C256" s="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99"/>
    </row>
    <row r="257" spans="1:20" x14ac:dyDescent="0.25">
      <c r="A257" s="28">
        <f t="shared" si="229"/>
        <v>248</v>
      </c>
      <c r="D257" s="109" t="s">
        <v>17</v>
      </c>
      <c r="E257" s="122"/>
      <c r="F257" s="110"/>
      <c r="G257" s="123"/>
      <c r="H257" s="110">
        <v>1782.73</v>
      </c>
      <c r="I257" s="123"/>
      <c r="J257" s="124"/>
      <c r="K257" s="124"/>
      <c r="L257" s="110">
        <f t="shared" si="232"/>
        <v>1858.6115626818741</v>
      </c>
      <c r="M257" s="123"/>
      <c r="N257" s="123"/>
      <c r="O257" s="124"/>
      <c r="P257" s="124"/>
      <c r="Q257" s="125"/>
      <c r="R257" s="125"/>
      <c r="S257" s="99">
        <f t="shared" si="231"/>
        <v>1.0425648094113378</v>
      </c>
      <c r="T257" s="4">
        <f t="shared" ref="T257:T259" si="243">L257/H257-1</f>
        <v>4.2564809411337778E-2</v>
      </c>
    </row>
    <row r="258" spans="1:20" x14ac:dyDescent="0.25">
      <c r="A258" s="28">
        <f t="shared" si="229"/>
        <v>249</v>
      </c>
      <c r="D258" s="109" t="s">
        <v>51</v>
      </c>
      <c r="E258" s="122"/>
      <c r="F258" s="126"/>
      <c r="G258" s="123"/>
      <c r="H258" s="110">
        <v>6.2</v>
      </c>
      <c r="I258" s="123"/>
      <c r="J258" s="124"/>
      <c r="K258" s="124"/>
      <c r="L258" s="110">
        <f t="shared" si="232"/>
        <v>6.4639018183502941</v>
      </c>
      <c r="M258" s="123"/>
      <c r="N258" s="123"/>
      <c r="O258" s="124"/>
      <c r="P258" s="124"/>
      <c r="Q258" s="125"/>
      <c r="R258" s="125"/>
      <c r="S258" s="99">
        <f t="shared" si="231"/>
        <v>1.0425648094113378</v>
      </c>
      <c r="T258" s="4">
        <f t="shared" si="243"/>
        <v>4.2564809411337778E-2</v>
      </c>
    </row>
    <row r="259" spans="1:20" ht="13.8" thickBot="1" x14ac:dyDescent="0.3">
      <c r="A259" s="28">
        <f t="shared" si="229"/>
        <v>250</v>
      </c>
      <c r="D259" s="109" t="s">
        <v>50</v>
      </c>
      <c r="E259" s="122"/>
      <c r="F259" s="126"/>
      <c r="G259" s="123"/>
      <c r="H259" s="126">
        <v>4.6960000000000002E-2</v>
      </c>
      <c r="I259" s="123"/>
      <c r="J259" s="124"/>
      <c r="K259" s="124"/>
      <c r="L259" s="126">
        <f t="shared" si="232"/>
        <v>4.8958843449956421E-2</v>
      </c>
      <c r="M259" s="123"/>
      <c r="N259" s="123"/>
      <c r="O259" s="124"/>
      <c r="P259" s="124"/>
      <c r="Q259" s="125"/>
      <c r="R259" s="125"/>
      <c r="S259" s="99">
        <f t="shared" si="231"/>
        <v>1.0425648094113378</v>
      </c>
      <c r="T259" s="4">
        <f t="shared" si="243"/>
        <v>4.2564809411337778E-2</v>
      </c>
    </row>
    <row r="260" spans="1:20" x14ac:dyDescent="0.25">
      <c r="A260" s="28">
        <f t="shared" si="229"/>
        <v>251</v>
      </c>
      <c r="B260" s="19" t="s">
        <v>111</v>
      </c>
      <c r="C260" s="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99"/>
    </row>
    <row r="261" spans="1:20" x14ac:dyDescent="0.25">
      <c r="A261" s="28">
        <f t="shared" si="229"/>
        <v>252</v>
      </c>
      <c r="D261" s="109" t="s">
        <v>51</v>
      </c>
      <c r="E261" s="122"/>
      <c r="F261" s="126"/>
      <c r="G261" s="123"/>
      <c r="H261" s="110">
        <v>9.4499999999999993</v>
      </c>
      <c r="I261" s="123"/>
      <c r="J261" s="124"/>
      <c r="K261" s="124"/>
      <c r="L261" s="110">
        <f t="shared" si="232"/>
        <v>9.8522374489371405</v>
      </c>
      <c r="M261" s="123"/>
      <c r="N261" s="123"/>
      <c r="O261" s="124"/>
      <c r="P261" s="124"/>
      <c r="Q261" s="125"/>
      <c r="R261" s="125"/>
      <c r="S261" s="99">
        <f t="shared" si="231"/>
        <v>1.0425648094113378</v>
      </c>
      <c r="T261" s="4">
        <f t="shared" ref="T261:T262" si="244">L261/H261-1</f>
        <v>4.2564809411337778E-2</v>
      </c>
    </row>
    <row r="262" spans="1:20" ht="13.8" thickBot="1" x14ac:dyDescent="0.3">
      <c r="A262" s="28">
        <f t="shared" si="229"/>
        <v>253</v>
      </c>
      <c r="D262" s="109" t="s">
        <v>50</v>
      </c>
      <c r="E262" s="122"/>
      <c r="F262" s="126"/>
      <c r="G262" s="123"/>
      <c r="H262" s="126">
        <v>4.4269999999999997E-2</v>
      </c>
      <c r="I262" s="123"/>
      <c r="J262" s="124"/>
      <c r="K262" s="124"/>
      <c r="L262" s="126">
        <f t="shared" si="232"/>
        <v>4.6154344112639918E-2</v>
      </c>
      <c r="M262" s="123"/>
      <c r="N262" s="123"/>
      <c r="O262" s="124"/>
      <c r="P262" s="124"/>
      <c r="Q262" s="125"/>
      <c r="R262" s="125"/>
      <c r="S262" s="99">
        <f t="shared" si="231"/>
        <v>1.0425648094113378</v>
      </c>
      <c r="T262" s="4">
        <f t="shared" si="244"/>
        <v>4.2564809411337778E-2</v>
      </c>
    </row>
    <row r="263" spans="1:20" x14ac:dyDescent="0.25">
      <c r="A263" s="28">
        <f t="shared" si="229"/>
        <v>254</v>
      </c>
      <c r="B263" s="19" t="s">
        <v>112</v>
      </c>
      <c r="C263" s="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99"/>
    </row>
    <row r="264" spans="1:20" x14ac:dyDescent="0.25">
      <c r="A264" s="28">
        <f t="shared" si="229"/>
        <v>255</v>
      </c>
      <c r="D264" s="109" t="s">
        <v>17</v>
      </c>
      <c r="E264" s="122"/>
      <c r="F264" s="110"/>
      <c r="G264" s="123"/>
      <c r="H264" s="110">
        <v>3421.91</v>
      </c>
      <c r="I264" s="123"/>
      <c r="J264" s="124"/>
      <c r="K264" s="124"/>
      <c r="L264" s="110">
        <f t="shared" si="232"/>
        <v>3567.5629469727505</v>
      </c>
      <c r="M264" s="123"/>
      <c r="N264" s="123"/>
      <c r="O264" s="124"/>
      <c r="P264" s="124"/>
      <c r="Q264" s="125"/>
      <c r="R264" s="125"/>
      <c r="S264" s="99">
        <f t="shared" si="231"/>
        <v>1.0425648094113378</v>
      </c>
      <c r="T264" s="4">
        <f t="shared" ref="T264:T266" si="245">L264/H264-1</f>
        <v>4.2564809411337778E-2</v>
      </c>
    </row>
    <row r="265" spans="1:20" x14ac:dyDescent="0.25">
      <c r="A265" s="28">
        <f t="shared" si="229"/>
        <v>256</v>
      </c>
      <c r="D265" s="109" t="s">
        <v>51</v>
      </c>
      <c r="E265" s="122"/>
      <c r="F265" s="126"/>
      <c r="G265" s="123"/>
      <c r="H265" s="110">
        <v>6.2</v>
      </c>
      <c r="I265" s="123"/>
      <c r="J265" s="124"/>
      <c r="K265" s="124"/>
      <c r="L265" s="110">
        <f t="shared" si="232"/>
        <v>6.4639018183502941</v>
      </c>
      <c r="M265" s="123"/>
      <c r="N265" s="123"/>
      <c r="O265" s="124"/>
      <c r="P265" s="124"/>
      <c r="Q265" s="125"/>
      <c r="R265" s="125"/>
      <c r="S265" s="99">
        <f t="shared" si="231"/>
        <v>1.0425648094113378</v>
      </c>
      <c r="T265" s="4">
        <f t="shared" si="245"/>
        <v>4.2564809411337778E-2</v>
      </c>
    </row>
    <row r="266" spans="1:20" ht="13.8" thickBot="1" x14ac:dyDescent="0.3">
      <c r="A266" s="28">
        <f t="shared" si="229"/>
        <v>257</v>
      </c>
      <c r="D266" s="109" t="s">
        <v>50</v>
      </c>
      <c r="E266" s="122"/>
      <c r="F266" s="126"/>
      <c r="G266" s="123"/>
      <c r="H266" s="126">
        <v>4.1270000000000001E-2</v>
      </c>
      <c r="I266" s="123"/>
      <c r="J266" s="124"/>
      <c r="K266" s="124"/>
      <c r="L266" s="126">
        <f t="shared" si="232"/>
        <v>4.3026649684405914E-2</v>
      </c>
      <c r="M266" s="123"/>
      <c r="N266" s="123"/>
      <c r="O266" s="124"/>
      <c r="P266" s="124"/>
      <c r="Q266" s="125"/>
      <c r="R266" s="125"/>
      <c r="S266" s="99">
        <f t="shared" si="231"/>
        <v>1.0425648094113378</v>
      </c>
      <c r="T266" s="4">
        <f t="shared" si="245"/>
        <v>4.2564809411337778E-2</v>
      </c>
    </row>
    <row r="267" spans="1:20" x14ac:dyDescent="0.25">
      <c r="A267" s="28">
        <f t="shared" si="229"/>
        <v>258</v>
      </c>
      <c r="B267" s="19" t="s">
        <v>113</v>
      </c>
      <c r="C267" s="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99"/>
    </row>
    <row r="268" spans="1:20" x14ac:dyDescent="0.25">
      <c r="A268" s="28">
        <f t="shared" si="229"/>
        <v>259</v>
      </c>
      <c r="D268" s="109" t="s">
        <v>17</v>
      </c>
      <c r="E268" s="122"/>
      <c r="F268" s="110"/>
      <c r="G268" s="123"/>
      <c r="H268" s="110">
        <v>3421.91</v>
      </c>
      <c r="I268" s="123"/>
      <c r="J268" s="124"/>
      <c r="K268" s="124"/>
      <c r="L268" s="110">
        <f t="shared" si="232"/>
        <v>3567.5629469727505</v>
      </c>
      <c r="M268" s="123"/>
      <c r="N268" s="123"/>
      <c r="O268" s="124"/>
      <c r="P268" s="124"/>
      <c r="Q268" s="125"/>
      <c r="R268" s="125"/>
      <c r="S268" s="99">
        <f t="shared" si="231"/>
        <v>1.0425648094113378</v>
      </c>
      <c r="T268" s="4">
        <f t="shared" ref="T268:T270" si="246">L268/H268-1</f>
        <v>4.2564809411337778E-2</v>
      </c>
    </row>
    <row r="269" spans="1:20" x14ac:dyDescent="0.25">
      <c r="A269" s="28">
        <f t="shared" si="229"/>
        <v>260</v>
      </c>
      <c r="D269" s="109" t="s">
        <v>51</v>
      </c>
      <c r="E269" s="122"/>
      <c r="F269" s="126"/>
      <c r="G269" s="123"/>
      <c r="H269" s="110">
        <v>6.2</v>
      </c>
      <c r="I269" s="123"/>
      <c r="J269" s="124"/>
      <c r="K269" s="124"/>
      <c r="L269" s="110">
        <f t="shared" si="232"/>
        <v>6.4639018183502941</v>
      </c>
      <c r="M269" s="123"/>
      <c r="N269" s="123"/>
      <c r="O269" s="124"/>
      <c r="P269" s="124"/>
      <c r="Q269" s="125"/>
      <c r="R269" s="125"/>
      <c r="S269" s="99">
        <f t="shared" si="231"/>
        <v>1.0425648094113378</v>
      </c>
      <c r="T269" s="4">
        <f t="shared" si="246"/>
        <v>4.2564809411337778E-2</v>
      </c>
    </row>
    <row r="270" spans="1:20" ht="13.8" thickBot="1" x14ac:dyDescent="0.3">
      <c r="A270" s="28">
        <f t="shared" si="229"/>
        <v>261</v>
      </c>
      <c r="D270" s="109" t="s">
        <v>50</v>
      </c>
      <c r="E270" s="122"/>
      <c r="F270" s="126"/>
      <c r="G270" s="123"/>
      <c r="H270" s="126">
        <v>4.1050000000000003E-2</v>
      </c>
      <c r="I270" s="123"/>
      <c r="J270" s="124"/>
      <c r="K270" s="124"/>
      <c r="L270" s="126">
        <f t="shared" si="232"/>
        <v>4.2797285426335416E-2</v>
      </c>
      <c r="M270" s="123"/>
      <c r="N270" s="123"/>
      <c r="O270" s="124"/>
      <c r="P270" s="124"/>
      <c r="Q270" s="125"/>
      <c r="R270" s="125"/>
      <c r="S270" s="99">
        <f t="shared" si="231"/>
        <v>1.0425648094113378</v>
      </c>
      <c r="T270" s="4">
        <f t="shared" si="246"/>
        <v>4.2564809411337778E-2</v>
      </c>
    </row>
    <row r="271" spans="1:20" x14ac:dyDescent="0.25">
      <c r="A271" s="28">
        <f t="shared" si="229"/>
        <v>262</v>
      </c>
      <c r="B271" s="19" t="s">
        <v>114</v>
      </c>
      <c r="C271" s="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99"/>
    </row>
    <row r="272" spans="1:20" x14ac:dyDescent="0.25">
      <c r="A272" s="28">
        <f t="shared" si="229"/>
        <v>263</v>
      </c>
      <c r="D272" s="109" t="s">
        <v>17</v>
      </c>
      <c r="E272" s="122"/>
      <c r="F272" s="110"/>
      <c r="G272" s="123"/>
      <c r="H272" s="110">
        <v>5431.43</v>
      </c>
      <c r="I272" s="123"/>
      <c r="J272" s="124"/>
      <c r="K272" s="124"/>
      <c r="L272" s="110">
        <f t="shared" si="232"/>
        <v>5662.6177827810225</v>
      </c>
      <c r="M272" s="123"/>
      <c r="N272" s="123"/>
      <c r="O272" s="124"/>
      <c r="P272" s="124"/>
      <c r="Q272" s="125"/>
      <c r="R272" s="125"/>
      <c r="S272" s="99">
        <f t="shared" si="231"/>
        <v>1.0425648094113378</v>
      </c>
      <c r="T272" s="4">
        <f t="shared" ref="T272:T275" si="247">L272/H272-1</f>
        <v>4.2564809411337778E-2</v>
      </c>
    </row>
    <row r="273" spans="1:20" x14ac:dyDescent="0.25">
      <c r="A273" s="28">
        <f t="shared" si="229"/>
        <v>264</v>
      </c>
      <c r="D273" s="109" t="s">
        <v>51</v>
      </c>
      <c r="E273" s="122"/>
      <c r="F273" s="126"/>
      <c r="G273" s="123"/>
      <c r="H273" s="110">
        <v>6.2</v>
      </c>
      <c r="I273" s="123"/>
      <c r="J273" s="124"/>
      <c r="K273" s="124"/>
      <c r="L273" s="110">
        <f t="shared" si="232"/>
        <v>6.4639018183502941</v>
      </c>
      <c r="M273" s="123"/>
      <c r="N273" s="123"/>
      <c r="O273" s="124"/>
      <c r="P273" s="124"/>
      <c r="Q273" s="125"/>
      <c r="R273" s="125"/>
      <c r="S273" s="99">
        <f t="shared" si="231"/>
        <v>1.0425648094113378</v>
      </c>
      <c r="T273" s="4">
        <f t="shared" si="247"/>
        <v>4.2564809411337778E-2</v>
      </c>
    </row>
    <row r="274" spans="1:20" x14ac:dyDescent="0.25">
      <c r="A274" s="28">
        <f t="shared" si="229"/>
        <v>265</v>
      </c>
      <c r="D274" s="109" t="s">
        <v>101</v>
      </c>
      <c r="E274" s="122"/>
      <c r="F274" s="126"/>
      <c r="G274" s="123"/>
      <c r="H274" s="110">
        <v>8.98</v>
      </c>
      <c r="I274" s="123"/>
      <c r="J274" s="124"/>
      <c r="K274" s="124"/>
      <c r="L274" s="110">
        <f t="shared" si="232"/>
        <v>9.3622319885138143</v>
      </c>
      <c r="M274" s="123"/>
      <c r="N274" s="123"/>
      <c r="O274" s="124"/>
      <c r="P274" s="124"/>
      <c r="Q274" s="125"/>
      <c r="R274" s="125"/>
      <c r="S274" s="99">
        <f t="shared" si="231"/>
        <v>1.0425648094113378</v>
      </c>
      <c r="T274" s="4">
        <f t="shared" si="247"/>
        <v>4.2564809411337778E-2</v>
      </c>
    </row>
    <row r="275" spans="1:20" ht="13.8" thickBot="1" x14ac:dyDescent="0.3">
      <c r="A275" s="28">
        <f t="shared" si="229"/>
        <v>266</v>
      </c>
      <c r="D275" s="109" t="s">
        <v>102</v>
      </c>
      <c r="E275" s="122"/>
      <c r="F275" s="126"/>
      <c r="G275" s="123"/>
      <c r="H275" s="126">
        <v>4.0710000000000003E-2</v>
      </c>
      <c r="I275" s="123"/>
      <c r="J275" s="124"/>
      <c r="K275" s="124"/>
      <c r="L275" s="126">
        <f t="shared" si="232"/>
        <v>4.2442813391135564E-2</v>
      </c>
      <c r="M275" s="123"/>
      <c r="N275" s="123"/>
      <c r="O275" s="124"/>
      <c r="P275" s="124"/>
      <c r="Q275" s="125"/>
      <c r="R275" s="125"/>
      <c r="S275" s="99">
        <f t="shared" si="231"/>
        <v>1.0425648094113378</v>
      </c>
      <c r="T275" s="4">
        <f t="shared" si="247"/>
        <v>4.2564809411337778E-2</v>
      </c>
    </row>
    <row r="276" spans="1:20" x14ac:dyDescent="0.25">
      <c r="A276" s="28">
        <f t="shared" si="229"/>
        <v>267</v>
      </c>
      <c r="B276" s="19" t="s">
        <v>115</v>
      </c>
      <c r="C276" s="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99"/>
    </row>
    <row r="277" spans="1:20" x14ac:dyDescent="0.25">
      <c r="A277" s="28">
        <f t="shared" si="229"/>
        <v>268</v>
      </c>
      <c r="D277" s="109" t="s">
        <v>17</v>
      </c>
      <c r="E277" s="122"/>
      <c r="F277" s="110"/>
      <c r="G277" s="123"/>
      <c r="H277" s="110">
        <v>5431.43</v>
      </c>
      <c r="I277" s="123"/>
      <c r="J277" s="124"/>
      <c r="K277" s="124"/>
      <c r="L277" s="110">
        <f t="shared" ref="L277:L279" si="248">H277*S277</f>
        <v>5662.6177827810225</v>
      </c>
      <c r="M277" s="123"/>
      <c r="N277" s="123"/>
      <c r="O277" s="124"/>
      <c r="P277" s="124"/>
      <c r="Q277" s="125"/>
      <c r="R277" s="125"/>
      <c r="S277" s="99">
        <f t="shared" ref="S277:S279" si="249">1+O$211</f>
        <v>1.0425648094113378</v>
      </c>
      <c r="T277" s="4">
        <f t="shared" ref="T277:T279" si="250">L277/H277-1</f>
        <v>4.2564809411337778E-2</v>
      </c>
    </row>
    <row r="278" spans="1:20" x14ac:dyDescent="0.25">
      <c r="A278" s="28">
        <f t="shared" si="229"/>
        <v>269</v>
      </c>
      <c r="D278" s="109" t="s">
        <v>51</v>
      </c>
      <c r="E278" s="122"/>
      <c r="F278" s="126"/>
      <c r="G278" s="123"/>
      <c r="H278" s="110">
        <v>6.2</v>
      </c>
      <c r="I278" s="123"/>
      <c r="J278" s="124"/>
      <c r="K278" s="124"/>
      <c r="L278" s="110">
        <f t="shared" si="248"/>
        <v>6.4639018183502941</v>
      </c>
      <c r="M278" s="123"/>
      <c r="N278" s="123"/>
      <c r="O278" s="124"/>
      <c r="P278" s="124"/>
      <c r="Q278" s="125"/>
      <c r="R278" s="125"/>
      <c r="S278" s="99">
        <f t="shared" si="249"/>
        <v>1.0425648094113378</v>
      </c>
      <c r="T278" s="4">
        <f t="shared" si="250"/>
        <v>4.2564809411337778E-2</v>
      </c>
    </row>
    <row r="279" spans="1:20" x14ac:dyDescent="0.25">
      <c r="A279" s="28">
        <f t="shared" si="229"/>
        <v>270</v>
      </c>
      <c r="D279" s="109" t="s">
        <v>102</v>
      </c>
      <c r="E279" s="122"/>
      <c r="F279" s="126"/>
      <c r="G279" s="123"/>
      <c r="H279" s="126">
        <v>4.0710000000000003E-2</v>
      </c>
      <c r="I279" s="123"/>
      <c r="J279" s="124"/>
      <c r="K279" s="124"/>
      <c r="L279" s="126">
        <f t="shared" si="248"/>
        <v>4.2442813391135564E-2</v>
      </c>
      <c r="M279" s="123"/>
      <c r="N279" s="123"/>
      <c r="O279" s="124"/>
      <c r="P279" s="124"/>
      <c r="Q279" s="125"/>
      <c r="R279" s="125"/>
      <c r="S279" s="99">
        <f t="shared" si="249"/>
        <v>1.0425648094113378</v>
      </c>
      <c r="T279" s="4">
        <f t="shared" si="250"/>
        <v>4.2564809411337778E-2</v>
      </c>
    </row>
  </sheetData>
  <phoneticPr fontId="8" type="noConversion"/>
  <printOptions horizontalCentered="1"/>
  <pageMargins left="0.7" right="0.7" top="0.75" bottom="0.75" header="0.3" footer="0.3"/>
  <pageSetup scale="56" fitToHeight="7" orientation="landscape" r:id="rId1"/>
  <headerFooter>
    <oddHeader>&amp;R&amp;"Arial,Bold"&amp;10Exhibit 3 
Page &amp;P of &amp;N</oddHeader>
  </headerFooter>
  <rowBreaks count="5" manualBreakCount="5">
    <brk id="56" max="17" man="1"/>
    <brk id="106" max="17" man="1"/>
    <brk id="159" max="17" man="1"/>
    <brk id="208" max="17" man="1"/>
    <brk id="262" max="17" man="1"/>
  </rowBreaks>
  <ignoredErrors>
    <ignoredError sqref="M10 N10:N217 O10:O2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J152"/>
  <sheetViews>
    <sheetView view="pageBreakPreview" topLeftCell="A112" zoomScale="60" zoomScaleNormal="85" workbookViewId="0">
      <selection activeCell="E8" sqref="E8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1" customWidth="1"/>
    <col min="4" max="4" width="28.6640625" style="3" bestFit="1" customWidth="1"/>
    <col min="5" max="5" width="35.33203125" style="2" bestFit="1" customWidth="1"/>
    <col min="6" max="6" width="14.6640625" style="2" customWidth="1"/>
    <col min="7" max="7" width="12.5546875" style="2" customWidth="1"/>
    <col min="8" max="8" width="8.88671875" style="2"/>
    <col min="9" max="9" width="13.44140625" style="2" customWidth="1"/>
    <col min="10" max="16384" width="8.88671875" style="2"/>
  </cols>
  <sheetData>
    <row r="1" spans="1:10" x14ac:dyDescent="0.25">
      <c r="A1" s="1" t="str">
        <f>Summary!A1</f>
        <v>SALT RIVER ELECTRIC COOPERATIVE</v>
      </c>
    </row>
    <row r="2" spans="1:10" x14ac:dyDescent="0.25">
      <c r="A2" s="1" t="s">
        <v>120</v>
      </c>
    </row>
    <row r="4" spans="1:10" x14ac:dyDescent="0.25">
      <c r="C4" s="65" t="s">
        <v>62</v>
      </c>
      <c r="D4" s="100"/>
      <c r="E4" s="64" t="s">
        <v>2</v>
      </c>
      <c r="F4" s="68" t="s">
        <v>48</v>
      </c>
      <c r="G4" s="68" t="s">
        <v>49</v>
      </c>
    </row>
    <row r="5" spans="1:10" x14ac:dyDescent="0.25">
      <c r="C5" s="11">
        <f>'Billing Detail'!C7</f>
        <v>1</v>
      </c>
      <c r="D5" s="101" t="str">
        <f>'Billing Detail'!B7</f>
        <v>Farm &amp; Home Service A-5</v>
      </c>
    </row>
    <row r="6" spans="1:10" x14ac:dyDescent="0.25">
      <c r="D6" s="101"/>
      <c r="E6" s="2" t="str">
        <f>'Billing Detail'!D8</f>
        <v>Customer Charge</v>
      </c>
      <c r="F6" s="66">
        <f>'Billing Detail'!H8</f>
        <v>8.84</v>
      </c>
      <c r="G6" s="66">
        <f>'Billing Detail'!L8</f>
        <v>9.2200000000000006</v>
      </c>
      <c r="J6" s="4">
        <f>G6/F6-1</f>
        <v>4.2986425339366585E-2</v>
      </c>
    </row>
    <row r="7" spans="1:10" x14ac:dyDescent="0.25">
      <c r="D7" s="101"/>
      <c r="E7" s="2" t="str">
        <f>'Billing Detail'!D9</f>
        <v>Energy Charge per kWh</v>
      </c>
      <c r="F7" s="67">
        <f>'Billing Detail'!H9</f>
        <v>7.5459999999999999E-2</v>
      </c>
      <c r="G7" s="67">
        <f>'Billing Detail'!L9</f>
        <v>7.8670000000000004E-2</v>
      </c>
      <c r="J7" s="4">
        <f t="shared" ref="J7" si="0">G7/F7-1</f>
        <v>4.2539093559501806E-2</v>
      </c>
    </row>
    <row r="8" spans="1:10" x14ac:dyDescent="0.25">
      <c r="C8" s="11">
        <f>'Billing Detail'!C32</f>
        <v>7</v>
      </c>
      <c r="D8" s="101" t="str">
        <f>'Billing Detail'!B32</f>
        <v>Large Power 500-3000 KW LLP2</v>
      </c>
      <c r="F8" s="67"/>
      <c r="G8" s="67"/>
      <c r="J8" s="4"/>
    </row>
    <row r="9" spans="1:10" x14ac:dyDescent="0.25">
      <c r="D9" s="101"/>
      <c r="E9" s="2" t="str">
        <f>'Billing Detail'!D34</f>
        <v>Energy Charge per kWh</v>
      </c>
      <c r="F9" s="67">
        <f>'Billing Detail'!H34</f>
        <v>5.7549999999999997E-2</v>
      </c>
      <c r="G9" s="67">
        <f>'Billing Detail'!L34</f>
        <v>0.06</v>
      </c>
      <c r="J9" s="4">
        <f t="shared" ref="J9:J67" si="1">G9/F9-1</f>
        <v>4.2571676802780178E-2</v>
      </c>
    </row>
    <row r="10" spans="1:10" x14ac:dyDescent="0.25">
      <c r="D10" s="101"/>
      <c r="E10" s="2" t="str">
        <f>'Billing Detail'!D35</f>
        <v>Demand Charge per kW</v>
      </c>
      <c r="F10" s="76">
        <f>'Billing Detail'!H35</f>
        <v>6.7</v>
      </c>
      <c r="G10" s="76">
        <f>'Billing Detail'!L35</f>
        <v>6.9851599999999996</v>
      </c>
      <c r="J10" s="4">
        <f t="shared" si="1"/>
        <v>4.2561194029850702E-2</v>
      </c>
    </row>
    <row r="11" spans="1:10" x14ac:dyDescent="0.25">
      <c r="C11" s="11">
        <f>'Billing Detail'!C45</f>
        <v>8</v>
      </c>
      <c r="D11" s="101" t="str">
        <f>'Billing Detail'!B45</f>
        <v>Commercial &amp; Small Power B2</v>
      </c>
      <c r="F11" s="66"/>
      <c r="G11" s="66"/>
      <c r="J11" s="4"/>
    </row>
    <row r="12" spans="1:10" x14ac:dyDescent="0.25">
      <c r="D12" s="101"/>
      <c r="E12" s="2" t="str">
        <f>'Billing Detail'!D46</f>
        <v>Customer Charge</v>
      </c>
      <c r="F12" s="66">
        <f>'Billing Detail'!H46</f>
        <v>11.89</v>
      </c>
      <c r="G12" s="66">
        <f>'Billing Detail'!L46</f>
        <v>12.4</v>
      </c>
      <c r="J12" s="4">
        <f t="shared" si="1"/>
        <v>4.2893187552565104E-2</v>
      </c>
    </row>
    <row r="13" spans="1:10" x14ac:dyDescent="0.25">
      <c r="D13" s="101"/>
      <c r="E13" s="2" t="str">
        <f>'Billing Detail'!D47</f>
        <v>Energy Charge per kWh</v>
      </c>
      <c r="F13" s="67">
        <f>'Billing Detail'!H47</f>
        <v>8.2059999999999994E-2</v>
      </c>
      <c r="G13" s="67">
        <f>'Billing Detail'!L47</f>
        <v>8.5550000000000001E-2</v>
      </c>
      <c r="J13" s="4">
        <f t="shared" si="1"/>
        <v>4.2529856202778493E-2</v>
      </c>
    </row>
    <row r="14" spans="1:10" x14ac:dyDescent="0.25">
      <c r="C14" s="11">
        <f>'Billing Detail'!C57</f>
        <v>9</v>
      </c>
      <c r="D14" s="101" t="str">
        <f>'Billing Detail'!B57</f>
        <v>Large Power LLP-1</v>
      </c>
      <c r="F14" s="67"/>
      <c r="G14" s="67"/>
      <c r="J14" s="4"/>
    </row>
    <row r="15" spans="1:10" x14ac:dyDescent="0.25">
      <c r="D15" s="101"/>
      <c r="E15" s="2" t="str">
        <f>'Billing Detail'!D58</f>
        <v>Demand Charge per kW</v>
      </c>
      <c r="F15" s="76">
        <f>'Billing Detail'!H58</f>
        <v>6.7</v>
      </c>
      <c r="G15" s="76">
        <f>'Billing Detail'!L58</f>
        <v>6.99</v>
      </c>
      <c r="J15" s="4">
        <f t="shared" si="1"/>
        <v>4.3283582089552297E-2</v>
      </c>
    </row>
    <row r="16" spans="1:10" x14ac:dyDescent="0.25">
      <c r="D16" s="101"/>
      <c r="E16" s="2" t="str">
        <f>'Billing Detail'!D59</f>
        <v>Energy Charge per kWh</v>
      </c>
      <c r="F16" s="67">
        <f>'Billing Detail'!H59</f>
        <v>6.1350000000000002E-2</v>
      </c>
      <c r="G16" s="67">
        <f>'Billing Detail'!L59</f>
        <v>6.3960000000000003E-2</v>
      </c>
      <c r="J16" s="4">
        <f t="shared" ref="J16" si="2">G16/F16-1</f>
        <v>4.2542787286063533E-2</v>
      </c>
    </row>
    <row r="17" spans="3:10" x14ac:dyDescent="0.25">
      <c r="C17" s="11">
        <f>'Billing Detail'!C69</f>
        <v>11</v>
      </c>
      <c r="D17" s="101" t="str">
        <f>'Billing Detail'!B69</f>
        <v>Large Power LLP-3</v>
      </c>
      <c r="F17" s="66"/>
      <c r="G17" s="66"/>
      <c r="J17" s="4"/>
    </row>
    <row r="18" spans="3:10" x14ac:dyDescent="0.25">
      <c r="D18" s="101"/>
      <c r="E18" s="2" t="str">
        <f>'Billing Detail'!D70</f>
        <v>Demand Charge per kW</v>
      </c>
      <c r="F18" s="66">
        <f>'Billing Detail'!H70</f>
        <v>6.68</v>
      </c>
      <c r="G18" s="66">
        <f>'Billing Detail'!L70</f>
        <v>6.96</v>
      </c>
      <c r="J18" s="4">
        <f t="shared" si="1"/>
        <v>4.1916167664670656E-2</v>
      </c>
    </row>
    <row r="19" spans="3:10" x14ac:dyDescent="0.25">
      <c r="D19" s="101"/>
      <c r="E19" s="2" t="str">
        <f>'Billing Detail'!D71</f>
        <v>Energy Charge per kWh</v>
      </c>
      <c r="F19" s="67">
        <f>'Billing Detail'!H71</f>
        <v>5.747E-2</v>
      </c>
      <c r="G19" s="67">
        <f>'Billing Detail'!L71</f>
        <v>5.9920000000000001E-2</v>
      </c>
      <c r="J19" s="4">
        <f t="shared" si="1"/>
        <v>4.2630937880633324E-2</v>
      </c>
    </row>
    <row r="20" spans="3:10" x14ac:dyDescent="0.25">
      <c r="C20" s="11">
        <f>'Billing Detail'!C81</f>
        <v>13</v>
      </c>
      <c r="D20" s="101" t="str">
        <f>'Billing Detail'!B81</f>
        <v>Large Power LPR-2</v>
      </c>
      <c r="F20" s="67"/>
      <c r="G20" s="67"/>
      <c r="J20" s="4"/>
    </row>
    <row r="21" spans="3:10" x14ac:dyDescent="0.25">
      <c r="D21" s="101"/>
      <c r="E21" s="2" t="str">
        <f>'Billing Detail'!D82</f>
        <v>Demand Charge per kW</v>
      </c>
      <c r="F21" s="76">
        <f>'Billing Detail'!H82</f>
        <v>9.4499999999999993</v>
      </c>
      <c r="G21" s="76">
        <f>'Billing Detail'!L82</f>
        <v>9.85</v>
      </c>
      <c r="J21" s="4">
        <f t="shared" si="1"/>
        <v>4.2328042328042326E-2</v>
      </c>
    </row>
    <row r="22" spans="3:10" x14ac:dyDescent="0.25">
      <c r="D22" s="101"/>
      <c r="E22" s="2" t="str">
        <f>'Billing Detail'!D83</f>
        <v>Energy Charge per kWh</v>
      </c>
      <c r="F22" s="67">
        <f>'Billing Detail'!H83</f>
        <v>4.4269999999999997E-2</v>
      </c>
      <c r="G22" s="67">
        <f>'Billing Detail'!L83</f>
        <v>4.6149999999999997E-2</v>
      </c>
      <c r="J22" s="4">
        <f t="shared" ref="J22" si="3">G22/F22-1</f>
        <v>4.2466681725773725E-2</v>
      </c>
    </row>
    <row r="23" spans="3:10" x14ac:dyDescent="0.25">
      <c r="C23" s="11">
        <f>'Billing Detail'!C93</f>
        <v>14</v>
      </c>
      <c r="D23" s="101" t="str">
        <f>'Billing Detail'!B93</f>
        <v>Large Power LLP-4-B1</v>
      </c>
      <c r="F23" s="66"/>
      <c r="G23" s="66"/>
      <c r="J23" s="4"/>
    </row>
    <row r="24" spans="3:10" x14ac:dyDescent="0.25">
      <c r="D24" s="101"/>
      <c r="E24" s="2" t="str">
        <f>'Billing Detail'!D94</f>
        <v>Customer Charge</v>
      </c>
      <c r="F24" s="76">
        <f>'Billing Detail'!H94</f>
        <v>1782.73</v>
      </c>
      <c r="G24" s="76">
        <f>'Billing Detail'!L94</f>
        <v>1858.6</v>
      </c>
      <c r="J24" s="4">
        <f t="shared" si="1"/>
        <v>4.2558323470183401E-2</v>
      </c>
    </row>
    <row r="25" spans="3:10" x14ac:dyDescent="0.25">
      <c r="D25" s="101"/>
      <c r="E25" s="2" t="str">
        <f>'Billing Detail'!D95</f>
        <v>Energy Charge per kWh</v>
      </c>
      <c r="F25" s="67">
        <f>'Billing Detail'!H95</f>
        <v>4.6960000000000002E-2</v>
      </c>
      <c r="G25" s="67">
        <f>'Billing Detail'!L95</f>
        <v>4.8959999999999997E-2</v>
      </c>
      <c r="J25" s="4">
        <f t="shared" ref="J25:J27" si="4">G25/F25-1</f>
        <v>4.2589437819420706E-2</v>
      </c>
    </row>
    <row r="26" spans="3:10" x14ac:dyDescent="0.25">
      <c r="D26" s="101"/>
      <c r="E26" s="2" t="str">
        <f>'Billing Detail'!D96</f>
        <v>Demand Charge Contract per kW</v>
      </c>
      <c r="F26" s="76">
        <f>'Billing Detail'!H96</f>
        <v>6.2</v>
      </c>
      <c r="G26" s="76">
        <f>'Billing Detail'!L96</f>
        <v>6.46</v>
      </c>
      <c r="J26" s="4">
        <f t="shared" si="4"/>
        <v>4.1935483870967794E-2</v>
      </c>
    </row>
    <row r="27" spans="3:10" x14ac:dyDescent="0.25">
      <c r="D27" s="101"/>
      <c r="E27" s="2" t="str">
        <f>'Billing Detail'!D97</f>
        <v>Demand Charge Excess per kW</v>
      </c>
      <c r="F27" s="76">
        <f>'Billing Detail'!H97</f>
        <v>8.98</v>
      </c>
      <c r="G27" s="76">
        <f>'Billing Detail'!L97</f>
        <v>9.36</v>
      </c>
      <c r="J27" s="4">
        <f t="shared" si="4"/>
        <v>4.231625835189301E-2</v>
      </c>
    </row>
    <row r="28" spans="3:10" x14ac:dyDescent="0.25">
      <c r="C28" s="11">
        <f>'Billing Detail'!C107</f>
        <v>15</v>
      </c>
      <c r="D28" s="101" t="str">
        <f>'Billing Detail'!B107</f>
        <v>Large Power LPR-1-B1</v>
      </c>
      <c r="F28" s="66"/>
      <c r="G28" s="66"/>
      <c r="J28" s="4"/>
    </row>
    <row r="29" spans="3:10" x14ac:dyDescent="0.25">
      <c r="D29" s="101"/>
      <c r="E29" s="2" t="str">
        <f>'Billing Detail'!D108</f>
        <v>Customer Charge</v>
      </c>
      <c r="F29" s="76">
        <f>'Billing Detail'!H108</f>
        <v>3421.91</v>
      </c>
      <c r="G29" s="76">
        <f>'Billing Detail'!L108</f>
        <v>3567.55</v>
      </c>
      <c r="J29" s="4">
        <f t="shared" si="1"/>
        <v>4.2561025859827017E-2</v>
      </c>
    </row>
    <row r="30" spans="3:10" x14ac:dyDescent="0.25">
      <c r="D30" s="101"/>
      <c r="E30" s="2" t="str">
        <f>'Billing Detail'!D109</f>
        <v>Demand Charge Contract per kW</v>
      </c>
      <c r="F30" s="76">
        <f>'Billing Detail'!H109</f>
        <v>6.2</v>
      </c>
      <c r="G30" s="76">
        <f>'Billing Detail'!L109</f>
        <v>6.46</v>
      </c>
      <c r="J30" s="4">
        <f t="shared" ref="J30:J32" si="5">G30/F30-1</f>
        <v>4.1935483870967794E-2</v>
      </c>
    </row>
    <row r="31" spans="3:10" x14ac:dyDescent="0.25">
      <c r="D31" s="101"/>
      <c r="E31" s="2" t="str">
        <f>'Billing Detail'!D110</f>
        <v>Demand Charge Excess per kW</v>
      </c>
      <c r="F31" s="76">
        <f>'Billing Detail'!H110</f>
        <v>8.98</v>
      </c>
      <c r="G31" s="76">
        <f>'Billing Detail'!L110</f>
        <v>9.36</v>
      </c>
      <c r="J31" s="4">
        <f t="shared" si="5"/>
        <v>4.231625835189301E-2</v>
      </c>
    </row>
    <row r="32" spans="3:10" x14ac:dyDescent="0.25">
      <c r="D32" s="101"/>
      <c r="E32" s="2" t="str">
        <f>'Billing Detail'!D111</f>
        <v>Energy Charge per kWh</v>
      </c>
      <c r="F32" s="67">
        <f>'Billing Detail'!H111</f>
        <v>4.2849999999999999E-2</v>
      </c>
      <c r="G32" s="67">
        <f>'Billing Detail'!L111</f>
        <v>4.4670000000000001E-2</v>
      </c>
      <c r="J32" s="4">
        <f t="shared" si="5"/>
        <v>4.2473745624270753E-2</v>
      </c>
    </row>
    <row r="33" spans="3:10" x14ac:dyDescent="0.25">
      <c r="C33" s="11">
        <f>'Billing Detail'!C121</f>
        <v>25</v>
      </c>
      <c r="D33" s="101" t="str">
        <f>'Billing Detail'!B121</f>
        <v>Large Power LPR-1-B2</v>
      </c>
      <c r="F33" s="76"/>
      <c r="G33" s="76"/>
      <c r="J33" s="4"/>
    </row>
    <row r="34" spans="3:10" x14ac:dyDescent="0.25">
      <c r="D34" s="101"/>
      <c r="E34" s="2" t="str">
        <f>'Billing Detail'!D122</f>
        <v>Customer Charge</v>
      </c>
      <c r="F34" s="76">
        <f>'Billing Detail'!H122</f>
        <v>3421.91</v>
      </c>
      <c r="G34" s="76">
        <f>'Billing Detail'!L122</f>
        <v>3567.55</v>
      </c>
      <c r="J34" s="4">
        <f t="shared" si="1"/>
        <v>4.2561025859827017E-2</v>
      </c>
    </row>
    <row r="35" spans="3:10" x14ac:dyDescent="0.25">
      <c r="D35" s="101"/>
      <c r="E35" s="2" t="str">
        <f>'Billing Detail'!D123</f>
        <v>Demand Charge Contract per kW</v>
      </c>
      <c r="F35" s="76">
        <f>'Billing Detail'!H123</f>
        <v>6.2</v>
      </c>
      <c r="G35" s="76">
        <f>'Billing Detail'!L123</f>
        <v>6.46</v>
      </c>
      <c r="J35" s="4">
        <f t="shared" ref="J35:J37" si="6">G35/F35-1</f>
        <v>4.1935483870967794E-2</v>
      </c>
    </row>
    <row r="36" spans="3:10" x14ac:dyDescent="0.25">
      <c r="D36" s="101"/>
      <c r="E36" s="2" t="str">
        <f>'Billing Detail'!D124</f>
        <v>Demand Charge Excess per kW</v>
      </c>
      <c r="F36" s="76">
        <f>'Billing Detail'!H124</f>
        <v>8.98</v>
      </c>
      <c r="G36" s="76">
        <f>'Billing Detail'!L124</f>
        <v>9.36</v>
      </c>
      <c r="J36" s="4">
        <f t="shared" si="6"/>
        <v>4.231625835189301E-2</v>
      </c>
    </row>
    <row r="37" spans="3:10" x14ac:dyDescent="0.25">
      <c r="D37" s="101"/>
      <c r="E37" s="2" t="str">
        <f>'Billing Detail'!D125</f>
        <v>Energy Charge per kWh</v>
      </c>
      <c r="F37" s="67">
        <f>'Billing Detail'!H125</f>
        <v>4.1050000000000003E-2</v>
      </c>
      <c r="G37" s="67">
        <f>'Billing Detail'!L125</f>
        <v>4.2799999999999998E-2</v>
      </c>
      <c r="J37" s="4">
        <f t="shared" si="6"/>
        <v>4.2630937880633324E-2</v>
      </c>
    </row>
    <row r="38" spans="3:10" x14ac:dyDescent="0.25">
      <c r="C38" s="11">
        <f>'Billing Detail'!C135</f>
        <v>36</v>
      </c>
      <c r="D38" s="101" t="str">
        <f>'Billing Detail'!B135</f>
        <v>LPR-3</v>
      </c>
      <c r="E38" s="62"/>
      <c r="F38" s="66"/>
      <c r="G38" s="66"/>
      <c r="J38" s="4"/>
    </row>
    <row r="39" spans="3:10" x14ac:dyDescent="0.25">
      <c r="D39" s="101"/>
      <c r="E39" s="2" t="str">
        <f>'Billing Detail'!D136</f>
        <v>Customer Charge</v>
      </c>
      <c r="F39" s="66">
        <f>'Billing Detail'!H136</f>
        <v>963.14</v>
      </c>
      <c r="G39" s="66">
        <f>'Billing Detail'!L136</f>
        <v>1004.13</v>
      </c>
      <c r="J39" s="4">
        <f t="shared" si="1"/>
        <v>4.2558714205619186E-2</v>
      </c>
    </row>
    <row r="40" spans="3:10" x14ac:dyDescent="0.25">
      <c r="D40" s="101"/>
      <c r="E40" s="2" t="str">
        <f>'Billing Detail'!D137</f>
        <v>Demand Charge per kW</v>
      </c>
      <c r="F40" s="66">
        <f>'Billing Detail'!H137</f>
        <v>9.4499999999999993</v>
      </c>
      <c r="G40" s="66">
        <f>'Billing Detail'!L137</f>
        <v>9.85</v>
      </c>
      <c r="J40" s="4">
        <f t="shared" si="1"/>
        <v>4.2328042328042326E-2</v>
      </c>
    </row>
    <row r="41" spans="3:10" x14ac:dyDescent="0.25">
      <c r="D41" s="101"/>
      <c r="E41" s="2" t="str">
        <f>'Billing Detail'!D138</f>
        <v>Energy Charge per kWh</v>
      </c>
      <c r="F41" s="67">
        <f>'Billing Detail'!H138</f>
        <v>4.4269999999999997E-2</v>
      </c>
      <c r="G41" s="67">
        <f>'Billing Detail'!L138</f>
        <v>4.6149999999999997E-2</v>
      </c>
      <c r="J41" s="4">
        <f t="shared" si="1"/>
        <v>4.2466681725773725E-2</v>
      </c>
    </row>
    <row r="42" spans="3:10" x14ac:dyDescent="0.25">
      <c r="C42" s="11">
        <f>'Billing Detail'!C185</f>
        <v>6</v>
      </c>
      <c r="D42" s="101" t="str">
        <f>'Billing Detail'!B185</f>
        <v>Street Lighting Service OL &amp; LED</v>
      </c>
      <c r="F42" s="66"/>
      <c r="G42" s="66"/>
      <c r="J42" s="4"/>
    </row>
    <row r="43" spans="3:10" x14ac:dyDescent="0.25">
      <c r="D43" s="11" t="str">
        <f>'Billing Detail'!C186</f>
        <v>OL</v>
      </c>
      <c r="E43" s="2" t="str">
        <f>'Billing Detail'!D186</f>
        <v>175 Watt Mercury Vapor</v>
      </c>
      <c r="F43" s="66">
        <f>'Billing Detail'!H186</f>
        <v>9.81</v>
      </c>
      <c r="G43" s="66">
        <f>'Billing Detail'!L186</f>
        <v>10.23</v>
      </c>
      <c r="J43" s="4">
        <f t="shared" si="1"/>
        <v>4.2813455657492394E-2</v>
      </c>
    </row>
    <row r="44" spans="3:10" x14ac:dyDescent="0.25">
      <c r="D44" s="11" t="str">
        <f>'Billing Detail'!C187</f>
        <v>OL</v>
      </c>
      <c r="E44" s="2" t="str">
        <f>'Billing Detail'!D187</f>
        <v>100 HPS Sodium Vapor</v>
      </c>
      <c r="F44" s="66">
        <f>'Billing Detail'!H187</f>
        <v>9.56</v>
      </c>
      <c r="G44" s="66">
        <f>'Billing Detail'!L187</f>
        <v>9.9700000000000006</v>
      </c>
      <c r="J44" s="4">
        <f t="shared" si="1"/>
        <v>4.2887029288702916E-2</v>
      </c>
    </row>
    <row r="45" spans="3:10" x14ac:dyDescent="0.25">
      <c r="D45" s="11" t="str">
        <f>'Billing Detail'!C188</f>
        <v>OL</v>
      </c>
      <c r="E45" s="2" t="str">
        <f>'Billing Detail'!D188</f>
        <v>250 HPS Sodium Vapor</v>
      </c>
      <c r="F45" s="66">
        <f>'Billing Detail'!H188</f>
        <v>12.39</v>
      </c>
      <c r="G45" s="66">
        <f>'Billing Detail'!L188</f>
        <v>12.92</v>
      </c>
      <c r="J45" s="4">
        <f t="shared" si="1"/>
        <v>4.2776432606941084E-2</v>
      </c>
    </row>
    <row r="46" spans="3:10" x14ac:dyDescent="0.25">
      <c r="D46" s="11" t="str">
        <f>'Billing Detail'!C189</f>
        <v>OL</v>
      </c>
      <c r="E46" s="2" t="str">
        <f>'Billing Detail'!D189</f>
        <v>400 HPS Sodium Vapor</v>
      </c>
      <c r="F46" s="66">
        <f>'Billing Detail'!H189</f>
        <v>16.309999999999999</v>
      </c>
      <c r="G46" s="66">
        <f>'Billing Detail'!L189</f>
        <v>17</v>
      </c>
      <c r="J46" s="4">
        <f t="shared" si="1"/>
        <v>4.2305334150827711E-2</v>
      </c>
    </row>
    <row r="47" spans="3:10" x14ac:dyDescent="0.25">
      <c r="D47" s="11" t="str">
        <f>'Billing Detail'!C190</f>
        <v>OL</v>
      </c>
      <c r="E47" s="2" t="str">
        <f>'Billing Detail'!D190</f>
        <v>100 HPS Decorative UDG</v>
      </c>
      <c r="F47" s="66">
        <f>'Billing Detail'!H190</f>
        <v>10.65</v>
      </c>
      <c r="G47" s="66">
        <f>'Billing Detail'!L190</f>
        <v>11.1</v>
      </c>
      <c r="J47" s="4">
        <f t="shared" si="1"/>
        <v>4.2253521126760507E-2</v>
      </c>
    </row>
    <row r="48" spans="3:10" x14ac:dyDescent="0.25">
      <c r="D48" s="11" t="str">
        <f>'Billing Detail'!C191</f>
        <v>OL</v>
      </c>
      <c r="E48" s="2" t="str">
        <f>'Billing Detail'!D191</f>
        <v>175 MV Decorative</v>
      </c>
      <c r="F48" s="66">
        <f>'Billing Detail'!H191</f>
        <v>17.239999999999998</v>
      </c>
      <c r="G48" s="66">
        <f>'Billing Detail'!L191</f>
        <v>17.97</v>
      </c>
      <c r="J48" s="4">
        <f t="shared" si="1"/>
        <v>4.2343387470997751E-2</v>
      </c>
    </row>
    <row r="49" spans="4:10" x14ac:dyDescent="0.25">
      <c r="D49" s="11" t="str">
        <f>'Billing Detail'!C192</f>
        <v>OL</v>
      </c>
      <c r="E49" s="2" t="str">
        <f>'Billing Detail'!D192</f>
        <v>175 MV Decorative W/P</v>
      </c>
      <c r="F49" s="66">
        <f>'Billing Detail'!H192</f>
        <v>21.49</v>
      </c>
      <c r="G49" s="66">
        <f>'Billing Detail'!L192</f>
        <v>22.4</v>
      </c>
      <c r="J49" s="4">
        <f t="shared" si="1"/>
        <v>4.2345276872964188E-2</v>
      </c>
    </row>
    <row r="50" spans="4:10" x14ac:dyDescent="0.25">
      <c r="D50" s="11" t="str">
        <f>'Billing Detail'!C193</f>
        <v>OL</v>
      </c>
      <c r="E50" s="2" t="str">
        <f>'Billing Detail'!D193</f>
        <v>175 MV Overhead Durastar</v>
      </c>
      <c r="F50" s="66">
        <f>'Billing Detail'!H193</f>
        <v>10.53</v>
      </c>
      <c r="G50" s="66">
        <f>'Billing Detail'!L193</f>
        <v>10.98</v>
      </c>
      <c r="J50" s="4">
        <f t="shared" si="1"/>
        <v>4.2735042735042805E-2</v>
      </c>
    </row>
    <row r="51" spans="4:10" x14ac:dyDescent="0.25">
      <c r="D51" s="11" t="str">
        <f>'Billing Detail'!C194</f>
        <v>LED</v>
      </c>
      <c r="E51" s="2" t="str">
        <f>'Billing Detail'!D194</f>
        <v>LED Open Bottom</v>
      </c>
      <c r="F51" s="66">
        <f>'Billing Detail'!H194</f>
        <v>9.6</v>
      </c>
      <c r="G51" s="66">
        <f>'Billing Detail'!L194</f>
        <v>10.01</v>
      </c>
      <c r="J51" s="4">
        <f t="shared" si="1"/>
        <v>4.2708333333333348E-2</v>
      </c>
    </row>
    <row r="52" spans="4:10" x14ac:dyDescent="0.25">
      <c r="D52" s="11" t="str">
        <f>'Billing Detail'!C195</f>
        <v>LED</v>
      </c>
      <c r="E52" s="2" t="str">
        <f>'Billing Detail'!D195</f>
        <v>LED Cobra Head</v>
      </c>
      <c r="F52" s="66">
        <f>'Billing Detail'!H195</f>
        <v>14.59</v>
      </c>
      <c r="G52" s="66">
        <f>'Billing Detail'!L195</f>
        <v>15.21</v>
      </c>
      <c r="J52" s="4">
        <f t="shared" si="1"/>
        <v>4.2494859492803405E-2</v>
      </c>
    </row>
    <row r="53" spans="4:10" x14ac:dyDescent="0.25">
      <c r="D53" s="11" t="str">
        <f>'Billing Detail'!C196</f>
        <v>LED</v>
      </c>
      <c r="E53" s="2" t="str">
        <f>'Billing Detail'!D196</f>
        <v>LED Directional Flood</v>
      </c>
      <c r="F53" s="66">
        <f>'Billing Detail'!H196</f>
        <v>19.760000000000002</v>
      </c>
      <c r="G53" s="66">
        <f>'Billing Detail'!L196</f>
        <v>20.6</v>
      </c>
      <c r="J53" s="4">
        <f t="shared" si="1"/>
        <v>4.2510121457489891E-2</v>
      </c>
    </row>
    <row r="54" spans="4:10" x14ac:dyDescent="0.25">
      <c r="D54" s="11" t="str">
        <f>'Billing Detail'!C197</f>
        <v>LED</v>
      </c>
      <c r="E54" s="2" t="str">
        <f>'Billing Detail'!D197</f>
        <v>LED Ornamental with Pole</v>
      </c>
      <c r="F54" s="66">
        <f>'Billing Detail'!H197</f>
        <v>27.42</v>
      </c>
      <c r="G54" s="66">
        <f>'Billing Detail'!L197</f>
        <v>28.59</v>
      </c>
      <c r="J54" s="4">
        <f t="shared" si="1"/>
        <v>4.2669584245076608E-2</v>
      </c>
    </row>
    <row r="55" spans="4:10" x14ac:dyDescent="0.25">
      <c r="D55" s="11" t="str">
        <f>'Billing Detail'!C198</f>
        <v>OL</v>
      </c>
      <c r="E55" s="2" t="str">
        <f>'Billing Detail'!D200</f>
        <v>URD Metal Halide w Pole</v>
      </c>
      <c r="F55" s="66">
        <f>'Billing Detail'!H200</f>
        <v>21.48</v>
      </c>
      <c r="G55" s="66">
        <f>'Billing Detail'!L200</f>
        <v>22.39</v>
      </c>
      <c r="J55" s="4">
        <f t="shared" si="1"/>
        <v>4.2364990689013116E-2</v>
      </c>
    </row>
    <row r="56" spans="4:10" x14ac:dyDescent="0.25">
      <c r="D56" s="101" t="str">
        <f>'Billing Detail'!B223</f>
        <v>Farm &amp; Home Service Taxable A-5T</v>
      </c>
      <c r="J56" s="4"/>
    </row>
    <row r="57" spans="4:10" x14ac:dyDescent="0.25">
      <c r="D57" s="101"/>
      <c r="E57" s="2" t="str">
        <f>'Billing Detail'!D224</f>
        <v>Customer Charge</v>
      </c>
      <c r="F57" s="66">
        <f>'Billing Detail'!H224</f>
        <v>8.84</v>
      </c>
      <c r="G57" s="66">
        <f>'Billing Detail'!L224</f>
        <v>9.2200000000000006</v>
      </c>
      <c r="J57" s="4">
        <f t="shared" si="1"/>
        <v>4.2986425339366585E-2</v>
      </c>
    </row>
    <row r="58" spans="4:10" x14ac:dyDescent="0.25">
      <c r="D58" s="101"/>
      <c r="E58" s="2" t="str">
        <f>'Billing Detail'!D225</f>
        <v>Energy Charge per kWh</v>
      </c>
      <c r="F58" s="67">
        <f>'Billing Detail'!H225</f>
        <v>7.5459999999999999E-2</v>
      </c>
      <c r="G58" s="67">
        <f>'Billing Detail'!L225</f>
        <v>7.8670000000000004E-2</v>
      </c>
      <c r="J58" s="4">
        <f t="shared" si="1"/>
        <v>4.2539093559501806E-2</v>
      </c>
    </row>
    <row r="59" spans="4:10" x14ac:dyDescent="0.25">
      <c r="D59" s="101" t="str">
        <f>'Billing Detail'!B226</f>
        <v>Farm &amp; Home Service TOD Option A</v>
      </c>
      <c r="F59" s="66"/>
      <c r="G59" s="66"/>
      <c r="J59" s="4"/>
    </row>
    <row r="60" spans="4:10" x14ac:dyDescent="0.25">
      <c r="D60" s="101"/>
      <c r="E60" s="2" t="str">
        <f>'Billing Detail'!D227</f>
        <v>Customer Charge</v>
      </c>
      <c r="F60" s="66">
        <f>'Billing Detail'!H227</f>
        <v>11.6</v>
      </c>
      <c r="G60" s="66">
        <f>'Billing Detail'!L227</f>
        <v>12.093751789171518</v>
      </c>
      <c r="J60" s="4">
        <f t="shared" si="1"/>
        <v>4.2564809411337778E-2</v>
      </c>
    </row>
    <row r="61" spans="4:10" x14ac:dyDescent="0.25">
      <c r="D61" s="101"/>
      <c r="E61" s="2" t="str">
        <f>'Billing Detail'!D228</f>
        <v>Energy Charge On Peak per kWh</v>
      </c>
      <c r="F61" s="67">
        <f>'Billing Detail'!H228</f>
        <v>9.7110000000000002E-2</v>
      </c>
      <c r="G61" s="67">
        <f>'Billing Detail'!L228</f>
        <v>0.10124346864193501</v>
      </c>
      <c r="J61" s="4">
        <f t="shared" si="1"/>
        <v>4.2564809411337778E-2</v>
      </c>
    </row>
    <row r="62" spans="4:10" x14ac:dyDescent="0.25">
      <c r="D62" s="101"/>
      <c r="E62" s="2" t="str">
        <f>'Billing Detail'!D229</f>
        <v>Energy Charge Off Peak per kWh</v>
      </c>
      <c r="F62" s="67">
        <f>'Billing Detail'!H229</f>
        <v>5.228E-2</v>
      </c>
      <c r="G62" s="67">
        <f>'Billing Detail'!L229</f>
        <v>5.450528823602474E-2</v>
      </c>
      <c r="J62" s="4">
        <f t="shared" si="1"/>
        <v>4.2564809411337778E-2</v>
      </c>
    </row>
    <row r="63" spans="4:10" x14ac:dyDescent="0.25">
      <c r="D63" s="101" t="str">
        <f>'Billing Detail'!B230</f>
        <v>Farm &amp; Home Service TOD Option B</v>
      </c>
      <c r="F63" s="66"/>
      <c r="G63" s="66"/>
      <c r="J63" s="4"/>
    </row>
    <row r="64" spans="4:10" x14ac:dyDescent="0.25">
      <c r="D64" s="101"/>
      <c r="E64" s="2" t="str">
        <f>'Billing Detail'!D231</f>
        <v>Customer Charge</v>
      </c>
      <c r="F64" s="66">
        <f>'Billing Detail'!H231</f>
        <v>11.6</v>
      </c>
      <c r="G64" s="66">
        <f>'Billing Detail'!L231</f>
        <v>12.093751789171518</v>
      </c>
      <c r="J64" s="4">
        <f t="shared" si="1"/>
        <v>4.2564809411337778E-2</v>
      </c>
    </row>
    <row r="65" spans="4:10" x14ac:dyDescent="0.25">
      <c r="D65" s="101"/>
      <c r="E65" s="2" t="str">
        <f>'Billing Detail'!D232</f>
        <v>Energy Charge Winter On Peak per kWh</v>
      </c>
      <c r="F65" s="67">
        <f>'Billing Detail'!H232</f>
        <v>9.7110000000000002E-2</v>
      </c>
      <c r="G65" s="67">
        <f>'Billing Detail'!L232</f>
        <v>0.10124346864193501</v>
      </c>
      <c r="J65" s="4">
        <f t="shared" si="1"/>
        <v>4.2564809411337778E-2</v>
      </c>
    </row>
    <row r="66" spans="4:10" x14ac:dyDescent="0.25">
      <c r="D66" s="101"/>
      <c r="E66" s="2" t="str">
        <f>'Billing Detail'!D233</f>
        <v>Energy Charge Winter Off Peak per kWh</v>
      </c>
      <c r="F66" s="67">
        <f>'Billing Detail'!H233</f>
        <v>5.228E-2</v>
      </c>
      <c r="G66" s="67">
        <f>'Billing Detail'!L233</f>
        <v>5.450528823602474E-2</v>
      </c>
      <c r="J66" s="4">
        <f t="shared" si="1"/>
        <v>4.2564809411337778E-2</v>
      </c>
    </row>
    <row r="67" spans="4:10" x14ac:dyDescent="0.25">
      <c r="D67" s="101"/>
      <c r="E67" s="2" t="str">
        <f>'Billing Detail'!D234</f>
        <v>Energy Charge Summer All Hrs per kWh</v>
      </c>
      <c r="F67" s="67">
        <f>'Billing Detail'!H234</f>
        <v>7.5459999999999999E-2</v>
      </c>
      <c r="G67" s="67">
        <f>'Billing Detail'!L234</f>
        <v>7.8671940518179551E-2</v>
      </c>
      <c r="J67" s="4">
        <f t="shared" si="1"/>
        <v>4.2564809411337778E-2</v>
      </c>
    </row>
    <row r="68" spans="4:10" x14ac:dyDescent="0.25">
      <c r="D68" s="101" t="str">
        <f>'Billing Detail'!B235</f>
        <v>Farm &amp; Home Service Taxable TOD Option A</v>
      </c>
      <c r="F68" s="66"/>
      <c r="G68" s="66"/>
      <c r="J68" s="4"/>
    </row>
    <row r="69" spans="4:10" x14ac:dyDescent="0.25">
      <c r="D69" s="101"/>
      <c r="E69" s="2" t="str">
        <f>'Billing Detail'!D236</f>
        <v>Customer Charge</v>
      </c>
      <c r="F69" s="66">
        <f>'Billing Detail'!H236</f>
        <v>11.6</v>
      </c>
      <c r="G69" s="66">
        <f>'Billing Detail'!L236</f>
        <v>12.093751789171518</v>
      </c>
      <c r="J69" s="4">
        <f t="shared" ref="J69:J112" si="7">G69/F69-1</f>
        <v>4.2564809411337778E-2</v>
      </c>
    </row>
    <row r="70" spans="4:10" x14ac:dyDescent="0.25">
      <c r="D70" s="101"/>
      <c r="E70" s="2" t="str">
        <f>'Billing Detail'!D237</f>
        <v>Energy Charge On Peak per kWh</v>
      </c>
      <c r="F70" s="67">
        <f>'Billing Detail'!H237</f>
        <v>9.7110000000000002E-2</v>
      </c>
      <c r="G70" s="67">
        <f>'Billing Detail'!L237</f>
        <v>0.10124346864193501</v>
      </c>
      <c r="J70" s="4">
        <f t="shared" si="7"/>
        <v>4.2564809411337778E-2</v>
      </c>
    </row>
    <row r="71" spans="4:10" x14ac:dyDescent="0.25">
      <c r="D71" s="101"/>
      <c r="E71" s="2" t="str">
        <f>'Billing Detail'!D238</f>
        <v>Energy Charge Off Peak per kWh</v>
      </c>
      <c r="F71" s="67">
        <f>'Billing Detail'!H238</f>
        <v>5.228E-2</v>
      </c>
      <c r="G71" s="67">
        <f>'Billing Detail'!L238</f>
        <v>5.450528823602474E-2</v>
      </c>
      <c r="J71" s="4">
        <f t="shared" si="7"/>
        <v>4.2564809411337778E-2</v>
      </c>
    </row>
    <row r="72" spans="4:10" x14ac:dyDescent="0.25">
      <c r="D72" s="101" t="str">
        <f>'Billing Detail'!B239</f>
        <v>Farm &amp; Home Service Taxable TOD Option B</v>
      </c>
      <c r="F72" s="66"/>
      <c r="G72" s="66"/>
      <c r="J72" s="4"/>
    </row>
    <row r="73" spans="4:10" x14ac:dyDescent="0.25">
      <c r="D73" s="101"/>
      <c r="E73" s="2" t="str">
        <f>'Billing Detail'!D240</f>
        <v>Customer Charge</v>
      </c>
      <c r="F73" s="66">
        <f>'Billing Detail'!H240</f>
        <v>11.6</v>
      </c>
      <c r="G73" s="66">
        <f>'Billing Detail'!L240</f>
        <v>12.093751789171518</v>
      </c>
      <c r="J73" s="4">
        <f t="shared" si="7"/>
        <v>4.2564809411337778E-2</v>
      </c>
    </row>
    <row r="74" spans="4:10" x14ac:dyDescent="0.25">
      <c r="D74" s="101"/>
      <c r="E74" s="2" t="str">
        <f>'Billing Detail'!D241</f>
        <v>Energy Charge Winter On Peak per kWh</v>
      </c>
      <c r="F74" s="67">
        <f>'Billing Detail'!H241</f>
        <v>9.7110000000000002E-2</v>
      </c>
      <c r="G74" s="67">
        <f>'Billing Detail'!L241</f>
        <v>0.10124346864193501</v>
      </c>
      <c r="J74" s="4">
        <f t="shared" si="7"/>
        <v>4.2564809411337778E-2</v>
      </c>
    </row>
    <row r="75" spans="4:10" x14ac:dyDescent="0.25">
      <c r="D75" s="101"/>
      <c r="E75" s="2" t="str">
        <f>'Billing Detail'!D242</f>
        <v>Energy Charge Winter Off Peak per kWh</v>
      </c>
      <c r="F75" s="67">
        <f>'Billing Detail'!H242</f>
        <v>5.228E-2</v>
      </c>
      <c r="G75" s="67">
        <f>'Billing Detail'!L242</f>
        <v>5.450528823602474E-2</v>
      </c>
      <c r="J75" s="4">
        <f t="shared" si="7"/>
        <v>4.2564809411337778E-2</v>
      </c>
    </row>
    <row r="76" spans="4:10" x14ac:dyDescent="0.25">
      <c r="D76" s="101"/>
      <c r="E76" s="2" t="str">
        <f>'Billing Detail'!D243</f>
        <v>Energy Charge Summer All Hrs per kWh</v>
      </c>
      <c r="F76" s="67">
        <f>'Billing Detail'!H243</f>
        <v>7.5459999999999999E-2</v>
      </c>
      <c r="G76" s="67">
        <f>'Billing Detail'!L243</f>
        <v>7.8671940518179551E-2</v>
      </c>
      <c r="J76" s="4">
        <f t="shared" si="7"/>
        <v>4.2564809411337778E-2</v>
      </c>
    </row>
    <row r="77" spans="4:10" x14ac:dyDescent="0.25">
      <c r="D77" s="101" t="str">
        <f>'Billing Detail'!B244</f>
        <v>Large Power LLP-3</v>
      </c>
      <c r="F77" s="66"/>
      <c r="G77" s="66"/>
      <c r="J77" s="4"/>
    </row>
    <row r="78" spans="4:10" x14ac:dyDescent="0.25">
      <c r="D78" s="101"/>
      <c r="E78" s="2" t="str">
        <f>'Billing Detail'!D245</f>
        <v>Demand Charge per kW</v>
      </c>
      <c r="F78" s="66">
        <f>'Billing Detail'!H245</f>
        <v>6.68</v>
      </c>
      <c r="G78" s="66">
        <f>'Billing Detail'!L245</f>
        <v>6.9643329268677361</v>
      </c>
      <c r="J78" s="4">
        <f t="shared" si="7"/>
        <v>4.2564809411337778E-2</v>
      </c>
    </row>
    <row r="79" spans="4:10" x14ac:dyDescent="0.25">
      <c r="D79" s="101"/>
      <c r="E79" s="2" t="str">
        <f>'Billing Detail'!D246</f>
        <v>Energy Charge per kWh</v>
      </c>
      <c r="F79" s="67">
        <f>'Billing Detail'!H246</f>
        <v>5.747E-2</v>
      </c>
      <c r="G79" s="67">
        <f>'Billing Detail'!L246</f>
        <v>5.9916199596869585E-2</v>
      </c>
      <c r="J79" s="4">
        <f t="shared" si="7"/>
        <v>4.2564809411337778E-2</v>
      </c>
    </row>
    <row r="80" spans="4:10" x14ac:dyDescent="0.25">
      <c r="D80" s="101" t="str">
        <f>'Billing Detail'!B247</f>
        <v>Large Power LLP-3-B1</v>
      </c>
      <c r="F80" s="66"/>
      <c r="G80" s="66"/>
      <c r="J80" s="4"/>
    </row>
    <row r="81" spans="4:10" x14ac:dyDescent="0.25">
      <c r="D81" s="101"/>
      <c r="E81" s="2" t="str">
        <f>'Billing Detail'!D248</f>
        <v>Customer Charge</v>
      </c>
      <c r="F81" s="66">
        <f>'Billing Detail'!H248</f>
        <v>963.14</v>
      </c>
      <c r="G81" s="66">
        <f>'Billing Detail'!L248</f>
        <v>1004.1358705364358</v>
      </c>
      <c r="J81" s="4">
        <f t="shared" si="7"/>
        <v>4.2564809411337778E-2</v>
      </c>
    </row>
    <row r="82" spans="4:10" x14ac:dyDescent="0.25">
      <c r="D82" s="101"/>
      <c r="E82" s="2" t="str">
        <f>'Billing Detail'!D249</f>
        <v>Demand Charge Contract per kW</v>
      </c>
      <c r="F82" s="66">
        <f>'Billing Detail'!H249</f>
        <v>6.2</v>
      </c>
      <c r="G82" s="66">
        <f>'Billing Detail'!L249</f>
        <v>6.4639018183502941</v>
      </c>
      <c r="J82" s="4">
        <f t="shared" si="7"/>
        <v>4.2564809411337778E-2</v>
      </c>
    </row>
    <row r="83" spans="4:10" x14ac:dyDescent="0.25">
      <c r="D83" s="101"/>
      <c r="E83" s="2" t="str">
        <f>'Billing Detail'!D250</f>
        <v>Demand Charge Excess per kW</v>
      </c>
      <c r="F83" s="66">
        <f>'Billing Detail'!H250</f>
        <v>8.98</v>
      </c>
      <c r="G83" s="66">
        <f>'Billing Detail'!L250</f>
        <v>9.3622319885138143</v>
      </c>
      <c r="J83" s="4">
        <f t="shared" si="7"/>
        <v>4.2564809411337778E-2</v>
      </c>
    </row>
    <row r="84" spans="4:10" x14ac:dyDescent="0.25">
      <c r="D84" s="101"/>
      <c r="E84" s="2" t="str">
        <f>'Billing Detail'!D251</f>
        <v>Energy Charge per kWh</v>
      </c>
      <c r="F84" s="67">
        <f>'Billing Detail'!H251</f>
        <v>5.0319999999999997E-2</v>
      </c>
      <c r="G84" s="67">
        <f>'Billing Detail'!L251</f>
        <v>5.2461861209578513E-2</v>
      </c>
      <c r="J84" s="4">
        <f t="shared" si="7"/>
        <v>4.2564809411337778E-2</v>
      </c>
    </row>
    <row r="85" spans="4:10" x14ac:dyDescent="0.25">
      <c r="D85" s="101" t="str">
        <f>'Billing Detail'!B252</f>
        <v>Large Power LLP-3-C1</v>
      </c>
      <c r="F85" s="66"/>
      <c r="G85" s="66"/>
      <c r="J85" s="4"/>
    </row>
    <row r="86" spans="4:10" x14ac:dyDescent="0.25">
      <c r="D86" s="101"/>
      <c r="E86" s="2" t="str">
        <f>'Billing Detail'!D253</f>
        <v>Customer Charge</v>
      </c>
      <c r="F86" s="66">
        <f>'Billing Detail'!H253</f>
        <v>963.14</v>
      </c>
      <c r="G86" s="66">
        <f>'Billing Detail'!L253</f>
        <v>1004.1358705364358</v>
      </c>
      <c r="J86" s="4">
        <f t="shared" si="7"/>
        <v>4.2564809411337778E-2</v>
      </c>
    </row>
    <row r="87" spans="4:10" x14ac:dyDescent="0.25">
      <c r="D87" s="101"/>
      <c r="E87" s="2" t="str">
        <f>'Billing Detail'!D254</f>
        <v>Demand Charge per kW</v>
      </c>
      <c r="F87" s="66">
        <f>'Billing Detail'!H254</f>
        <v>6.2</v>
      </c>
      <c r="G87" s="66">
        <f>'Billing Detail'!L254</f>
        <v>6.4639018183502941</v>
      </c>
      <c r="J87" s="4">
        <f t="shared" si="7"/>
        <v>4.2564809411337778E-2</v>
      </c>
    </row>
    <row r="88" spans="4:10" x14ac:dyDescent="0.25">
      <c r="D88" s="101"/>
      <c r="E88" s="2" t="str">
        <f>'Billing Detail'!D255</f>
        <v>Energy Charge per kWh</v>
      </c>
      <c r="F88" s="67">
        <f>'Billing Detail'!H255</f>
        <v>5.0319999999999997E-2</v>
      </c>
      <c r="G88" s="67">
        <f>'Billing Detail'!L255</f>
        <v>5.2461861209578513E-2</v>
      </c>
      <c r="J88" s="4">
        <f t="shared" si="7"/>
        <v>4.2564809411337778E-2</v>
      </c>
    </row>
    <row r="89" spans="4:10" x14ac:dyDescent="0.25">
      <c r="D89" s="101" t="str">
        <f>'Billing Detail'!B256</f>
        <v>Large Power LLP-4-C1</v>
      </c>
      <c r="F89" s="66"/>
      <c r="G89" s="66"/>
      <c r="J89" s="4"/>
    </row>
    <row r="90" spans="4:10" x14ac:dyDescent="0.25">
      <c r="D90" s="101"/>
      <c r="E90" s="2" t="str">
        <f>'Billing Detail'!D257</f>
        <v>Customer Charge</v>
      </c>
      <c r="F90" s="66">
        <f>'Billing Detail'!H257</f>
        <v>1782.73</v>
      </c>
      <c r="G90" s="66">
        <f>'Billing Detail'!L257</f>
        <v>1858.6115626818741</v>
      </c>
      <c r="J90" s="4">
        <f t="shared" si="7"/>
        <v>4.2564809411337778E-2</v>
      </c>
    </row>
    <row r="91" spans="4:10" x14ac:dyDescent="0.25">
      <c r="D91" s="101"/>
      <c r="E91" s="2" t="str">
        <f>'Billing Detail'!D258</f>
        <v>Demand Charge per kW</v>
      </c>
      <c r="F91" s="66">
        <f>'Billing Detail'!H258</f>
        <v>6.2</v>
      </c>
      <c r="G91" s="66">
        <f>'Billing Detail'!L258</f>
        <v>6.4639018183502941</v>
      </c>
      <c r="J91" s="4">
        <f t="shared" si="7"/>
        <v>4.2564809411337778E-2</v>
      </c>
    </row>
    <row r="92" spans="4:10" x14ac:dyDescent="0.25">
      <c r="D92" s="101"/>
      <c r="E92" s="2" t="str">
        <f>'Billing Detail'!D259</f>
        <v>Energy Charge per kWh</v>
      </c>
      <c r="F92" s="67">
        <f>'Billing Detail'!H259</f>
        <v>4.6960000000000002E-2</v>
      </c>
      <c r="G92" s="67">
        <f>'Billing Detail'!L259</f>
        <v>4.8958843449956421E-2</v>
      </c>
      <c r="J92" s="4">
        <f t="shared" si="7"/>
        <v>4.2564809411337778E-2</v>
      </c>
    </row>
    <row r="93" spans="4:10" x14ac:dyDescent="0.25">
      <c r="D93" s="101" t="str">
        <f>'Billing Detail'!B260</f>
        <v>Large Power LPR-1</v>
      </c>
      <c r="F93" s="66"/>
      <c r="G93" s="66"/>
      <c r="J93" s="4"/>
    </row>
    <row r="94" spans="4:10" x14ac:dyDescent="0.25">
      <c r="D94" s="101"/>
      <c r="E94" s="2" t="str">
        <f>'Billing Detail'!D261</f>
        <v>Demand Charge per kW</v>
      </c>
      <c r="F94" s="66">
        <f>'Billing Detail'!H261</f>
        <v>9.4499999999999993</v>
      </c>
      <c r="G94" s="66">
        <f>'Billing Detail'!L261</f>
        <v>9.8522374489371405</v>
      </c>
      <c r="J94" s="4">
        <f t="shared" si="7"/>
        <v>4.2564809411337778E-2</v>
      </c>
    </row>
    <row r="95" spans="4:10" x14ac:dyDescent="0.25">
      <c r="D95" s="101"/>
      <c r="E95" s="2" t="str">
        <f>'Billing Detail'!D262</f>
        <v>Energy Charge per kWh</v>
      </c>
      <c r="F95" s="67">
        <f>'Billing Detail'!H262</f>
        <v>4.4269999999999997E-2</v>
      </c>
      <c r="G95" s="67">
        <f>'Billing Detail'!L262</f>
        <v>4.6154344112639918E-2</v>
      </c>
      <c r="J95" s="4">
        <f t="shared" si="7"/>
        <v>4.2564809411337778E-2</v>
      </c>
    </row>
    <row r="96" spans="4:10" x14ac:dyDescent="0.25">
      <c r="D96" s="101" t="str">
        <f>'Billing Detail'!B263</f>
        <v>Large Power LPR-1-C1</v>
      </c>
      <c r="F96" s="66"/>
      <c r="G96" s="66"/>
      <c r="J96" s="4"/>
    </row>
    <row r="97" spans="4:10" x14ac:dyDescent="0.25">
      <c r="D97" s="101"/>
      <c r="E97" s="2" t="str">
        <f>'Billing Detail'!D264</f>
        <v>Customer Charge</v>
      </c>
      <c r="F97" s="66">
        <f>'Billing Detail'!H264</f>
        <v>3421.91</v>
      </c>
      <c r="G97" s="66">
        <f>'Billing Detail'!L264</f>
        <v>3567.5629469727505</v>
      </c>
      <c r="J97" s="4">
        <f t="shared" si="7"/>
        <v>4.2564809411337778E-2</v>
      </c>
    </row>
    <row r="98" spans="4:10" x14ac:dyDescent="0.25">
      <c r="D98" s="101"/>
      <c r="E98" s="2" t="str">
        <f>'Billing Detail'!D265</f>
        <v>Demand Charge per kW</v>
      </c>
      <c r="F98" s="66">
        <f>'Billing Detail'!H265</f>
        <v>6.2</v>
      </c>
      <c r="G98" s="66">
        <f>'Billing Detail'!L265</f>
        <v>6.4639018183502941</v>
      </c>
      <c r="J98" s="4">
        <f t="shared" si="7"/>
        <v>4.2564809411337778E-2</v>
      </c>
    </row>
    <row r="99" spans="4:10" x14ac:dyDescent="0.25">
      <c r="D99" s="101"/>
      <c r="E99" s="2" t="str">
        <f>'Billing Detail'!D266</f>
        <v>Energy Charge per kWh</v>
      </c>
      <c r="F99" s="67">
        <f>'Billing Detail'!H266</f>
        <v>4.1270000000000001E-2</v>
      </c>
      <c r="G99" s="67">
        <f>'Billing Detail'!L266</f>
        <v>4.3026649684405914E-2</v>
      </c>
      <c r="J99" s="4">
        <f t="shared" si="7"/>
        <v>4.2564809411337778E-2</v>
      </c>
    </row>
    <row r="100" spans="4:10" x14ac:dyDescent="0.25">
      <c r="D100" s="101" t="str">
        <f>'Billing Detail'!B267</f>
        <v>Large Power LPR-1-C2</v>
      </c>
      <c r="F100" s="66"/>
      <c r="G100" s="66"/>
      <c r="J100" s="4"/>
    </row>
    <row r="101" spans="4:10" x14ac:dyDescent="0.25">
      <c r="D101" s="101"/>
      <c r="E101" s="2" t="str">
        <f>'Billing Detail'!D268</f>
        <v>Customer Charge</v>
      </c>
      <c r="F101" s="66">
        <f>'Billing Detail'!H268</f>
        <v>3421.91</v>
      </c>
      <c r="G101" s="66">
        <f>'Billing Detail'!L268</f>
        <v>3567.5629469727505</v>
      </c>
      <c r="J101" s="4">
        <f t="shared" si="7"/>
        <v>4.2564809411337778E-2</v>
      </c>
    </row>
    <row r="102" spans="4:10" x14ac:dyDescent="0.25">
      <c r="D102" s="101"/>
      <c r="E102" s="2" t="str">
        <f>'Billing Detail'!D269</f>
        <v>Demand Charge per kW</v>
      </c>
      <c r="F102" s="66">
        <f>'Billing Detail'!H269</f>
        <v>6.2</v>
      </c>
      <c r="G102" s="66">
        <f>'Billing Detail'!L269</f>
        <v>6.4639018183502941</v>
      </c>
      <c r="J102" s="4">
        <f t="shared" si="7"/>
        <v>4.2564809411337778E-2</v>
      </c>
    </row>
    <row r="103" spans="4:10" x14ac:dyDescent="0.25">
      <c r="D103" s="101"/>
      <c r="E103" s="2" t="str">
        <f>'Billing Detail'!D270</f>
        <v>Energy Charge per kWh</v>
      </c>
      <c r="F103" s="67">
        <f>'Billing Detail'!H270</f>
        <v>4.1050000000000003E-2</v>
      </c>
      <c r="G103" s="67">
        <f>'Billing Detail'!L270</f>
        <v>4.2797285426335416E-2</v>
      </c>
      <c r="J103" s="4">
        <f t="shared" si="7"/>
        <v>4.2564809411337778E-2</v>
      </c>
    </row>
    <row r="104" spans="4:10" x14ac:dyDescent="0.25">
      <c r="D104" s="101" t="str">
        <f>'Billing Detail'!B271</f>
        <v>Large Power LPR-1-B3</v>
      </c>
      <c r="F104" s="66"/>
      <c r="G104" s="66"/>
      <c r="J104" s="4"/>
    </row>
    <row r="105" spans="4:10" x14ac:dyDescent="0.25">
      <c r="D105" s="101"/>
      <c r="E105" s="2" t="str">
        <f>'Billing Detail'!D272</f>
        <v>Customer Charge</v>
      </c>
      <c r="F105" s="66">
        <f>'Billing Detail'!H272</f>
        <v>5431.43</v>
      </c>
      <c r="G105" s="66">
        <f>'Billing Detail'!L272</f>
        <v>5662.6177827810225</v>
      </c>
      <c r="J105" s="4">
        <f t="shared" si="7"/>
        <v>4.2564809411337778E-2</v>
      </c>
    </row>
    <row r="106" spans="4:10" x14ac:dyDescent="0.25">
      <c r="D106" s="101"/>
      <c r="E106" s="2" t="str">
        <f>'Billing Detail'!D273</f>
        <v>Demand Charge per kW</v>
      </c>
      <c r="F106" s="66">
        <f>'Billing Detail'!H273</f>
        <v>6.2</v>
      </c>
      <c r="G106" s="66">
        <f>'Billing Detail'!L273</f>
        <v>6.4639018183502941</v>
      </c>
      <c r="J106" s="4">
        <f t="shared" si="7"/>
        <v>4.2564809411337778E-2</v>
      </c>
    </row>
    <row r="107" spans="4:10" x14ac:dyDescent="0.25">
      <c r="D107" s="101"/>
      <c r="E107" s="2" t="str">
        <f>'Billing Detail'!D274</f>
        <v>Energy Charge On Peak per kWh</v>
      </c>
      <c r="F107" s="66">
        <f>'Billing Detail'!H274</f>
        <v>8.98</v>
      </c>
      <c r="G107" s="66">
        <f>'Billing Detail'!L274</f>
        <v>9.3622319885138143</v>
      </c>
      <c r="J107" s="4">
        <f t="shared" si="7"/>
        <v>4.2564809411337778E-2</v>
      </c>
    </row>
    <row r="108" spans="4:10" x14ac:dyDescent="0.25">
      <c r="D108" s="101"/>
      <c r="E108" s="2" t="str">
        <f>'Billing Detail'!D275</f>
        <v>Energy Charge Off Peak per kWh</v>
      </c>
      <c r="F108" s="67">
        <f>'Billing Detail'!H275</f>
        <v>4.0710000000000003E-2</v>
      </c>
      <c r="G108" s="67">
        <f>'Billing Detail'!L275</f>
        <v>4.2442813391135564E-2</v>
      </c>
      <c r="J108" s="4">
        <f t="shared" si="7"/>
        <v>4.2564809411337778E-2</v>
      </c>
    </row>
    <row r="109" spans="4:10" x14ac:dyDescent="0.25">
      <c r="D109" s="101" t="str">
        <f>'Billing Detail'!B276</f>
        <v>Large Power LPR-1-C3</v>
      </c>
      <c r="F109" s="66"/>
      <c r="G109" s="66"/>
      <c r="J109" s="4"/>
    </row>
    <row r="110" spans="4:10" x14ac:dyDescent="0.25">
      <c r="E110" s="2" t="str">
        <f>'Billing Detail'!D277</f>
        <v>Customer Charge</v>
      </c>
      <c r="F110" s="66">
        <f>'Billing Detail'!H277</f>
        <v>5431.43</v>
      </c>
      <c r="G110" s="66">
        <f>'Billing Detail'!L277</f>
        <v>5662.6177827810225</v>
      </c>
      <c r="J110" s="4">
        <f t="shared" si="7"/>
        <v>4.2564809411337778E-2</v>
      </c>
    </row>
    <row r="111" spans="4:10" x14ac:dyDescent="0.25">
      <c r="E111" s="2" t="str">
        <f>'Billing Detail'!D278</f>
        <v>Demand Charge per kW</v>
      </c>
      <c r="F111" s="66">
        <f>'Billing Detail'!H278</f>
        <v>6.2</v>
      </c>
      <c r="G111" s="66">
        <f>'Billing Detail'!L278</f>
        <v>6.4639018183502941</v>
      </c>
      <c r="J111" s="4">
        <f t="shared" si="7"/>
        <v>4.2564809411337778E-2</v>
      </c>
    </row>
    <row r="112" spans="4:10" x14ac:dyDescent="0.25">
      <c r="E112" s="2" t="str">
        <f>'Billing Detail'!D279</f>
        <v>Energy Charge Off Peak per kWh</v>
      </c>
      <c r="F112" s="67">
        <f>'Billing Detail'!H279</f>
        <v>4.0710000000000003E-2</v>
      </c>
      <c r="G112" s="67">
        <f>'Billing Detail'!L279</f>
        <v>4.2442813391135564E-2</v>
      </c>
      <c r="J112" s="4">
        <f t="shared" si="7"/>
        <v>4.2564809411337778E-2</v>
      </c>
    </row>
    <row r="113" spans="3:8" x14ac:dyDescent="0.25">
      <c r="F113" s="62"/>
      <c r="G113" s="62"/>
    </row>
    <row r="114" spans="3:8" x14ac:dyDescent="0.25">
      <c r="F114" s="62"/>
      <c r="G114" s="62"/>
    </row>
    <row r="115" spans="3:8" x14ac:dyDescent="0.25">
      <c r="F115" s="66"/>
      <c r="G115" s="66"/>
    </row>
    <row r="116" spans="3:8" ht="41.4" customHeight="1" x14ac:dyDescent="0.25">
      <c r="C116" s="156" t="s">
        <v>53</v>
      </c>
      <c r="D116" s="156"/>
      <c r="E116" s="156"/>
      <c r="F116" s="156"/>
      <c r="G116" s="156"/>
    </row>
    <row r="117" spans="3:8" x14ac:dyDescent="0.25">
      <c r="F117" s="157" t="s">
        <v>54</v>
      </c>
      <c r="G117" s="157"/>
    </row>
    <row r="118" spans="3:8" x14ac:dyDescent="0.25">
      <c r="C118" s="102" t="s">
        <v>55</v>
      </c>
      <c r="D118" s="102"/>
      <c r="E118" s="77"/>
      <c r="F118" s="78" t="s">
        <v>56</v>
      </c>
      <c r="G118" s="78" t="s">
        <v>57</v>
      </c>
    </row>
    <row r="119" spans="3:8" x14ac:dyDescent="0.25">
      <c r="C119" s="88">
        <f>Summary!C8</f>
        <v>1</v>
      </c>
      <c r="D119" s="3" t="str">
        <f>Summary!B8</f>
        <v>Farm &amp; Home Service A-5</v>
      </c>
      <c r="F119" s="79">
        <f>Summary!L8</f>
        <v>2565881.4721900057</v>
      </c>
      <c r="G119" s="80">
        <f>Summary!N8</f>
        <v>3.9000692696612972E-2</v>
      </c>
    </row>
    <row r="120" spans="3:8" x14ac:dyDescent="0.25">
      <c r="C120" s="88">
        <f>Summary!C10</f>
        <v>7</v>
      </c>
      <c r="D120" s="3" t="str">
        <f>Summary!B10</f>
        <v>Large Power 500-3000 KW LLP2</v>
      </c>
      <c r="F120" s="79">
        <f>Summary!L10</f>
        <v>208626.22021175968</v>
      </c>
      <c r="G120" s="80">
        <f>Summary!N10</f>
        <v>3.9176501265563025E-2</v>
      </c>
      <c r="H120" s="1"/>
    </row>
    <row r="121" spans="3:8" x14ac:dyDescent="0.25">
      <c r="C121" s="88">
        <f>Summary!C11</f>
        <v>8</v>
      </c>
      <c r="D121" s="3" t="str">
        <f>Summary!B11</f>
        <v>Commercial &amp; Small Power B2</v>
      </c>
      <c r="F121" s="79">
        <f>Summary!L11</f>
        <v>311048.08270000038</v>
      </c>
      <c r="G121" s="80">
        <f>Summary!N11</f>
        <v>3.8881541327157307E-2</v>
      </c>
      <c r="H121" s="1"/>
    </row>
    <row r="122" spans="3:8" x14ac:dyDescent="0.25">
      <c r="C122" s="88">
        <f>Summary!C12</f>
        <v>9</v>
      </c>
      <c r="D122" s="3" t="str">
        <f>Summary!B12</f>
        <v>Large Power LLP-1</v>
      </c>
      <c r="F122" s="79">
        <f>Summary!L12</f>
        <v>202219.06277000019</v>
      </c>
      <c r="G122" s="80">
        <f>Summary!N12</f>
        <v>3.9230096949051101E-2</v>
      </c>
      <c r="H122" s="1"/>
    </row>
    <row r="123" spans="3:8" x14ac:dyDescent="0.25">
      <c r="C123" s="88">
        <f>Summary!C13</f>
        <v>11</v>
      </c>
      <c r="D123" s="3" t="str">
        <f>Summary!B13</f>
        <v>Large Power LLP-3</v>
      </c>
      <c r="F123" s="79">
        <f>Summary!L13</f>
        <v>266101.45639000041</v>
      </c>
      <c r="G123" s="80">
        <f>Summary!N13</f>
        <v>3.9627878034932895E-2</v>
      </c>
      <c r="H123" s="1"/>
    </row>
    <row r="124" spans="3:8" x14ac:dyDescent="0.25">
      <c r="C124" s="88">
        <f>Summary!C14</f>
        <v>13</v>
      </c>
      <c r="D124" s="3" t="str">
        <f>Summary!B14</f>
        <v>Large Power LPR-2</v>
      </c>
      <c r="F124" s="79">
        <f>Summary!L14</f>
        <v>17744.532600000006</v>
      </c>
      <c r="G124" s="80">
        <f>Summary!N14</f>
        <v>3.9355113757009244E-2</v>
      </c>
      <c r="H124" s="1"/>
    </row>
    <row r="125" spans="3:8" x14ac:dyDescent="0.25">
      <c r="C125" s="88">
        <f>Summary!C15</f>
        <v>14</v>
      </c>
      <c r="D125" s="3" t="str">
        <f>Summary!B15</f>
        <v>Large Power LLP-4-B1</v>
      </c>
      <c r="F125" s="79">
        <f>Summary!L15</f>
        <v>130727.8759999999</v>
      </c>
      <c r="G125" s="80">
        <f>Summary!N15</f>
        <v>3.9452489710328172E-2</v>
      </c>
      <c r="H125" s="1"/>
    </row>
    <row r="126" spans="3:8" x14ac:dyDescent="0.25">
      <c r="C126" s="88">
        <f>Summary!C16</f>
        <v>15</v>
      </c>
      <c r="D126" s="3" t="str">
        <f>Summary!B16</f>
        <v>Large Power LPR-1-B1</v>
      </c>
      <c r="F126" s="79">
        <f>Summary!L16</f>
        <v>95527.816320000056</v>
      </c>
      <c r="G126" s="80">
        <f>Summary!N16</f>
        <v>3.9746096552733506E-2</v>
      </c>
      <c r="H126" s="1"/>
    </row>
    <row r="127" spans="3:8" x14ac:dyDescent="0.25">
      <c r="C127" s="88">
        <f>Summary!C17</f>
        <v>25</v>
      </c>
      <c r="D127" s="3" t="str">
        <f>Summary!B17</f>
        <v>Large Power LPR-1-B2</v>
      </c>
      <c r="F127" s="79">
        <f>Summary!L17</f>
        <v>104533.04024999969</v>
      </c>
      <c r="G127" s="80">
        <f>Summary!N17</f>
        <v>3.9746749588140173E-2</v>
      </c>
      <c r="H127" s="1"/>
    </row>
    <row r="128" spans="3:8" x14ac:dyDescent="0.25">
      <c r="C128" s="88">
        <f>Summary!C18</f>
        <v>36</v>
      </c>
      <c r="D128" s="3" t="str">
        <f>Summary!B18</f>
        <v>LPR-3</v>
      </c>
      <c r="F128" s="79">
        <f>Summary!L18</f>
        <v>40907.25736000004</v>
      </c>
      <c r="G128" s="80">
        <f>Summary!N18</f>
        <v>3.9436152094687552E-2</v>
      </c>
      <c r="H128" s="1"/>
    </row>
    <row r="129" spans="3:8" x14ac:dyDescent="0.25">
      <c r="C129" s="88">
        <f>Summary!C19</f>
        <v>41</v>
      </c>
      <c r="D129" s="3" t="str">
        <f>Summary!B19</f>
        <v>Net Metering</v>
      </c>
      <c r="F129" s="79">
        <f>Summary!L19</f>
        <v>2813.467080000004</v>
      </c>
      <c r="G129" s="80">
        <f>Summary!N19</f>
        <v>3.9486752985455793E-2</v>
      </c>
      <c r="H129" s="1"/>
    </row>
    <row r="130" spans="3:8" x14ac:dyDescent="0.25">
      <c r="C130" s="88">
        <f>Summary!C20</f>
        <v>43</v>
      </c>
      <c r="D130" s="3" t="str">
        <f>Summary!B20</f>
        <v>Net Metering LLP-1 Large Power</v>
      </c>
      <c r="F130" s="79">
        <f>Summary!L20</f>
        <v>5214.1535999999942</v>
      </c>
      <c r="G130" s="80">
        <f>Summary!N20</f>
        <v>3.9255234824221122E-2</v>
      </c>
      <c r="H130" s="1"/>
    </row>
    <row r="131" spans="3:8" x14ac:dyDescent="0.25">
      <c r="C131" s="88">
        <f>Summary!C21</f>
        <v>51</v>
      </c>
      <c r="D131" s="3" t="str">
        <f>Summary!B21</f>
        <v>Prepaid Metering</v>
      </c>
      <c r="F131" s="79">
        <f>Summary!L21</f>
        <v>86648.355100000219</v>
      </c>
      <c r="G131" s="80">
        <f>Summary!N21</f>
        <v>3.905712824277318E-2</v>
      </c>
      <c r="H131" s="1"/>
    </row>
    <row r="132" spans="3:8" x14ac:dyDescent="0.25">
      <c r="C132" s="88">
        <f>Summary!C22</f>
        <v>6</v>
      </c>
      <c r="D132" s="3" t="str">
        <f>Summary!B22</f>
        <v>Street Lighting Service OL &amp; LED</v>
      </c>
      <c r="F132" s="79">
        <f>Summary!L22</f>
        <v>37391.5</v>
      </c>
      <c r="G132" s="80">
        <f>Summary!N22</f>
        <v>4.0683231523432659E-2</v>
      </c>
      <c r="H132" s="1"/>
    </row>
    <row r="133" spans="3:8" x14ac:dyDescent="0.25">
      <c r="C133" s="91" t="s">
        <v>58</v>
      </c>
      <c r="D133" s="103"/>
      <c r="E133" s="81"/>
      <c r="F133" s="82">
        <f>Summary!L34</f>
        <v>4075384.2925717682</v>
      </c>
      <c r="G133" s="83">
        <f>Summary!N34</f>
        <v>3.9125299642448895E-2</v>
      </c>
    </row>
    <row r="134" spans="3:8" x14ac:dyDescent="0.25">
      <c r="C134" s="88"/>
      <c r="F134" s="84"/>
      <c r="G134" s="85"/>
    </row>
    <row r="136" spans="3:8" ht="40.200000000000003" customHeight="1" x14ac:dyDescent="0.25">
      <c r="C136" s="156" t="s">
        <v>59</v>
      </c>
      <c r="D136" s="156"/>
      <c r="E136" s="156"/>
      <c r="F136" s="156"/>
      <c r="G136" s="156"/>
      <c r="H136" s="156"/>
    </row>
    <row r="137" spans="3:8" x14ac:dyDescent="0.25">
      <c r="E137" s="86" t="s">
        <v>18</v>
      </c>
      <c r="F137" s="157" t="s">
        <v>54</v>
      </c>
      <c r="G137" s="157"/>
    </row>
    <row r="138" spans="3:8" x14ac:dyDescent="0.25">
      <c r="C138" s="102" t="s">
        <v>55</v>
      </c>
      <c r="D138" s="104"/>
      <c r="E138" s="87" t="s">
        <v>60</v>
      </c>
      <c r="F138" s="78" t="s">
        <v>56</v>
      </c>
      <c r="G138" s="78" t="s">
        <v>57</v>
      </c>
    </row>
    <row r="139" spans="3:8" x14ac:dyDescent="0.25">
      <c r="C139" s="11">
        <f>Summary!C8</f>
        <v>1</v>
      </c>
      <c r="D139" s="105" t="str">
        <f>Summary!B8</f>
        <v>Farm &amp; Home Service A-5</v>
      </c>
      <c r="E139" s="89">
        <f>'Billing Detail'!E17</f>
        <v>1280.2265146292557</v>
      </c>
      <c r="F139" s="66">
        <f>'Billing Detail'!N17</f>
        <v>4.48952711195993</v>
      </c>
      <c r="G139" s="4">
        <f>Summary!N8</f>
        <v>3.9000692696612972E-2</v>
      </c>
    </row>
    <row r="140" spans="3:8" x14ac:dyDescent="0.25">
      <c r="C140" s="11">
        <f>Summary!C10</f>
        <v>7</v>
      </c>
      <c r="D140" s="105" t="str">
        <f>Summary!B10</f>
        <v>Large Power 500-3000 KW LLP2</v>
      </c>
      <c r="E140" s="89">
        <f>'Billing Detail'!E43</f>
        <v>115054.22177224199</v>
      </c>
      <c r="F140" s="66">
        <f>'Billing Detail'!N43</f>
        <v>371.22103240526667</v>
      </c>
      <c r="G140" s="4">
        <f>Summary!N10</f>
        <v>3.9176501265563025E-2</v>
      </c>
    </row>
    <row r="141" spans="3:8" x14ac:dyDescent="0.25">
      <c r="C141" s="11">
        <f>Summary!C11</f>
        <v>8</v>
      </c>
      <c r="D141" s="105" t="str">
        <f>Summary!B11</f>
        <v>Commercial &amp; Small Power B2</v>
      </c>
      <c r="E141" s="89">
        <f>'Billing Detail'!E55</f>
        <v>2417.0088001840563</v>
      </c>
      <c r="F141" s="66">
        <f>'Billing Detail'!N55</f>
        <v>8.9453607126423549</v>
      </c>
      <c r="G141" s="4">
        <f>Summary!N11</f>
        <v>3.8881541327157307E-2</v>
      </c>
    </row>
    <row r="142" spans="3:8" x14ac:dyDescent="0.25">
      <c r="C142" s="11">
        <f>Summary!C12</f>
        <v>9</v>
      </c>
      <c r="D142" s="105" t="str">
        <f>Summary!B12</f>
        <v>Large Power LLP-1</v>
      </c>
      <c r="E142" s="89">
        <f>'Billing Detail'!E67</f>
        <v>32914.917040358741</v>
      </c>
      <c r="F142" s="66">
        <f>'Billing Detail'!N67</f>
        <v>113.35149258408046</v>
      </c>
      <c r="G142" s="4">
        <f>Summary!N12</f>
        <v>3.9230096949051101E-2</v>
      </c>
    </row>
    <row r="143" spans="3:8" x14ac:dyDescent="0.25">
      <c r="C143" s="11">
        <f>Summary!C13</f>
        <v>11</v>
      </c>
      <c r="D143" s="105" t="str">
        <f>Summary!B13</f>
        <v>Large Power LLP-3</v>
      </c>
      <c r="E143" s="89">
        <f>'Billing Detail'!E79</f>
        <v>381787.11453744496</v>
      </c>
      <c r="F143" s="66">
        <f>'Billing Detail'!N79</f>
        <v>1172.2531118502229</v>
      </c>
      <c r="G143" s="4">
        <f>Summary!N13</f>
        <v>3.9627878034932895E-2</v>
      </c>
    </row>
    <row r="144" spans="3:8" x14ac:dyDescent="0.25">
      <c r="C144" s="11">
        <f>Summary!C14</f>
        <v>13</v>
      </c>
      <c r="D144" s="105" t="str">
        <f>Summary!B14</f>
        <v>Large Power LPR-2</v>
      </c>
      <c r="E144" s="89">
        <f>'Billing Detail'!E91</f>
        <v>240401.875</v>
      </c>
      <c r="F144" s="66">
        <f>'Billing Detail'!N91</f>
        <v>739.35552499999903</v>
      </c>
      <c r="G144" s="4">
        <f>Summary!N14</f>
        <v>3.9355113757009244E-2</v>
      </c>
    </row>
    <row r="145" spans="3:7" x14ac:dyDescent="0.25">
      <c r="C145" s="11">
        <f>Summary!C15</f>
        <v>14</v>
      </c>
      <c r="D145" s="105" t="str">
        <f>Summary!B15</f>
        <v>Large Power LLP-4-B1</v>
      </c>
      <c r="E145" s="89">
        <f>'Billing Detail'!E105</f>
        <v>1069636.625</v>
      </c>
      <c r="F145" s="66">
        <f>'Billing Detail'!N105</f>
        <v>2723.4974166666507</v>
      </c>
      <c r="G145" s="4">
        <f>Summary!N15</f>
        <v>3.9452489710328172E-2</v>
      </c>
    </row>
    <row r="146" spans="3:7" x14ac:dyDescent="0.25">
      <c r="C146" s="11">
        <f>Summary!C16</f>
        <v>15</v>
      </c>
      <c r="D146" s="105" t="str">
        <f>Summary!B16</f>
        <v>Large Power LPR-1-B1</v>
      </c>
      <c r="E146" s="89">
        <f>'Billing Detail'!E119</f>
        <v>3533248</v>
      </c>
      <c r="F146" s="66">
        <f>'Billing Detail'!N119</f>
        <v>7960.6513599999889</v>
      </c>
      <c r="G146" s="4">
        <f>Summary!N16</f>
        <v>3.9746096552733506E-2</v>
      </c>
    </row>
    <row r="147" spans="3:7" x14ac:dyDescent="0.25">
      <c r="C147" s="11">
        <f>Summary!C17</f>
        <v>25</v>
      </c>
      <c r="D147" s="105" t="str">
        <f>Summary!B17</f>
        <v>Large Power LPR-1-B2</v>
      </c>
      <c r="E147" s="90">
        <f>'Billing Detail'!E133</f>
        <v>4040255.25</v>
      </c>
      <c r="F147" s="66">
        <f>'Billing Detail'!N133</f>
        <v>8711.0866874999483</v>
      </c>
      <c r="G147" s="4">
        <f>Summary!N17</f>
        <v>3.9746749588140173E-2</v>
      </c>
    </row>
    <row r="148" spans="3:7" x14ac:dyDescent="0.25">
      <c r="C148" s="11">
        <f>Summary!C18</f>
        <v>36</v>
      </c>
      <c r="D148" s="105" t="str">
        <f>Summary!B18</f>
        <v>LPR-3</v>
      </c>
      <c r="E148" s="89">
        <f>'Billing Detail'!E146</f>
        <v>1197685.1666666667</v>
      </c>
      <c r="F148" s="66">
        <f>'Billing Detail'!N146</f>
        <v>3408.9381133333372</v>
      </c>
      <c r="G148" s="4">
        <f>Summary!N18</f>
        <v>3.9436152094687552E-2</v>
      </c>
    </row>
    <row r="149" spans="3:7" x14ac:dyDescent="0.25">
      <c r="C149" s="11">
        <f>Summary!C19</f>
        <v>41</v>
      </c>
      <c r="D149" s="105" t="str">
        <f>Summary!B19</f>
        <v>Net Metering</v>
      </c>
      <c r="E149" s="89">
        <f>'Billing Detail'!E158</f>
        <v>1427.42151675485</v>
      </c>
      <c r="F149" s="66">
        <f>'Billing Detail'!N158</f>
        <v>4.9620230687830684</v>
      </c>
      <c r="G149" s="4">
        <f>Summary!N19</f>
        <v>3.9486752985455793E-2</v>
      </c>
    </row>
    <row r="150" spans="3:7" x14ac:dyDescent="0.25">
      <c r="C150" s="11">
        <f>Summary!C20</f>
        <v>43</v>
      </c>
      <c r="D150" s="105" t="str">
        <f>Summary!B20</f>
        <v>Net Metering LLP-1 Large Power</v>
      </c>
      <c r="E150" s="89">
        <f>'Billing Detail'!E171</f>
        <v>128740</v>
      </c>
      <c r="F150" s="66">
        <f>'Billing Detail'!N171</f>
        <v>434.51280000000042</v>
      </c>
      <c r="G150" s="4">
        <f>Summary!N20</f>
        <v>3.9255234824221122E-2</v>
      </c>
    </row>
    <row r="151" spans="3:7" x14ac:dyDescent="0.25">
      <c r="C151" s="11">
        <f>Summary!C21</f>
        <v>51</v>
      </c>
      <c r="D151" s="105" t="str">
        <f>Summary!B21</f>
        <v>Prepaid Metering</v>
      </c>
      <c r="E151" s="89">
        <f>'Billing Detail'!E183</f>
        <v>1282.5570894747768</v>
      </c>
      <c r="F151" s="66">
        <f>'Billing Detail'!O183</f>
        <v>3.905712824277318E-2</v>
      </c>
      <c r="G151" s="4">
        <f>Summary!N21</f>
        <v>3.905712824277318E-2</v>
      </c>
    </row>
    <row r="152" spans="3:7" x14ac:dyDescent="0.25">
      <c r="C152" s="11">
        <f>Summary!C22</f>
        <v>6</v>
      </c>
      <c r="D152" s="105" t="str">
        <f>Summary!B22</f>
        <v>Street Lighting Service OL &amp; LED</v>
      </c>
      <c r="E152" s="93" t="s">
        <v>61</v>
      </c>
      <c r="F152" s="92" t="s">
        <v>61</v>
      </c>
      <c r="G152" s="4">
        <f>Summary!N22</f>
        <v>4.0683231523432659E-2</v>
      </c>
    </row>
  </sheetData>
  <mergeCells count="4">
    <mergeCell ref="C116:G116"/>
    <mergeCell ref="F117:G117"/>
    <mergeCell ref="C136:H136"/>
    <mergeCell ref="F137:G137"/>
  </mergeCells>
  <printOptions horizontalCentered="1"/>
  <pageMargins left="0.7" right="0.7" top="0.75" bottom="0.75" header="0.3" footer="0.3"/>
  <pageSetup paperSize="9" scale="85" fitToHeight="2" orientation="portrait" r:id="rId1"/>
  <headerFooter>
    <oddHeader>&amp;R&amp;"Arial,Bold"&amp;10Exhibit 2
Page &amp;P of &amp;N</oddHead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2021-03-24T17:31:12Z</cp:lastPrinted>
  <dcterms:created xsi:type="dcterms:W3CDTF">2021-02-09T02:13:44Z</dcterms:created>
  <dcterms:modified xsi:type="dcterms:W3CDTF">2021-07-27T14:13:16Z</dcterms:modified>
</cp:coreProperties>
</file>