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Owen\Analysis\"/>
    </mc:Choice>
  </mc:AlternateContent>
  <xr:revisionPtr revIDLastSave="0" documentId="13_ncr:1_{728256B6-5110-4E59-B1E3-7C544C7A5846}" xr6:coauthVersionLast="46" xr6:coauthVersionMax="46" xr10:uidLastSave="{00000000-0000-0000-0000-000000000000}"/>
  <bookViews>
    <workbookView xWindow="-108" yWindow="-108" windowWidth="23256" windowHeight="12576" activeTab="2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Detail'!$A$1:$R$367</definedName>
    <definedName name="_xlnm.Print_Area" localSheetId="2">'Notice Table'!$A$1:$G$130</definedName>
    <definedName name="_xlnm.Print_Area" localSheetId="0">Summary!$A$1:$O$46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B17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I254" i="1"/>
  <c r="I241" i="1"/>
  <c r="I227" i="1"/>
  <c r="I212" i="1"/>
  <c r="I199" i="1"/>
  <c r="I185" i="1"/>
  <c r="I172" i="1"/>
  <c r="I159" i="1"/>
  <c r="I146" i="1"/>
  <c r="I133" i="1"/>
  <c r="I120" i="1"/>
  <c r="I104" i="1"/>
  <c r="I90" i="1"/>
  <c r="I78" i="1"/>
  <c r="I63" i="1"/>
  <c r="I50" i="1"/>
  <c r="I37" i="1"/>
  <c r="I25" i="1"/>
  <c r="I11" i="1"/>
  <c r="Q367" i="1" l="1"/>
  <c r="O367" i="1"/>
  <c r="I367" i="1"/>
  <c r="N367" i="1" s="1"/>
  <c r="F367" i="1"/>
  <c r="G367" i="1" s="1"/>
  <c r="Q366" i="1"/>
  <c r="I366" i="1"/>
  <c r="N366" i="1" s="1"/>
  <c r="F366" i="1"/>
  <c r="G366" i="1" s="1"/>
  <c r="Q365" i="1"/>
  <c r="O365" i="1"/>
  <c r="I365" i="1"/>
  <c r="N365" i="1" s="1"/>
  <c r="G365" i="1"/>
  <c r="Q364" i="1"/>
  <c r="N364" i="1"/>
  <c r="I364" i="1"/>
  <c r="O364" i="1" s="1"/>
  <c r="G364" i="1"/>
  <c r="Q363" i="1"/>
  <c r="N363" i="1"/>
  <c r="I363" i="1"/>
  <c r="O363" i="1" s="1"/>
  <c r="F363" i="1"/>
  <c r="G363" i="1" s="1"/>
  <c r="Q360" i="1"/>
  <c r="I360" i="1"/>
  <c r="O360" i="1" s="1"/>
  <c r="G360" i="1"/>
  <c r="D360" i="1"/>
  <c r="Q359" i="1"/>
  <c r="O359" i="1"/>
  <c r="I359" i="1"/>
  <c r="N359" i="1" s="1"/>
  <c r="G359" i="1"/>
  <c r="D359" i="1"/>
  <c r="Q358" i="1"/>
  <c r="O358" i="1"/>
  <c r="I358" i="1"/>
  <c r="N358" i="1" s="1"/>
  <c r="G358" i="1"/>
  <c r="D358" i="1"/>
  <c r="Q357" i="1"/>
  <c r="I357" i="1"/>
  <c r="O357" i="1" s="1"/>
  <c r="F357" i="1"/>
  <c r="G357" i="1" s="1"/>
  <c r="D357" i="1"/>
  <c r="Q354" i="1"/>
  <c r="H354" i="1"/>
  <c r="I354" i="1" s="1"/>
  <c r="Q353" i="1"/>
  <c r="I353" i="1"/>
  <c r="N353" i="1" s="1"/>
  <c r="G353" i="1"/>
  <c r="Q352" i="1"/>
  <c r="N352" i="1"/>
  <c r="I352" i="1"/>
  <c r="O352" i="1" s="1"/>
  <c r="G352" i="1"/>
  <c r="Q351" i="1"/>
  <c r="O351" i="1"/>
  <c r="I351" i="1"/>
  <c r="N351" i="1" s="1"/>
  <c r="F351" i="1"/>
  <c r="G351" i="1" s="1"/>
  <c r="Q348" i="1"/>
  <c r="N348" i="1"/>
  <c r="I348" i="1"/>
  <c r="O348" i="1" s="1"/>
  <c r="G348" i="1"/>
  <c r="Q347" i="1"/>
  <c r="I347" i="1"/>
  <c r="O347" i="1" s="1"/>
  <c r="G347" i="1"/>
  <c r="Q346" i="1"/>
  <c r="I346" i="1"/>
  <c r="O346" i="1" s="1"/>
  <c r="G346" i="1"/>
  <c r="Q345" i="1"/>
  <c r="I345" i="1"/>
  <c r="O345" i="1" s="1"/>
  <c r="G345" i="1"/>
  <c r="E108" i="3"/>
  <c r="E109" i="3"/>
  <c r="F109" i="3"/>
  <c r="O353" i="1" l="1"/>
  <c r="N357" i="1"/>
  <c r="F354" i="1"/>
  <c r="G354" i="1" s="1"/>
  <c r="N360" i="1"/>
  <c r="O366" i="1"/>
  <c r="N354" i="1"/>
  <c r="O354" i="1"/>
  <c r="N346" i="1"/>
  <c r="N345" i="1"/>
  <c r="N347" i="1"/>
  <c r="W367" i="1" l="1"/>
  <c r="E88" i="3"/>
  <c r="F72" i="3" l="1"/>
  <c r="F73" i="3"/>
  <c r="F74" i="3"/>
  <c r="F76" i="3"/>
  <c r="F77" i="3"/>
  <c r="F78" i="3"/>
  <c r="F79" i="3"/>
  <c r="F80" i="3"/>
  <c r="F81" i="3"/>
  <c r="F82" i="3"/>
  <c r="F83" i="3"/>
  <c r="F84" i="3"/>
  <c r="F85" i="3"/>
  <c r="F86" i="3"/>
  <c r="F87" i="3"/>
  <c r="F89" i="3"/>
  <c r="F90" i="3"/>
  <c r="F91" i="3"/>
  <c r="F92" i="3"/>
  <c r="F93" i="3"/>
  <c r="F94" i="3"/>
  <c r="F95" i="3"/>
  <c r="F96" i="3"/>
  <c r="F97" i="3"/>
  <c r="F98" i="3"/>
  <c r="F99" i="3"/>
  <c r="F100" i="3"/>
  <c r="F102" i="3"/>
  <c r="F103" i="3"/>
  <c r="F104" i="3"/>
  <c r="F105" i="3"/>
  <c r="F106" i="3"/>
  <c r="F107" i="3"/>
  <c r="F71" i="3"/>
  <c r="F27" i="3" l="1"/>
  <c r="F29" i="3"/>
  <c r="F30" i="3"/>
  <c r="F31" i="3"/>
  <c r="F32" i="3"/>
  <c r="F34" i="3"/>
  <c r="F35" i="3"/>
  <c r="F36" i="3"/>
  <c r="F37" i="3"/>
  <c r="F38" i="3"/>
  <c r="F40" i="3"/>
  <c r="F41" i="3"/>
  <c r="F42" i="3"/>
  <c r="F44" i="3"/>
  <c r="F45" i="3"/>
  <c r="F46" i="3"/>
  <c r="F48" i="3"/>
  <c r="F49" i="3"/>
  <c r="F50" i="3"/>
  <c r="F52" i="3"/>
  <c r="F53" i="3"/>
  <c r="F54" i="3"/>
  <c r="F56" i="3"/>
  <c r="F57" i="3"/>
  <c r="F58" i="3"/>
  <c r="F59" i="3"/>
  <c r="F61" i="3"/>
  <c r="G61" i="3"/>
  <c r="F62" i="3"/>
  <c r="G62" i="3"/>
  <c r="F63" i="3"/>
  <c r="G63" i="3"/>
  <c r="J63" i="3" s="1"/>
  <c r="F64" i="3"/>
  <c r="F65" i="3"/>
  <c r="F111" i="3"/>
  <c r="F112" i="3"/>
  <c r="F113" i="3"/>
  <c r="F114" i="3"/>
  <c r="F116" i="3"/>
  <c r="F117" i="3"/>
  <c r="F118" i="3"/>
  <c r="F119" i="3"/>
  <c r="F121" i="3"/>
  <c r="F122" i="3"/>
  <c r="F123" i="3"/>
  <c r="F124" i="3"/>
  <c r="F126" i="3"/>
  <c r="F127" i="3"/>
  <c r="F128" i="3"/>
  <c r="F129" i="3"/>
  <c r="F130" i="3"/>
  <c r="E127" i="3"/>
  <c r="E128" i="3"/>
  <c r="E129" i="3"/>
  <c r="E130" i="3"/>
  <c r="E126" i="3"/>
  <c r="C125" i="3"/>
  <c r="D125" i="3"/>
  <c r="E122" i="3"/>
  <c r="E123" i="3"/>
  <c r="E124" i="3"/>
  <c r="E121" i="3"/>
  <c r="D120" i="3"/>
  <c r="C120" i="3"/>
  <c r="E117" i="3"/>
  <c r="E118" i="3"/>
  <c r="E119" i="3"/>
  <c r="E116" i="3"/>
  <c r="D115" i="3"/>
  <c r="C115" i="3"/>
  <c r="E112" i="3"/>
  <c r="E113" i="3"/>
  <c r="E114" i="3"/>
  <c r="E111" i="3"/>
  <c r="C110" i="3"/>
  <c r="D110" i="3"/>
  <c r="D71" i="3"/>
  <c r="D72" i="3"/>
  <c r="D73" i="3"/>
  <c r="D74" i="3"/>
  <c r="D76" i="3"/>
  <c r="D77" i="3"/>
  <c r="D78" i="3"/>
  <c r="D79" i="3"/>
  <c r="D80" i="3"/>
  <c r="D81" i="3"/>
  <c r="D82" i="3"/>
  <c r="D83" i="3"/>
  <c r="D84" i="3"/>
  <c r="D85" i="3"/>
  <c r="D86" i="3"/>
  <c r="D87" i="3"/>
  <c r="D89" i="3"/>
  <c r="D90" i="3"/>
  <c r="D91" i="3"/>
  <c r="D92" i="3"/>
  <c r="D93" i="3"/>
  <c r="D94" i="3"/>
  <c r="D95" i="3"/>
  <c r="D96" i="3"/>
  <c r="D97" i="3"/>
  <c r="D98" i="3"/>
  <c r="D99" i="3"/>
  <c r="D100" i="3"/>
  <c r="D102" i="3"/>
  <c r="D103" i="3"/>
  <c r="D104" i="3"/>
  <c r="D105" i="3"/>
  <c r="D106" i="3"/>
  <c r="D107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69" i="3"/>
  <c r="C68" i="3"/>
  <c r="D68" i="3"/>
  <c r="E62" i="3"/>
  <c r="E63" i="3"/>
  <c r="E64" i="3"/>
  <c r="E65" i="3"/>
  <c r="E66" i="3"/>
  <c r="E67" i="3"/>
  <c r="E61" i="3"/>
  <c r="E57" i="3"/>
  <c r="E58" i="3"/>
  <c r="E59" i="3"/>
  <c r="E56" i="3"/>
  <c r="D55" i="3"/>
  <c r="C55" i="3"/>
  <c r="E53" i="3"/>
  <c r="E54" i="3"/>
  <c r="E52" i="3"/>
  <c r="D51" i="3"/>
  <c r="C51" i="3"/>
  <c r="E49" i="3"/>
  <c r="E50" i="3"/>
  <c r="E48" i="3"/>
  <c r="D47" i="3"/>
  <c r="C47" i="3"/>
  <c r="E45" i="3"/>
  <c r="E46" i="3"/>
  <c r="E44" i="3"/>
  <c r="D43" i="3"/>
  <c r="C43" i="3"/>
  <c r="E41" i="3"/>
  <c r="E42" i="3"/>
  <c r="E40" i="3"/>
  <c r="D39" i="3"/>
  <c r="C39" i="3"/>
  <c r="E35" i="3"/>
  <c r="E36" i="3"/>
  <c r="E37" i="3"/>
  <c r="E38" i="3"/>
  <c r="E34" i="3"/>
  <c r="D33" i="3"/>
  <c r="C33" i="3"/>
  <c r="E30" i="3"/>
  <c r="E31" i="3"/>
  <c r="E32" i="3"/>
  <c r="E29" i="3"/>
  <c r="D28" i="3"/>
  <c r="C28" i="3"/>
  <c r="E27" i="3"/>
  <c r="D26" i="3"/>
  <c r="C26" i="3"/>
  <c r="F21" i="3"/>
  <c r="F22" i="3"/>
  <c r="F23" i="3"/>
  <c r="F24" i="3"/>
  <c r="F25" i="3"/>
  <c r="J61" i="3" l="1"/>
  <c r="J62" i="3"/>
  <c r="L318" i="1"/>
  <c r="G318" i="1"/>
  <c r="E22" i="3"/>
  <c r="E23" i="3"/>
  <c r="E24" i="3"/>
  <c r="E25" i="3"/>
  <c r="E21" i="3"/>
  <c r="C20" i="3"/>
  <c r="D20" i="3"/>
  <c r="F9" i="3"/>
  <c r="F10" i="3"/>
  <c r="F11" i="3"/>
  <c r="F12" i="3"/>
  <c r="F14" i="3"/>
  <c r="F15" i="3"/>
  <c r="F17" i="3"/>
  <c r="F18" i="3"/>
  <c r="F19" i="3"/>
  <c r="E18" i="3"/>
  <c r="E19" i="3"/>
  <c r="E17" i="3"/>
  <c r="C16" i="3"/>
  <c r="D16" i="3"/>
  <c r="E15" i="3"/>
  <c r="E14" i="3"/>
  <c r="C13" i="3"/>
  <c r="D13" i="3"/>
  <c r="E10" i="3"/>
  <c r="E11" i="3"/>
  <c r="E12" i="3"/>
  <c r="F7" i="3"/>
  <c r="F6" i="3"/>
  <c r="E9" i="3"/>
  <c r="C8" i="3"/>
  <c r="C5" i="3"/>
  <c r="D8" i="3"/>
  <c r="I322" i="1"/>
  <c r="M322" i="1" s="1"/>
  <c r="H320" i="1"/>
  <c r="F67" i="3" s="1"/>
  <c r="H319" i="1"/>
  <c r="F66" i="3" s="1"/>
  <c r="E320" i="1"/>
  <c r="E319" i="1"/>
  <c r="L317" i="1"/>
  <c r="I317" i="1"/>
  <c r="F317" i="1"/>
  <c r="G317" i="1" s="1"/>
  <c r="L316" i="1"/>
  <c r="I316" i="1"/>
  <c r="F316" i="1"/>
  <c r="G316" i="1" s="1"/>
  <c r="M317" i="1" l="1"/>
  <c r="N317" i="1" s="1"/>
  <c r="O317" i="1" s="1"/>
  <c r="G65" i="3"/>
  <c r="J65" i="3" s="1"/>
  <c r="M316" i="1"/>
  <c r="G64" i="3"/>
  <c r="J64" i="3" s="1"/>
  <c r="M318" i="1"/>
  <c r="T318" i="1"/>
  <c r="I318" i="1"/>
  <c r="J318" i="1" s="1"/>
  <c r="N316" i="1"/>
  <c r="O316" i="1" s="1"/>
  <c r="T317" i="1"/>
  <c r="T316" i="1"/>
  <c r="N318" i="1" l="1"/>
  <c r="O318" i="1" s="1"/>
  <c r="E252" i="1" l="1"/>
  <c r="Q223" i="1"/>
  <c r="I223" i="1"/>
  <c r="G223" i="1"/>
  <c r="P222" i="1"/>
  <c r="J222" i="1"/>
  <c r="I222" i="1"/>
  <c r="G222" i="1"/>
  <c r="H118" i="1"/>
  <c r="I117" i="1"/>
  <c r="G117" i="1"/>
  <c r="I116" i="1"/>
  <c r="G116" i="1"/>
  <c r="Q222" i="1" l="1"/>
  <c r="L118" i="1"/>
  <c r="E328" i="1"/>
  <c r="E260" i="1"/>
  <c r="E179" i="3" s="1"/>
  <c r="E247" i="1"/>
  <c r="E178" i="3" s="1"/>
  <c r="E233" i="1"/>
  <c r="E177" i="3" s="1"/>
  <c r="E218" i="1"/>
  <c r="E176" i="3" s="1"/>
  <c r="E205" i="1"/>
  <c r="E175" i="3" s="1"/>
  <c r="E191" i="1"/>
  <c r="E174" i="3" s="1"/>
  <c r="E178" i="1"/>
  <c r="E173" i="3" s="1"/>
  <c r="E165" i="1"/>
  <c r="E172" i="3" s="1"/>
  <c r="E152" i="1"/>
  <c r="E171" i="3" s="1"/>
  <c r="E139" i="1"/>
  <c r="E170" i="3" s="1"/>
  <c r="E126" i="1"/>
  <c r="E169" i="3" s="1"/>
  <c r="E110" i="1"/>
  <c r="E168" i="3" s="1"/>
  <c r="E84" i="1"/>
  <c r="E166" i="3" s="1"/>
  <c r="E69" i="1"/>
  <c r="E165" i="3" s="1"/>
  <c r="E56" i="1"/>
  <c r="E164" i="3" s="1"/>
  <c r="E96" i="1"/>
  <c r="E167" i="3" s="1"/>
  <c r="E43" i="1"/>
  <c r="E163" i="3" s="1"/>
  <c r="E31" i="1"/>
  <c r="E162" i="3" s="1"/>
  <c r="E17" i="1"/>
  <c r="E161" i="3" s="1"/>
  <c r="L252" i="1" l="1"/>
  <c r="M252" i="1" s="1"/>
  <c r="G320" i="1"/>
  <c r="F313" i="1"/>
  <c r="G313" i="1" s="1"/>
  <c r="F251" i="1"/>
  <c r="G251" i="1" s="1"/>
  <c r="G88" i="1"/>
  <c r="G60" i="1"/>
  <c r="F239" i="1"/>
  <c r="G239" i="1" s="1"/>
  <c r="T313" i="1"/>
  <c r="T315" i="1"/>
  <c r="T314" i="1"/>
  <c r="N336" i="1"/>
  <c r="G333" i="1"/>
  <c r="G334" i="1"/>
  <c r="G335" i="1"/>
  <c r="G336" i="1"/>
  <c r="C32" i="2"/>
  <c r="C155" i="3" s="1"/>
  <c r="L320" i="1"/>
  <c r="L319" i="1"/>
  <c r="B32" i="2"/>
  <c r="D155" i="3" s="1"/>
  <c r="C28" i="2"/>
  <c r="C27" i="2"/>
  <c r="B28" i="2"/>
  <c r="B27" i="2"/>
  <c r="C26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26" i="2"/>
  <c r="B25" i="2"/>
  <c r="B24" i="2"/>
  <c r="B23" i="2"/>
  <c r="B22" i="2"/>
  <c r="B21" i="2"/>
  <c r="B20" i="2"/>
  <c r="B19" i="2"/>
  <c r="B18" i="2"/>
  <c r="B16" i="2"/>
  <c r="B15" i="2"/>
  <c r="B14" i="2"/>
  <c r="B13" i="2"/>
  <c r="B12" i="2"/>
  <c r="B11" i="2"/>
  <c r="I277" i="1"/>
  <c r="G277" i="1"/>
  <c r="I276" i="1"/>
  <c r="G276" i="1"/>
  <c r="I275" i="1"/>
  <c r="G275" i="1"/>
  <c r="I274" i="1"/>
  <c r="G274" i="1"/>
  <c r="I273" i="1"/>
  <c r="G273" i="1"/>
  <c r="I272" i="1"/>
  <c r="G272" i="1"/>
  <c r="I271" i="1"/>
  <c r="G271" i="1"/>
  <c r="I270" i="1"/>
  <c r="G270" i="1"/>
  <c r="I269" i="1"/>
  <c r="G269" i="1"/>
  <c r="I268" i="1"/>
  <c r="G268" i="1"/>
  <c r="I267" i="1"/>
  <c r="G267" i="1"/>
  <c r="I266" i="1"/>
  <c r="G266" i="1"/>
  <c r="I265" i="1"/>
  <c r="G265" i="1"/>
  <c r="I291" i="1"/>
  <c r="G291" i="1"/>
  <c r="I290" i="1"/>
  <c r="G290" i="1"/>
  <c r="I289" i="1"/>
  <c r="G289" i="1"/>
  <c r="I288" i="1"/>
  <c r="G288" i="1"/>
  <c r="I287" i="1"/>
  <c r="G287" i="1"/>
  <c r="I286" i="1"/>
  <c r="G286" i="1"/>
  <c r="I285" i="1"/>
  <c r="G285" i="1"/>
  <c r="I284" i="1"/>
  <c r="G284" i="1"/>
  <c r="I283" i="1"/>
  <c r="G283" i="1"/>
  <c r="I281" i="1"/>
  <c r="G281" i="1"/>
  <c r="I280" i="1"/>
  <c r="O280" i="1" s="1"/>
  <c r="G280" i="1"/>
  <c r="I279" i="1"/>
  <c r="G279" i="1"/>
  <c r="I278" i="1"/>
  <c r="G278" i="1"/>
  <c r="I315" i="1"/>
  <c r="G315" i="1"/>
  <c r="I314" i="1"/>
  <c r="G314" i="1"/>
  <c r="I237" i="1"/>
  <c r="G237" i="1"/>
  <c r="I196" i="1"/>
  <c r="G196" i="1"/>
  <c r="I118" i="1"/>
  <c r="G118" i="1"/>
  <c r="I114" i="1"/>
  <c r="G114" i="1"/>
  <c r="I101" i="1"/>
  <c r="G101" i="1"/>
  <c r="I76" i="1"/>
  <c r="G76" i="1"/>
  <c r="I74" i="1"/>
  <c r="G74" i="1"/>
  <c r="I22" i="1"/>
  <c r="G22" i="1"/>
  <c r="L6" i="2"/>
  <c r="G216" i="1"/>
  <c r="I215" i="1"/>
  <c r="M215" i="1" s="1"/>
  <c r="I214" i="1"/>
  <c r="M214" i="1" s="1"/>
  <c r="N214" i="1" s="1"/>
  <c r="I213" i="1"/>
  <c r="M213" i="1" s="1"/>
  <c r="N213" i="1" s="1"/>
  <c r="M212" i="1"/>
  <c r="I210" i="1"/>
  <c r="G210" i="1"/>
  <c r="I209" i="1"/>
  <c r="G209" i="1"/>
  <c r="I208" i="1"/>
  <c r="G208" i="1"/>
  <c r="G203" i="1"/>
  <c r="I202" i="1"/>
  <c r="M202" i="1" s="1"/>
  <c r="I201" i="1"/>
  <c r="M201" i="1" s="1"/>
  <c r="N201" i="1" s="1"/>
  <c r="I200" i="1"/>
  <c r="M200" i="1" s="1"/>
  <c r="N200" i="1" s="1"/>
  <c r="M199" i="1"/>
  <c r="I197" i="1"/>
  <c r="G197" i="1"/>
  <c r="I195" i="1"/>
  <c r="G195" i="1"/>
  <c r="I194" i="1"/>
  <c r="G194" i="1"/>
  <c r="G189" i="1"/>
  <c r="I188" i="1"/>
  <c r="M188" i="1" s="1"/>
  <c r="I187" i="1"/>
  <c r="M187" i="1" s="1"/>
  <c r="N187" i="1" s="1"/>
  <c r="I186" i="1"/>
  <c r="M185" i="1"/>
  <c r="N185" i="1" s="1"/>
  <c r="I183" i="1"/>
  <c r="G183" i="1"/>
  <c r="I182" i="1"/>
  <c r="G182" i="1"/>
  <c r="I181" i="1"/>
  <c r="G181" i="1"/>
  <c r="G176" i="1"/>
  <c r="I175" i="1"/>
  <c r="M175" i="1" s="1"/>
  <c r="I174" i="1"/>
  <c r="M174" i="1" s="1"/>
  <c r="N174" i="1" s="1"/>
  <c r="I173" i="1"/>
  <c r="M173" i="1" s="1"/>
  <c r="N173" i="1" s="1"/>
  <c r="M172" i="1"/>
  <c r="N172" i="1" s="1"/>
  <c r="I170" i="1"/>
  <c r="G170" i="1"/>
  <c r="I169" i="1"/>
  <c r="G169" i="1"/>
  <c r="I168" i="1"/>
  <c r="G168" i="1"/>
  <c r="G108" i="1"/>
  <c r="I107" i="1"/>
  <c r="M107" i="1" s="1"/>
  <c r="I106" i="1"/>
  <c r="M106" i="1" s="1"/>
  <c r="N106" i="1" s="1"/>
  <c r="I105" i="1"/>
  <c r="M105" i="1" s="1"/>
  <c r="N105" i="1" s="1"/>
  <c r="I102" i="1"/>
  <c r="G102" i="1"/>
  <c r="I100" i="1"/>
  <c r="G100" i="1"/>
  <c r="I99" i="1"/>
  <c r="G99" i="1"/>
  <c r="G94" i="1"/>
  <c r="I93" i="1"/>
  <c r="M93" i="1" s="1"/>
  <c r="I92" i="1"/>
  <c r="M92" i="1" s="1"/>
  <c r="N92" i="1" s="1"/>
  <c r="I91" i="1"/>
  <c r="M91" i="1" s="1"/>
  <c r="N91" i="1" s="1"/>
  <c r="M90" i="1"/>
  <c r="I88" i="1"/>
  <c r="I87" i="1"/>
  <c r="G87" i="1"/>
  <c r="G82" i="1"/>
  <c r="I81" i="1"/>
  <c r="M81" i="1" s="1"/>
  <c r="I80" i="1"/>
  <c r="M80" i="1" s="1"/>
  <c r="N80" i="1" s="1"/>
  <c r="I79" i="1"/>
  <c r="M78" i="1"/>
  <c r="N78" i="1" s="1"/>
  <c r="I75" i="1"/>
  <c r="G75" i="1"/>
  <c r="I73" i="1"/>
  <c r="G73" i="1"/>
  <c r="I72" i="1"/>
  <c r="G72" i="1"/>
  <c r="G67" i="1"/>
  <c r="I66" i="1"/>
  <c r="M66" i="1" s="1"/>
  <c r="I65" i="1"/>
  <c r="M65" i="1" s="1"/>
  <c r="N65" i="1" s="1"/>
  <c r="I64" i="1"/>
  <c r="M64" i="1" s="1"/>
  <c r="N64" i="1" s="1"/>
  <c r="M63" i="1"/>
  <c r="N63" i="1" s="1"/>
  <c r="I61" i="1"/>
  <c r="G61" i="1"/>
  <c r="I60" i="1"/>
  <c r="I59" i="1"/>
  <c r="G59" i="1"/>
  <c r="G163" i="1"/>
  <c r="I162" i="1"/>
  <c r="M162" i="1" s="1"/>
  <c r="I161" i="1"/>
  <c r="M161" i="1" s="1"/>
  <c r="N161" i="1" s="1"/>
  <c r="I160" i="1"/>
  <c r="M160" i="1" s="1"/>
  <c r="N160" i="1" s="1"/>
  <c r="M159" i="1"/>
  <c r="I157" i="1"/>
  <c r="G157" i="1"/>
  <c r="I156" i="1"/>
  <c r="G156" i="1"/>
  <c r="I155" i="1"/>
  <c r="G155" i="1"/>
  <c r="G150" i="1"/>
  <c r="I149" i="1"/>
  <c r="M149" i="1" s="1"/>
  <c r="I148" i="1"/>
  <c r="M148" i="1" s="1"/>
  <c r="N148" i="1" s="1"/>
  <c r="I147" i="1"/>
  <c r="M147" i="1" s="1"/>
  <c r="N147" i="1" s="1"/>
  <c r="M146" i="1"/>
  <c r="N146" i="1" s="1"/>
  <c r="I144" i="1"/>
  <c r="G144" i="1"/>
  <c r="I143" i="1"/>
  <c r="G143" i="1"/>
  <c r="I142" i="1"/>
  <c r="G142" i="1"/>
  <c r="G137" i="1"/>
  <c r="I136" i="1"/>
  <c r="M136" i="1" s="1"/>
  <c r="I135" i="1"/>
  <c r="M135" i="1" s="1"/>
  <c r="N135" i="1" s="1"/>
  <c r="I134" i="1"/>
  <c r="M134" i="1" s="1"/>
  <c r="N134" i="1" s="1"/>
  <c r="M133" i="1"/>
  <c r="I131" i="1"/>
  <c r="G131" i="1"/>
  <c r="I130" i="1"/>
  <c r="G130" i="1"/>
  <c r="I129" i="1"/>
  <c r="G129" i="1"/>
  <c r="G124" i="1"/>
  <c r="I123" i="1"/>
  <c r="M123" i="1" s="1"/>
  <c r="I122" i="1"/>
  <c r="M122" i="1" s="1"/>
  <c r="N122" i="1" s="1"/>
  <c r="I121" i="1"/>
  <c r="M120" i="1"/>
  <c r="I115" i="1"/>
  <c r="G115" i="1"/>
  <c r="I113" i="1"/>
  <c r="G113" i="1"/>
  <c r="G326" i="1"/>
  <c r="I325" i="1"/>
  <c r="M325" i="1" s="1"/>
  <c r="I324" i="1"/>
  <c r="M324" i="1" s="1"/>
  <c r="N324" i="1" s="1"/>
  <c r="N323" i="1"/>
  <c r="P318" i="1"/>
  <c r="Q318" i="1" s="1"/>
  <c r="I320" i="1"/>
  <c r="I319" i="1"/>
  <c r="G319" i="1"/>
  <c r="I313" i="1"/>
  <c r="G258" i="1"/>
  <c r="I257" i="1"/>
  <c r="M257" i="1" s="1"/>
  <c r="I256" i="1"/>
  <c r="M256" i="1" s="1"/>
  <c r="N256" i="1" s="1"/>
  <c r="I255" i="1"/>
  <c r="M255" i="1" s="1"/>
  <c r="I252" i="1"/>
  <c r="G252" i="1"/>
  <c r="I251" i="1"/>
  <c r="I250" i="1"/>
  <c r="G250" i="1"/>
  <c r="G245" i="1"/>
  <c r="I244" i="1"/>
  <c r="M244" i="1" s="1"/>
  <c r="I243" i="1"/>
  <c r="M243" i="1" s="1"/>
  <c r="N243" i="1" s="1"/>
  <c r="I242" i="1"/>
  <c r="M242" i="1" s="1"/>
  <c r="N242" i="1" s="1"/>
  <c r="I239" i="1"/>
  <c r="I238" i="1"/>
  <c r="G238" i="1"/>
  <c r="I236" i="1"/>
  <c r="G236" i="1"/>
  <c r="G231" i="1"/>
  <c r="I230" i="1"/>
  <c r="M230" i="1" s="1"/>
  <c r="I229" i="1"/>
  <c r="M229" i="1" s="1"/>
  <c r="N229" i="1" s="1"/>
  <c r="I228" i="1"/>
  <c r="M227" i="1"/>
  <c r="I225" i="1"/>
  <c r="G225" i="1"/>
  <c r="I224" i="1"/>
  <c r="G224" i="1"/>
  <c r="I221" i="1"/>
  <c r="G221" i="1"/>
  <c r="G29" i="1"/>
  <c r="I28" i="1"/>
  <c r="M28" i="1" s="1"/>
  <c r="I27" i="1"/>
  <c r="M27" i="1" s="1"/>
  <c r="N27" i="1" s="1"/>
  <c r="I26" i="1"/>
  <c r="M26" i="1" s="1"/>
  <c r="N26" i="1" s="1"/>
  <c r="M25" i="1"/>
  <c r="I23" i="1"/>
  <c r="G23" i="1"/>
  <c r="I21" i="1"/>
  <c r="G21" i="1"/>
  <c r="I20" i="1"/>
  <c r="G20" i="1"/>
  <c r="G41" i="1"/>
  <c r="I40" i="1"/>
  <c r="M40" i="1" s="1"/>
  <c r="I39" i="1"/>
  <c r="M39" i="1" s="1"/>
  <c r="N39" i="1" s="1"/>
  <c r="I38" i="1"/>
  <c r="M38" i="1" s="1"/>
  <c r="N38" i="1" s="1"/>
  <c r="I35" i="1"/>
  <c r="G35" i="1"/>
  <c r="I34" i="1"/>
  <c r="G34" i="1"/>
  <c r="G54" i="1"/>
  <c r="I53" i="1"/>
  <c r="M53" i="1" s="1"/>
  <c r="I52" i="1"/>
  <c r="M52" i="1" s="1"/>
  <c r="N52" i="1" s="1"/>
  <c r="I51" i="1"/>
  <c r="M51" i="1" s="1"/>
  <c r="N51" i="1" s="1"/>
  <c r="I48" i="1"/>
  <c r="G48" i="1"/>
  <c r="I47" i="1"/>
  <c r="G47" i="1"/>
  <c r="I46" i="1"/>
  <c r="G46" i="1"/>
  <c r="E7" i="3"/>
  <c r="E6" i="3"/>
  <c r="D5" i="3"/>
  <c r="A1" i="3"/>
  <c r="C139" i="3" l="1"/>
  <c r="C165" i="3"/>
  <c r="D166" i="3"/>
  <c r="D140" i="3"/>
  <c r="J115" i="1"/>
  <c r="J76" i="1"/>
  <c r="D141" i="3"/>
  <c r="D167" i="3"/>
  <c r="D175" i="3"/>
  <c r="D149" i="3"/>
  <c r="C171" i="3"/>
  <c r="C145" i="3"/>
  <c r="C137" i="3"/>
  <c r="C163" i="3"/>
  <c r="T319" i="1"/>
  <c r="G66" i="3"/>
  <c r="J66" i="3" s="1"/>
  <c r="C147" i="3"/>
  <c r="C173" i="3"/>
  <c r="C138" i="3"/>
  <c r="C164" i="3"/>
  <c r="J197" i="1"/>
  <c r="D142" i="3"/>
  <c r="D168" i="3"/>
  <c r="D150" i="3"/>
  <c r="D176" i="3"/>
  <c r="C170" i="3"/>
  <c r="C144" i="3"/>
  <c r="C162" i="3"/>
  <c r="C136" i="3"/>
  <c r="M320" i="1"/>
  <c r="G67" i="3"/>
  <c r="J67" i="3" s="1"/>
  <c r="J129" i="1"/>
  <c r="J195" i="1"/>
  <c r="D174" i="3"/>
  <c r="D148" i="3"/>
  <c r="C172" i="3"/>
  <c r="C146" i="3"/>
  <c r="D169" i="3"/>
  <c r="D143" i="3"/>
  <c r="D151" i="3"/>
  <c r="D177" i="3"/>
  <c r="C143" i="3"/>
  <c r="C169" i="3"/>
  <c r="C151" i="3"/>
  <c r="C177" i="3"/>
  <c r="D136" i="3"/>
  <c r="D162" i="3"/>
  <c r="C176" i="3"/>
  <c r="C150" i="3"/>
  <c r="C142" i="3"/>
  <c r="C168" i="3"/>
  <c r="D178" i="3"/>
  <c r="D152" i="3"/>
  <c r="I119" i="1"/>
  <c r="J113" i="1"/>
  <c r="J116" i="1"/>
  <c r="J117" i="1"/>
  <c r="J73" i="1"/>
  <c r="J114" i="1"/>
  <c r="D137" i="3"/>
  <c r="D163" i="3"/>
  <c r="C175" i="3"/>
  <c r="C149" i="3"/>
  <c r="C167" i="3"/>
  <c r="C141" i="3"/>
  <c r="D179" i="3"/>
  <c r="D153" i="3"/>
  <c r="D147" i="3"/>
  <c r="D173" i="3"/>
  <c r="C179" i="3"/>
  <c r="C153" i="3"/>
  <c r="J131" i="1"/>
  <c r="D138" i="3"/>
  <c r="D164" i="3"/>
  <c r="D146" i="3"/>
  <c r="D172" i="3"/>
  <c r="C148" i="3"/>
  <c r="C174" i="3"/>
  <c r="C166" i="3"/>
  <c r="C140" i="3"/>
  <c r="C152" i="3"/>
  <c r="C178" i="3"/>
  <c r="D145" i="3"/>
  <c r="D171" i="3"/>
  <c r="D144" i="3"/>
  <c r="D170" i="3"/>
  <c r="D139" i="3"/>
  <c r="D165" i="3"/>
  <c r="G132" i="1"/>
  <c r="I132" i="1"/>
  <c r="J130" i="1" s="1"/>
  <c r="G198" i="1"/>
  <c r="G24" i="1"/>
  <c r="G145" i="1"/>
  <c r="G211" i="1"/>
  <c r="I103" i="1"/>
  <c r="J100" i="1" s="1"/>
  <c r="I253" i="1"/>
  <c r="I198" i="1"/>
  <c r="E24" i="2" s="1"/>
  <c r="G24" i="2" s="1"/>
  <c r="G171" i="1"/>
  <c r="D22" i="2" s="1"/>
  <c r="G77" i="1"/>
  <c r="I171" i="1"/>
  <c r="J170" i="1" s="1"/>
  <c r="I240" i="1"/>
  <c r="E27" i="2" s="1"/>
  <c r="G27" i="2" s="1"/>
  <c r="I145" i="1"/>
  <c r="E20" i="2" s="1"/>
  <c r="G20" i="2" s="1"/>
  <c r="I77" i="1"/>
  <c r="E15" i="2" s="1"/>
  <c r="G15" i="2" s="1"/>
  <c r="I211" i="1"/>
  <c r="E25" i="2" s="1"/>
  <c r="G25" i="2" s="1"/>
  <c r="G184" i="1"/>
  <c r="G49" i="1"/>
  <c r="I226" i="1"/>
  <c r="J221" i="1" s="1"/>
  <c r="J224" i="1" s="1"/>
  <c r="J226" i="1" s="1"/>
  <c r="I184" i="1"/>
  <c r="E23" i="2" s="1"/>
  <c r="G23" i="2" s="1"/>
  <c r="I49" i="1"/>
  <c r="E13" i="2" s="1"/>
  <c r="G13" i="2" s="1"/>
  <c r="G119" i="1"/>
  <c r="I158" i="1"/>
  <c r="E21" i="2" s="1"/>
  <c r="G21" i="2" s="1"/>
  <c r="G103" i="1"/>
  <c r="G253" i="1"/>
  <c r="I24" i="1"/>
  <c r="J20" i="1" s="1"/>
  <c r="I62" i="1"/>
  <c r="J61" i="1" s="1"/>
  <c r="G321" i="1"/>
  <c r="J252" i="1"/>
  <c r="G240" i="1"/>
  <c r="G226" i="1"/>
  <c r="G62" i="1"/>
  <c r="G158" i="1"/>
  <c r="T320" i="1"/>
  <c r="I321" i="1"/>
  <c r="G89" i="1"/>
  <c r="I124" i="1"/>
  <c r="E19" i="2"/>
  <c r="G19" i="2" s="1"/>
  <c r="I176" i="1"/>
  <c r="M176" i="1"/>
  <c r="I216" i="1"/>
  <c r="I82" i="1"/>
  <c r="I189" i="1"/>
  <c r="I203" i="1"/>
  <c r="M216" i="1"/>
  <c r="N199" i="1"/>
  <c r="M203" i="1"/>
  <c r="E28" i="2"/>
  <c r="G28" i="2" s="1"/>
  <c r="M137" i="1"/>
  <c r="N212" i="1"/>
  <c r="I150" i="1"/>
  <c r="I94" i="1"/>
  <c r="I108" i="1"/>
  <c r="M186" i="1"/>
  <c r="N186" i="1" s="1"/>
  <c r="I67" i="1"/>
  <c r="M104" i="1"/>
  <c r="N90" i="1"/>
  <c r="M94" i="1"/>
  <c r="M67" i="1"/>
  <c r="N120" i="1"/>
  <c r="M121" i="1"/>
  <c r="N121" i="1" s="1"/>
  <c r="I89" i="1"/>
  <c r="E16" i="2" s="1"/>
  <c r="G16" i="2" s="1"/>
  <c r="M79" i="1"/>
  <c r="N79" i="1" s="1"/>
  <c r="I163" i="1"/>
  <c r="I137" i="1"/>
  <c r="M163" i="1"/>
  <c r="M150" i="1"/>
  <c r="N159" i="1"/>
  <c r="N133" i="1"/>
  <c r="I245" i="1"/>
  <c r="I258" i="1"/>
  <c r="M254" i="1"/>
  <c r="N254" i="1" s="1"/>
  <c r="I231" i="1"/>
  <c r="M326" i="1"/>
  <c r="N322" i="1"/>
  <c r="N255" i="1"/>
  <c r="N252" i="1"/>
  <c r="O252" i="1" s="1"/>
  <c r="N320" i="1"/>
  <c r="O320" i="1" s="1"/>
  <c r="I36" i="1"/>
  <c r="E12" i="2" s="1"/>
  <c r="G12" i="2" s="1"/>
  <c r="N227" i="1"/>
  <c r="T252" i="1"/>
  <c r="M228" i="1"/>
  <c r="N228" i="1" s="1"/>
  <c r="I326" i="1"/>
  <c r="M241" i="1"/>
  <c r="I29" i="1"/>
  <c r="M29" i="1"/>
  <c r="N25" i="1"/>
  <c r="G36" i="1"/>
  <c r="I54" i="1"/>
  <c r="I41" i="1"/>
  <c r="M50" i="1"/>
  <c r="M54" i="1" s="1"/>
  <c r="M37" i="1"/>
  <c r="J142" i="1" l="1"/>
  <c r="J46" i="1"/>
  <c r="J34" i="1"/>
  <c r="J75" i="1"/>
  <c r="J144" i="1"/>
  <c r="J23" i="1"/>
  <c r="J132" i="1"/>
  <c r="J47" i="1"/>
  <c r="J21" i="1"/>
  <c r="J194" i="1"/>
  <c r="J198" i="1" s="1"/>
  <c r="J74" i="1"/>
  <c r="J155" i="1"/>
  <c r="J22" i="1"/>
  <c r="J35" i="1"/>
  <c r="J157" i="1"/>
  <c r="J143" i="1"/>
  <c r="G95" i="1"/>
  <c r="D16" i="2"/>
  <c r="J72" i="1"/>
  <c r="J77" i="1" s="1"/>
  <c r="J156" i="1"/>
  <c r="J196" i="1"/>
  <c r="J48" i="1"/>
  <c r="J183" i="1"/>
  <c r="E26" i="2"/>
  <c r="G26" i="2" s="1"/>
  <c r="E14" i="2"/>
  <c r="G14" i="2" s="1"/>
  <c r="E17" i="2"/>
  <c r="G17" i="2" s="1"/>
  <c r="J320" i="1"/>
  <c r="J317" i="1"/>
  <c r="J316" i="1"/>
  <c r="J315" i="1"/>
  <c r="J314" i="1"/>
  <c r="J313" i="1"/>
  <c r="J319" i="1"/>
  <c r="E22" i="2"/>
  <c r="G22" i="2" s="1"/>
  <c r="J101" i="1"/>
  <c r="J102" i="1"/>
  <c r="J99" i="1"/>
  <c r="M108" i="1"/>
  <c r="N108" i="1" s="1"/>
  <c r="G177" i="1"/>
  <c r="G178" i="1" s="1"/>
  <c r="G109" i="1"/>
  <c r="G110" i="1" s="1"/>
  <c r="D17" i="2"/>
  <c r="G217" i="1"/>
  <c r="G218" i="1" s="1"/>
  <c r="D25" i="2"/>
  <c r="G232" i="1"/>
  <c r="G233" i="1" s="1"/>
  <c r="D26" i="2"/>
  <c r="G138" i="1"/>
  <c r="G139" i="1" s="1"/>
  <c r="D19" i="2"/>
  <c r="G68" i="1"/>
  <c r="G69" i="1" s="1"/>
  <c r="D14" i="2"/>
  <c r="G327" i="1"/>
  <c r="G328" i="1" s="1"/>
  <c r="D32" i="2"/>
  <c r="E18" i="2"/>
  <c r="G18" i="2" s="1"/>
  <c r="G83" i="1"/>
  <c r="G84" i="1" s="1"/>
  <c r="D15" i="2"/>
  <c r="G42" i="1"/>
  <c r="G43" i="1" s="1"/>
  <c r="D12" i="2"/>
  <c r="G246" i="1"/>
  <c r="G247" i="1" s="1"/>
  <c r="D27" i="2"/>
  <c r="G125" i="1"/>
  <c r="G126" i="1" s="1"/>
  <c r="D18" i="2"/>
  <c r="G151" i="1"/>
  <c r="G152" i="1" s="1"/>
  <c r="D20" i="2"/>
  <c r="G96" i="1"/>
  <c r="G259" i="1"/>
  <c r="G260" i="1" s="1"/>
  <c r="D28" i="2"/>
  <c r="G190" i="1"/>
  <c r="G191" i="1" s="1"/>
  <c r="D23" i="2"/>
  <c r="G204" i="1"/>
  <c r="G205" i="1" s="1"/>
  <c r="D24" i="2"/>
  <c r="G55" i="1"/>
  <c r="G56" i="1" s="1"/>
  <c r="D13" i="2"/>
  <c r="E32" i="2"/>
  <c r="M5" i="2" s="1"/>
  <c r="J237" i="1"/>
  <c r="G164" i="1"/>
  <c r="G165" i="1" s="1"/>
  <c r="D21" i="2"/>
  <c r="J169" i="1"/>
  <c r="G30" i="1"/>
  <c r="G31" i="1" s="1"/>
  <c r="D11" i="2"/>
  <c r="J251" i="1"/>
  <c r="E11" i="2"/>
  <c r="G11" i="2" s="1"/>
  <c r="J60" i="1"/>
  <c r="J182" i="1"/>
  <c r="J250" i="1"/>
  <c r="J208" i="1"/>
  <c r="Q210" i="1"/>
  <c r="I217" i="1"/>
  <c r="I218" i="1" s="1"/>
  <c r="J181" i="1"/>
  <c r="I190" i="1"/>
  <c r="I191" i="1" s="1"/>
  <c r="I138" i="1"/>
  <c r="I139" i="1" s="1"/>
  <c r="I83" i="1"/>
  <c r="I84" i="1" s="1"/>
  <c r="I125" i="1"/>
  <c r="I126" i="1" s="1"/>
  <c r="I95" i="1"/>
  <c r="I204" i="1"/>
  <c r="I205" i="1" s="1"/>
  <c r="I327" i="1"/>
  <c r="I328" i="1" s="1"/>
  <c r="J36" i="1"/>
  <c r="I42" i="1"/>
  <c r="I43" i="1" s="1"/>
  <c r="M258" i="1"/>
  <c r="N258" i="1" s="1"/>
  <c r="N104" i="1"/>
  <c r="N176" i="1"/>
  <c r="I151" i="1"/>
  <c r="I152" i="1" s="1"/>
  <c r="I55" i="1"/>
  <c r="I56" i="1" s="1"/>
  <c r="I259" i="1"/>
  <c r="I260" i="1" s="1"/>
  <c r="N216" i="1"/>
  <c r="I164" i="1"/>
  <c r="I165" i="1" s="1"/>
  <c r="I109" i="1"/>
  <c r="I110" i="1" s="1"/>
  <c r="I232" i="1"/>
  <c r="I233" i="1" s="1"/>
  <c r="J168" i="1"/>
  <c r="N203" i="1"/>
  <c r="M82" i="1"/>
  <c r="N82" i="1" s="1"/>
  <c r="I177" i="1"/>
  <c r="I178" i="1" s="1"/>
  <c r="M189" i="1"/>
  <c r="M231" i="1"/>
  <c r="N231" i="1" s="1"/>
  <c r="N137" i="1"/>
  <c r="J59" i="1"/>
  <c r="J88" i="1"/>
  <c r="N94" i="1"/>
  <c r="J87" i="1"/>
  <c r="M124" i="1"/>
  <c r="N124" i="1" s="1"/>
  <c r="I246" i="1"/>
  <c r="I247" i="1" s="1"/>
  <c r="I68" i="1"/>
  <c r="I69" i="1" s="1"/>
  <c r="N67" i="1"/>
  <c r="Q225" i="1"/>
  <c r="N163" i="1"/>
  <c r="N150" i="1"/>
  <c r="I30" i="1"/>
  <c r="I31" i="1" s="1"/>
  <c r="N326" i="1"/>
  <c r="J236" i="1"/>
  <c r="M245" i="1"/>
  <c r="N241" i="1"/>
  <c r="N50" i="1"/>
  <c r="N29" i="1"/>
  <c r="M41" i="1"/>
  <c r="N37" i="1"/>
  <c r="N54" i="1"/>
  <c r="J158" i="1" l="1"/>
  <c r="J145" i="1"/>
  <c r="J103" i="1"/>
  <c r="J62" i="1"/>
  <c r="J321" i="1"/>
  <c r="J253" i="1"/>
  <c r="J119" i="1"/>
  <c r="J209" i="1"/>
  <c r="J211" i="1" s="1"/>
  <c r="J238" i="1"/>
  <c r="J240" i="1" s="1"/>
  <c r="J184" i="1"/>
  <c r="J171" i="1"/>
  <c r="J49" i="1"/>
  <c r="J24" i="1"/>
  <c r="I96" i="1"/>
  <c r="J89" i="1"/>
  <c r="M319" i="1"/>
  <c r="N189" i="1"/>
  <c r="N245" i="1"/>
  <c r="N41" i="1"/>
  <c r="N319" i="1" l="1"/>
  <c r="O319" i="1" s="1"/>
  <c r="I333" i="1" l="1"/>
  <c r="L44" i="2" l="1"/>
  <c r="G32" i="2"/>
  <c r="I32" i="2" s="1"/>
  <c r="K321" i="1" s="1"/>
  <c r="K322" i="1" s="1"/>
  <c r="M315" i="1" l="1"/>
  <c r="M314" i="1"/>
  <c r="M313" i="1"/>
  <c r="M321" i="1" l="1"/>
  <c r="P313" i="1" s="1"/>
  <c r="N315" i="1"/>
  <c r="O315" i="1" s="1"/>
  <c r="N313" i="1"/>
  <c r="O313" i="1" s="1"/>
  <c r="N314" i="1"/>
  <c r="O314" i="1" s="1"/>
  <c r="A8" i="1"/>
  <c r="P317" i="1" l="1"/>
  <c r="Q317" i="1" s="1"/>
  <c r="P316" i="1"/>
  <c r="Q316" i="1" s="1"/>
  <c r="P320" i="1"/>
  <c r="Q320" i="1" s="1"/>
  <c r="P319" i="1"/>
  <c r="Q319" i="1" s="1"/>
  <c r="P315" i="1"/>
  <c r="Q315" i="1" s="1"/>
  <c r="P314" i="1"/>
  <c r="Q314" i="1" s="1"/>
  <c r="J32" i="2"/>
  <c r="N321" i="1"/>
  <c r="R321" i="1"/>
  <c r="M327" i="1"/>
  <c r="I14" i="1"/>
  <c r="I336" i="1" s="1"/>
  <c r="I13" i="1"/>
  <c r="I335" i="1" s="1"/>
  <c r="I12" i="1"/>
  <c r="I334" i="1" s="1"/>
  <c r="B40" i="2"/>
  <c r="P321" i="1" l="1"/>
  <c r="Q321" i="1" s="1"/>
  <c r="I337" i="1"/>
  <c r="N327" i="1"/>
  <c r="O327" i="1" s="1"/>
  <c r="N32" i="2" s="1"/>
  <c r="G155" i="3" s="1"/>
  <c r="M328" i="1"/>
  <c r="N328" i="1" s="1"/>
  <c r="O328" i="1" s="1"/>
  <c r="O321" i="1"/>
  <c r="L32" i="2"/>
  <c r="F155" i="3" s="1"/>
  <c r="Q313" i="1"/>
  <c r="E40" i="2"/>
  <c r="M13" i="1"/>
  <c r="M12" i="1"/>
  <c r="M14" i="1"/>
  <c r="M336" i="1" s="1"/>
  <c r="G15" i="1"/>
  <c r="D40" i="2"/>
  <c r="J40" i="2" l="1"/>
  <c r="I15" i="1"/>
  <c r="I301" i="1"/>
  <c r="G301" i="1"/>
  <c r="I300" i="1"/>
  <c r="G300" i="1"/>
  <c r="I299" i="1"/>
  <c r="G299" i="1"/>
  <c r="I298" i="1"/>
  <c r="G298" i="1"/>
  <c r="I297" i="1"/>
  <c r="G297" i="1"/>
  <c r="I296" i="1"/>
  <c r="G296" i="1"/>
  <c r="I294" i="1"/>
  <c r="G294" i="1"/>
  <c r="I293" i="1"/>
  <c r="G293" i="1"/>
  <c r="I292" i="1"/>
  <c r="G292" i="1"/>
  <c r="E39" i="2" l="1"/>
  <c r="E38" i="2"/>
  <c r="D39" i="2"/>
  <c r="D38" i="2"/>
  <c r="C29" i="2"/>
  <c r="B29" i="2"/>
  <c r="C10" i="2"/>
  <c r="B10" i="2"/>
  <c r="D135" i="3" l="1"/>
  <c r="D161" i="3"/>
  <c r="C135" i="3"/>
  <c r="C161" i="3"/>
  <c r="D154" i="3"/>
  <c r="D180" i="3"/>
  <c r="C154" i="3"/>
  <c r="C180" i="3"/>
  <c r="G337" i="1"/>
  <c r="E37" i="2"/>
  <c r="E41" i="2" s="1"/>
  <c r="D37" i="2"/>
  <c r="D41" i="2" s="1"/>
  <c r="G309" i="1"/>
  <c r="M307" i="1"/>
  <c r="M335" i="1" s="1"/>
  <c r="M306" i="1"/>
  <c r="M334" i="1" s="1"/>
  <c r="M305" i="1"/>
  <c r="N305" i="1" s="1"/>
  <c r="B38" i="2"/>
  <c r="B39" i="2"/>
  <c r="B37" i="2"/>
  <c r="M11" i="1"/>
  <c r="I9" i="1"/>
  <c r="I8" i="1"/>
  <c r="G9" i="1"/>
  <c r="G8" i="1"/>
  <c r="A2" i="1"/>
  <c r="A1" i="1"/>
  <c r="M333" i="1" l="1"/>
  <c r="M337" i="1" s="1"/>
  <c r="M15" i="1"/>
  <c r="N306" i="1"/>
  <c r="N307" i="1"/>
  <c r="J39" i="2"/>
  <c r="N12" i="1"/>
  <c r="N334" i="1" s="1"/>
  <c r="J38" i="2"/>
  <c r="N13" i="1"/>
  <c r="G10" i="1"/>
  <c r="I10" i="1"/>
  <c r="J8" i="1" s="1"/>
  <c r="I309" i="1"/>
  <c r="I304" i="1"/>
  <c r="G304" i="1"/>
  <c r="D29" i="2" s="1"/>
  <c r="N11" i="1"/>
  <c r="N333" i="1" s="1"/>
  <c r="J9" i="1" l="1"/>
  <c r="I332" i="1"/>
  <c r="I338" i="1" s="1"/>
  <c r="G332" i="1"/>
  <c r="N335" i="1"/>
  <c r="N337" i="1" s="1"/>
  <c r="J273" i="1"/>
  <c r="J276" i="1"/>
  <c r="J272" i="1"/>
  <c r="J268" i="1"/>
  <c r="J269" i="1"/>
  <c r="J265" i="1"/>
  <c r="J274" i="1"/>
  <c r="J270" i="1"/>
  <c r="J266" i="1"/>
  <c r="J277" i="1"/>
  <c r="J271" i="1"/>
  <c r="J275" i="1"/>
  <c r="J267" i="1"/>
  <c r="J290" i="1"/>
  <c r="J286" i="1"/>
  <c r="J278" i="1"/>
  <c r="J289" i="1"/>
  <c r="J285" i="1"/>
  <c r="J281" i="1"/>
  <c r="J288" i="1"/>
  <c r="J284" i="1"/>
  <c r="J280" i="1"/>
  <c r="J291" i="1"/>
  <c r="J287" i="1"/>
  <c r="J283" i="1"/>
  <c r="J279" i="1"/>
  <c r="J37" i="2"/>
  <c r="J41" i="2" s="1"/>
  <c r="E29" i="2"/>
  <c r="G29" i="2" s="1"/>
  <c r="J298" i="1"/>
  <c r="J299" i="1"/>
  <c r="J296" i="1"/>
  <c r="J297" i="1"/>
  <c r="J300" i="1"/>
  <c r="J301" i="1"/>
  <c r="J293" i="1"/>
  <c r="J294" i="1"/>
  <c r="J292" i="1"/>
  <c r="G310" i="1"/>
  <c r="E10" i="2"/>
  <c r="G10" i="2" s="1"/>
  <c r="G16" i="1"/>
  <c r="D10" i="2"/>
  <c r="D30" i="2" s="1"/>
  <c r="D34" i="2" s="1"/>
  <c r="I310" i="1"/>
  <c r="M309" i="1"/>
  <c r="I16" i="1"/>
  <c r="I17" i="1" s="1"/>
  <c r="N15" i="1"/>
  <c r="G338" i="1" l="1"/>
  <c r="D43" i="2"/>
  <c r="G30" i="2"/>
  <c r="G34" i="2" s="1"/>
  <c r="E30" i="2"/>
  <c r="G17" i="1"/>
  <c r="J304" i="1"/>
  <c r="N309" i="1"/>
  <c r="O309" i="1" s="1"/>
  <c r="J10" i="1"/>
  <c r="M6" i="2" l="1"/>
  <c r="E34" i="2"/>
  <c r="M4" i="2" s="1"/>
  <c r="F21" i="2"/>
  <c r="F20" i="2"/>
  <c r="F23" i="2"/>
  <c r="F22" i="2"/>
  <c r="H23" i="2"/>
  <c r="I23" i="2" s="1"/>
  <c r="H21" i="2"/>
  <c r="I21" i="2" s="1"/>
  <c r="H22" i="2"/>
  <c r="I22" i="2" s="1"/>
  <c r="H20" i="2"/>
  <c r="I20" i="2" s="1"/>
  <c r="H28" i="2"/>
  <c r="H27" i="2"/>
  <c r="F27" i="2"/>
  <c r="F28" i="2"/>
  <c r="F26" i="2"/>
  <c r="F25" i="2"/>
  <c r="F24" i="2"/>
  <c r="F19" i="2"/>
  <c r="H24" i="2"/>
  <c r="I24" i="2" s="1"/>
  <c r="H26" i="2"/>
  <c r="H25" i="2"/>
  <c r="I25" i="2" s="1"/>
  <c r="K211" i="1" s="1"/>
  <c r="H19" i="2"/>
  <c r="H18" i="2"/>
  <c r="F18" i="2"/>
  <c r="H16" i="2"/>
  <c r="F16" i="2"/>
  <c r="H29" i="2"/>
  <c r="H10" i="2"/>
  <c r="F14" i="2"/>
  <c r="H14" i="2"/>
  <c r="H11" i="2"/>
  <c r="H17" i="2"/>
  <c r="H12" i="2"/>
  <c r="H13" i="2"/>
  <c r="H15" i="2"/>
  <c r="F10" i="2"/>
  <c r="F12" i="2"/>
  <c r="F11" i="2"/>
  <c r="F29" i="2"/>
  <c r="F30" i="2"/>
  <c r="F17" i="2"/>
  <c r="F13" i="2"/>
  <c r="F15" i="2"/>
  <c r="I27" i="2" l="1"/>
  <c r="I28" i="2"/>
  <c r="I19" i="2"/>
  <c r="I26" i="2"/>
  <c r="K226" i="1" s="1"/>
  <c r="I15" i="2"/>
  <c r="I29" i="2"/>
  <c r="I16" i="2"/>
  <c r="I13" i="2"/>
  <c r="I12" i="2"/>
  <c r="I17" i="2"/>
  <c r="K103" i="1" s="1"/>
  <c r="I11" i="2"/>
  <c r="I14" i="2"/>
  <c r="I10" i="2"/>
  <c r="I18" i="2"/>
  <c r="E43" i="2"/>
  <c r="S103" i="1" l="1"/>
  <c r="K36" i="1"/>
  <c r="K304" i="1"/>
  <c r="S304" i="1" s="1"/>
  <c r="L303" i="1" s="1"/>
  <c r="G109" i="3" s="1"/>
  <c r="J109" i="3" s="1"/>
  <c r="K158" i="1"/>
  <c r="K119" i="1"/>
  <c r="K77" i="1"/>
  <c r="K171" i="1"/>
  <c r="S171" i="1" s="1"/>
  <c r="K198" i="1"/>
  <c r="S226" i="1"/>
  <c r="S211" i="1"/>
  <c r="K184" i="1"/>
  <c r="S184" i="1" s="1"/>
  <c r="K253" i="1"/>
  <c r="S253" i="1" s="1"/>
  <c r="K62" i="1"/>
  <c r="S62" i="1" s="1"/>
  <c r="K49" i="1"/>
  <c r="L47" i="1" s="1"/>
  <c r="L60" i="1" s="1"/>
  <c r="K145" i="1"/>
  <c r="K132" i="1"/>
  <c r="K240" i="1"/>
  <c r="S240" i="1" s="1"/>
  <c r="K24" i="1"/>
  <c r="K89" i="1"/>
  <c r="S89" i="1" s="1"/>
  <c r="K10" i="1"/>
  <c r="I30" i="2"/>
  <c r="I34" i="2" s="1"/>
  <c r="L87" i="1" l="1"/>
  <c r="G18" i="3"/>
  <c r="J18" i="3" s="1"/>
  <c r="L238" i="1"/>
  <c r="L239" i="1" s="1"/>
  <c r="L170" i="1"/>
  <c r="G50" i="3" s="1"/>
  <c r="J50" i="3" s="1"/>
  <c r="L169" i="1"/>
  <c r="G49" i="3" s="1"/>
  <c r="J49" i="3" s="1"/>
  <c r="L61" i="1"/>
  <c r="M61" i="1" s="1"/>
  <c r="N61" i="1" s="1"/>
  <c r="O61" i="1" s="1"/>
  <c r="L183" i="1"/>
  <c r="G54" i="3" s="1"/>
  <c r="J54" i="3" s="1"/>
  <c r="L182" i="1"/>
  <c r="G53" i="3" s="1"/>
  <c r="J53" i="3" s="1"/>
  <c r="K120" i="1"/>
  <c r="L101" i="1"/>
  <c r="M101" i="1" s="1"/>
  <c r="L99" i="1"/>
  <c r="G29" i="3" s="1"/>
  <c r="J29" i="3" s="1"/>
  <c r="L102" i="1"/>
  <c r="L100" i="1"/>
  <c r="G30" i="3" s="1"/>
  <c r="J30" i="3" s="1"/>
  <c r="S198" i="1"/>
  <c r="S145" i="1"/>
  <c r="S132" i="1"/>
  <c r="S158" i="1"/>
  <c r="S49" i="1"/>
  <c r="L48" i="1"/>
  <c r="L237" i="1" s="1"/>
  <c r="T237" i="1" s="1"/>
  <c r="L46" i="1"/>
  <c r="S10" i="1"/>
  <c r="S77" i="1"/>
  <c r="S24" i="1"/>
  <c r="S36" i="1"/>
  <c r="T118" i="1"/>
  <c r="L267" i="1"/>
  <c r="L293" i="1"/>
  <c r="L288" i="1"/>
  <c r="L296" i="1"/>
  <c r="L271" i="1"/>
  <c r="L274" i="1"/>
  <c r="L290" i="1"/>
  <c r="L284" i="1"/>
  <c r="L300" i="1"/>
  <c r="G106" i="3" s="1"/>
  <c r="J106" i="3" s="1"/>
  <c r="L294" i="1"/>
  <c r="G100" i="3" s="1"/>
  <c r="J100" i="3" s="1"/>
  <c r="L270" i="1"/>
  <c r="L286" i="1"/>
  <c r="L280" i="1"/>
  <c r="L297" i="1"/>
  <c r="G103" i="3" s="1"/>
  <c r="J103" i="3" s="1"/>
  <c r="L292" i="1"/>
  <c r="G98" i="3" s="1"/>
  <c r="J98" i="3" s="1"/>
  <c r="L298" i="1"/>
  <c r="G104" i="3" s="1"/>
  <c r="J104" i="3" s="1"/>
  <c r="L276" i="1"/>
  <c r="L266" i="1"/>
  <c r="L291" i="1"/>
  <c r="L272" i="1"/>
  <c r="L277" i="1"/>
  <c r="L278" i="1"/>
  <c r="L287" i="1"/>
  <c r="L299" i="1"/>
  <c r="G105" i="3" s="1"/>
  <c r="J105" i="3" s="1"/>
  <c r="L268" i="1"/>
  <c r="L273" i="1"/>
  <c r="L289" i="1"/>
  <c r="L283" i="1"/>
  <c r="L301" i="1"/>
  <c r="G107" i="3" s="1"/>
  <c r="J107" i="3" s="1"/>
  <c r="L265" i="1"/>
  <c r="L275" i="1"/>
  <c r="L269" i="1"/>
  <c r="T269" i="1" s="1"/>
  <c r="L285" i="1"/>
  <c r="L279" i="1"/>
  <c r="L281" i="1"/>
  <c r="L59" i="1"/>
  <c r="L181" i="1"/>
  <c r="G52" i="3" s="1"/>
  <c r="J52" i="3" s="1"/>
  <c r="L168" i="1"/>
  <c r="G48" i="3" s="1"/>
  <c r="J48" i="3" s="1"/>
  <c r="L113" i="1"/>
  <c r="L357" i="1" s="1"/>
  <c r="T357" i="1" s="1"/>
  <c r="T61" i="1" l="1"/>
  <c r="M100" i="1"/>
  <c r="T100" i="1"/>
  <c r="L143" i="1"/>
  <c r="G45" i="3" s="1"/>
  <c r="J45" i="3" s="1"/>
  <c r="L142" i="1"/>
  <c r="G44" i="3" s="1"/>
  <c r="J44" i="3" s="1"/>
  <c r="L144" i="1"/>
  <c r="G46" i="3" s="1"/>
  <c r="J46" i="3" s="1"/>
  <c r="L35" i="1"/>
  <c r="L34" i="1"/>
  <c r="L73" i="1"/>
  <c r="L72" i="1"/>
  <c r="L74" i="1"/>
  <c r="L75" i="1"/>
  <c r="L76" i="1"/>
  <c r="L367" i="1" s="1"/>
  <c r="T367" i="1" s="1"/>
  <c r="L197" i="1"/>
  <c r="G59" i="3" s="1"/>
  <c r="J59" i="3" s="1"/>
  <c r="L196" i="1"/>
  <c r="G58" i="3" s="1"/>
  <c r="J58" i="3" s="1"/>
  <c r="L195" i="1"/>
  <c r="G57" i="3" s="1"/>
  <c r="J57" i="3" s="1"/>
  <c r="L194" i="1"/>
  <c r="G56" i="3" s="1"/>
  <c r="J56" i="3" s="1"/>
  <c r="T170" i="1"/>
  <c r="L23" i="1"/>
  <c r="G12" i="3" s="1"/>
  <c r="J12" i="3" s="1"/>
  <c r="L22" i="1"/>
  <c r="G11" i="3" s="1"/>
  <c r="J11" i="3" s="1"/>
  <c r="L21" i="1"/>
  <c r="G10" i="3" s="1"/>
  <c r="J10" i="3" s="1"/>
  <c r="L20" i="1"/>
  <c r="G9" i="3" s="1"/>
  <c r="J9" i="3" s="1"/>
  <c r="M170" i="1"/>
  <c r="L156" i="1"/>
  <c r="L155" i="1"/>
  <c r="T155" i="1" s="1"/>
  <c r="T183" i="1"/>
  <c r="L131" i="1"/>
  <c r="L130" i="1"/>
  <c r="G41" i="3" s="1"/>
  <c r="J41" i="3" s="1"/>
  <c r="L129" i="1"/>
  <c r="G40" i="3" s="1"/>
  <c r="J40" i="3" s="1"/>
  <c r="L9" i="1"/>
  <c r="L88" i="1" s="1"/>
  <c r="G27" i="3" s="1"/>
  <c r="J27" i="3" s="1"/>
  <c r="L8" i="1"/>
  <c r="M183" i="1"/>
  <c r="M237" i="1"/>
  <c r="N237" i="1" s="1"/>
  <c r="O237" i="1" s="1"/>
  <c r="M275" i="1"/>
  <c r="G81" i="3"/>
  <c r="J81" i="3" s="1"/>
  <c r="T287" i="1"/>
  <c r="G93" i="3"/>
  <c r="J93" i="3" s="1"/>
  <c r="T290" i="1"/>
  <c r="G96" i="3"/>
  <c r="J96" i="3" s="1"/>
  <c r="G130" i="3"/>
  <c r="J130" i="3" s="1"/>
  <c r="G25" i="3"/>
  <c r="J25" i="3" s="1"/>
  <c r="G17" i="3"/>
  <c r="J17" i="3" s="1"/>
  <c r="L236" i="1"/>
  <c r="T265" i="1"/>
  <c r="G71" i="3"/>
  <c r="J71" i="3" s="1"/>
  <c r="T271" i="1"/>
  <c r="G77" i="3"/>
  <c r="J77" i="3" s="1"/>
  <c r="M284" i="1"/>
  <c r="N284" i="1" s="1"/>
  <c r="O284" i="1" s="1"/>
  <c r="G90" i="3"/>
  <c r="J90" i="3" s="1"/>
  <c r="G34" i="3"/>
  <c r="J34" i="3" s="1"/>
  <c r="T278" i="1"/>
  <c r="G84" i="3"/>
  <c r="J84" i="3" s="1"/>
  <c r="M283" i="1"/>
  <c r="N283" i="1" s="1"/>
  <c r="O283" i="1" s="1"/>
  <c r="G89" i="3"/>
  <c r="J89" i="3" s="1"/>
  <c r="T272" i="1"/>
  <c r="G78" i="3"/>
  <c r="J78" i="3" s="1"/>
  <c r="T286" i="1"/>
  <c r="G92" i="3"/>
  <c r="J92" i="3" s="1"/>
  <c r="M296" i="1"/>
  <c r="N296" i="1" s="1"/>
  <c r="O296" i="1" s="1"/>
  <c r="G102" i="3"/>
  <c r="J102" i="3" s="1"/>
  <c r="G14" i="3"/>
  <c r="J14" i="3" s="1"/>
  <c r="L221" i="1"/>
  <c r="T221" i="1" s="1"/>
  <c r="G31" i="3"/>
  <c r="J31" i="3" s="1"/>
  <c r="T274" i="1"/>
  <c r="G80" i="3"/>
  <c r="J80" i="3" s="1"/>
  <c r="T277" i="1"/>
  <c r="G83" i="3"/>
  <c r="J83" i="3" s="1"/>
  <c r="T289" i="1"/>
  <c r="G95" i="3"/>
  <c r="J95" i="3" s="1"/>
  <c r="T291" i="1"/>
  <c r="G97" i="3"/>
  <c r="J97" i="3" s="1"/>
  <c r="M270" i="1"/>
  <c r="N270" i="1" s="1"/>
  <c r="O270" i="1" s="1"/>
  <c r="G76" i="3"/>
  <c r="J76" i="3" s="1"/>
  <c r="M288" i="1"/>
  <c r="N288" i="1" s="1"/>
  <c r="O288" i="1" s="1"/>
  <c r="G94" i="3"/>
  <c r="J94" i="3" s="1"/>
  <c r="M281" i="1"/>
  <c r="N281" i="1" s="1"/>
  <c r="O281" i="1" s="1"/>
  <c r="G87" i="3"/>
  <c r="J87" i="3" s="1"/>
  <c r="T273" i="1"/>
  <c r="G79" i="3"/>
  <c r="J79" i="3" s="1"/>
  <c r="M266" i="1"/>
  <c r="N266" i="1" s="1"/>
  <c r="O266" i="1" s="1"/>
  <c r="G72" i="3"/>
  <c r="J72" i="3" s="1"/>
  <c r="T293" i="1"/>
  <c r="G99" i="3"/>
  <c r="J99" i="3" s="1"/>
  <c r="M131" i="1"/>
  <c r="N131" i="1" s="1"/>
  <c r="L208" i="1"/>
  <c r="M208" i="1" s="1"/>
  <c r="L250" i="1"/>
  <c r="T250" i="1" s="1"/>
  <c r="M102" i="1"/>
  <c r="N102" i="1" s="1"/>
  <c r="O102" i="1" s="1"/>
  <c r="G32" i="3"/>
  <c r="J32" i="3" s="1"/>
  <c r="M280" i="1"/>
  <c r="N280" i="1" s="1"/>
  <c r="G86" i="3"/>
  <c r="J86" i="3" s="1"/>
  <c r="T101" i="1"/>
  <c r="T279" i="1"/>
  <c r="G85" i="3"/>
  <c r="J85" i="3" s="1"/>
  <c r="M285" i="1"/>
  <c r="G91" i="3"/>
  <c r="J91" i="3" s="1"/>
  <c r="T268" i="1"/>
  <c r="G74" i="3"/>
  <c r="J74" i="3" s="1"/>
  <c r="T276" i="1"/>
  <c r="G82" i="3"/>
  <c r="J82" i="3" s="1"/>
  <c r="M267" i="1"/>
  <c r="G73" i="3"/>
  <c r="J73" i="3" s="1"/>
  <c r="T131" i="1"/>
  <c r="M99" i="1"/>
  <c r="N99" i="1" s="1"/>
  <c r="M8" i="1"/>
  <c r="N8" i="1" s="1"/>
  <c r="O8" i="1" s="1"/>
  <c r="G6" i="3"/>
  <c r="J6" i="3" s="1"/>
  <c r="L115" i="1"/>
  <c r="L114" i="1"/>
  <c r="M48" i="1"/>
  <c r="N48" i="1" s="1"/>
  <c r="O48" i="1" s="1"/>
  <c r="G19" i="3"/>
  <c r="J19" i="3" s="1"/>
  <c r="T102" i="1"/>
  <c r="T99" i="1"/>
  <c r="L116" i="1"/>
  <c r="L360" i="1" s="1"/>
  <c r="T360" i="1" s="1"/>
  <c r="L117" i="1"/>
  <c r="T48" i="1"/>
  <c r="T144" i="1"/>
  <c r="T8" i="1"/>
  <c r="T239" i="1"/>
  <c r="M239" i="1"/>
  <c r="N239" i="1" s="1"/>
  <c r="O239" i="1" s="1"/>
  <c r="M300" i="1"/>
  <c r="N300" i="1" s="1"/>
  <c r="O300" i="1" s="1"/>
  <c r="T288" i="1"/>
  <c r="T283" i="1"/>
  <c r="T75" i="1"/>
  <c r="M75" i="1"/>
  <c r="M76" i="1"/>
  <c r="T76" i="1"/>
  <c r="N183" i="1"/>
  <c r="O183" i="1" s="1"/>
  <c r="T196" i="1"/>
  <c r="M196" i="1"/>
  <c r="T22" i="1"/>
  <c r="M22" i="1"/>
  <c r="T197" i="1"/>
  <c r="M197" i="1"/>
  <c r="M276" i="1"/>
  <c r="N276" i="1" s="1"/>
  <c r="O276" i="1" s="1"/>
  <c r="T300" i="1"/>
  <c r="N170" i="1"/>
  <c r="O170" i="1" s="1"/>
  <c r="M271" i="1"/>
  <c r="N271" i="1" s="1"/>
  <c r="O271" i="1" s="1"/>
  <c r="M290" i="1"/>
  <c r="N290" i="1" s="1"/>
  <c r="O290" i="1" s="1"/>
  <c r="M278" i="1"/>
  <c r="N278" i="1" s="1"/>
  <c r="O278" i="1" s="1"/>
  <c r="M274" i="1"/>
  <c r="N274" i="1" s="1"/>
  <c r="O274" i="1" s="1"/>
  <c r="T275" i="1"/>
  <c r="M118" i="1"/>
  <c r="M287" i="1"/>
  <c r="N287" i="1" s="1"/>
  <c r="O287" i="1" s="1"/>
  <c r="M289" i="1"/>
  <c r="N289" i="1" s="1"/>
  <c r="O289" i="1" s="1"/>
  <c r="M273" i="1"/>
  <c r="N273" i="1" s="1"/>
  <c r="O273" i="1" s="1"/>
  <c r="T280" i="1"/>
  <c r="M272" i="1"/>
  <c r="N272" i="1" s="1"/>
  <c r="O272" i="1" s="1"/>
  <c r="M279" i="1"/>
  <c r="N279" i="1" s="1"/>
  <c r="O279" i="1" s="1"/>
  <c r="T281" i="1"/>
  <c r="M291" i="1"/>
  <c r="N291" i="1" s="1"/>
  <c r="O291" i="1" s="1"/>
  <c r="T301" i="1"/>
  <c r="M286" i="1"/>
  <c r="N286" i="1" s="1"/>
  <c r="O286" i="1" s="1"/>
  <c r="T292" i="1"/>
  <c r="T267" i="1"/>
  <c r="M298" i="1"/>
  <c r="N298" i="1" s="1"/>
  <c r="O298" i="1" s="1"/>
  <c r="M301" i="1"/>
  <c r="N301" i="1" s="1"/>
  <c r="O301" i="1" s="1"/>
  <c r="M292" i="1"/>
  <c r="N292" i="1" s="1"/>
  <c r="O292" i="1" s="1"/>
  <c r="T298" i="1"/>
  <c r="M265" i="1"/>
  <c r="N265" i="1" s="1"/>
  <c r="O265" i="1" s="1"/>
  <c r="M268" i="1"/>
  <c r="N268" i="1" s="1"/>
  <c r="O268" i="1" s="1"/>
  <c r="T284" i="1"/>
  <c r="T285" i="1"/>
  <c r="T270" i="1"/>
  <c r="M293" i="1"/>
  <c r="N293" i="1" s="1"/>
  <c r="O293" i="1" s="1"/>
  <c r="T296" i="1"/>
  <c r="T299" i="1"/>
  <c r="T294" i="1"/>
  <c r="M294" i="1"/>
  <c r="N294" i="1" s="1"/>
  <c r="O294" i="1" s="1"/>
  <c r="T266" i="1"/>
  <c r="M269" i="1"/>
  <c r="N269" i="1" s="1"/>
  <c r="O269" i="1" s="1"/>
  <c r="M299" i="1"/>
  <c r="N299" i="1" s="1"/>
  <c r="O299" i="1" s="1"/>
  <c r="M277" i="1"/>
  <c r="N277" i="1" s="1"/>
  <c r="O277" i="1" s="1"/>
  <c r="M21" i="1"/>
  <c r="T21" i="1"/>
  <c r="T181" i="1"/>
  <c r="M181" i="1"/>
  <c r="T20" i="1"/>
  <c r="M20" i="1"/>
  <c r="T182" i="1"/>
  <c r="M182" i="1"/>
  <c r="N182" i="1" s="1"/>
  <c r="O182" i="1" s="1"/>
  <c r="M297" i="1"/>
  <c r="N297" i="1" s="1"/>
  <c r="O297" i="1" s="1"/>
  <c r="N101" i="1"/>
  <c r="O101" i="1" s="1"/>
  <c r="N100" i="1"/>
  <c r="O100" i="1" s="1"/>
  <c r="T88" i="1"/>
  <c r="M88" i="1"/>
  <c r="T60" i="1"/>
  <c r="M60" i="1"/>
  <c r="N60" i="1" s="1"/>
  <c r="O60" i="1" s="1"/>
  <c r="M46" i="1"/>
  <c r="T46" i="1"/>
  <c r="M129" i="1"/>
  <c r="T129" i="1"/>
  <c r="T297" i="1"/>
  <c r="M87" i="1"/>
  <c r="T59" i="1"/>
  <c r="M59" i="1"/>
  <c r="T236" i="1"/>
  <c r="M236" i="1"/>
  <c r="T238" i="1"/>
  <c r="M238" i="1"/>
  <c r="N238" i="1" s="1"/>
  <c r="O238" i="1" s="1"/>
  <c r="T47" i="1"/>
  <c r="M47" i="1"/>
  <c r="M72" i="1"/>
  <c r="T72" i="1"/>
  <c r="M130" i="1"/>
  <c r="T130" i="1"/>
  <c r="N275" i="1"/>
  <c r="O275" i="1" s="1"/>
  <c r="N267" i="1"/>
  <c r="O267" i="1" s="1"/>
  <c r="N285" i="1"/>
  <c r="O285" i="1" s="1"/>
  <c r="T195" i="1"/>
  <c r="M195" i="1"/>
  <c r="T169" i="1"/>
  <c r="M169" i="1"/>
  <c r="T168" i="1"/>
  <c r="M168" i="1"/>
  <c r="T113" i="1"/>
  <c r="M113" i="1"/>
  <c r="T143" i="1"/>
  <c r="M143" i="1"/>
  <c r="T9" i="1"/>
  <c r="M142" i="1"/>
  <c r="T142" i="1"/>
  <c r="M9" i="1"/>
  <c r="N9" i="1" s="1"/>
  <c r="O9" i="1" s="1"/>
  <c r="M34" i="1"/>
  <c r="T34" i="1"/>
  <c r="M35" i="1"/>
  <c r="T35" i="1"/>
  <c r="T73" i="1" l="1"/>
  <c r="L346" i="1"/>
  <c r="T346" i="1" s="1"/>
  <c r="M155" i="1"/>
  <c r="G35" i="3"/>
  <c r="J35" i="3" s="1"/>
  <c r="L358" i="1"/>
  <c r="T358" i="1" s="1"/>
  <c r="G36" i="3"/>
  <c r="J36" i="3" s="1"/>
  <c r="L359" i="1"/>
  <c r="T359" i="1" s="1"/>
  <c r="G24" i="3"/>
  <c r="J24" i="3" s="1"/>
  <c r="L354" i="1"/>
  <c r="L348" i="1"/>
  <c r="T348" i="1" s="1"/>
  <c r="G42" i="3"/>
  <c r="J42" i="3" s="1"/>
  <c r="L157" i="1"/>
  <c r="T157" i="1" s="1"/>
  <c r="M74" i="1"/>
  <c r="L347" i="1"/>
  <c r="T347" i="1" s="1"/>
  <c r="M144" i="1"/>
  <c r="N144" i="1" s="1"/>
  <c r="G21" i="3"/>
  <c r="J21" i="3" s="1"/>
  <c r="L351" i="1"/>
  <c r="L345" i="1"/>
  <c r="T345" i="1" s="1"/>
  <c r="M194" i="1"/>
  <c r="M221" i="1"/>
  <c r="M250" i="1"/>
  <c r="M103" i="1"/>
  <c r="T194" i="1"/>
  <c r="G22" i="3"/>
  <c r="J22" i="3" s="1"/>
  <c r="M73" i="1"/>
  <c r="N73" i="1" s="1"/>
  <c r="O73" i="1" s="1"/>
  <c r="G7" i="3"/>
  <c r="J7" i="3" s="1"/>
  <c r="L209" i="1"/>
  <c r="L251" i="1"/>
  <c r="G15" i="3"/>
  <c r="J15" i="3" s="1"/>
  <c r="L222" i="1"/>
  <c r="T156" i="1"/>
  <c r="G23" i="3"/>
  <c r="J23" i="3" s="1"/>
  <c r="M156" i="1"/>
  <c r="N156" i="1" s="1"/>
  <c r="O156" i="1" s="1"/>
  <c r="T23" i="1"/>
  <c r="T74" i="1"/>
  <c r="M23" i="1"/>
  <c r="M24" i="1" s="1"/>
  <c r="P20" i="1" s="1"/>
  <c r="M157" i="1"/>
  <c r="N157" i="1" s="1"/>
  <c r="O157" i="1" s="1"/>
  <c r="T208" i="1"/>
  <c r="G38" i="3"/>
  <c r="J38" i="3" s="1"/>
  <c r="G124" i="3"/>
  <c r="J124" i="3" s="1"/>
  <c r="G37" i="3"/>
  <c r="J37" i="3" s="1"/>
  <c r="G114" i="3"/>
  <c r="J114" i="3" s="1"/>
  <c r="T114" i="1"/>
  <c r="M115" i="1"/>
  <c r="M114" i="1"/>
  <c r="T115" i="1"/>
  <c r="P102" i="1"/>
  <c r="Q102" i="1" s="1"/>
  <c r="M117" i="1"/>
  <c r="T117" i="1"/>
  <c r="T116" i="1"/>
  <c r="M116" i="1"/>
  <c r="N103" i="1"/>
  <c r="N118" i="1"/>
  <c r="O118" i="1" s="1"/>
  <c r="O131" i="1"/>
  <c r="O144" i="1"/>
  <c r="O99" i="1"/>
  <c r="N10" i="1"/>
  <c r="M145" i="1"/>
  <c r="P144" i="1" s="1"/>
  <c r="Q144" i="1" s="1"/>
  <c r="M171" i="1"/>
  <c r="P170" i="1" s="1"/>
  <c r="Q170" i="1" s="1"/>
  <c r="N250" i="1"/>
  <c r="O250" i="1" s="1"/>
  <c r="M240" i="1"/>
  <c r="M198" i="1"/>
  <c r="P196" i="1" s="1"/>
  <c r="Q196" i="1" s="1"/>
  <c r="M184" i="1"/>
  <c r="P183" i="1" s="1"/>
  <c r="Q183" i="1" s="1"/>
  <c r="M132" i="1"/>
  <c r="P131" i="1" s="1"/>
  <c r="Q131" i="1" s="1"/>
  <c r="M62" i="1"/>
  <c r="P61" i="1" s="1"/>
  <c r="Q61" i="1" s="1"/>
  <c r="M49" i="1"/>
  <c r="N196" i="1"/>
  <c r="O196" i="1" s="1"/>
  <c r="N75" i="1"/>
  <c r="O75" i="1" s="1"/>
  <c r="N23" i="1"/>
  <c r="O23" i="1" s="1"/>
  <c r="N74" i="1"/>
  <c r="O74" i="1" s="1"/>
  <c r="N197" i="1"/>
  <c r="O197" i="1" s="1"/>
  <c r="N22" i="1"/>
  <c r="O22" i="1" s="1"/>
  <c r="N76" i="1"/>
  <c r="O76" i="1" s="1"/>
  <c r="P99" i="1"/>
  <c r="J17" i="2"/>
  <c r="O17" i="2" s="1"/>
  <c r="R103" i="1"/>
  <c r="M109" i="1"/>
  <c r="N47" i="1"/>
  <c r="O47" i="1" s="1"/>
  <c r="N181" i="1"/>
  <c r="O181" i="1" s="1"/>
  <c r="N72" i="1"/>
  <c r="P100" i="1"/>
  <c r="Q100" i="1" s="1"/>
  <c r="N130" i="1"/>
  <c r="O130" i="1" s="1"/>
  <c r="N88" i="1"/>
  <c r="O88" i="1" s="1"/>
  <c r="M10" i="1"/>
  <c r="N221" i="1"/>
  <c r="O221" i="1" s="1"/>
  <c r="N208" i="1"/>
  <c r="O208" i="1" s="1"/>
  <c r="N129" i="1"/>
  <c r="O129" i="1" s="1"/>
  <c r="N20" i="1"/>
  <c r="M304" i="1"/>
  <c r="P298" i="1" s="1"/>
  <c r="Q298" i="1" s="1"/>
  <c r="N236" i="1"/>
  <c r="O236" i="1" s="1"/>
  <c r="P101" i="1"/>
  <c r="Q101" i="1" s="1"/>
  <c r="N21" i="1"/>
  <c r="O21" i="1" s="1"/>
  <c r="N155" i="1"/>
  <c r="O155" i="1" s="1"/>
  <c r="M89" i="1"/>
  <c r="N87" i="1"/>
  <c r="O87" i="1" s="1"/>
  <c r="N59" i="1"/>
  <c r="N46" i="1"/>
  <c r="N194" i="1"/>
  <c r="N195" i="1"/>
  <c r="O195" i="1" s="1"/>
  <c r="N168" i="1"/>
  <c r="N169" i="1"/>
  <c r="O169" i="1" s="1"/>
  <c r="N142" i="1"/>
  <c r="O142" i="1" s="1"/>
  <c r="N113" i="1"/>
  <c r="N143" i="1"/>
  <c r="O143" i="1" s="1"/>
  <c r="N34" i="1"/>
  <c r="M36" i="1"/>
  <c r="N35" i="1"/>
  <c r="O35" i="1" s="1"/>
  <c r="O32" i="2"/>
  <c r="K32" i="2"/>
  <c r="P88" i="1" l="1"/>
  <c r="Q88" i="1" s="1"/>
  <c r="J16" i="2"/>
  <c r="N114" i="1"/>
  <c r="O114" i="1" s="1"/>
  <c r="P114" i="1"/>
  <c r="N116" i="1"/>
  <c r="O116" i="1" s="1"/>
  <c r="P116" i="1"/>
  <c r="N115" i="1"/>
  <c r="O115" i="1" s="1"/>
  <c r="P115" i="1"/>
  <c r="Q115" i="1" s="1"/>
  <c r="N117" i="1"/>
  <c r="O117" i="1" s="1"/>
  <c r="P117" i="1"/>
  <c r="P113" i="1"/>
  <c r="T351" i="1"/>
  <c r="L363" i="1"/>
  <c r="T363" i="1" s="1"/>
  <c r="G116" i="3"/>
  <c r="J116" i="3" s="1"/>
  <c r="L366" i="1"/>
  <c r="T366" i="1" s="1"/>
  <c r="T354" i="1"/>
  <c r="G119" i="3"/>
  <c r="J119" i="3" s="1"/>
  <c r="M158" i="1"/>
  <c r="P157" i="1" s="1"/>
  <c r="Q157" i="1" s="1"/>
  <c r="M77" i="1"/>
  <c r="P75" i="1" s="1"/>
  <c r="Q75" i="1" s="1"/>
  <c r="L224" i="1"/>
  <c r="M222" i="1"/>
  <c r="L223" i="1"/>
  <c r="T222" i="1"/>
  <c r="M251" i="1"/>
  <c r="T251" i="1"/>
  <c r="L210" i="1"/>
  <c r="T209" i="1"/>
  <c r="M209" i="1"/>
  <c r="M119" i="1"/>
  <c r="O113" i="1"/>
  <c r="P103" i="1"/>
  <c r="Q103" i="1" s="1"/>
  <c r="N158" i="1"/>
  <c r="O194" i="1"/>
  <c r="N198" i="1"/>
  <c r="N145" i="1"/>
  <c r="N132" i="1"/>
  <c r="Q99" i="1"/>
  <c r="O59" i="1"/>
  <c r="N62" i="1"/>
  <c r="O20" i="1"/>
  <c r="N24" i="1"/>
  <c r="O46" i="1"/>
  <c r="N49" i="1"/>
  <c r="O72" i="1"/>
  <c r="N77" i="1"/>
  <c r="O34" i="1"/>
  <c r="N36" i="1"/>
  <c r="J13" i="2"/>
  <c r="O13" i="2" s="1"/>
  <c r="P48" i="1"/>
  <c r="Q48" i="1" s="1"/>
  <c r="P23" i="1"/>
  <c r="Q23" i="1" s="1"/>
  <c r="P22" i="1"/>
  <c r="Q22" i="1" s="1"/>
  <c r="P197" i="1"/>
  <c r="Q197" i="1" s="1"/>
  <c r="P238" i="1"/>
  <c r="Q238" i="1" s="1"/>
  <c r="P239" i="1"/>
  <c r="Q239" i="1" s="1"/>
  <c r="P236" i="1"/>
  <c r="P237" i="1"/>
  <c r="Q237" i="1" s="1"/>
  <c r="O168" i="1"/>
  <c r="N171" i="1"/>
  <c r="L22" i="2" s="1"/>
  <c r="R10" i="1"/>
  <c r="P168" i="1"/>
  <c r="J22" i="2"/>
  <c r="P59" i="1"/>
  <c r="Q59" i="1" s="1"/>
  <c r="J14" i="2"/>
  <c r="O14" i="2" s="1"/>
  <c r="J27" i="2"/>
  <c r="O27" i="2" s="1"/>
  <c r="P181" i="1"/>
  <c r="J23" i="2"/>
  <c r="O103" i="1"/>
  <c r="L17" i="2"/>
  <c r="P194" i="1"/>
  <c r="J24" i="2"/>
  <c r="P155" i="1"/>
  <c r="J21" i="2"/>
  <c r="P142" i="1"/>
  <c r="J20" i="2"/>
  <c r="P129" i="1"/>
  <c r="J19" i="2"/>
  <c r="P301" i="1"/>
  <c r="Q301" i="1" s="1"/>
  <c r="P296" i="1"/>
  <c r="Q296" i="1" s="1"/>
  <c r="P279" i="1"/>
  <c r="Q279" i="1" s="1"/>
  <c r="P293" i="1"/>
  <c r="Q293" i="1" s="1"/>
  <c r="P292" i="1"/>
  <c r="Q292" i="1" s="1"/>
  <c r="N304" i="1"/>
  <c r="O304" i="1" s="1"/>
  <c r="P288" i="1"/>
  <c r="Q288" i="1" s="1"/>
  <c r="P297" i="1"/>
  <c r="Q297" i="1" s="1"/>
  <c r="P294" i="1"/>
  <c r="Q294" i="1" s="1"/>
  <c r="P299" i="1"/>
  <c r="Q299" i="1" s="1"/>
  <c r="P291" i="1"/>
  <c r="Q291" i="1" s="1"/>
  <c r="P286" i="1"/>
  <c r="Q286" i="1" s="1"/>
  <c r="P271" i="1"/>
  <c r="Q271" i="1" s="1"/>
  <c r="P267" i="1"/>
  <c r="Q267" i="1" s="1"/>
  <c r="P21" i="1"/>
  <c r="Q21" i="1" s="1"/>
  <c r="P46" i="1"/>
  <c r="M310" i="1"/>
  <c r="N310" i="1" s="1"/>
  <c r="O310" i="1" s="1"/>
  <c r="N29" i="2" s="1"/>
  <c r="P278" i="1"/>
  <c r="Q278" i="1" s="1"/>
  <c r="P270" i="1"/>
  <c r="Q270" i="1" s="1"/>
  <c r="P289" i="1"/>
  <c r="Q289" i="1" s="1"/>
  <c r="P266" i="1"/>
  <c r="Q266" i="1" s="1"/>
  <c r="P300" i="1"/>
  <c r="Q300" i="1" s="1"/>
  <c r="J29" i="2"/>
  <c r="L29" i="2" s="1"/>
  <c r="R304" i="1"/>
  <c r="P283" i="1"/>
  <c r="Q283" i="1" s="1"/>
  <c r="P265" i="1"/>
  <c r="Q265" i="1" s="1"/>
  <c r="P284" i="1"/>
  <c r="Q284" i="1" s="1"/>
  <c r="P272" i="1"/>
  <c r="Q272" i="1" s="1"/>
  <c r="P290" i="1"/>
  <c r="Q290" i="1" s="1"/>
  <c r="P276" i="1"/>
  <c r="Q276" i="1" s="1"/>
  <c r="P34" i="1"/>
  <c r="Q34" i="1" s="1"/>
  <c r="J12" i="2"/>
  <c r="O12" i="2" s="1"/>
  <c r="P47" i="1"/>
  <c r="Q47" i="1" s="1"/>
  <c r="Q114" i="1"/>
  <c r="P287" i="1"/>
  <c r="Q287" i="1" s="1"/>
  <c r="P274" i="1"/>
  <c r="Q274" i="1" s="1"/>
  <c r="P8" i="1"/>
  <c r="Q8" i="1" s="1"/>
  <c r="J10" i="2"/>
  <c r="O10" i="2" s="1"/>
  <c r="M16" i="1"/>
  <c r="M17" i="1" s="1"/>
  <c r="N17" i="1" s="1"/>
  <c r="P87" i="1"/>
  <c r="N89" i="1"/>
  <c r="R89" i="1"/>
  <c r="M95" i="1"/>
  <c r="O16" i="2" s="1"/>
  <c r="M138" i="1"/>
  <c r="R132" i="1"/>
  <c r="M83" i="1"/>
  <c r="N109" i="1"/>
  <c r="O109" i="1" s="1"/>
  <c r="N17" i="2" s="1"/>
  <c r="M110" i="1"/>
  <c r="N110" i="1" s="1"/>
  <c r="M246" i="1"/>
  <c r="R240" i="1"/>
  <c r="N240" i="1"/>
  <c r="R49" i="1"/>
  <c r="M55" i="1"/>
  <c r="P280" i="1"/>
  <c r="Q280" i="1" s="1"/>
  <c r="P277" i="1"/>
  <c r="Q277" i="1" s="1"/>
  <c r="P156" i="1"/>
  <c r="Q156" i="1" s="1"/>
  <c r="M164" i="1"/>
  <c r="R158" i="1"/>
  <c r="Q20" i="1"/>
  <c r="P130" i="1"/>
  <c r="Q130" i="1" s="1"/>
  <c r="P182" i="1"/>
  <c r="Q182" i="1" s="1"/>
  <c r="R184" i="1"/>
  <c r="N184" i="1"/>
  <c r="M190" i="1"/>
  <c r="P285" i="1"/>
  <c r="Q285" i="1" s="1"/>
  <c r="P269" i="1"/>
  <c r="Q269" i="1" s="1"/>
  <c r="P273" i="1"/>
  <c r="Q273" i="1" s="1"/>
  <c r="J11" i="2"/>
  <c r="O11" i="2" s="1"/>
  <c r="R24" i="1"/>
  <c r="M30" i="1"/>
  <c r="P60" i="1"/>
  <c r="Q60" i="1" s="1"/>
  <c r="R62" i="1"/>
  <c r="M68" i="1"/>
  <c r="P9" i="1"/>
  <c r="Q9" i="1" s="1"/>
  <c r="P281" i="1"/>
  <c r="Q281" i="1" s="1"/>
  <c r="P268" i="1"/>
  <c r="Q268" i="1" s="1"/>
  <c r="P275" i="1"/>
  <c r="Q275" i="1" s="1"/>
  <c r="P195" i="1"/>
  <c r="Q195" i="1" s="1"/>
  <c r="R171" i="1"/>
  <c r="M177" i="1"/>
  <c r="P169" i="1"/>
  <c r="Q169" i="1" s="1"/>
  <c r="P143" i="1"/>
  <c r="Q143" i="1" s="1"/>
  <c r="R198" i="1"/>
  <c r="M204" i="1"/>
  <c r="P35" i="1"/>
  <c r="Q35" i="1" s="1"/>
  <c r="R119" i="1"/>
  <c r="M125" i="1"/>
  <c r="R145" i="1"/>
  <c r="M151" i="1"/>
  <c r="R36" i="1"/>
  <c r="M42" i="1"/>
  <c r="M32" i="2"/>
  <c r="O89" i="1" l="1"/>
  <c r="L16" i="2"/>
  <c r="G129" i="3"/>
  <c r="J129" i="3" s="1"/>
  <c r="N119" i="1"/>
  <c r="Q117" i="1"/>
  <c r="J18" i="2"/>
  <c r="O18" i="2" s="1"/>
  <c r="R77" i="1"/>
  <c r="P73" i="1"/>
  <c r="Q73" i="1" s="1"/>
  <c r="J15" i="2"/>
  <c r="O15" i="2" s="1"/>
  <c r="P72" i="1"/>
  <c r="P76" i="1"/>
  <c r="Q76" i="1" s="1"/>
  <c r="P74" i="1"/>
  <c r="Q74" i="1" s="1"/>
  <c r="Q116" i="1"/>
  <c r="Q118" i="1"/>
  <c r="M210" i="1"/>
  <c r="N210" i="1" s="1"/>
  <c r="O210" i="1" s="1"/>
  <c r="T210" i="1"/>
  <c r="M253" i="1"/>
  <c r="N251" i="1"/>
  <c r="O251" i="1" s="1"/>
  <c r="M223" i="1"/>
  <c r="N223" i="1" s="1"/>
  <c r="O223" i="1" s="1"/>
  <c r="L225" i="1"/>
  <c r="T223" i="1"/>
  <c r="N222" i="1"/>
  <c r="O222" i="1" s="1"/>
  <c r="N209" i="1"/>
  <c r="O209" i="1" s="1"/>
  <c r="M211" i="1"/>
  <c r="T224" i="1"/>
  <c r="M224" i="1"/>
  <c r="N224" i="1" s="1"/>
  <c r="O224" i="1" s="1"/>
  <c r="O110" i="1"/>
  <c r="F168" i="3"/>
  <c r="G168" i="3"/>
  <c r="G142" i="3"/>
  <c r="G180" i="3"/>
  <c r="G154" i="3"/>
  <c r="M17" i="2"/>
  <c r="F142" i="3"/>
  <c r="M22" i="2"/>
  <c r="F147" i="3"/>
  <c r="O17" i="1"/>
  <c r="F161" i="3"/>
  <c r="M29" i="2"/>
  <c r="F154" i="3"/>
  <c r="P24" i="1"/>
  <c r="Q24" i="1" s="1"/>
  <c r="P49" i="1"/>
  <c r="Q72" i="1"/>
  <c r="P77" i="1"/>
  <c r="Q77" i="1" s="1"/>
  <c r="Q236" i="1"/>
  <c r="P240" i="1"/>
  <c r="Q240" i="1" s="1"/>
  <c r="Q194" i="1"/>
  <c r="P198" i="1"/>
  <c r="Q181" i="1"/>
  <c r="P184" i="1"/>
  <c r="Q184" i="1" s="1"/>
  <c r="Q168" i="1"/>
  <c r="P171" i="1"/>
  <c r="Q171" i="1" s="1"/>
  <c r="Q155" i="1"/>
  <c r="P158" i="1"/>
  <c r="Q158" i="1" s="1"/>
  <c r="Q142" i="1"/>
  <c r="P145" i="1"/>
  <c r="Q145" i="1" s="1"/>
  <c r="Q129" i="1"/>
  <c r="P132" i="1"/>
  <c r="Q132" i="1" s="1"/>
  <c r="Q46" i="1"/>
  <c r="O171" i="1"/>
  <c r="P62" i="1"/>
  <c r="Q62" i="1" s="1"/>
  <c r="O10" i="1"/>
  <c r="O20" i="2"/>
  <c r="O21" i="2"/>
  <c r="O19" i="2"/>
  <c r="O24" i="2"/>
  <c r="O22" i="2"/>
  <c r="O23" i="2"/>
  <c r="O240" i="1"/>
  <c r="L27" i="2"/>
  <c r="O158" i="1"/>
  <c r="L21" i="2"/>
  <c r="O77" i="1"/>
  <c r="L15" i="2"/>
  <c r="O145" i="1"/>
  <c r="L20" i="2"/>
  <c r="O62" i="1"/>
  <c r="L14" i="2"/>
  <c r="O184" i="1"/>
  <c r="L23" i="2"/>
  <c r="O198" i="1"/>
  <c r="L24" i="2"/>
  <c r="O132" i="1"/>
  <c r="L19" i="2"/>
  <c r="O119" i="1"/>
  <c r="L18" i="2"/>
  <c r="L10" i="2"/>
  <c r="Q198" i="1"/>
  <c r="O29" i="2"/>
  <c r="P10" i="1"/>
  <c r="Q10" i="1" s="1"/>
  <c r="O24" i="1"/>
  <c r="L11" i="2"/>
  <c r="O49" i="1"/>
  <c r="L13" i="2"/>
  <c r="O36" i="1"/>
  <c r="L12" i="2"/>
  <c r="Q87" i="1"/>
  <c r="P89" i="1"/>
  <c r="Q89" i="1" s="1"/>
  <c r="N30" i="1"/>
  <c r="O30" i="1" s="1"/>
  <c r="N11" i="2" s="1"/>
  <c r="M31" i="1"/>
  <c r="N31" i="1" s="1"/>
  <c r="M165" i="1"/>
  <c r="N165" i="1" s="1"/>
  <c r="N164" i="1"/>
  <c r="O164" i="1" s="1"/>
  <c r="N21" i="2" s="1"/>
  <c r="N190" i="1"/>
  <c r="O190" i="1" s="1"/>
  <c r="N23" i="2" s="1"/>
  <c r="M191" i="1"/>
  <c r="N191" i="1" s="1"/>
  <c r="M139" i="1"/>
  <c r="N139" i="1" s="1"/>
  <c r="N138" i="1"/>
  <c r="O138" i="1" s="1"/>
  <c r="N19" i="2" s="1"/>
  <c r="M69" i="1"/>
  <c r="N69" i="1" s="1"/>
  <c r="N68" i="1"/>
  <c r="O68" i="1" s="1"/>
  <c r="N14" i="2" s="1"/>
  <c r="N246" i="1"/>
  <c r="O246" i="1" s="1"/>
  <c r="N27" i="2" s="1"/>
  <c r="M247" i="1"/>
  <c r="N247" i="1" s="1"/>
  <c r="M96" i="1"/>
  <c r="N96" i="1" s="1"/>
  <c r="N95" i="1"/>
  <c r="M84" i="1"/>
  <c r="N84" i="1" s="1"/>
  <c r="N83" i="1"/>
  <c r="O83" i="1" s="1"/>
  <c r="N15" i="2" s="1"/>
  <c r="P304" i="1"/>
  <c r="Q304" i="1" s="1"/>
  <c r="N16" i="1"/>
  <c r="O16" i="1" s="1"/>
  <c r="N10" i="2" s="1"/>
  <c r="N55" i="1"/>
  <c r="O55" i="1" s="1"/>
  <c r="N13" i="2" s="1"/>
  <c r="M56" i="1"/>
  <c r="N56" i="1" s="1"/>
  <c r="P36" i="1"/>
  <c r="Q36" i="1" s="1"/>
  <c r="M178" i="1"/>
  <c r="N178" i="1" s="1"/>
  <c r="N177" i="1"/>
  <c r="O177" i="1" s="1"/>
  <c r="N22" i="2" s="1"/>
  <c r="N204" i="1"/>
  <c r="O204" i="1" s="1"/>
  <c r="N24" i="2" s="1"/>
  <c r="M205" i="1"/>
  <c r="N205" i="1" s="1"/>
  <c r="M126" i="1"/>
  <c r="N126" i="1" s="1"/>
  <c r="N125" i="1"/>
  <c r="O125" i="1" s="1"/>
  <c r="N18" i="2" s="1"/>
  <c r="Q113" i="1"/>
  <c r="N151" i="1"/>
  <c r="O151" i="1" s="1"/>
  <c r="N20" i="2" s="1"/>
  <c r="M152" i="1"/>
  <c r="N152" i="1" s="1"/>
  <c r="M43" i="1"/>
  <c r="N43" i="1" s="1"/>
  <c r="N42" i="1"/>
  <c r="O42" i="1" s="1"/>
  <c r="N12" i="2" s="1"/>
  <c r="P119" i="1" l="1"/>
  <c r="Q119" i="1" s="1"/>
  <c r="T225" i="1"/>
  <c r="M225" i="1"/>
  <c r="N225" i="1" s="1"/>
  <c r="O225" i="1" s="1"/>
  <c r="J25" i="2"/>
  <c r="P208" i="1"/>
  <c r="R211" i="1"/>
  <c r="N211" i="1"/>
  <c r="M217" i="1"/>
  <c r="P252" i="1"/>
  <c r="Q252" i="1" s="1"/>
  <c r="P250" i="1"/>
  <c r="N253" i="1"/>
  <c r="P251" i="1"/>
  <c r="Q251" i="1" s="1"/>
  <c r="R253" i="1"/>
  <c r="M259" i="1"/>
  <c r="J28" i="2"/>
  <c r="O28" i="2" s="1"/>
  <c r="M226" i="1"/>
  <c r="G169" i="3"/>
  <c r="G143" i="3"/>
  <c r="G144" i="3"/>
  <c r="G170" i="3"/>
  <c r="M13" i="2"/>
  <c r="F138" i="3"/>
  <c r="G164" i="3"/>
  <c r="G138" i="3"/>
  <c r="O96" i="1"/>
  <c r="F167" i="3"/>
  <c r="O31" i="1"/>
  <c r="F162" i="3"/>
  <c r="M10" i="2"/>
  <c r="F135" i="3"/>
  <c r="O126" i="1"/>
  <c r="F169" i="3"/>
  <c r="G161" i="3"/>
  <c r="G135" i="3"/>
  <c r="O247" i="1"/>
  <c r="F178" i="3"/>
  <c r="O139" i="1"/>
  <c r="F170" i="3"/>
  <c r="G136" i="3"/>
  <c r="G162" i="3"/>
  <c r="M18" i="2"/>
  <c r="F143" i="3"/>
  <c r="M14" i="2"/>
  <c r="F139" i="3"/>
  <c r="O191" i="1"/>
  <c r="F174" i="3"/>
  <c r="G174" i="3"/>
  <c r="G148" i="3"/>
  <c r="G172" i="3"/>
  <c r="G146" i="3"/>
  <c r="G149" i="3"/>
  <c r="G175" i="3"/>
  <c r="G147" i="3"/>
  <c r="G173" i="3"/>
  <c r="O178" i="1"/>
  <c r="F173" i="3"/>
  <c r="O165" i="1"/>
  <c r="F172" i="3"/>
  <c r="M24" i="2"/>
  <c r="F149" i="3"/>
  <c r="M20" i="2"/>
  <c r="F145" i="3"/>
  <c r="M27" i="2"/>
  <c r="F152" i="3"/>
  <c r="O205" i="1"/>
  <c r="F175" i="3"/>
  <c r="M11" i="2"/>
  <c r="F136" i="3"/>
  <c r="G166" i="3"/>
  <c r="G140" i="3"/>
  <c r="M19" i="2"/>
  <c r="F144" i="3"/>
  <c r="O84" i="1"/>
  <c r="F166" i="3"/>
  <c r="O152" i="1"/>
  <c r="F171" i="3"/>
  <c r="G171" i="3"/>
  <c r="G145" i="3"/>
  <c r="G165" i="3"/>
  <c r="G139" i="3"/>
  <c r="M12" i="2"/>
  <c r="F137" i="3"/>
  <c r="G152" i="3"/>
  <c r="G178" i="3"/>
  <c r="G163" i="3"/>
  <c r="G137" i="3"/>
  <c r="M21" i="2"/>
  <c r="F146" i="3"/>
  <c r="O43" i="1"/>
  <c r="F163" i="3"/>
  <c r="O56" i="1"/>
  <c r="F164" i="3"/>
  <c r="O69" i="1"/>
  <c r="F165" i="3"/>
  <c r="M23" i="2"/>
  <c r="F148" i="3"/>
  <c r="M15" i="2"/>
  <c r="F140" i="3"/>
  <c r="O95" i="1"/>
  <c r="N16" i="2" s="1"/>
  <c r="O211" i="1" l="1"/>
  <c r="L25" i="2"/>
  <c r="N332" i="1"/>
  <c r="N259" i="1"/>
  <c r="O259" i="1" s="1"/>
  <c r="N28" i="2" s="1"/>
  <c r="M260" i="1"/>
  <c r="N260" i="1" s="1"/>
  <c r="P221" i="1"/>
  <c r="M232" i="1"/>
  <c r="J26" i="2"/>
  <c r="R226" i="1"/>
  <c r="N226" i="1"/>
  <c r="Q208" i="1"/>
  <c r="P209" i="1"/>
  <c r="M332" i="1"/>
  <c r="M338" i="1" s="1"/>
  <c r="O253" i="1"/>
  <c r="L28" i="2"/>
  <c r="O25" i="2"/>
  <c r="Q250" i="1"/>
  <c r="P253" i="1"/>
  <c r="Q253" i="1" s="1"/>
  <c r="M218" i="1"/>
  <c r="N218" i="1" s="1"/>
  <c r="N217" i="1"/>
  <c r="O217" i="1" s="1"/>
  <c r="N25" i="2" s="1"/>
  <c r="G141" i="3"/>
  <c r="G167" i="3"/>
  <c r="M16" i="2"/>
  <c r="F141" i="3"/>
  <c r="N338" i="1" l="1"/>
  <c r="O332" i="1"/>
  <c r="O26" i="2"/>
  <c r="P224" i="1"/>
  <c r="Q224" i="1" s="1"/>
  <c r="Q221" i="1"/>
  <c r="P226" i="1"/>
  <c r="Q226" i="1" s="1"/>
  <c r="F179" i="3"/>
  <c r="O260" i="1"/>
  <c r="G179" i="3"/>
  <c r="G153" i="3"/>
  <c r="N232" i="1"/>
  <c r="O232" i="1" s="1"/>
  <c r="N26" i="2" s="1"/>
  <c r="M233" i="1"/>
  <c r="N233" i="1" s="1"/>
  <c r="M28" i="2"/>
  <c r="F153" i="3"/>
  <c r="O218" i="1"/>
  <c r="F176" i="3"/>
  <c r="O226" i="1"/>
  <c r="L26" i="2"/>
  <c r="M25" i="2"/>
  <c r="F150" i="3"/>
  <c r="G176" i="3"/>
  <c r="G150" i="3"/>
  <c r="Q209" i="1"/>
  <c r="P211" i="1"/>
  <c r="Q211" i="1" s="1"/>
  <c r="J30" i="2"/>
  <c r="Q49" i="1"/>
  <c r="L365" i="1" l="1"/>
  <c r="T365" i="1" s="1"/>
  <c r="L364" i="1"/>
  <c r="T364" i="1" s="1"/>
  <c r="L353" i="1"/>
  <c r="T353" i="1" s="1"/>
  <c r="L352" i="1"/>
  <c r="T352" i="1" s="1"/>
  <c r="N340" i="1"/>
  <c r="O338" i="1"/>
  <c r="K22" i="2"/>
  <c r="K25" i="2"/>
  <c r="K17" i="2"/>
  <c r="K18" i="2"/>
  <c r="K21" i="2"/>
  <c r="K20" i="2"/>
  <c r="K19" i="2"/>
  <c r="K29" i="2"/>
  <c r="O30" i="2"/>
  <c r="K15" i="2"/>
  <c r="K10" i="2"/>
  <c r="K23" i="2"/>
  <c r="K27" i="2"/>
  <c r="K30" i="2"/>
  <c r="K14" i="2"/>
  <c r="K11" i="2"/>
  <c r="K13" i="2"/>
  <c r="K12" i="2"/>
  <c r="K24" i="2"/>
  <c r="K16" i="2"/>
  <c r="J34" i="2"/>
  <c r="K28" i="2"/>
  <c r="G177" i="3"/>
  <c r="G151" i="3"/>
  <c r="K26" i="2"/>
  <c r="F177" i="3"/>
  <c r="O233" i="1"/>
  <c r="M26" i="2"/>
  <c r="F151" i="3"/>
  <c r="L30" i="2"/>
  <c r="G126" i="3" l="1"/>
  <c r="J126" i="3" s="1"/>
  <c r="G118" i="3"/>
  <c r="J118" i="3" s="1"/>
  <c r="G121" i="3"/>
  <c r="J121" i="3" s="1"/>
  <c r="G113" i="3"/>
  <c r="J113" i="3" s="1"/>
  <c r="G117" i="3"/>
  <c r="J117" i="3" s="1"/>
  <c r="G112" i="3"/>
  <c r="J112" i="3" s="1"/>
  <c r="G123" i="3"/>
  <c r="J123" i="3" s="1"/>
  <c r="G128" i="3"/>
  <c r="J128" i="3" s="1"/>
  <c r="G111" i="3"/>
  <c r="J111" i="3" s="1"/>
  <c r="G122" i="3"/>
  <c r="J122" i="3" s="1"/>
  <c r="G127" i="3"/>
  <c r="J127" i="3" s="1"/>
  <c r="L34" i="2"/>
  <c r="M34" i="2" s="1"/>
  <c r="M30" i="2"/>
  <c r="O34" i="2"/>
  <c r="J43" i="2"/>
  <c r="L43" i="2" s="1"/>
  <c r="L45" i="2" l="1"/>
  <c r="L46" i="2" s="1"/>
  <c r="N43" i="2"/>
</calcChain>
</file>

<file path=xl/sharedStrings.xml><?xml version="1.0" encoding="utf-8"?>
<sst xmlns="http://schemas.openxmlformats.org/spreadsheetml/2006/main" count="407" uniqueCount="161">
  <si>
    <t>Billing Analysis for Pass-Through Rate Increase</t>
  </si>
  <si>
    <t>#</t>
  </si>
  <si>
    <t>Item</t>
  </si>
  <si>
    <t>Present Revenue</t>
  </si>
  <si>
    <t>Proposed Revenue</t>
  </si>
  <si>
    <t>Increase ($)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</si>
  <si>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</si>
  <si>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</si>
  <si>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</si>
  <si>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</si>
  <si>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</si>
  <si>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</si>
  <si>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</si>
  <si>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</si>
  <si>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</si>
  <si>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</si>
  <si>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</si>
  <si>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</si>
  <si>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</si>
  <si>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</si>
  <si>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</si>
  <si>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</si>
  <si>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</si>
  <si>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</si>
  <si>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</si>
  <si>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</si>
  <si>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</si>
  <si>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</si>
  <si>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</si>
  <si>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</si>
  <si>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</si>
  <si>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</si>
  <si>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</si>
  <si>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</si>
  <si>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</si>
  <si>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</si>
  <si>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</si>
  <si>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</si>
  <si>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</si>
  <si>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</si>
  <si>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</si>
  <si>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</si>
  <si>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</si>
  <si>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</si>
  <si>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>Special</t>
  </si>
  <si>
    <t>TOTAL Base Rates</t>
  </si>
  <si>
    <t>SubTotal Base Rates</t>
  </si>
  <si>
    <t xml:space="preserve">Remaining Revenue Increase Allocated by East Kentucky Power Cooperative:   </t>
  </si>
  <si>
    <t>Base %</t>
  </si>
  <si>
    <t>Total %</t>
  </si>
  <si>
    <t>Present</t>
  </si>
  <si>
    <t>Rate</t>
  </si>
  <si>
    <t>Proposed</t>
  </si>
  <si>
    <t>Energy Charge per kWh</t>
  </si>
  <si>
    <t>Demand Charge per kW</t>
  </si>
  <si>
    <t>Owen Electric Cooperative</t>
  </si>
  <si>
    <t>Schedule 1-D Farm &amp; Home Inclining Block</t>
  </si>
  <si>
    <t>Schedule 1-Small Commercial</t>
  </si>
  <si>
    <t>Schedule II-Large Power</t>
  </si>
  <si>
    <t>Schedule XI- LPB1</t>
  </si>
  <si>
    <t>ETS Off-Peak</t>
  </si>
  <si>
    <t>Schedule XIV LPB</t>
  </si>
  <si>
    <t>Sched. 2-A Large Power TOD Primary Mtrd</t>
  </si>
  <si>
    <t>Sched. 1-B1 Farm &amp; Home Time-of-Day</t>
  </si>
  <si>
    <t>Sched. 1-B2 Farm &amp; Home Time-of-Day</t>
  </si>
  <si>
    <t>Sched. 1-B3 Farm &amp; Home Time-of-Day</t>
  </si>
  <si>
    <t>Sched NM - Net Metering - Residential</t>
  </si>
  <si>
    <t>Sched NM - Net Metering - Small Commercial</t>
  </si>
  <si>
    <t>Sched NM - Net Metering - Large Commercial</t>
  </si>
  <si>
    <t>Prepay Metering Program</t>
  </si>
  <si>
    <t>Energy Charge per kWh (0-300 kWh)</t>
  </si>
  <si>
    <t>Energy Charge per kWh (301-500 kWh)</t>
  </si>
  <si>
    <t>Energy Charge per kWh (over 500 kWh)</t>
  </si>
  <si>
    <t>Demand Charge Excess per kW</t>
  </si>
  <si>
    <t>Energy Charge per kWh first 425</t>
  </si>
  <si>
    <t>Energy Charge per kWh over 425</t>
  </si>
  <si>
    <t>Energy Charge per kWh On Peak</t>
  </si>
  <si>
    <t>Energy Charge per kWh Off Peak</t>
  </si>
  <si>
    <t>Energy On-Peak per kWh</t>
  </si>
  <si>
    <t>Energy Off-Peak per kWh</t>
  </si>
  <si>
    <t>Energy Shoulder per kWh</t>
  </si>
  <si>
    <t>Energy Delivered per kWh</t>
  </si>
  <si>
    <t>Energy Received per kWh</t>
  </si>
  <si>
    <t>Program Fee</t>
  </si>
  <si>
    <t>Demand Credit Interruptible 10 Min</t>
  </si>
  <si>
    <t>Demand Credit Interruptible 90 Min</t>
  </si>
  <si>
    <t xml:space="preserve">Demand Charge per kW  </t>
  </si>
  <si>
    <t>Schedule I OLS - Outdoor Lighting Service</t>
  </si>
  <si>
    <t>Rate 2</t>
  </si>
  <si>
    <t>LED Outdoor Light on existing pole</t>
  </si>
  <si>
    <t>LED Outdoor Light one pole added</t>
  </si>
  <si>
    <t>100 Watt, S/L on existing pole</t>
  </si>
  <si>
    <t>100 Watt, S/L one pole added</t>
  </si>
  <si>
    <t>Rate 3</t>
  </si>
  <si>
    <t>Cobrahead 100 Watt on existing pole</t>
  </si>
  <si>
    <t>Cobrahead 100 Watt, 1 pole added</t>
  </si>
  <si>
    <t>Cobrahead 250 Watt on existing pole</t>
  </si>
  <si>
    <t>Cobrahead 250 Watt, 1 pole added</t>
  </si>
  <si>
    <t>Cobrahead 400 Watt on existing pole</t>
  </si>
  <si>
    <t>Cobrahead 400 Watt, 1 pole added</t>
  </si>
  <si>
    <t>Directional 100 Watt on existing pole</t>
  </si>
  <si>
    <t>Directional 100 Watt, 1 pole added</t>
  </si>
  <si>
    <t>Directional 250 Watt on existing pole</t>
  </si>
  <si>
    <t>Directional 250 Watt, 1 pole added</t>
  </si>
  <si>
    <t>Directional 400 Watt on existing pole</t>
  </si>
  <si>
    <t>Directional 400 Watt, 1 pole added</t>
  </si>
  <si>
    <t>Directional - LED on existing pole (51 watt or equivalent)</t>
  </si>
  <si>
    <t>Directional - LED one pole added (51 watt or equivalent)</t>
  </si>
  <si>
    <t>Directional- LED on existing pole (85 watt or equivalent)</t>
  </si>
  <si>
    <t>Directional - LED one pole added (85 watt or equivalent)</t>
  </si>
  <si>
    <t>Directional - LED on existing pole (129 watt or equivalent)</t>
  </si>
  <si>
    <t>Directional - LED one pole added (129 watt or equivalent)</t>
  </si>
  <si>
    <t>Schedule II SOLS - Special Outdoor Lighting Service</t>
  </si>
  <si>
    <t>Traditional light, w/ fiberglass pole</t>
  </si>
  <si>
    <t>Holophane light, w/ fiberglass pole</t>
  </si>
  <si>
    <t>Acorn - LED w/ fiberglass pole</t>
  </si>
  <si>
    <t>Holophane LED, w/ fiberglass pole</t>
  </si>
  <si>
    <t>Traditionaire LED, w/ fiberglass pole</t>
  </si>
  <si>
    <t>Holophane LED, w/ aluminum pole</t>
  </si>
  <si>
    <t>Schedule III SOLS - Special Outdoor Lighting Service (none)</t>
  </si>
  <si>
    <t>Energy</t>
  </si>
  <si>
    <t>OLS</t>
  </si>
  <si>
    <t>Schedule XIII-LPB2</t>
  </si>
  <si>
    <t>Target Share</t>
  </si>
  <si>
    <t>Schedule I-Farm and Home</t>
  </si>
  <si>
    <t>Interruptible Credit</t>
  </si>
  <si>
    <t xml:space="preserve">    Market Buy-Through Charge</t>
  </si>
  <si>
    <t>Adj for kWh paid with Accum Cred</t>
  </si>
  <si>
    <t>Adj for kWh with zero dollar value</t>
  </si>
  <si>
    <t>Distribution Demand per kW</t>
  </si>
  <si>
    <t>Distribution Energy per kWh</t>
  </si>
  <si>
    <t>Min kWh Adjustment</t>
  </si>
  <si>
    <t>Schedule X - Large Industrial Rate LPC1A</t>
  </si>
  <si>
    <t>Schedule IX - Large Industrial Rate LPC2</t>
  </si>
  <si>
    <t>The amount of the change requested in both dollar amounts and percentage change for each customer classification to which the proposed rates will apply is set forth below:</t>
  </si>
  <si>
    <t>Increase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</si>
  <si>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</si>
  <si>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</si>
  <si>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</si>
  <si>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</si>
  <si>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</si>
  <si>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 4</t>
  </si>
  <si>
    <t>same as LPB</t>
  </si>
  <si>
    <t>&lt;5% discount of Rate 4</t>
  </si>
  <si>
    <t>&lt;5% discount off Rate 22</t>
  </si>
  <si>
    <t>Same as Rate 9</t>
  </si>
  <si>
    <t>Same as Rate 13</t>
  </si>
  <si>
    <t xml:space="preserve">Special Contract </t>
  </si>
  <si>
    <t>Schedule II-Large Power - Primary Metered</t>
  </si>
  <si>
    <t>Schedule VIII- Large Industrial Rate LPC1</t>
  </si>
  <si>
    <t>Schedule XII- Large Industrial Rate LPB1A</t>
  </si>
  <si>
    <t>Present &amp; Proposed Rates</t>
  </si>
  <si>
    <t xml:space="preserve">Sched. 2-A Large Power TOD  </t>
  </si>
  <si>
    <t>Sched. 1-C Small Commercial TOD</t>
  </si>
  <si>
    <t>Cobrahead - LED on existing pole (59 watt or equiv)</t>
  </si>
  <si>
    <t>Cobrahead - LED one pole added (59 watt or equiv)</t>
  </si>
  <si>
    <t>Cobrahead - LED on existing pole (113 watt or equiv)</t>
  </si>
  <si>
    <t>Cobrahead - LED one pole added (113 watt or equiv)</t>
  </si>
  <si>
    <t>Cobrahead - LED on existing pole (225 watt or equiv)</t>
  </si>
  <si>
    <t>Cobrahead - LED one pole added (225 watt or equiv)</t>
  </si>
  <si>
    <t xml:space="preserve">Total Special Contract Increase Allocated by East Kentucky Power Cooperative: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</si>
</sst>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0.000000"/>
    <numFmt numFmtId="173" formatCode="_(&quot;$&quot;* #,##0.000000_);_(&quot;$&quot;* \(#,##0.000000\);_(&quot;$&quot;* &quot;-&quot;??_);_(@_)"/>
    <numFmt numFmtId="17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9" fontId="3" fillId="0" borderId="0" xfId="3" applyFont="1"/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8" fontId="3" fillId="0" borderId="0" xfId="1" applyNumberFormat="1" applyFont="1"/>
    <xf numFmtId="0" fontId="3" fillId="0" borderId="0" xfId="0" applyFont="1" applyFill="1" applyAlignment="1">
      <alignment horizontal="center" vertical="center"/>
    </xf>
    <xf numFmtId="167" fontId="3" fillId="0" borderId="0" xfId="1" applyNumberFormat="1" applyFont="1"/>
    <xf numFmtId="6" fontId="7" fillId="0" borderId="1" xfId="0" applyNumberFormat="1" applyFont="1" applyFill="1" applyBorder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Fill="1" applyAlignment="1"/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44" fontId="3" fillId="0" borderId="0" xfId="2" applyFont="1" applyAlignment="1"/>
    <xf numFmtId="0" fontId="2" fillId="0" borderId="4" xfId="0" applyFont="1" applyBorder="1"/>
    <xf numFmtId="44" fontId="3" fillId="0" borderId="0" xfId="2" applyFont="1"/>
    <xf numFmtId="171" fontId="3" fillId="0" borderId="0" xfId="2" applyNumberFormat="1" applyFont="1"/>
    <xf numFmtId="0" fontId="10" fillId="0" borderId="0" xfId="5" applyFont="1"/>
    <xf numFmtId="0" fontId="7" fillId="0" borderId="0" xfId="5" applyFont="1"/>
    <xf numFmtId="170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horizontal="left"/>
    </xf>
    <xf numFmtId="43" fontId="3" fillId="0" borderId="0" xfId="1" applyNumberFormat="1" applyFont="1" applyAlignment="1"/>
    <xf numFmtId="43" fontId="3" fillId="0" borderId="0" xfId="1" applyFont="1" applyFill="1"/>
    <xf numFmtId="0" fontId="5" fillId="0" borderId="0" xfId="0" applyFont="1" applyAlignment="1">
      <alignment vertical="center"/>
    </xf>
    <xf numFmtId="168" fontId="3" fillId="0" borderId="0" xfId="0" applyNumberFormat="1" applyFont="1"/>
    <xf numFmtId="0" fontId="3" fillId="0" borderId="4" xfId="0" applyFont="1" applyBorder="1"/>
    <xf numFmtId="44" fontId="0" fillId="0" borderId="0" xfId="2" applyFont="1"/>
    <xf numFmtId="44" fontId="2" fillId="0" borderId="4" xfId="2" applyFont="1" applyBorder="1" applyAlignment="1">
      <alignment horizontal="center"/>
    </xf>
    <xf numFmtId="173" fontId="3" fillId="0" borderId="0" xfId="2" applyNumberFormat="1" applyFont="1"/>
    <xf numFmtId="0" fontId="11" fillId="0" borderId="0" xfId="0" applyFont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174" fontId="3" fillId="0" borderId="0" xfId="0" applyNumberFormat="1" applyFont="1"/>
    <xf numFmtId="164" fontId="7" fillId="0" borderId="0" xfId="1" applyNumberFormat="1" applyFont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4" xfId="0" applyFont="1" applyBorder="1" applyAlignment="1"/>
    <xf numFmtId="0" fontId="12" fillId="0" borderId="4" xfId="0" applyFont="1" applyBorder="1" applyAlignment="1"/>
    <xf numFmtId="0" fontId="7" fillId="0" borderId="0" xfId="0" applyFont="1" applyAlignment="1"/>
    <xf numFmtId="174" fontId="3" fillId="0" borderId="0" xfId="0" applyNumberFormat="1" applyFont="1" applyAlignment="1">
      <alignment horizontal="right"/>
    </xf>
    <xf numFmtId="0" fontId="11" fillId="0" borderId="0" xfId="0" applyFont="1" applyAlignment="1"/>
    <xf numFmtId="164" fontId="7" fillId="0" borderId="0" xfId="1" applyNumberFormat="1" applyFont="1" applyAlignment="1">
      <alignment horizontal="center"/>
    </xf>
    <xf numFmtId="170" fontId="3" fillId="0" borderId="0" xfId="1" applyNumberFormat="1" applyFont="1"/>
    <xf numFmtId="0" fontId="3" fillId="2" borderId="0" xfId="0" applyFont="1" applyFill="1"/>
    <xf numFmtId="171" fontId="3" fillId="0" borderId="0" xfId="0" applyNumberFormat="1" applyFont="1"/>
    <xf numFmtId="0" fontId="7" fillId="0" borderId="0" xfId="0" applyFont="1" applyFill="1"/>
    <xf numFmtId="165" fontId="7" fillId="0" borderId="0" xfId="2" applyNumberFormat="1" applyFont="1" applyFill="1" applyAlignment="1"/>
    <xf numFmtId="10" fontId="7" fillId="0" borderId="0" xfId="3" applyNumberFormat="1" applyFont="1" applyFill="1" applyAlignment="1"/>
    <xf numFmtId="165" fontId="7" fillId="0" borderId="2" xfId="2" applyNumberFormat="1" applyFont="1" applyFill="1" applyBorder="1" applyAlignment="1"/>
    <xf numFmtId="10" fontId="7" fillId="0" borderId="2" xfId="3" applyNumberFormat="1" applyFont="1" applyFill="1" applyBorder="1" applyAlignment="1"/>
    <xf numFmtId="43" fontId="7" fillId="0" borderId="0" xfId="1" applyFont="1" applyFill="1"/>
    <xf numFmtId="167" fontId="7" fillId="0" borderId="0" xfId="1" applyNumberFormat="1" applyFont="1" applyFill="1"/>
    <xf numFmtId="168" fontId="7" fillId="0" borderId="0" xfId="1" applyNumberFormat="1" applyFont="1" applyFill="1"/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4" xfId="0" applyFont="1" applyFill="1" applyBorder="1" applyAlignment="1">
      <alignment horizontal="right" wrapText="1"/>
    </xf>
    <xf numFmtId="0" fontId="12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7" fillId="0" borderId="6" xfId="0" applyFont="1" applyFill="1" applyBorder="1"/>
    <xf numFmtId="164" fontId="7" fillId="0" borderId="0" xfId="1" applyNumberFormat="1" applyFont="1" applyFill="1"/>
    <xf numFmtId="165" fontId="7" fillId="0" borderId="0" xfId="2" applyNumberFormat="1" applyFont="1" applyFill="1"/>
    <xf numFmtId="10" fontId="7" fillId="0" borderId="0" xfId="3" applyNumberFormat="1" applyFont="1" applyFill="1"/>
    <xf numFmtId="10" fontId="7" fillId="0" borderId="0" xfId="0" applyNumberFormat="1" applyFont="1" applyFill="1"/>
    <xf numFmtId="166" fontId="7" fillId="0" borderId="0" xfId="0" applyNumberFormat="1" applyFont="1" applyFill="1"/>
    <xf numFmtId="0" fontId="7" fillId="0" borderId="5" xfId="0" applyFont="1" applyFill="1" applyBorder="1" applyAlignment="1">
      <alignment vertical="center"/>
    </xf>
    <xf numFmtId="168" fontId="7" fillId="0" borderId="5" xfId="0" applyNumberFormat="1" applyFont="1" applyFill="1" applyBorder="1" applyAlignment="1">
      <alignment vertical="center"/>
    </xf>
    <xf numFmtId="10" fontId="7" fillId="0" borderId="5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Fill="1" applyBorder="1" applyAlignment="1">
      <alignment vertical="center"/>
    </xf>
    <xf numFmtId="44" fontId="7" fillId="0" borderId="5" xfId="2" applyFont="1" applyFill="1" applyBorder="1" applyAlignment="1">
      <alignment vertical="center"/>
    </xf>
    <xf numFmtId="165" fontId="7" fillId="0" borderId="0" xfId="0" applyNumberFormat="1" applyFont="1" applyFill="1"/>
    <xf numFmtId="169" fontId="7" fillId="0" borderId="0" xfId="3" applyNumberFormat="1" applyFont="1" applyFill="1"/>
    <xf numFmtId="0" fontId="7" fillId="0" borderId="5" xfId="0" applyFont="1" applyFill="1" applyBorder="1"/>
    <xf numFmtId="165" fontId="7" fillId="0" borderId="5" xfId="2" applyNumberFormat="1" applyFont="1" applyFill="1" applyBorder="1"/>
    <xf numFmtId="43" fontId="7" fillId="0" borderId="5" xfId="1" applyFont="1" applyFill="1" applyBorder="1"/>
    <xf numFmtId="0" fontId="7" fillId="0" borderId="3" xfId="0" applyFont="1" applyFill="1" applyBorder="1" applyAlignment="1">
      <alignment vertical="center"/>
    </xf>
    <xf numFmtId="165" fontId="7" fillId="0" borderId="3" xfId="2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10" fontId="7" fillId="0" borderId="3" xfId="3" applyNumberFormat="1" applyFont="1" applyFill="1" applyBorder="1" applyAlignment="1">
      <alignment vertical="center"/>
    </xf>
    <xf numFmtId="44" fontId="7" fillId="0" borderId="0" xfId="0" applyNumberFormat="1" applyFont="1" applyFill="1"/>
    <xf numFmtId="167" fontId="7" fillId="0" borderId="0" xfId="0" applyNumberFormat="1" applyFont="1" applyFill="1"/>
    <xf numFmtId="166" fontId="7" fillId="0" borderId="5" xfId="0" applyNumberFormat="1" applyFont="1" applyFill="1" applyBorder="1" applyAlignment="1">
      <alignment vertical="center"/>
    </xf>
    <xf numFmtId="172" fontId="7" fillId="0" borderId="0" xfId="0" applyNumberFormat="1" applyFont="1" applyFill="1"/>
    <xf numFmtId="168" fontId="7" fillId="0" borderId="0" xfId="0" applyNumberFormat="1" applyFont="1" applyFill="1"/>
    <xf numFmtId="165" fontId="7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5" fontId="7" fillId="0" borderId="5" xfId="0" applyNumberFormat="1" applyFont="1" applyFill="1" applyBorder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7BB8BC8-C5A2-4D23-8181-BEF9162D0260}"/>
    <cellStyle name="Normal 2 2" xfId="5" xr:uid="{C9D1529C-2A68-4361-964F-3196B242D172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76353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Y47"/>
  <sheetViews>
    <sheetView view="pageBreakPreview" zoomScale="60" zoomScaleNormal="75" workbookViewId="0">
      <selection activeCell="P23" sqref="P23"/>
    </sheetView>
  </sheetViews>
  <sheetFormatPr defaultRowHeight="13.2" x14ac:dyDescent="0.25"/>
  <cols>
    <col min="1" max="1" width="9" style="2" bestFit="1" customWidth="1"/>
    <col min="2" max="2" width="40.109375" style="2" bestFit="1" customWidth="1"/>
    <col min="3" max="3" width="9.44140625" style="16" bestFit="1" customWidth="1"/>
    <col min="4" max="5" width="14.21875" style="2" bestFit="1" customWidth="1"/>
    <col min="6" max="6" width="9.5546875" style="2" bestFit="1" customWidth="1"/>
    <col min="7" max="7" width="14.21875" style="2" bestFit="1" customWidth="1"/>
    <col min="8" max="8" width="10.6640625" style="2" bestFit="1" customWidth="1"/>
    <col min="9" max="9" width="12.33203125" style="2" bestFit="1" customWidth="1"/>
    <col min="10" max="10" width="14.21875" style="2" bestFit="1" customWidth="1"/>
    <col min="11" max="11" width="11.5546875" style="2" customWidth="1"/>
    <col min="12" max="12" width="13.77734375" style="2" bestFit="1" customWidth="1"/>
    <col min="13" max="14" width="9.21875" style="2" bestFit="1" customWidth="1"/>
    <col min="15" max="15" width="11.44140625" style="2" bestFit="1" customWidth="1"/>
    <col min="16" max="16" width="22.77734375" style="2" customWidth="1"/>
    <col min="17" max="17" width="6.77734375" style="2" customWidth="1"/>
    <col min="18" max="18" width="14.5546875" style="2" customWidth="1"/>
    <col min="19" max="19" width="8.88671875" style="69"/>
    <col min="20" max="21" width="8.88671875" style="2"/>
    <col min="22" max="23" width="12.6640625" style="2" bestFit="1" customWidth="1"/>
    <col min="24" max="24" width="12.21875" style="2" bestFit="1" customWidth="1"/>
    <col min="25" max="16384" width="8.88671875" style="2"/>
  </cols>
  <sheetData>
    <row r="1" spans="1:25" x14ac:dyDescent="0.25">
      <c r="A1" s="1" t="s">
        <v>55</v>
      </c>
    </row>
    <row r="2" spans="1:25" x14ac:dyDescent="0.25">
      <c r="A2" s="1" t="s">
        <v>0</v>
      </c>
    </row>
    <row r="3" spans="1:25" x14ac:dyDescent="0.25">
      <c r="A3" s="1"/>
      <c r="M3" s="5"/>
      <c r="N3" s="5"/>
    </row>
    <row r="4" spans="1:25" x14ac:dyDescent="0.25">
      <c r="A4" s="1"/>
      <c r="K4" s="27" t="s">
        <v>40</v>
      </c>
      <c r="L4" s="38">
        <v>7906171</v>
      </c>
      <c r="M4" s="6">
        <f>L4/E34</f>
        <v>4.9776474771318954E-2</v>
      </c>
      <c r="N4" s="6"/>
      <c r="O4" s="6"/>
    </row>
    <row r="5" spans="1:25" x14ac:dyDescent="0.25">
      <c r="K5" s="27" t="s">
        <v>160</v>
      </c>
      <c r="L5" s="38">
        <v>3381554</v>
      </c>
      <c r="M5" s="6">
        <f>L5/E32</f>
        <v>8.5715156150825575E-2</v>
      </c>
      <c r="N5" s="6"/>
    </row>
    <row r="6" spans="1:25" x14ac:dyDescent="0.25">
      <c r="B6" s="3"/>
      <c r="C6" s="70"/>
      <c r="K6" s="27" t="s">
        <v>47</v>
      </c>
      <c r="L6" s="38">
        <f>L4-L5</f>
        <v>4524617</v>
      </c>
      <c r="M6" s="6">
        <f>L6/E30</f>
        <v>3.7900194029613934E-2</v>
      </c>
      <c r="N6" s="6"/>
    </row>
    <row r="7" spans="1:25" x14ac:dyDescent="0.25">
      <c r="L7" s="115"/>
      <c r="M7" s="6"/>
      <c r="N7" s="6"/>
    </row>
    <row r="8" spans="1:25" s="11" customFormat="1" ht="31.8" customHeight="1" x14ac:dyDescent="0.25">
      <c r="A8" s="9" t="s">
        <v>1</v>
      </c>
      <c r="B8" s="9" t="s">
        <v>2</v>
      </c>
      <c r="C8" s="10" t="s">
        <v>12</v>
      </c>
      <c r="D8" s="30" t="s">
        <v>22</v>
      </c>
      <c r="E8" s="30" t="s">
        <v>3</v>
      </c>
      <c r="F8" s="30" t="s">
        <v>23</v>
      </c>
      <c r="G8" s="30" t="s">
        <v>35</v>
      </c>
      <c r="H8" s="30" t="s">
        <v>36</v>
      </c>
      <c r="I8" s="30" t="s">
        <v>37</v>
      </c>
      <c r="J8" s="30" t="s">
        <v>4</v>
      </c>
      <c r="K8" s="30" t="s">
        <v>25</v>
      </c>
      <c r="L8" s="30" t="s">
        <v>5</v>
      </c>
      <c r="M8" s="30" t="s">
        <v>48</v>
      </c>
      <c r="N8" s="30" t="s">
        <v>49</v>
      </c>
      <c r="O8" s="12" t="s">
        <v>39</v>
      </c>
      <c r="R8" s="2"/>
      <c r="S8" s="69"/>
      <c r="T8" s="2"/>
      <c r="U8" s="2"/>
    </row>
    <row r="9" spans="1:25" s="43" customFormat="1" x14ac:dyDescent="0.25">
      <c r="A9" s="4">
        <v>1</v>
      </c>
      <c r="B9" s="39" t="s">
        <v>6</v>
      </c>
      <c r="C9" s="71"/>
      <c r="D9" s="39"/>
      <c r="E9" s="40"/>
      <c r="F9" s="41"/>
      <c r="G9" s="41"/>
      <c r="H9" s="11"/>
      <c r="I9" s="11"/>
      <c r="J9" s="40"/>
      <c r="K9" s="41"/>
      <c r="L9" s="40"/>
      <c r="M9" s="42"/>
      <c r="N9" s="42"/>
      <c r="Q9" s="11"/>
      <c r="R9" s="2"/>
      <c r="S9" s="69"/>
      <c r="T9" s="2"/>
      <c r="U9" s="2"/>
      <c r="V9" s="11"/>
    </row>
    <row r="10" spans="1:25" s="43" customFormat="1" x14ac:dyDescent="0.25">
      <c r="A10" s="4">
        <f>A9+1</f>
        <v>2</v>
      </c>
      <c r="B10" s="43" t="str">
        <f>'Billing Detail'!B7</f>
        <v>Schedule I-Farm and Home</v>
      </c>
      <c r="C10" s="16">
        <f>'Billing Detail'!C7</f>
        <v>1</v>
      </c>
      <c r="D10" s="44">
        <f>'Billing Detail'!G10</f>
        <v>77669831.871299997</v>
      </c>
      <c r="E10" s="44">
        <f>'Billing Detail'!I10</f>
        <v>76458687.379860014</v>
      </c>
      <c r="F10" s="42">
        <f t="shared" ref="F10:F19" si="0">E10/E$30</f>
        <v>0.64045179668163932</v>
      </c>
      <c r="G10" s="116">
        <f>E10</f>
        <v>76458687.379860014</v>
      </c>
      <c r="H10" s="117">
        <f t="shared" ref="H10:H19" si="1">G10/G$30</f>
        <v>0.64045179668163932</v>
      </c>
      <c r="I10" s="116">
        <f>ROUND(L$6*H10,2)</f>
        <v>2897799.09</v>
      </c>
      <c r="J10" s="44">
        <f>'Billing Detail'!M10</f>
        <v>79358046.250344008</v>
      </c>
      <c r="K10" s="42">
        <f t="shared" ref="K10:K18" si="2">J10/J$30</f>
        <v>0.64025313323517197</v>
      </c>
      <c r="L10" s="44">
        <f>'Billing Detail'!N10</f>
        <v>2899358.8704839982</v>
      </c>
      <c r="M10" s="42">
        <f>IF(E10=0,0,L10/E10)</f>
        <v>3.7920594373788821E-2</v>
      </c>
      <c r="N10" s="42">
        <f>'Billing Detail'!O16</f>
        <v>3.5096647000067378E-2</v>
      </c>
      <c r="O10" s="46">
        <f>J10-I10-E10</f>
        <v>1559.7804839909077</v>
      </c>
      <c r="Q10" s="69"/>
      <c r="R10" s="2"/>
      <c r="S10" s="69"/>
      <c r="T10" s="2"/>
      <c r="U10" s="2"/>
      <c r="V10" s="86"/>
      <c r="W10" s="46"/>
      <c r="X10" s="46"/>
      <c r="Y10" s="87"/>
    </row>
    <row r="11" spans="1:25" s="43" customFormat="1" x14ac:dyDescent="0.25">
      <c r="A11" s="4">
        <f t="shared" ref="A11:A46" si="3">A10+1</f>
        <v>3</v>
      </c>
      <c r="B11" s="43" t="str">
        <f>'Billing Detail'!B19</f>
        <v>Schedule 1-D Farm &amp; Home Inclining Block</v>
      </c>
      <c r="C11" s="16">
        <f>'Billing Detail'!C19</f>
        <v>2</v>
      </c>
      <c r="D11" s="44">
        <f>'Billing Detail'!G24</f>
        <v>576678.44961000001</v>
      </c>
      <c r="E11" s="44">
        <f>'Billing Detail'!I24</f>
        <v>570934.54677000002</v>
      </c>
      <c r="F11" s="42">
        <f t="shared" si="0"/>
        <v>4.7824003889815848E-3</v>
      </c>
      <c r="G11" s="116">
        <f t="shared" ref="G11:G29" si="4">E11</f>
        <v>570934.54677000002</v>
      </c>
      <c r="H11" s="117">
        <f t="shared" si="1"/>
        <v>4.7824003889815848E-3</v>
      </c>
      <c r="I11" s="116">
        <f t="shared" ref="I11:I29" si="5">ROUND(L$6*H11,2)</f>
        <v>21638.53</v>
      </c>
      <c r="J11" s="44">
        <f>'Billing Detail'!M24</f>
        <v>592602.07973</v>
      </c>
      <c r="K11" s="42">
        <f t="shared" si="2"/>
        <v>4.7810569467890219E-3</v>
      </c>
      <c r="L11" s="44">
        <f>'Billing Detail'!N24</f>
        <v>21667.532960000026</v>
      </c>
      <c r="M11" s="42">
        <f t="shared" ref="M11:M29" si="6">IF(E11=0,0,L11/E11)</f>
        <v>3.7950992951086483E-2</v>
      </c>
      <c r="N11" s="42">
        <f>'Billing Detail'!O30</f>
        <v>3.4802318333332007E-2</v>
      </c>
      <c r="O11" s="46">
        <f t="shared" ref="O11:O30" si="7">J11-I11-E11</f>
        <v>29.002959999954328</v>
      </c>
      <c r="Q11" s="69"/>
      <c r="R11" s="2"/>
      <c r="S11" s="69"/>
      <c r="T11" s="2"/>
      <c r="U11" s="2"/>
      <c r="V11" s="86"/>
      <c r="W11" s="46"/>
      <c r="X11" s="46"/>
      <c r="Y11" s="87"/>
    </row>
    <row r="12" spans="1:25" s="43" customFormat="1" x14ac:dyDescent="0.25">
      <c r="A12" s="4">
        <f t="shared" si="3"/>
        <v>4</v>
      </c>
      <c r="B12" s="43" t="str">
        <f>'Billing Detail'!B33</f>
        <v>Schedule 1-Small Commercial</v>
      </c>
      <c r="C12" s="16">
        <f>'Billing Detail'!C33</f>
        <v>3</v>
      </c>
      <c r="D12" s="44">
        <f>'Billing Detail'!G36</f>
        <v>5181809.5104</v>
      </c>
      <c r="E12" s="44">
        <f>'Billing Detail'!I36</f>
        <v>5100400.7856000001</v>
      </c>
      <c r="F12" s="42">
        <f t="shared" si="0"/>
        <v>4.2723213788710815E-2</v>
      </c>
      <c r="G12" s="116">
        <f t="shared" si="4"/>
        <v>5100400.7856000001</v>
      </c>
      <c r="H12" s="117">
        <f t="shared" si="1"/>
        <v>4.2723213788710815E-2</v>
      </c>
      <c r="I12" s="116">
        <f t="shared" si="5"/>
        <v>193306.18</v>
      </c>
      <c r="J12" s="44">
        <f>'Billing Detail'!M36</f>
        <v>5293790.1852000002</v>
      </c>
      <c r="K12" s="42">
        <f t="shared" si="2"/>
        <v>4.2709793309071153E-2</v>
      </c>
      <c r="L12" s="44">
        <f>'Billing Detail'!N36</f>
        <v>193389.39959999989</v>
      </c>
      <c r="M12" s="42">
        <f t="shared" si="6"/>
        <v>3.7916510433061976E-2</v>
      </c>
      <c r="N12" s="42">
        <f>'Billing Detail'!O42</f>
        <v>3.5078081402665169E-2</v>
      </c>
      <c r="O12" s="46">
        <f t="shared" si="7"/>
        <v>83.219600000418723</v>
      </c>
      <c r="Q12" s="69"/>
      <c r="R12" s="2"/>
      <c r="S12" s="69"/>
      <c r="T12" s="2"/>
      <c r="U12" s="2"/>
      <c r="V12" s="86"/>
      <c r="W12" s="46"/>
      <c r="X12" s="46"/>
      <c r="Y12" s="87"/>
    </row>
    <row r="13" spans="1:25" s="43" customFormat="1" x14ac:dyDescent="0.25">
      <c r="A13" s="4">
        <f t="shared" si="3"/>
        <v>5</v>
      </c>
      <c r="B13" s="43" t="str">
        <f>'Billing Detail'!B45</f>
        <v>Schedule II-Large Power</v>
      </c>
      <c r="C13" s="16">
        <f>'Billing Detail'!C45</f>
        <v>4</v>
      </c>
      <c r="D13" s="44">
        <f>'Billing Detail'!G49</f>
        <v>16306277.272980001</v>
      </c>
      <c r="E13" s="44">
        <f>'Billing Detail'!I49</f>
        <v>15992037.361019999</v>
      </c>
      <c r="F13" s="42">
        <f t="shared" si="0"/>
        <v>0.13395638103987434</v>
      </c>
      <c r="G13" s="116">
        <f t="shared" si="4"/>
        <v>15992037.361019999</v>
      </c>
      <c r="H13" s="117">
        <f t="shared" si="1"/>
        <v>0.13395638103987434</v>
      </c>
      <c r="I13" s="116">
        <f>ROUND(L$6*H13,2)</f>
        <v>606101.31999999995</v>
      </c>
      <c r="J13" s="44">
        <f>'Billing Detail'!M49</f>
        <v>16596687.033590002</v>
      </c>
      <c r="K13" s="42">
        <f t="shared" si="2"/>
        <v>0.13390048491186851</v>
      </c>
      <c r="L13" s="44">
        <f>'Billing Detail'!N49</f>
        <v>604649.67257000273</v>
      </c>
      <c r="M13" s="42">
        <f>IF(E13=0,0,L13/E13)</f>
        <v>3.780942095869623E-2</v>
      </c>
      <c r="N13" s="42">
        <f>'Billing Detail'!O55</f>
        <v>3.5290054099874305E-2</v>
      </c>
      <c r="O13" s="46">
        <f>J13-I13-E13</f>
        <v>-1451.6474299971014</v>
      </c>
      <c r="Q13" s="69"/>
      <c r="R13" s="2"/>
      <c r="S13" s="69"/>
      <c r="T13" s="2"/>
      <c r="U13" s="2"/>
      <c r="V13" s="86"/>
      <c r="W13" s="46"/>
      <c r="X13" s="46"/>
      <c r="Y13" s="87"/>
    </row>
    <row r="14" spans="1:25" s="43" customFormat="1" x14ac:dyDescent="0.25">
      <c r="A14" s="4">
        <f t="shared" si="3"/>
        <v>6</v>
      </c>
      <c r="B14" s="43" t="str">
        <f>'Billing Detail'!B58</f>
        <v>Schedule II-Large Power - Primary Metered</v>
      </c>
      <c r="C14" s="16">
        <f>'Billing Detail'!C58</f>
        <v>5</v>
      </c>
      <c r="D14" s="44">
        <f>'Billing Detail'!G62</f>
        <v>1387308.612</v>
      </c>
      <c r="E14" s="44">
        <f>'Billing Detail'!I62</f>
        <v>1361078.868</v>
      </c>
      <c r="F14" s="42">
        <f t="shared" si="0"/>
        <v>1.1400998844058468E-2</v>
      </c>
      <c r="G14" s="116">
        <f t="shared" si="4"/>
        <v>1361078.868</v>
      </c>
      <c r="H14" s="117">
        <f t="shared" si="1"/>
        <v>1.1400998844058468E-2</v>
      </c>
      <c r="I14" s="116">
        <f t="shared" ref="I14" si="8">ROUND(L$6*H14,2)</f>
        <v>51585.15</v>
      </c>
      <c r="J14" s="44">
        <f>'Billing Detail'!M62</f>
        <v>1412723.3479999998</v>
      </c>
      <c r="K14" s="42">
        <f t="shared" si="2"/>
        <v>1.1397716963672871E-2</v>
      </c>
      <c r="L14" s="44">
        <f>'Billing Detail'!N62</f>
        <v>51644.479999999887</v>
      </c>
      <c r="M14" s="42">
        <f t="shared" ref="M14" si="9">IF(E14=0,0,L14/E14)</f>
        <v>3.7943782108591145E-2</v>
      </c>
      <c r="N14" s="42">
        <f>'Billing Detail'!O68</f>
        <v>3.5471569535451004E-2</v>
      </c>
      <c r="O14" s="46">
        <f t="shared" ref="O14" si="10">J14-I14-E14</f>
        <v>59.329999999841675</v>
      </c>
      <c r="Q14" s="69"/>
      <c r="R14" s="2"/>
      <c r="S14" s="69"/>
      <c r="T14" s="2"/>
      <c r="U14" s="2"/>
      <c r="V14" s="86"/>
      <c r="W14" s="46"/>
      <c r="X14" s="46"/>
      <c r="Y14" s="87"/>
    </row>
    <row r="15" spans="1:25" s="43" customFormat="1" x14ac:dyDescent="0.25">
      <c r="A15" s="4">
        <f t="shared" si="3"/>
        <v>7</v>
      </c>
      <c r="B15" s="43" t="str">
        <f>'Billing Detail'!B71</f>
        <v>Schedule XI- LPB1</v>
      </c>
      <c r="C15" s="16">
        <f>'Billing Detail'!C71</f>
        <v>9</v>
      </c>
      <c r="D15" s="44">
        <f>'Billing Detail'!G77</f>
        <v>7760387.5699100001</v>
      </c>
      <c r="E15" s="44">
        <f>'Billing Detail'!I77</f>
        <v>7569137.4136699997</v>
      </c>
      <c r="F15" s="42">
        <f t="shared" si="0"/>
        <v>6.3402444143869682E-2</v>
      </c>
      <c r="G15" s="116">
        <f t="shared" si="4"/>
        <v>7569137.4136699997</v>
      </c>
      <c r="H15" s="117">
        <f t="shared" si="1"/>
        <v>6.3402444143869682E-2</v>
      </c>
      <c r="I15" s="116">
        <f t="shared" si="5"/>
        <v>286871.78000000003</v>
      </c>
      <c r="J15" s="44">
        <f>'Billing Detail'!M77</f>
        <v>7854652.2438999992</v>
      </c>
      <c r="K15" s="42">
        <f t="shared" si="2"/>
        <v>6.337058366791444E-2</v>
      </c>
      <c r="L15" s="44">
        <f>'Billing Detail'!N77</f>
        <v>285514.83022999973</v>
      </c>
      <c r="M15" s="42">
        <f t="shared" si="6"/>
        <v>3.7720920446543189E-2</v>
      </c>
      <c r="N15" s="42">
        <f>'Billing Detail'!O83</f>
        <v>3.4831309588636859E-2</v>
      </c>
      <c r="O15" s="46">
        <f t="shared" si="7"/>
        <v>-1356.9497700007632</v>
      </c>
      <c r="Q15" s="69"/>
      <c r="R15" s="2"/>
      <c r="S15" s="69"/>
      <c r="T15" s="2"/>
      <c r="U15" s="2"/>
      <c r="V15" s="86"/>
      <c r="W15" s="46"/>
      <c r="X15" s="46"/>
      <c r="Y15" s="87"/>
    </row>
    <row r="16" spans="1:25" s="43" customFormat="1" x14ac:dyDescent="0.25">
      <c r="A16" s="4">
        <f t="shared" si="3"/>
        <v>8</v>
      </c>
      <c r="B16" s="43" t="str">
        <f>'Billing Detail'!B86</f>
        <v>ETS Off-Peak</v>
      </c>
      <c r="C16" s="16">
        <f>'Billing Detail'!C86</f>
        <v>10</v>
      </c>
      <c r="D16" s="44">
        <f>'Billing Detail'!G89</f>
        <v>748.67898000000002</v>
      </c>
      <c r="E16" s="44">
        <f>'Billing Detail'!I89</f>
        <v>734.45301999999992</v>
      </c>
      <c r="F16" s="42">
        <f t="shared" si="0"/>
        <v>6.1521034738710304E-6</v>
      </c>
      <c r="G16" s="116">
        <f t="shared" si="4"/>
        <v>734.45301999999992</v>
      </c>
      <c r="H16" s="117">
        <f t="shared" si="1"/>
        <v>6.1521034738710304E-6</v>
      </c>
      <c r="I16" s="116">
        <f t="shared" ref="I16" si="11">ROUND(L$6*H16,2)</f>
        <v>27.84</v>
      </c>
      <c r="J16" s="44">
        <f>'Billing Detail'!M89</f>
        <v>762.36011600000006</v>
      </c>
      <c r="K16" s="42">
        <f t="shared" si="2"/>
        <v>6.1506485603583441E-6</v>
      </c>
      <c r="L16" s="44">
        <f>'Billing Detail'!N89</f>
        <v>27.907096000000138</v>
      </c>
      <c r="M16" s="42">
        <f t="shared" si="6"/>
        <v>3.7997115186482779E-2</v>
      </c>
      <c r="N16" s="42">
        <f>'Billing Detail'!O95</f>
        <v>3.6346259005100988E-2</v>
      </c>
      <c r="O16" s="46">
        <f t="shared" ref="O16" si="12">J16-I16-E16</f>
        <v>6.709600000010596E-2</v>
      </c>
      <c r="Q16" s="69"/>
      <c r="R16" s="2"/>
      <c r="S16" s="69"/>
      <c r="T16" s="2"/>
      <c r="U16" s="2"/>
      <c r="V16" s="86"/>
      <c r="W16" s="46"/>
      <c r="X16" s="46"/>
      <c r="Y16" s="87"/>
    </row>
    <row r="17" spans="1:25" s="43" customFormat="1" x14ac:dyDescent="0.25">
      <c r="A17" s="4">
        <f t="shared" si="3"/>
        <v>9</v>
      </c>
      <c r="B17" s="43" t="str">
        <f>'Billing Detail'!B98</f>
        <v>Schedule XIV LPB</v>
      </c>
      <c r="C17" s="16">
        <f>'Billing Detail'!C98</f>
        <v>12</v>
      </c>
      <c r="D17" s="44">
        <f>'Billing Detail'!G103</f>
        <v>935400.25840000005</v>
      </c>
      <c r="E17" s="44">
        <f>'Billing Detail'!I103</f>
        <v>913643.96176000009</v>
      </c>
      <c r="F17" s="42">
        <f t="shared" si="0"/>
        <v>7.6530860898699664E-3</v>
      </c>
      <c r="G17" s="116">
        <f t="shared" si="4"/>
        <v>913643.96176000009</v>
      </c>
      <c r="H17" s="117">
        <f t="shared" si="1"/>
        <v>7.6530860898699664E-3</v>
      </c>
      <c r="I17" s="116">
        <f t="shared" si="5"/>
        <v>34627.279999999999</v>
      </c>
      <c r="J17" s="44">
        <f>'Billing Detail'!M103</f>
        <v>948093.09408000007</v>
      </c>
      <c r="K17" s="42">
        <f t="shared" si="2"/>
        <v>7.6491244777931689E-3</v>
      </c>
      <c r="L17" s="44">
        <f>'Billing Detail'!N103</f>
        <v>34449.132319999968</v>
      </c>
      <c r="M17" s="42">
        <f t="shared" si="6"/>
        <v>3.7705204392353017E-2</v>
      </c>
      <c r="N17" s="42">
        <f>'Billing Detail'!O109</f>
        <v>3.4790713515380413E-2</v>
      </c>
      <c r="O17" s="46">
        <f t="shared" si="7"/>
        <v>-178.14768000005279</v>
      </c>
      <c r="Q17" s="69"/>
      <c r="R17" s="2"/>
      <c r="S17" s="69"/>
      <c r="T17" s="2"/>
      <c r="U17" s="2"/>
      <c r="V17" s="86"/>
      <c r="W17" s="46"/>
      <c r="X17" s="46"/>
      <c r="Y17" s="87"/>
    </row>
    <row r="18" spans="1:25" s="43" customFormat="1" x14ac:dyDescent="0.25">
      <c r="A18" s="4">
        <f t="shared" si="3"/>
        <v>10</v>
      </c>
      <c r="B18" s="43" t="str">
        <f>'Billing Detail'!B112</f>
        <v>Schedule XIII-LPB2</v>
      </c>
      <c r="C18" s="16">
        <f>'Billing Detail'!C112</f>
        <v>13</v>
      </c>
      <c r="D18" s="44">
        <f>'Billing Detail'!G119</f>
        <v>8292894.883390001</v>
      </c>
      <c r="E18" s="44">
        <f>'Billing Detail'!I119</f>
        <v>8024703.9468700001</v>
      </c>
      <c r="F18" s="42">
        <f t="shared" si="0"/>
        <v>6.7218471003530636E-2</v>
      </c>
      <c r="G18" s="116">
        <f t="shared" si="4"/>
        <v>8024703.9468700001</v>
      </c>
      <c r="H18" s="117">
        <f t="shared" si="1"/>
        <v>6.7218471003530636E-2</v>
      </c>
      <c r="I18" s="116">
        <f t="shared" ref="I18:I25" si="13">ROUND(L$6*H18,2)</f>
        <v>304137.84000000003</v>
      </c>
      <c r="J18" s="44">
        <f>'Billing Detail'!M119</f>
        <v>8373030.8363699997</v>
      </c>
      <c r="K18" s="42">
        <f t="shared" si="2"/>
        <v>6.7552812612714327E-2</v>
      </c>
      <c r="L18" s="44">
        <f>'Billing Detail'!N119</f>
        <v>348326.88950000016</v>
      </c>
      <c r="M18" s="42">
        <f t="shared" si="6"/>
        <v>4.3406821211873309E-2</v>
      </c>
      <c r="N18" s="42">
        <f>'Billing Detail'!O125</f>
        <v>4.0390100131689269E-2</v>
      </c>
      <c r="O18" s="46">
        <f t="shared" ref="O18:O20" si="14">J18-I18-E18</f>
        <v>44189.049499999732</v>
      </c>
      <c r="Q18" s="69"/>
      <c r="R18" s="2"/>
      <c r="S18" s="69"/>
      <c r="T18" s="2"/>
      <c r="U18" s="2"/>
      <c r="V18" s="86"/>
      <c r="W18" s="46"/>
      <c r="X18" s="46"/>
      <c r="Y18" s="87"/>
    </row>
    <row r="19" spans="1:25" s="43" customFormat="1" x14ac:dyDescent="0.25">
      <c r="A19" s="4">
        <f t="shared" si="3"/>
        <v>11</v>
      </c>
      <c r="B19" s="43" t="str">
        <f>'Billing Detail'!B128</f>
        <v xml:space="preserve">Sched. 2-A Large Power TOD  </v>
      </c>
      <c r="C19" s="16">
        <f>'Billing Detail'!C128</f>
        <v>20</v>
      </c>
      <c r="D19" s="44">
        <f>'Billing Detail'!G132</f>
        <v>169553.95879999999</v>
      </c>
      <c r="E19" s="44">
        <f>'Billing Detail'!I132</f>
        <v>166457.5772</v>
      </c>
      <c r="F19" s="42">
        <f t="shared" si="0"/>
        <v>1.3943223202272017E-3</v>
      </c>
      <c r="G19" s="116">
        <f t="shared" si="4"/>
        <v>166457.5772</v>
      </c>
      <c r="H19" s="117">
        <f t="shared" si="1"/>
        <v>1.3943223202272017E-3</v>
      </c>
      <c r="I19" s="116">
        <f t="shared" si="13"/>
        <v>6308.77</v>
      </c>
      <c r="J19" s="44">
        <f>'Billing Detail'!M132</f>
        <v>172765.4964</v>
      </c>
      <c r="K19" s="42">
        <f t="shared" ref="K19:K25" si="15">J19/J$30</f>
        <v>1.3938555144879254E-3</v>
      </c>
      <c r="L19" s="44">
        <f>'Billing Detail'!N132</f>
        <v>6307.9191999999866</v>
      </c>
      <c r="M19" s="42">
        <f t="shared" si="6"/>
        <v>3.7895055942217488E-2</v>
      </c>
      <c r="N19" s="42">
        <f>'Billing Detail'!O138</f>
        <v>3.5659526610125211E-2</v>
      </c>
      <c r="O19" s="46">
        <f t="shared" si="14"/>
        <v>-0.85079999998561107</v>
      </c>
      <c r="Q19" s="69"/>
      <c r="R19" s="2"/>
      <c r="S19" s="69"/>
      <c r="T19" s="2"/>
      <c r="U19" s="2"/>
      <c r="V19" s="86"/>
      <c r="W19" s="46"/>
      <c r="X19" s="46"/>
      <c r="Y19" s="87"/>
    </row>
    <row r="20" spans="1:25" s="43" customFormat="1" x14ac:dyDescent="0.25">
      <c r="A20" s="4">
        <f t="shared" si="3"/>
        <v>12</v>
      </c>
      <c r="B20" s="43" t="str">
        <f>'Billing Detail'!B141</f>
        <v>Sched. 1-C Small Commercial TOD</v>
      </c>
      <c r="C20" s="16">
        <f>'Billing Detail'!C141</f>
        <v>22</v>
      </c>
      <c r="D20" s="44">
        <f>'Billing Detail'!G145</f>
        <v>142184.20996000001</v>
      </c>
      <c r="E20" s="44">
        <f>'Billing Detail'!I145</f>
        <v>139576.3486</v>
      </c>
      <c r="F20" s="42">
        <f t="shared" ref="F20:F23" si="16">E20/E$30</f>
        <v>1.1691532551561896E-3</v>
      </c>
      <c r="G20" s="116">
        <f t="shared" si="4"/>
        <v>139576.3486</v>
      </c>
      <c r="H20" s="117">
        <f t="shared" ref="H20:H23" si="17">G20/G$30</f>
        <v>1.1691532551561896E-3</v>
      </c>
      <c r="I20" s="116">
        <f t="shared" si="13"/>
        <v>5289.97</v>
      </c>
      <c r="J20" s="44">
        <f>'Billing Detail'!M145</f>
        <v>144862.10526000001</v>
      </c>
      <c r="K20" s="42">
        <f t="shared" si="15"/>
        <v>1.1687336213793979E-3</v>
      </c>
      <c r="L20" s="44">
        <f>'Billing Detail'!N145</f>
        <v>5285.7566599999991</v>
      </c>
      <c r="M20" s="42">
        <f t="shared" si="6"/>
        <v>3.7870002425324942E-2</v>
      </c>
      <c r="N20" s="42">
        <f>'Billing Detail'!O151</f>
        <v>3.5626614086125205E-2</v>
      </c>
      <c r="O20" s="46">
        <f t="shared" si="14"/>
        <v>-4.213339999987511</v>
      </c>
      <c r="Q20" s="69"/>
      <c r="R20" s="2"/>
      <c r="S20" s="69"/>
      <c r="T20" s="2"/>
      <c r="U20" s="2"/>
      <c r="V20" s="86"/>
      <c r="W20" s="46"/>
      <c r="X20" s="46"/>
      <c r="Y20" s="87"/>
    </row>
    <row r="21" spans="1:25" s="43" customFormat="1" x14ac:dyDescent="0.25">
      <c r="A21" s="4">
        <f t="shared" si="3"/>
        <v>13</v>
      </c>
      <c r="B21" s="43" t="str">
        <f>'Billing Detail'!B154</f>
        <v>Sched. 2-A Large Power TOD Primary Mtrd</v>
      </c>
      <c r="C21" s="16">
        <f>'Billing Detail'!C154</f>
        <v>24</v>
      </c>
      <c r="D21" s="44">
        <f>'Billing Detail'!G158</f>
        <v>216153.984</v>
      </c>
      <c r="E21" s="44">
        <f>'Billing Detail'!I158</f>
        <v>211893.7464</v>
      </c>
      <c r="F21" s="42">
        <f t="shared" si="16"/>
        <v>1.7749157778927608E-3</v>
      </c>
      <c r="G21" s="116">
        <f t="shared" si="4"/>
        <v>211893.7464</v>
      </c>
      <c r="H21" s="117">
        <f t="shared" si="17"/>
        <v>1.7749157778927608E-3</v>
      </c>
      <c r="I21" s="116">
        <f t="shared" si="13"/>
        <v>8030.81</v>
      </c>
      <c r="J21" s="44">
        <f>'Billing Detail'!M158</f>
        <v>219916.46399999998</v>
      </c>
      <c r="K21" s="42">
        <f t="shared" si="15"/>
        <v>1.7742650150663144E-3</v>
      </c>
      <c r="L21" s="44">
        <f>'Billing Detail'!N158</f>
        <v>8022.7175999999818</v>
      </c>
      <c r="M21" s="42">
        <f t="shared" si="6"/>
        <v>3.7861983830590203E-2</v>
      </c>
      <c r="N21" s="42">
        <f>'Billing Detail'!O164</f>
        <v>3.5669450480355407E-2</v>
      </c>
      <c r="O21" s="46">
        <f>J21-I21-E21</f>
        <v>-8.0924000000231899</v>
      </c>
      <c r="Q21" s="69"/>
      <c r="R21" s="2"/>
      <c r="S21" s="69"/>
      <c r="T21" s="2"/>
      <c r="U21" s="2"/>
      <c r="V21" s="86"/>
      <c r="W21" s="46"/>
      <c r="X21" s="46"/>
      <c r="Y21" s="87"/>
    </row>
    <row r="22" spans="1:25" s="43" customFormat="1" x14ac:dyDescent="0.25">
      <c r="A22" s="4">
        <f t="shared" si="3"/>
        <v>14</v>
      </c>
      <c r="B22" s="43" t="str">
        <f>'Billing Detail'!B167</f>
        <v>Sched. 1-B1 Farm &amp; Home Time-of-Day</v>
      </c>
      <c r="C22" s="16">
        <f>'Billing Detail'!C167</f>
        <v>31</v>
      </c>
      <c r="D22" s="44">
        <f>'Billing Detail'!G171</f>
        <v>6406.7145099999998</v>
      </c>
      <c r="E22" s="44">
        <f>'Billing Detail'!I171</f>
        <v>6301.9152699999995</v>
      </c>
      <c r="F22" s="42">
        <f t="shared" si="16"/>
        <v>5.2787630752213251E-5</v>
      </c>
      <c r="G22" s="116">
        <f t="shared" si="4"/>
        <v>6301.9152699999995</v>
      </c>
      <c r="H22" s="117">
        <f t="shared" si="17"/>
        <v>5.2787630752213251E-5</v>
      </c>
      <c r="I22" s="116">
        <f t="shared" si="13"/>
        <v>238.84</v>
      </c>
      <c r="J22" s="44">
        <f>'Billing Detail'!M171</f>
        <v>6541.1258400000006</v>
      </c>
      <c r="K22" s="42">
        <f t="shared" si="15"/>
        <v>5.2773178169408281E-5</v>
      </c>
      <c r="L22" s="44">
        <f>'Billing Detail'!N171</f>
        <v>239.21056999999996</v>
      </c>
      <c r="M22" s="42">
        <f t="shared" si="6"/>
        <v>3.7958391973112009E-2</v>
      </c>
      <c r="N22" s="42">
        <f>'Billing Detail'!O177</f>
        <v>3.5500118883784168E-2</v>
      </c>
      <c r="O22" s="46">
        <f t="shared" ref="O22:O26" si="18">J22-I22-E22</f>
        <v>0.37057000000095286</v>
      </c>
      <c r="Q22" s="69"/>
      <c r="R22" s="2"/>
      <c r="S22" s="69"/>
      <c r="T22" s="2"/>
      <c r="U22" s="2"/>
      <c r="V22" s="86"/>
      <c r="W22" s="46"/>
      <c r="X22" s="46"/>
      <c r="Y22" s="87"/>
    </row>
    <row r="23" spans="1:25" s="43" customFormat="1" x14ac:dyDescent="0.25">
      <c r="A23" s="4">
        <f t="shared" si="3"/>
        <v>15</v>
      </c>
      <c r="B23" s="43" t="str">
        <f>'Billing Detail'!B180</f>
        <v>Sched. 1-B2 Farm &amp; Home Time-of-Day</v>
      </c>
      <c r="C23" s="16">
        <f>'Billing Detail'!C180</f>
        <v>33</v>
      </c>
      <c r="D23" s="44">
        <f>'Billing Detail'!G184</f>
        <v>2815.2799</v>
      </c>
      <c r="E23" s="44">
        <f>'Billing Detail'!I184</f>
        <v>2769.6187</v>
      </c>
      <c r="F23" s="42">
        <f t="shared" si="16"/>
        <v>2.3199551722951823E-5</v>
      </c>
      <c r="G23" s="116">
        <f t="shared" si="4"/>
        <v>2769.6187</v>
      </c>
      <c r="H23" s="117">
        <f t="shared" si="17"/>
        <v>2.3199551722951823E-5</v>
      </c>
      <c r="I23" s="116">
        <f t="shared" si="13"/>
        <v>104.97</v>
      </c>
      <c r="J23" s="44">
        <f>'Billing Detail'!M184</f>
        <v>2874.70795</v>
      </c>
      <c r="K23" s="42">
        <f t="shared" si="15"/>
        <v>2.3192869016928195E-5</v>
      </c>
      <c r="L23" s="44">
        <f>'Billing Detail'!N184</f>
        <v>105.08924999999999</v>
      </c>
      <c r="M23" s="42">
        <f t="shared" si="6"/>
        <v>3.7943580464704398E-2</v>
      </c>
      <c r="N23" s="42">
        <f>'Billing Detail'!O190</f>
        <v>3.5652788419766823E-2</v>
      </c>
      <c r="O23" s="46">
        <f t="shared" si="18"/>
        <v>0.11925000000019281</v>
      </c>
      <c r="Q23" s="69"/>
      <c r="R23" s="2"/>
      <c r="S23" s="69"/>
      <c r="T23" s="2"/>
      <c r="U23" s="2"/>
      <c r="V23" s="86"/>
      <c r="W23" s="46"/>
      <c r="X23" s="46"/>
      <c r="Y23" s="87"/>
    </row>
    <row r="24" spans="1:25" s="43" customFormat="1" x14ac:dyDescent="0.25">
      <c r="A24" s="4">
        <f t="shared" si="3"/>
        <v>16</v>
      </c>
      <c r="B24" s="43" t="str">
        <f>'Billing Detail'!B193</f>
        <v>Sched. 1-B3 Farm &amp; Home Time-of-Day</v>
      </c>
      <c r="C24" s="16">
        <f>'Billing Detail'!C193</f>
        <v>35</v>
      </c>
      <c r="D24" s="44">
        <f>'Billing Detail'!G198</f>
        <v>13432.93088</v>
      </c>
      <c r="E24" s="44">
        <f>'Billing Detail'!I198</f>
        <v>13205.99144</v>
      </c>
      <c r="F24" s="42">
        <f t="shared" ref="F24:F30" si="19">E24/E$30</f>
        <v>1.1061922764499641E-4</v>
      </c>
      <c r="G24" s="116">
        <f t="shared" si="4"/>
        <v>13205.99144</v>
      </c>
      <c r="H24" s="117">
        <f t="shared" ref="H24:H29" si="20">G24/G$30</f>
        <v>1.1061922764499641E-4</v>
      </c>
      <c r="I24" s="116">
        <f t="shared" si="13"/>
        <v>500.51</v>
      </c>
      <c r="J24" s="44">
        <f>'Billing Detail'!M198</f>
        <v>13706.77176</v>
      </c>
      <c r="K24" s="42">
        <f t="shared" si="15"/>
        <v>1.1058492466151573E-4</v>
      </c>
      <c r="L24" s="44">
        <f>'Billing Detail'!N198</f>
        <v>500.78031999999848</v>
      </c>
      <c r="M24" s="42">
        <f t="shared" si="6"/>
        <v>3.7920690943594806E-2</v>
      </c>
      <c r="N24" s="42">
        <f>'Billing Detail'!O204</f>
        <v>3.5480284568279299E-2</v>
      </c>
      <c r="O24" s="46">
        <f t="shared" si="18"/>
        <v>0.27031999999962864</v>
      </c>
      <c r="Q24" s="69"/>
      <c r="R24" s="2"/>
      <c r="S24" s="69"/>
      <c r="T24" s="2"/>
      <c r="U24" s="2"/>
      <c r="V24" s="86"/>
      <c r="W24" s="46"/>
      <c r="X24" s="46"/>
      <c r="Y24" s="87"/>
    </row>
    <row r="25" spans="1:25" s="43" customFormat="1" x14ac:dyDescent="0.25">
      <c r="A25" s="4">
        <f t="shared" si="3"/>
        <v>17</v>
      </c>
      <c r="B25" s="43" t="str">
        <f>'Billing Detail'!B207</f>
        <v>Sched NM - Net Metering - Residential</v>
      </c>
      <c r="C25" s="16">
        <f>'Billing Detail'!C207</f>
        <v>40</v>
      </c>
      <c r="D25" s="44">
        <f>'Billing Detail'!G211</f>
        <v>23011.448950000002</v>
      </c>
      <c r="E25" s="44">
        <f>'Billing Detail'!I211</f>
        <v>22694.502190000003</v>
      </c>
      <c r="F25" s="42">
        <f t="shared" si="19"/>
        <v>1.9009919213195249E-4</v>
      </c>
      <c r="G25" s="116">
        <f t="shared" si="4"/>
        <v>22694.502190000003</v>
      </c>
      <c r="H25" s="117">
        <f t="shared" si="20"/>
        <v>1.9009919213195249E-4</v>
      </c>
      <c r="I25" s="116">
        <f t="shared" si="13"/>
        <v>860.13</v>
      </c>
      <c r="J25" s="44">
        <f>'Billing Detail'!M211</f>
        <v>23555.304476000001</v>
      </c>
      <c r="K25" s="42">
        <f t="shared" si="15"/>
        <v>1.9004194543161522E-4</v>
      </c>
      <c r="L25" s="44">
        <f>'Billing Detail'!N211</f>
        <v>860.80228599999828</v>
      </c>
      <c r="M25" s="42">
        <f t="shared" si="6"/>
        <v>3.792999197749744E-2</v>
      </c>
      <c r="N25" s="42">
        <f>'Billing Detail'!O217</f>
        <v>3.5629204271414444E-2</v>
      </c>
      <c r="O25" s="46">
        <f t="shared" si="18"/>
        <v>0.67228599999725702</v>
      </c>
      <c r="Q25" s="69"/>
      <c r="R25" s="2"/>
      <c r="S25" s="69"/>
      <c r="T25" s="2"/>
      <c r="U25" s="2"/>
      <c r="V25" s="86"/>
      <c r="W25" s="46"/>
      <c r="X25" s="46"/>
      <c r="Y25" s="87"/>
    </row>
    <row r="26" spans="1:25" s="43" customFormat="1" x14ac:dyDescent="0.25">
      <c r="A26" s="4">
        <f t="shared" si="3"/>
        <v>18</v>
      </c>
      <c r="B26" s="43" t="str">
        <f>'Billing Detail'!B220</f>
        <v>Sched NM - Net Metering - Small Commercial</v>
      </c>
      <c r="C26" s="16">
        <f>'Billing Detail'!C220</f>
        <v>46</v>
      </c>
      <c r="D26" s="44">
        <f>'Billing Detail'!G226</f>
        <v>412.81859999999995</v>
      </c>
      <c r="E26" s="44">
        <f>'Billing Detail'!I226</f>
        <v>1317.5575199999998</v>
      </c>
      <c r="F26" s="42">
        <f t="shared" si="19"/>
        <v>1.103644477602788E-5</v>
      </c>
      <c r="G26" s="116">
        <f t="shared" si="4"/>
        <v>1317.5575199999998</v>
      </c>
      <c r="H26" s="117">
        <f t="shared" si="20"/>
        <v>1.103644477602788E-5</v>
      </c>
      <c r="I26" s="116">
        <f t="shared" ref="I26" si="21">ROUND(L$6*H26,2)</f>
        <v>49.94</v>
      </c>
      <c r="J26" s="44">
        <f>'Billing Detail'!M226</f>
        <v>1367.5238400000003</v>
      </c>
      <c r="K26" s="42">
        <f>J26/J$30</f>
        <v>1.1033051652654551E-5</v>
      </c>
      <c r="L26" s="44">
        <f>'Billing Detail'!N226</f>
        <v>49.966320000000451</v>
      </c>
      <c r="M26" s="42">
        <f t="shared" ref="M26" si="22">IF(E26=0,0,L26/E26)</f>
        <v>3.7923444890664397E-2</v>
      </c>
      <c r="N26" s="42">
        <f>'Billing Detail'!O232</f>
        <v>3.8076479356928809E-2</v>
      </c>
      <c r="O26" s="46">
        <f t="shared" si="18"/>
        <v>2.6320000000396249E-2</v>
      </c>
      <c r="Q26" s="69"/>
      <c r="R26" s="2"/>
      <c r="S26" s="69"/>
      <c r="T26" s="2"/>
      <c r="U26" s="2"/>
      <c r="V26" s="86"/>
      <c r="W26" s="46"/>
      <c r="X26" s="46"/>
      <c r="Y26" s="87"/>
    </row>
    <row r="27" spans="1:25" s="43" customFormat="1" x14ac:dyDescent="0.25">
      <c r="A27" s="4">
        <f t="shared" si="3"/>
        <v>19</v>
      </c>
      <c r="B27" s="43" t="str">
        <f>'Billing Detail'!B235</f>
        <v>Sched NM - Net Metering - Large Commercial</v>
      </c>
      <c r="C27" s="16">
        <f>'Billing Detail'!C235</f>
        <v>50</v>
      </c>
      <c r="D27" s="44">
        <f>'Billing Detail'!G240</f>
        <v>40073.709600000002</v>
      </c>
      <c r="E27" s="44">
        <f>'Billing Detail'!I240</f>
        <v>39406.840799999998</v>
      </c>
      <c r="F27" s="42">
        <f t="shared" si="19"/>
        <v>3.3008913514980535E-4</v>
      </c>
      <c r="G27" s="116">
        <f t="shared" si="4"/>
        <v>39406.840799999998</v>
      </c>
      <c r="H27" s="117">
        <f t="shared" si="20"/>
        <v>3.3008913514980535E-4</v>
      </c>
      <c r="I27" s="116">
        <f t="shared" ref="I27:I28" si="23">ROUND(L$6*H27,2)</f>
        <v>1493.53</v>
      </c>
      <c r="J27" s="44">
        <f>'Billing Detail'!M240</f>
        <v>40895.3796</v>
      </c>
      <c r="K27" s="42">
        <f>J27/J$30</f>
        <v>3.299400144144581E-4</v>
      </c>
      <c r="L27" s="44">
        <f>'Billing Detail'!N240</f>
        <v>1488.5388000000021</v>
      </c>
      <c r="M27" s="42">
        <f t="shared" ref="M27:M28" si="24">IF(E27=0,0,L27/E27)</f>
        <v>3.7773614169040473E-2</v>
      </c>
      <c r="N27" s="42">
        <f>'Billing Detail'!O246</f>
        <v>3.5286780720304396E-2</v>
      </c>
      <c r="O27" s="46">
        <f t="shared" ref="O27:O28" si="25">J27-I27-E27</f>
        <v>-4.991199999996752</v>
      </c>
      <c r="Q27" s="69"/>
      <c r="R27" s="2"/>
      <c r="S27" s="69"/>
      <c r="T27" s="2"/>
      <c r="U27" s="2"/>
      <c r="V27" s="86"/>
      <c r="W27" s="46"/>
      <c r="X27" s="46"/>
      <c r="Y27" s="87"/>
    </row>
    <row r="28" spans="1:25" s="43" customFormat="1" x14ac:dyDescent="0.25">
      <c r="A28" s="4">
        <f t="shared" si="3"/>
        <v>20</v>
      </c>
      <c r="B28" s="43" t="str">
        <f>'Billing Detail'!B249</f>
        <v>Prepay Metering Program</v>
      </c>
      <c r="C28" s="16">
        <f>'Billing Detail'!C249</f>
        <v>60</v>
      </c>
      <c r="D28" s="44">
        <f>'Billing Detail'!G253</f>
        <v>776046.13205000001</v>
      </c>
      <c r="E28" s="44">
        <f>'Billing Detail'!I253</f>
        <v>764373.88601000002</v>
      </c>
      <c r="F28" s="42">
        <f t="shared" si="19"/>
        <v>6.4027338868569436E-3</v>
      </c>
      <c r="G28" s="116">
        <f t="shared" si="4"/>
        <v>764373.88601000002</v>
      </c>
      <c r="H28" s="117">
        <f t="shared" si="20"/>
        <v>6.4027338868569436E-3</v>
      </c>
      <c r="I28" s="116">
        <f t="shared" si="23"/>
        <v>28969.919999999998</v>
      </c>
      <c r="J28" s="44">
        <f>'Billing Detail'!M253</f>
        <v>791793.778804</v>
      </c>
      <c r="K28" s="42">
        <f>J28/J$30</f>
        <v>6.3881165390104371E-3</v>
      </c>
      <c r="L28" s="44">
        <f>'Billing Detail'!N253</f>
        <v>27419.892793999985</v>
      </c>
      <c r="M28" s="42">
        <f t="shared" si="24"/>
        <v>3.5872356834599217E-2</v>
      </c>
      <c r="N28" s="42">
        <f>'Billing Detail'!O259</f>
        <v>3.3221590738006866E-2</v>
      </c>
      <c r="O28" s="46">
        <f t="shared" si="25"/>
        <v>-1550.027206000057</v>
      </c>
      <c r="Q28" s="69"/>
      <c r="R28" s="2"/>
      <c r="S28" s="69"/>
      <c r="T28" s="2"/>
      <c r="U28" s="2"/>
      <c r="V28" s="86"/>
      <c r="W28" s="46"/>
      <c r="X28" s="46"/>
      <c r="Y28" s="87"/>
    </row>
    <row r="29" spans="1:25" s="43" customFormat="1" x14ac:dyDescent="0.25">
      <c r="A29" s="4">
        <f t="shared" si="3"/>
        <v>21</v>
      </c>
      <c r="B29" s="43" t="str">
        <f>'Billing Detail'!B262</f>
        <v>Lighting</v>
      </c>
      <c r="C29" s="16" t="str">
        <f>'Billing Detail'!C262</f>
        <v>OLS</v>
      </c>
      <c r="D29" s="44">
        <f>'Billing Detail'!G304</f>
        <v>2031866.68</v>
      </c>
      <c r="E29" s="44">
        <f>'Billing Detail'!I304</f>
        <v>2023066.4200000002</v>
      </c>
      <c r="F29" s="42">
        <f t="shared" si="19"/>
        <v>1.6946099493680117E-2</v>
      </c>
      <c r="G29" s="116">
        <f t="shared" si="4"/>
        <v>2023066.4200000002</v>
      </c>
      <c r="H29" s="117">
        <f t="shared" si="20"/>
        <v>1.6946099493680117E-2</v>
      </c>
      <c r="I29" s="116">
        <f t="shared" si="5"/>
        <v>76674.61</v>
      </c>
      <c r="J29" s="44">
        <f>'Billing Detail'!M304</f>
        <v>2099257.21</v>
      </c>
      <c r="K29" s="42">
        <f>J29/J$30</f>
        <v>1.6936606553153381E-2</v>
      </c>
      <c r="L29" s="44">
        <f t="shared" ref="L29" si="26">J29-E29</f>
        <v>76190.789999999804</v>
      </c>
      <c r="M29" s="42">
        <f t="shared" si="6"/>
        <v>3.7661042290445312E-2</v>
      </c>
      <c r="N29" s="42">
        <f>'Billing Detail'!O310</f>
        <v>3.7661042290445312E-2</v>
      </c>
      <c r="O29" s="46">
        <f t="shared" si="7"/>
        <v>-483.82000000029802</v>
      </c>
      <c r="Q29" s="69"/>
      <c r="R29" s="2"/>
      <c r="S29" s="69"/>
      <c r="T29" s="2"/>
      <c r="U29" s="2"/>
      <c r="V29" s="86"/>
      <c r="W29" s="46"/>
      <c r="X29" s="46"/>
      <c r="Y29" s="87"/>
    </row>
    <row r="30" spans="1:25" s="43" customFormat="1" ht="16.2" customHeight="1" x14ac:dyDescent="0.25">
      <c r="A30" s="4">
        <f t="shared" si="3"/>
        <v>22</v>
      </c>
      <c r="B30" s="47" t="s">
        <v>46</v>
      </c>
      <c r="C30" s="72"/>
      <c r="D30" s="48">
        <f>SUM(D10:D29)</f>
        <v>121533294.97421996</v>
      </c>
      <c r="E30" s="48">
        <f>SUM(E10:E29)</f>
        <v>119382423.12070003</v>
      </c>
      <c r="F30" s="49">
        <f t="shared" si="19"/>
        <v>1</v>
      </c>
      <c r="G30" s="118">
        <f>SUM(G10:G29)</f>
        <v>119382423.12070003</v>
      </c>
      <c r="H30" s="119">
        <v>1</v>
      </c>
      <c r="I30" s="118">
        <f>SUM(I10:I29)</f>
        <v>4524617.0099999988</v>
      </c>
      <c r="J30" s="48">
        <f>SUM(J10:J29)</f>
        <v>123947923.29926002</v>
      </c>
      <c r="K30" s="49">
        <f>J30/J$30</f>
        <v>1</v>
      </c>
      <c r="L30" s="48">
        <f>SUM(L10:L29)</f>
        <v>4565500.1785600008</v>
      </c>
      <c r="M30" s="49">
        <f t="shared" ref="M30" si="27">L30/E30</f>
        <v>3.8242649623086572E-2</v>
      </c>
      <c r="N30" s="49"/>
      <c r="O30" s="50">
        <f t="shared" si="7"/>
        <v>40883.168559983373</v>
      </c>
      <c r="R30" s="2"/>
      <c r="S30" s="69"/>
      <c r="T30" s="2"/>
      <c r="U30" s="2"/>
    </row>
    <row r="31" spans="1:25" s="43" customFormat="1" ht="16.2" customHeight="1" x14ac:dyDescent="0.25">
      <c r="A31" s="4">
        <f t="shared" si="3"/>
        <v>23</v>
      </c>
      <c r="B31" s="51"/>
      <c r="C31" s="73"/>
      <c r="D31" s="52"/>
      <c r="E31" s="52"/>
      <c r="F31" s="53"/>
      <c r="G31" s="52"/>
      <c r="H31" s="53"/>
      <c r="I31" s="52"/>
      <c r="J31" s="52"/>
      <c r="K31" s="53"/>
      <c r="L31" s="52"/>
      <c r="M31" s="53"/>
      <c r="N31" s="53"/>
      <c r="O31" s="54"/>
      <c r="R31" s="2"/>
      <c r="S31" s="69"/>
      <c r="T31" s="2"/>
      <c r="U31" s="2"/>
    </row>
    <row r="32" spans="1:25" s="43" customFormat="1" ht="16.2" customHeight="1" x14ac:dyDescent="0.25">
      <c r="A32" s="4">
        <f t="shared" si="3"/>
        <v>24</v>
      </c>
      <c r="B32" s="51" t="str">
        <f>'Billing Detail'!B312</f>
        <v xml:space="preserve">Special Contract </v>
      </c>
      <c r="C32" s="73" t="str">
        <f>'Billing Detail'!C312</f>
        <v>Special</v>
      </c>
      <c r="D32" s="52">
        <f>'Billing Detail'!G321</f>
        <v>40943460.452604003</v>
      </c>
      <c r="E32" s="52">
        <f>'Billing Detail'!I321</f>
        <v>39451062.704124004</v>
      </c>
      <c r="F32" s="53">
        <v>1</v>
      </c>
      <c r="G32" s="116">
        <f>L5</f>
        <v>3381554</v>
      </c>
      <c r="H32" s="53">
        <v>1</v>
      </c>
      <c r="I32" s="52">
        <f>H32*G32</f>
        <v>3381554</v>
      </c>
      <c r="J32" s="52">
        <f>'Billing Detail'!M321</f>
        <v>42862639.614331998</v>
      </c>
      <c r="K32" s="53">
        <f>J32/J32</f>
        <v>1</v>
      </c>
      <c r="L32" s="52">
        <f>'Billing Detail'!N321</f>
        <v>3411576.9102079943</v>
      </c>
      <c r="M32" s="42">
        <f t="shared" ref="M32:M34" si="28">IF(E32=0,0,L32/E32)</f>
        <v>8.6476172664706599E-2</v>
      </c>
      <c r="N32" s="42">
        <f>'Billing Detail'!O327</f>
        <v>7.9297317464137027E-2</v>
      </c>
      <c r="O32" s="46">
        <f>J32-I32-E32</f>
        <v>30022.910207994282</v>
      </c>
      <c r="R32" s="2"/>
      <c r="S32" s="69"/>
      <c r="T32" s="2"/>
      <c r="U32" s="2"/>
    </row>
    <row r="33" spans="1:21" s="43" customFormat="1" x14ac:dyDescent="0.25">
      <c r="A33" s="4">
        <f t="shared" si="3"/>
        <v>25</v>
      </c>
      <c r="C33" s="16"/>
      <c r="D33" s="44"/>
      <c r="E33" s="44"/>
      <c r="F33" s="42"/>
      <c r="G33" s="45"/>
      <c r="H33" s="42"/>
      <c r="I33" s="52"/>
      <c r="J33" s="44"/>
      <c r="K33" s="42"/>
      <c r="L33" s="44"/>
      <c r="M33" s="42"/>
      <c r="N33" s="42"/>
      <c r="O33" s="46"/>
      <c r="P33" s="76"/>
      <c r="R33" s="2"/>
      <c r="S33" s="69"/>
      <c r="T33" s="2"/>
      <c r="U33" s="2"/>
    </row>
    <row r="34" spans="1:21" s="43" customFormat="1" ht="16.2" customHeight="1" x14ac:dyDescent="0.25">
      <c r="A34" s="4">
        <f t="shared" si="3"/>
        <v>26</v>
      </c>
      <c r="B34" s="55" t="s">
        <v>45</v>
      </c>
      <c r="C34" s="74"/>
      <c r="D34" s="56">
        <f>D32+D30</f>
        <v>162476755.42682397</v>
      </c>
      <c r="E34" s="56">
        <f>E32+E30</f>
        <v>158833485.82482404</v>
      </c>
      <c r="F34" s="56"/>
      <c r="G34" s="56">
        <f>G32+G30</f>
        <v>122763977.12070003</v>
      </c>
      <c r="H34" s="56"/>
      <c r="I34" s="56">
        <f>I32+I30+I33</f>
        <v>7906171.0099999988</v>
      </c>
      <c r="J34" s="56">
        <f>J32+J30+J33</f>
        <v>166810562.91359201</v>
      </c>
      <c r="K34" s="56"/>
      <c r="L34" s="56">
        <f>L32+L30+L33</f>
        <v>7977077.0887679951</v>
      </c>
      <c r="M34" s="57">
        <f t="shared" si="28"/>
        <v>5.0222892530142157E-2</v>
      </c>
      <c r="N34" s="57"/>
      <c r="O34" s="58">
        <f t="shared" ref="O34" si="29">J34-I34-E34</f>
        <v>70906.078767985106</v>
      </c>
      <c r="R34" s="79"/>
      <c r="S34" s="69"/>
    </row>
    <row r="35" spans="1:21" s="43" customFormat="1" ht="12.6" customHeight="1" x14ac:dyDescent="0.25">
      <c r="A35" s="4">
        <f t="shared" si="3"/>
        <v>27</v>
      </c>
      <c r="C35" s="16"/>
      <c r="S35" s="69"/>
    </row>
    <row r="36" spans="1:21" s="43" customFormat="1" x14ac:dyDescent="0.25">
      <c r="A36" s="4">
        <f t="shared" si="3"/>
        <v>28</v>
      </c>
      <c r="B36" s="39" t="s">
        <v>8</v>
      </c>
      <c r="C36" s="71"/>
      <c r="D36" s="39"/>
      <c r="S36" s="69"/>
    </row>
    <row r="37" spans="1:21" s="43" customFormat="1" x14ac:dyDescent="0.25">
      <c r="A37" s="4">
        <f t="shared" si="3"/>
        <v>29</v>
      </c>
      <c r="B37" s="43" t="str">
        <f>'Billing Detail'!D11</f>
        <v xml:space="preserve">    FAC</v>
      </c>
      <c r="C37" s="16"/>
      <c r="D37" s="44">
        <f>'Billing Detail'!G333</f>
        <v>-8035295.3900000006</v>
      </c>
      <c r="E37" s="44">
        <f>'Billing Detail'!I333</f>
        <v>-6123899.6023999993</v>
      </c>
      <c r="F37" s="59"/>
      <c r="G37" s="60"/>
      <c r="H37" s="60"/>
      <c r="I37" s="60"/>
      <c r="J37" s="44">
        <f>'Billing Detail'!M333</f>
        <v>-6123899.6023999993</v>
      </c>
      <c r="K37" s="61"/>
      <c r="L37" s="61"/>
      <c r="M37" s="60"/>
      <c r="N37" s="60"/>
      <c r="S37" s="69"/>
    </row>
    <row r="38" spans="1:21" s="43" customFormat="1" x14ac:dyDescent="0.25">
      <c r="A38" s="4">
        <f t="shared" si="3"/>
        <v>30</v>
      </c>
      <c r="B38" s="43" t="str">
        <f>'Billing Detail'!D12</f>
        <v xml:space="preserve">    ES</v>
      </c>
      <c r="C38" s="16"/>
      <c r="D38" s="44">
        <f>'Billing Detail'!G334</f>
        <v>18520667.609999999</v>
      </c>
      <c r="E38" s="44">
        <f>'Billing Detail'!I334</f>
        <v>18496667.609999999</v>
      </c>
      <c r="F38" s="60"/>
      <c r="G38" s="60"/>
      <c r="H38" s="60"/>
      <c r="I38" s="60"/>
      <c r="J38" s="44">
        <f>'Billing Detail'!M334</f>
        <v>18466644.609999999</v>
      </c>
      <c r="K38" s="61"/>
      <c r="L38" s="61"/>
      <c r="M38" s="60"/>
      <c r="N38" s="60"/>
      <c r="S38" s="69"/>
    </row>
    <row r="39" spans="1:21" s="43" customFormat="1" x14ac:dyDescent="0.25">
      <c r="A39" s="4">
        <f t="shared" si="3"/>
        <v>31</v>
      </c>
      <c r="B39" s="43" t="str">
        <f>'Billing Detail'!D13</f>
        <v xml:space="preserve">    Misc Adj</v>
      </c>
      <c r="C39" s="16"/>
      <c r="D39" s="44">
        <f>'Billing Detail'!G335</f>
        <v>75951</v>
      </c>
      <c r="E39" s="44">
        <f>'Billing Detail'!I335</f>
        <v>75951</v>
      </c>
      <c r="F39" s="60"/>
      <c r="G39" s="60"/>
      <c r="H39" s="60"/>
      <c r="I39" s="60"/>
      <c r="J39" s="44">
        <f>'Billing Detail'!M335</f>
        <v>75951</v>
      </c>
      <c r="K39" s="61"/>
      <c r="L39" s="61"/>
      <c r="M39" s="60"/>
      <c r="N39" s="60"/>
      <c r="S39" s="69"/>
    </row>
    <row r="40" spans="1:21" s="43" customFormat="1" x14ac:dyDescent="0.25">
      <c r="A40" s="4">
        <f t="shared" si="3"/>
        <v>32</v>
      </c>
      <c r="B40" s="43" t="str">
        <f>'Billing Detail'!D14</f>
        <v xml:space="preserve">    Other</v>
      </c>
      <c r="C40" s="16"/>
      <c r="D40" s="44">
        <f>'Billing Detail'!G336</f>
        <v>0</v>
      </c>
      <c r="E40" s="44">
        <f>'Billing Detail'!I336</f>
        <v>0</v>
      </c>
      <c r="F40" s="60"/>
      <c r="G40" s="60"/>
      <c r="H40" s="60"/>
      <c r="I40" s="60"/>
      <c r="J40" s="44">
        <f>'Billing Detail'!M336</f>
        <v>0</v>
      </c>
      <c r="K40" s="61"/>
      <c r="L40" s="61"/>
      <c r="M40" s="60"/>
      <c r="N40" s="78"/>
      <c r="S40" s="69"/>
    </row>
    <row r="41" spans="1:21" s="43" customFormat="1" x14ac:dyDescent="0.25">
      <c r="A41" s="4">
        <f t="shared" si="3"/>
        <v>33</v>
      </c>
      <c r="B41" s="47" t="s">
        <v>9</v>
      </c>
      <c r="C41" s="72"/>
      <c r="D41" s="48">
        <f>SUM(D37:D40)</f>
        <v>10561323.219999999</v>
      </c>
      <c r="E41" s="48">
        <f>SUM(E37:E40)</f>
        <v>12448719.0076</v>
      </c>
      <c r="F41" s="62"/>
      <c r="G41" s="62"/>
      <c r="H41" s="62"/>
      <c r="I41" s="62"/>
      <c r="J41" s="48">
        <f>SUM(J37:J40)</f>
        <v>12418696.0076</v>
      </c>
      <c r="K41" s="63"/>
      <c r="L41" s="63"/>
      <c r="M41" s="62"/>
      <c r="N41" s="77"/>
      <c r="S41" s="69"/>
    </row>
    <row r="42" spans="1:21" s="43" customFormat="1" x14ac:dyDescent="0.25">
      <c r="A42" s="4">
        <f t="shared" si="3"/>
        <v>34</v>
      </c>
      <c r="C42" s="16"/>
      <c r="S42" s="69"/>
    </row>
    <row r="43" spans="1:21" s="43" customFormat="1" ht="18" customHeight="1" thickBot="1" x14ac:dyDescent="0.3">
      <c r="A43" s="4">
        <f t="shared" si="3"/>
        <v>35</v>
      </c>
      <c r="B43" s="64" t="s">
        <v>10</v>
      </c>
      <c r="C43" s="75"/>
      <c r="D43" s="65">
        <f>D34+D41</f>
        <v>173038078.64682397</v>
      </c>
      <c r="E43" s="65">
        <f>E34+E41</f>
        <v>171282204.83242404</v>
      </c>
      <c r="F43" s="66"/>
      <c r="G43" s="66"/>
      <c r="H43" s="66"/>
      <c r="I43" s="66"/>
      <c r="J43" s="65">
        <f>J34+J41</f>
        <v>179229258.92119202</v>
      </c>
      <c r="K43" s="67"/>
      <c r="L43" s="66">
        <f t="shared" ref="L43" si="30">J43-E43</f>
        <v>7947054.0887679756</v>
      </c>
      <c r="M43" s="64"/>
      <c r="N43" s="68">
        <f>L43/E43</f>
        <v>4.6397429882123885E-2</v>
      </c>
      <c r="S43" s="69"/>
    </row>
    <row r="44" spans="1:21" s="43" customFormat="1" ht="18" customHeight="1" thickTop="1" x14ac:dyDescent="0.25">
      <c r="A44" s="4">
        <f t="shared" si="3"/>
        <v>36</v>
      </c>
      <c r="B44" s="43" t="s">
        <v>11</v>
      </c>
      <c r="C44" s="16"/>
      <c r="D44" s="45"/>
      <c r="L44" s="52">
        <f>L4</f>
        <v>7906171</v>
      </c>
      <c r="S44" s="69"/>
    </row>
    <row r="45" spans="1:21" s="43" customFormat="1" ht="15" customHeight="1" x14ac:dyDescent="0.25">
      <c r="A45" s="4">
        <f t="shared" si="3"/>
        <v>37</v>
      </c>
      <c r="B45" s="47" t="s">
        <v>41</v>
      </c>
      <c r="C45" s="72"/>
      <c r="D45" s="48"/>
      <c r="E45" s="47"/>
      <c r="F45" s="47"/>
      <c r="G45" s="47"/>
      <c r="H45" s="47"/>
      <c r="I45" s="47"/>
      <c r="J45" s="47"/>
      <c r="K45" s="47"/>
      <c r="L45" s="48">
        <f>L43-L44</f>
        <v>40883.088767975569</v>
      </c>
      <c r="S45" s="69"/>
    </row>
    <row r="46" spans="1:21" s="43" customFormat="1" ht="15" customHeight="1" x14ac:dyDescent="0.25">
      <c r="A46" s="4">
        <f t="shared" si="3"/>
        <v>38</v>
      </c>
      <c r="B46" s="43" t="s">
        <v>41</v>
      </c>
      <c r="C46" s="16"/>
      <c r="D46" s="42"/>
      <c r="L46" s="42">
        <f>L45/L44</f>
        <v>5.1710352290603844E-3</v>
      </c>
      <c r="S46" s="69"/>
    </row>
    <row r="47" spans="1:21" x14ac:dyDescent="0.25">
      <c r="A47" s="4"/>
    </row>
  </sheetData>
  <printOptions horizontalCentered="1"/>
  <pageMargins left="0.7" right="0.7" top="0.75" bottom="0.75" header="0.3" footer="0.3"/>
  <pageSetup scale="60" orientation="landscape" r:id="rId1"/>
  <headerFooter>
    <oddHeader>&amp;R&amp;"Arial,Bold"&amp;10Exhibit 3
Page &amp;P of &amp;N</oddHeader>
  </headerFooter>
  <ignoredErrors>
    <ignoredError sqref="J30:K30 F30 J10 G10:G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A368"/>
  <sheetViews>
    <sheetView view="pageBreakPreview" zoomScale="75" zoomScaleNormal="65" zoomScaleSheetLayoutView="75" workbookViewId="0">
      <pane xSplit="4" ySplit="5" topLeftCell="E351" activePane="bottomRight" state="frozen"/>
      <selection activeCell="B17" sqref="B17"/>
      <selection pane="topRight" activeCell="B17" sqref="B17"/>
      <selection pane="bottomLeft" activeCell="B17" sqref="B17"/>
      <selection pane="bottomRight" activeCell="L363" sqref="L363"/>
    </sheetView>
  </sheetViews>
  <sheetFormatPr defaultRowHeight="13.2" x14ac:dyDescent="0.25"/>
  <cols>
    <col min="1" max="1" width="7.44140625" style="7" customWidth="1"/>
    <col min="2" max="2" width="22" style="2" customWidth="1"/>
    <col min="3" max="3" width="8.109375" style="16" customWidth="1"/>
    <col min="4" max="4" width="38.21875" style="2" customWidth="1"/>
    <col min="5" max="5" width="14.44140625" style="115" customWidth="1"/>
    <col min="6" max="6" width="14.44140625" style="115" hidden="1" customWidth="1"/>
    <col min="7" max="7" width="13.88671875" style="115" hidden="1" customWidth="1"/>
    <col min="8" max="8" width="12.21875" style="115" bestFit="1" customWidth="1"/>
    <col min="9" max="9" width="15.33203125" style="115" customWidth="1"/>
    <col min="10" max="10" width="11.109375" style="115" customWidth="1"/>
    <col min="11" max="11" width="12.6640625" style="115" customWidth="1"/>
    <col min="12" max="12" width="13.21875" style="115" customWidth="1"/>
    <col min="13" max="13" width="13.88671875" style="115" bestFit="1" customWidth="1"/>
    <col min="14" max="14" width="11.44140625" style="115" customWidth="1"/>
    <col min="15" max="15" width="7.5546875" style="115" bestFit="1" customWidth="1"/>
    <col min="16" max="16" width="9.88671875" style="115" bestFit="1" customWidth="1"/>
    <col min="17" max="17" width="11.21875" style="115" customWidth="1"/>
    <col min="18" max="18" width="12.109375" style="115" customWidth="1"/>
    <col min="19" max="19" width="9" style="2" bestFit="1" customWidth="1"/>
    <col min="20" max="20" width="14.109375" style="2" customWidth="1"/>
    <col min="21" max="21" width="8.88671875" style="2"/>
    <col min="22" max="22" width="11.109375" style="2" bestFit="1" customWidth="1"/>
    <col min="23" max="23" width="15.33203125" style="2" customWidth="1"/>
    <col min="24" max="24" width="8.88671875" style="2"/>
    <col min="25" max="26" width="12.6640625" style="2" bestFit="1" customWidth="1"/>
    <col min="27" max="27" width="11.6640625" style="2" bestFit="1" customWidth="1"/>
    <col min="28" max="16384" width="8.88671875" style="2"/>
  </cols>
  <sheetData>
    <row r="1" spans="1:20" x14ac:dyDescent="0.25">
      <c r="A1" s="32" t="str">
        <f>Summary!A1</f>
        <v>Owen Electric Cooperative</v>
      </c>
      <c r="F1" s="120"/>
    </row>
    <row r="2" spans="1:20" ht="14.4" customHeight="1" x14ac:dyDescent="0.25">
      <c r="A2" s="32" t="str">
        <f>Summary!A2</f>
        <v>Billing Analysis for Pass-Through Rate Increase</v>
      </c>
      <c r="F2" s="122"/>
      <c r="G2" s="122"/>
      <c r="I2" s="123"/>
      <c r="P2" s="124"/>
      <c r="S2" s="28"/>
      <c r="T2" s="28"/>
    </row>
    <row r="3" spans="1:20" x14ac:dyDescent="0.25">
      <c r="S3" s="28"/>
      <c r="T3" s="28"/>
    </row>
    <row r="4" spans="1:20" x14ac:dyDescent="0.25">
      <c r="D4" s="28"/>
      <c r="S4" s="28"/>
      <c r="T4" s="28"/>
    </row>
    <row r="5" spans="1:20" ht="38.4" customHeight="1" x14ac:dyDescent="0.25">
      <c r="A5" s="18" t="s">
        <v>1</v>
      </c>
      <c r="B5" s="18" t="s">
        <v>13</v>
      </c>
      <c r="C5" s="10" t="s">
        <v>12</v>
      </c>
      <c r="D5" s="18" t="s">
        <v>14</v>
      </c>
      <c r="E5" s="125" t="s">
        <v>15</v>
      </c>
      <c r="F5" s="125" t="s">
        <v>21</v>
      </c>
      <c r="G5" s="125" t="s">
        <v>26</v>
      </c>
      <c r="H5" s="125" t="s">
        <v>27</v>
      </c>
      <c r="I5" s="125" t="s">
        <v>28</v>
      </c>
      <c r="J5" s="125" t="s">
        <v>123</v>
      </c>
      <c r="K5" s="125" t="s">
        <v>11</v>
      </c>
      <c r="L5" s="125" t="s">
        <v>24</v>
      </c>
      <c r="M5" s="125" t="s">
        <v>4</v>
      </c>
      <c r="N5" s="125" t="s">
        <v>16</v>
      </c>
      <c r="O5" s="126" t="s">
        <v>17</v>
      </c>
      <c r="P5" s="125" t="s">
        <v>25</v>
      </c>
      <c r="Q5" s="125" t="s">
        <v>29</v>
      </c>
      <c r="R5" s="125" t="s">
        <v>42</v>
      </c>
      <c r="T5" s="12" t="s">
        <v>38</v>
      </c>
    </row>
    <row r="6" spans="1:20" ht="30.6" customHeight="1" thickBot="1" x14ac:dyDescent="0.3">
      <c r="A6" s="33"/>
      <c r="B6" s="23"/>
      <c r="C6" s="24"/>
      <c r="D6" s="23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  <c r="P6" s="127"/>
      <c r="Q6" s="127"/>
      <c r="R6" s="127"/>
    </row>
    <row r="7" spans="1:20" ht="16.2" customHeight="1" x14ac:dyDescent="0.25">
      <c r="A7" s="34">
        <v>1</v>
      </c>
      <c r="B7" s="158" t="s">
        <v>124</v>
      </c>
      <c r="C7" s="26">
        <v>1</v>
      </c>
      <c r="D7" s="25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</row>
    <row r="8" spans="1:20" x14ac:dyDescent="0.25">
      <c r="A8" s="34">
        <f>A7+1</f>
        <v>2</v>
      </c>
      <c r="B8" s="159"/>
      <c r="D8" s="2" t="s">
        <v>18</v>
      </c>
      <c r="E8" s="130">
        <v>682887</v>
      </c>
      <c r="F8" s="120">
        <v>20</v>
      </c>
      <c r="G8" s="131">
        <f>F8*E8</f>
        <v>13657740</v>
      </c>
      <c r="H8" s="120">
        <v>20</v>
      </c>
      <c r="I8" s="131">
        <f>H8*E8</f>
        <v>13657740</v>
      </c>
      <c r="J8" s="132">
        <f>I8/I10</f>
        <v>0.17862901480568166</v>
      </c>
      <c r="K8" s="132"/>
      <c r="L8" s="120">
        <f>ROUND(H8*S10,2)</f>
        <v>20.76</v>
      </c>
      <c r="M8" s="131">
        <f>L8*E8</f>
        <v>14176734.120000001</v>
      </c>
      <c r="N8" s="131">
        <f t="shared" ref="N8:N13" si="0">M8-I8</f>
        <v>518994.12000000104</v>
      </c>
      <c r="O8" s="132">
        <f>IF(I8=0,0,N8/I8)</f>
        <v>3.8000000000000075E-2</v>
      </c>
      <c r="P8" s="132">
        <f>M8/M10</f>
        <v>0.17864268073432499</v>
      </c>
      <c r="Q8" s="133">
        <f>P8-J8</f>
        <v>1.3665928643324943E-5</v>
      </c>
      <c r="R8" s="133"/>
      <c r="T8" s="6">
        <f>L8/H8-1</f>
        <v>3.8000000000000034E-2</v>
      </c>
    </row>
    <row r="9" spans="1:20" x14ac:dyDescent="0.25">
      <c r="A9" s="34">
        <f t="shared" ref="A9:A72" si="1">A8+1</f>
        <v>3</v>
      </c>
      <c r="B9" s="14"/>
      <c r="D9" s="2" t="s">
        <v>53</v>
      </c>
      <c r="E9" s="130">
        <v>776374674</v>
      </c>
      <c r="F9" s="121">
        <v>8.2449999999999996E-2</v>
      </c>
      <c r="G9" s="131">
        <f t="shared" ref="G9" si="2">F9*E9</f>
        <v>64012091.871299997</v>
      </c>
      <c r="H9" s="134">
        <v>8.0890000000000004E-2</v>
      </c>
      <c r="I9" s="131">
        <f t="shared" ref="I9" si="3">H9*E9</f>
        <v>62800947.379860006</v>
      </c>
      <c r="J9" s="132">
        <f>I9/I10</f>
        <v>0.82137098519431828</v>
      </c>
      <c r="K9" s="132"/>
      <c r="L9" s="121">
        <f>ROUND(H9*S10,6)</f>
        <v>8.3956000000000003E-2</v>
      </c>
      <c r="M9" s="131">
        <f t="shared" ref="M9" si="4">L9*E9</f>
        <v>65181312.130344003</v>
      </c>
      <c r="N9" s="131">
        <f t="shared" si="0"/>
        <v>2380364.7504839972</v>
      </c>
      <c r="O9" s="132">
        <f t="shared" ref="O9" si="5">IF(I9=0,0,N9/I9)</f>
        <v>3.7903325503770506E-2</v>
      </c>
      <c r="P9" s="132">
        <f>M9/M10</f>
        <v>0.82135731926567501</v>
      </c>
      <c r="Q9" s="133">
        <f t="shared" ref="Q9:Q10" si="6">P9-J9</f>
        <v>-1.3665928643269432E-5</v>
      </c>
      <c r="R9" s="133"/>
      <c r="T9" s="6">
        <f>L9/H9-1</f>
        <v>3.7903325503770624E-2</v>
      </c>
    </row>
    <row r="10" spans="1:20" s="7" customFormat="1" ht="20.399999999999999" customHeight="1" x14ac:dyDescent="0.3">
      <c r="A10" s="34">
        <f t="shared" si="1"/>
        <v>4</v>
      </c>
      <c r="C10" s="17"/>
      <c r="D10" s="19" t="s">
        <v>7</v>
      </c>
      <c r="E10" s="135"/>
      <c r="F10" s="136"/>
      <c r="G10" s="20">
        <f>SUM(G8:G9)</f>
        <v>77669831.871299997</v>
      </c>
      <c r="H10" s="135"/>
      <c r="I10" s="20">
        <f>SUM(I8:I9)</f>
        <v>76458687.379860014</v>
      </c>
      <c r="J10" s="137">
        <f>SUM(J8:J9)</f>
        <v>1</v>
      </c>
      <c r="K10" s="138">
        <f>I10+Summary!I10</f>
        <v>79356486.469860017</v>
      </c>
      <c r="L10" s="135"/>
      <c r="M10" s="20">
        <f>SUM(M8:M9)</f>
        <v>79358046.250344008</v>
      </c>
      <c r="N10" s="20">
        <f>SUM(N8:N9)</f>
        <v>2899358.8704839982</v>
      </c>
      <c r="O10" s="137">
        <f t="shared" ref="O10" si="7">N10/I10</f>
        <v>3.7920594373788821E-2</v>
      </c>
      <c r="P10" s="137">
        <f>SUM(P8:P9)</f>
        <v>1</v>
      </c>
      <c r="Q10" s="139">
        <f t="shared" si="6"/>
        <v>0</v>
      </c>
      <c r="R10" s="140">
        <f>M10-K10</f>
        <v>1559.7804839909077</v>
      </c>
      <c r="S10" s="7">
        <f>K10/I10</f>
        <v>1.0379001940695534</v>
      </c>
    </row>
    <row r="11" spans="1:20" x14ac:dyDescent="0.25">
      <c r="A11" s="34">
        <f t="shared" si="1"/>
        <v>5</v>
      </c>
      <c r="D11" s="2" t="s">
        <v>30</v>
      </c>
      <c r="G11" s="131">
        <v>-2984272.67</v>
      </c>
      <c r="I11" s="141">
        <f>G11+(0.00156*E9)</f>
        <v>-1773128.1785599999</v>
      </c>
      <c r="M11" s="131">
        <f>I11</f>
        <v>-1773128.1785599999</v>
      </c>
      <c r="N11" s="131">
        <f t="shared" si="0"/>
        <v>0</v>
      </c>
      <c r="O11" s="120">
        <v>0</v>
      </c>
      <c r="R11" s="142"/>
    </row>
    <row r="12" spans="1:20" x14ac:dyDescent="0.25">
      <c r="A12" s="34">
        <f t="shared" si="1"/>
        <v>6</v>
      </c>
      <c r="D12" s="2" t="s">
        <v>31</v>
      </c>
      <c r="G12" s="131">
        <v>7925149.1799999997</v>
      </c>
      <c r="I12" s="141">
        <f>G12</f>
        <v>7925149.1799999997</v>
      </c>
      <c r="M12" s="131">
        <f t="shared" ref="M12:M14" si="8">I12</f>
        <v>7925149.1799999997</v>
      </c>
      <c r="N12" s="131">
        <f t="shared" si="0"/>
        <v>0</v>
      </c>
      <c r="O12" s="120">
        <v>0</v>
      </c>
    </row>
    <row r="13" spans="1:20" x14ac:dyDescent="0.25">
      <c r="A13" s="34">
        <f t="shared" si="1"/>
        <v>7</v>
      </c>
      <c r="D13" s="2" t="s">
        <v>33</v>
      </c>
      <c r="E13" s="130"/>
      <c r="F13" s="120"/>
      <c r="G13" s="131">
        <v>0</v>
      </c>
      <c r="I13" s="141">
        <f>G13</f>
        <v>0</v>
      </c>
      <c r="M13" s="131">
        <f t="shared" si="8"/>
        <v>0</v>
      </c>
      <c r="N13" s="131">
        <f t="shared" si="0"/>
        <v>0</v>
      </c>
      <c r="O13" s="120">
        <v>0</v>
      </c>
    </row>
    <row r="14" spans="1:20" x14ac:dyDescent="0.25">
      <c r="A14" s="34">
        <f t="shared" si="1"/>
        <v>8</v>
      </c>
      <c r="B14" s="69"/>
      <c r="D14" s="2" t="s">
        <v>43</v>
      </c>
      <c r="G14" s="131">
        <v>0</v>
      </c>
      <c r="I14" s="141">
        <f>G14</f>
        <v>0</v>
      </c>
      <c r="M14" s="131">
        <f t="shared" si="8"/>
        <v>0</v>
      </c>
      <c r="N14" s="131"/>
      <c r="O14" s="120">
        <v>0</v>
      </c>
    </row>
    <row r="15" spans="1:20" x14ac:dyDescent="0.25">
      <c r="A15" s="34">
        <f t="shared" si="1"/>
        <v>9</v>
      </c>
      <c r="D15" s="15" t="s">
        <v>9</v>
      </c>
      <c r="E15" s="143"/>
      <c r="F15" s="143"/>
      <c r="G15" s="144">
        <f>SUM(G11:G14)</f>
        <v>4940876.51</v>
      </c>
      <c r="H15" s="143"/>
      <c r="I15" s="144">
        <f>SUM(I11:I14)</f>
        <v>6152021.0014399998</v>
      </c>
      <c r="J15" s="143"/>
      <c r="K15" s="143"/>
      <c r="L15" s="143"/>
      <c r="M15" s="144">
        <f>SUM(M11:M14)</f>
        <v>6152021.0014399998</v>
      </c>
      <c r="N15" s="144">
        <f>M15-I15</f>
        <v>0</v>
      </c>
      <c r="O15" s="145">
        <v>0</v>
      </c>
    </row>
    <row r="16" spans="1:20" s="7" customFormat="1" ht="26.4" customHeight="1" thickBot="1" x14ac:dyDescent="0.3">
      <c r="A16" s="34">
        <f t="shared" si="1"/>
        <v>10</v>
      </c>
      <c r="C16" s="17"/>
      <c r="D16" s="8" t="s">
        <v>20</v>
      </c>
      <c r="E16" s="146"/>
      <c r="F16" s="146"/>
      <c r="G16" s="147">
        <f>G10+G15</f>
        <v>82610708.381300002</v>
      </c>
      <c r="H16" s="146"/>
      <c r="I16" s="148">
        <f>I15+I10</f>
        <v>82610708.381300017</v>
      </c>
      <c r="J16" s="146"/>
      <c r="K16" s="146"/>
      <c r="L16" s="146"/>
      <c r="M16" s="147">
        <f>M15+M10</f>
        <v>85510067.251784012</v>
      </c>
      <c r="N16" s="147">
        <f>M16-I16</f>
        <v>2899358.8704839945</v>
      </c>
      <c r="O16" s="149">
        <f>N16/I16</f>
        <v>3.5096647000067378E-2</v>
      </c>
      <c r="P16" s="115"/>
      <c r="Q16" s="115"/>
      <c r="R16" s="115"/>
    </row>
    <row r="17" spans="1:20" ht="13.8" thickTop="1" x14ac:dyDescent="0.25">
      <c r="A17" s="34">
        <f t="shared" si="1"/>
        <v>11</v>
      </c>
      <c r="D17" s="2" t="s">
        <v>19</v>
      </c>
      <c r="E17" s="120">
        <f>E9/E8</f>
        <v>1136.9006497414653</v>
      </c>
      <c r="G17" s="150">
        <f>G16/E8</f>
        <v>120.97273543250934</v>
      </c>
      <c r="I17" s="150">
        <f>I16/E8</f>
        <v>120.97273543250935</v>
      </c>
      <c r="M17" s="150">
        <f>M16/E8</f>
        <v>125.21847282461668</v>
      </c>
      <c r="N17" s="150">
        <f>M17-I17</f>
        <v>4.2457373921073298</v>
      </c>
      <c r="O17" s="132">
        <f>N17/I17</f>
        <v>3.5096647000067427E-2</v>
      </c>
    </row>
    <row r="18" spans="1:20" ht="13.8" thickBot="1" x14ac:dyDescent="0.3">
      <c r="A18" s="34">
        <f t="shared" si="1"/>
        <v>12</v>
      </c>
    </row>
    <row r="19" spans="1:20" x14ac:dyDescent="0.25">
      <c r="A19" s="34">
        <f t="shared" si="1"/>
        <v>13</v>
      </c>
      <c r="B19" s="158" t="s">
        <v>56</v>
      </c>
      <c r="C19" s="26">
        <v>2</v>
      </c>
      <c r="D19" s="25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1:20" x14ac:dyDescent="0.25">
      <c r="A20" s="34">
        <f t="shared" si="1"/>
        <v>14</v>
      </c>
      <c r="B20" s="159"/>
      <c r="D20" s="2" t="s">
        <v>18</v>
      </c>
      <c r="E20" s="130">
        <v>17977</v>
      </c>
      <c r="F20" s="120">
        <v>15.78</v>
      </c>
      <c r="G20" s="131">
        <f>F20*E20</f>
        <v>283677.06</v>
      </c>
      <c r="H20" s="120">
        <v>15.78</v>
      </c>
      <c r="I20" s="131">
        <f>H20*E20</f>
        <v>283677.06</v>
      </c>
      <c r="J20" s="132">
        <f>I20/I24</f>
        <v>0.49686441572833884</v>
      </c>
      <c r="K20" s="132"/>
      <c r="L20" s="120">
        <f>ROUND(H20*S24,2)</f>
        <v>16.38</v>
      </c>
      <c r="M20" s="131">
        <f>L20*E20</f>
        <v>294463.26</v>
      </c>
      <c r="N20" s="131">
        <f t="shared" ref="N20:N27" si="9">M20-I20</f>
        <v>10786.200000000012</v>
      </c>
      <c r="O20" s="132">
        <f>IF(I20=0,0,N20/I20)</f>
        <v>3.8022813688212968E-2</v>
      </c>
      <c r="P20" s="132">
        <f>M20/M24</f>
        <v>0.49689879612667354</v>
      </c>
      <c r="Q20" s="133">
        <f>P20-J20</f>
        <v>3.438039833469908E-5</v>
      </c>
      <c r="R20" s="133"/>
      <c r="T20" s="6">
        <f>L20/H20-1</f>
        <v>3.8022813688212809E-2</v>
      </c>
    </row>
    <row r="21" spans="1:20" x14ac:dyDescent="0.25">
      <c r="A21" s="34">
        <f t="shared" si="1"/>
        <v>15</v>
      </c>
      <c r="B21" s="14"/>
      <c r="D21" s="2" t="s">
        <v>70</v>
      </c>
      <c r="E21" s="130">
        <v>2303785</v>
      </c>
      <c r="F21" s="121">
        <v>6.5490000000000007E-2</v>
      </c>
      <c r="G21" s="131">
        <f t="shared" ref="G21:G23" si="10">F21*E21</f>
        <v>150874.87965000002</v>
      </c>
      <c r="H21" s="134">
        <v>6.3930000000000001E-2</v>
      </c>
      <c r="I21" s="131">
        <f t="shared" ref="I21:I23" si="11">H21*E21</f>
        <v>147280.97505000001</v>
      </c>
      <c r="J21" s="132">
        <f>I21/I24</f>
        <v>0.25796472797665876</v>
      </c>
      <c r="K21" s="132"/>
      <c r="L21" s="121">
        <f>ROUND(H21*S24,5)</f>
        <v>6.6350000000000006E-2</v>
      </c>
      <c r="M21" s="131">
        <f t="shared" ref="M21:M23" si="12">L21*E21</f>
        <v>152856.13475000003</v>
      </c>
      <c r="N21" s="131">
        <f t="shared" si="9"/>
        <v>5575.1597000000183</v>
      </c>
      <c r="O21" s="132">
        <f t="shared" ref="O21:O23" si="13">IF(I21=0,0,N21/I21)</f>
        <v>3.7853902706084901E-2</v>
      </c>
      <c r="P21" s="132">
        <f>M21/M24</f>
        <v>0.25794059787917717</v>
      </c>
      <c r="Q21" s="133">
        <f t="shared" ref="Q21:Q24" si="14">P21-J21</f>
        <v>-2.4130097481589452E-5</v>
      </c>
      <c r="R21" s="133"/>
      <c r="T21" s="6">
        <f>L21/H21-1</f>
        <v>3.7853902706084908E-2</v>
      </c>
    </row>
    <row r="22" spans="1:20" x14ac:dyDescent="0.25">
      <c r="A22" s="34">
        <f t="shared" si="1"/>
        <v>16</v>
      </c>
      <c r="B22" s="14"/>
      <c r="D22" s="2" t="s">
        <v>71</v>
      </c>
      <c r="E22" s="130">
        <v>682926</v>
      </c>
      <c r="F22" s="121">
        <v>8.7989999999999999E-2</v>
      </c>
      <c r="G22" s="131">
        <f t="shared" ref="G22" si="15">F22*E22</f>
        <v>60090.658739999999</v>
      </c>
      <c r="H22" s="134">
        <v>8.6430000000000007E-2</v>
      </c>
      <c r="I22" s="131">
        <f t="shared" ref="I22" si="16">H22*E22</f>
        <v>59025.294180000004</v>
      </c>
      <c r="J22" s="132">
        <f>I22/I24</f>
        <v>0.10338364443687841</v>
      </c>
      <c r="K22" s="132"/>
      <c r="L22" s="121">
        <f>ROUND(H22*S24,5)</f>
        <v>8.9709999999999998E-2</v>
      </c>
      <c r="M22" s="131">
        <f t="shared" ref="M22" si="17">L22*E22</f>
        <v>61265.29146</v>
      </c>
      <c r="N22" s="131">
        <f t="shared" ref="N22" si="18">M22-I22</f>
        <v>2239.997279999996</v>
      </c>
      <c r="O22" s="132">
        <f t="shared" ref="O22" si="19">IF(I22=0,0,N22/I22)</f>
        <v>3.7949785953951105E-2</v>
      </c>
      <c r="P22" s="132">
        <f>M22/M24</f>
        <v>0.10338352421563143</v>
      </c>
      <c r="Q22" s="133">
        <f t="shared" ref="Q22" si="20">P22-J22</f>
        <v>-1.2022124697141923E-7</v>
      </c>
      <c r="R22" s="133"/>
      <c r="T22" s="6">
        <f>L22/H22-1</f>
        <v>3.7949785953951043E-2</v>
      </c>
    </row>
    <row r="23" spans="1:20" x14ac:dyDescent="0.25">
      <c r="A23" s="34">
        <f t="shared" si="1"/>
        <v>17</v>
      </c>
      <c r="B23" s="14"/>
      <c r="D23" s="2" t="s">
        <v>72</v>
      </c>
      <c r="E23" s="130">
        <v>695278</v>
      </c>
      <c r="F23" s="121">
        <v>0.11799</v>
      </c>
      <c r="G23" s="131">
        <f t="shared" si="10"/>
        <v>82035.851219999997</v>
      </c>
      <c r="H23" s="134">
        <v>0.11643000000000001</v>
      </c>
      <c r="I23" s="131">
        <f t="shared" si="11"/>
        <v>80951.217539999998</v>
      </c>
      <c r="J23" s="132">
        <f>I23/I24</f>
        <v>0.14178721185812401</v>
      </c>
      <c r="K23" s="132"/>
      <c r="L23" s="121">
        <f>ROUND(H23*S24,5)</f>
        <v>0.12084</v>
      </c>
      <c r="M23" s="131">
        <f t="shared" si="12"/>
        <v>84017.393519999998</v>
      </c>
      <c r="N23" s="131">
        <f t="shared" si="9"/>
        <v>3066.17598</v>
      </c>
      <c r="O23" s="132">
        <f t="shared" si="13"/>
        <v>3.787683586704458E-2</v>
      </c>
      <c r="P23" s="132">
        <f>M23/M24</f>
        <v>0.14177708177851792</v>
      </c>
      <c r="Q23" s="133">
        <f t="shared" si="14"/>
        <v>-1.0130079606096576E-5</v>
      </c>
      <c r="R23" s="133"/>
      <c r="T23" s="6">
        <f>L23/H23-1</f>
        <v>3.7876835867044489E-2</v>
      </c>
    </row>
    <row r="24" spans="1:20" s="7" customFormat="1" ht="20.399999999999999" customHeight="1" x14ac:dyDescent="0.3">
      <c r="A24" s="34">
        <f t="shared" si="1"/>
        <v>18</v>
      </c>
      <c r="C24" s="17"/>
      <c r="D24" s="19" t="s">
        <v>7</v>
      </c>
      <c r="E24" s="135"/>
      <c r="F24" s="136"/>
      <c r="G24" s="20">
        <f>SUM(G20:G23)</f>
        <v>576678.44961000001</v>
      </c>
      <c r="H24" s="135"/>
      <c r="I24" s="20">
        <f>SUM(I20:I23)</f>
        <v>570934.54677000002</v>
      </c>
      <c r="J24" s="137">
        <f>SUM(J20:J23)</f>
        <v>1</v>
      </c>
      <c r="K24" s="138">
        <f>I24+Summary!I11</f>
        <v>592573.07677000004</v>
      </c>
      <c r="L24" s="135"/>
      <c r="M24" s="20">
        <f>SUM(M20:M23)</f>
        <v>592602.07973</v>
      </c>
      <c r="N24" s="20">
        <f>SUM(N20:N23)</f>
        <v>21667.532960000026</v>
      </c>
      <c r="O24" s="137">
        <f t="shared" ref="O24" si="21">N24/I24</f>
        <v>3.7950992951086483E-2</v>
      </c>
      <c r="P24" s="137">
        <f>SUM(P20:P23)</f>
        <v>1</v>
      </c>
      <c r="Q24" s="139">
        <f t="shared" si="14"/>
        <v>0</v>
      </c>
      <c r="R24" s="140">
        <f>M24-K24</f>
        <v>29.002959999954328</v>
      </c>
      <c r="S24" s="85">
        <f>K24/I24</f>
        <v>1.0379001938530741</v>
      </c>
    </row>
    <row r="25" spans="1:20" x14ac:dyDescent="0.25">
      <c r="A25" s="34">
        <f t="shared" si="1"/>
        <v>19</v>
      </c>
      <c r="D25" s="2" t="s">
        <v>30</v>
      </c>
      <c r="G25" s="131">
        <v>-14293.52</v>
      </c>
      <c r="I25" s="141">
        <f>G25+(0.00156*E21)</f>
        <v>-10699.615400000001</v>
      </c>
      <c r="K25" s="141"/>
      <c r="M25" s="131">
        <f>I25</f>
        <v>-10699.615400000001</v>
      </c>
      <c r="N25" s="131">
        <f t="shared" si="9"/>
        <v>0</v>
      </c>
      <c r="O25" s="120">
        <v>0</v>
      </c>
      <c r="R25" s="142"/>
    </row>
    <row r="26" spans="1:20" x14ac:dyDescent="0.25">
      <c r="A26" s="34">
        <f t="shared" si="1"/>
        <v>20</v>
      </c>
      <c r="D26" s="2" t="s">
        <v>31</v>
      </c>
      <c r="G26" s="131">
        <v>62353.85</v>
      </c>
      <c r="I26" s="141">
        <f>G26</f>
        <v>62353.85</v>
      </c>
      <c r="M26" s="131">
        <f t="shared" ref="M26:M28" si="22">I26</f>
        <v>62353.85</v>
      </c>
      <c r="N26" s="131">
        <f t="shared" si="9"/>
        <v>0</v>
      </c>
      <c r="O26" s="120">
        <v>0</v>
      </c>
    </row>
    <row r="27" spans="1:20" x14ac:dyDescent="0.25">
      <c r="A27" s="34">
        <f t="shared" si="1"/>
        <v>21</v>
      </c>
      <c r="D27" s="2" t="s">
        <v>33</v>
      </c>
      <c r="E27" s="130"/>
      <c r="F27" s="120"/>
      <c r="G27" s="131">
        <v>0</v>
      </c>
      <c r="I27" s="141">
        <f>G27</f>
        <v>0</v>
      </c>
      <c r="M27" s="131">
        <f t="shared" si="22"/>
        <v>0</v>
      </c>
      <c r="N27" s="131">
        <f t="shared" si="9"/>
        <v>0</v>
      </c>
      <c r="O27" s="120">
        <v>0</v>
      </c>
    </row>
    <row r="28" spans="1:20" x14ac:dyDescent="0.25">
      <c r="A28" s="34">
        <f t="shared" si="1"/>
        <v>22</v>
      </c>
      <c r="B28" s="69"/>
      <c r="D28" s="2" t="s">
        <v>43</v>
      </c>
      <c r="G28" s="131">
        <v>0</v>
      </c>
      <c r="I28" s="141">
        <f>G28</f>
        <v>0</v>
      </c>
      <c r="M28" s="131">
        <f t="shared" si="22"/>
        <v>0</v>
      </c>
      <c r="N28" s="131"/>
      <c r="O28" s="120">
        <v>0</v>
      </c>
    </row>
    <row r="29" spans="1:20" x14ac:dyDescent="0.25">
      <c r="A29" s="34">
        <f t="shared" si="1"/>
        <v>23</v>
      </c>
      <c r="D29" s="15" t="s">
        <v>9</v>
      </c>
      <c r="E29" s="143"/>
      <c r="F29" s="143"/>
      <c r="G29" s="144">
        <f>SUM(G25:G28)</f>
        <v>48060.33</v>
      </c>
      <c r="H29" s="143"/>
      <c r="I29" s="144">
        <f>SUM(I25:I28)</f>
        <v>51654.234599999996</v>
      </c>
      <c r="J29" s="143"/>
      <c r="K29" s="143"/>
      <c r="L29" s="143"/>
      <c r="M29" s="144">
        <f>SUM(M25:M28)</f>
        <v>51654.234599999996</v>
      </c>
      <c r="N29" s="144">
        <f>M29-I29</f>
        <v>0</v>
      </c>
      <c r="O29" s="145">
        <v>0</v>
      </c>
    </row>
    <row r="30" spans="1:20" s="7" customFormat="1" ht="26.4" customHeight="1" thickBot="1" x14ac:dyDescent="0.3">
      <c r="A30" s="34">
        <f t="shared" si="1"/>
        <v>24</v>
      </c>
      <c r="C30" s="17"/>
      <c r="D30" s="8" t="s">
        <v>20</v>
      </c>
      <c r="E30" s="146"/>
      <c r="F30" s="146"/>
      <c r="G30" s="147">
        <f>G24+G29</f>
        <v>624738.77960999997</v>
      </c>
      <c r="H30" s="146"/>
      <c r="I30" s="148">
        <f>I29+I24</f>
        <v>622588.78136999998</v>
      </c>
      <c r="J30" s="146"/>
      <c r="K30" s="146"/>
      <c r="L30" s="146"/>
      <c r="M30" s="147">
        <f>M29+M24</f>
        <v>644256.31432999996</v>
      </c>
      <c r="N30" s="147">
        <f>M30-I30</f>
        <v>21667.532959999982</v>
      </c>
      <c r="O30" s="149">
        <f>N30/I30</f>
        <v>3.4802318333332007E-2</v>
      </c>
      <c r="P30" s="115"/>
      <c r="Q30" s="115"/>
      <c r="R30" s="115"/>
    </row>
    <row r="31" spans="1:20" ht="13.8" thickTop="1" x14ac:dyDescent="0.25">
      <c r="A31" s="34">
        <f t="shared" si="1"/>
        <v>25</v>
      </c>
      <c r="D31" s="2" t="s">
        <v>19</v>
      </c>
      <c r="E31" s="120">
        <f>(E21+E22+E23)/E20</f>
        <v>204.81665461422929</v>
      </c>
      <c r="G31" s="150">
        <f>G30/E20</f>
        <v>34.75211545919786</v>
      </c>
      <c r="I31" s="150">
        <f>I30/E20</f>
        <v>34.632518293931135</v>
      </c>
      <c r="M31" s="150">
        <f>M30/E20</f>
        <v>35.837810220281469</v>
      </c>
      <c r="N31" s="150">
        <f>M31-I31</f>
        <v>1.2052919263503341</v>
      </c>
      <c r="O31" s="132">
        <f>N31/I31</f>
        <v>3.4802318333331965E-2</v>
      </c>
    </row>
    <row r="32" spans="1:20" ht="13.8" thickBot="1" x14ac:dyDescent="0.3">
      <c r="A32" s="34">
        <f t="shared" si="1"/>
        <v>26</v>
      </c>
    </row>
    <row r="33" spans="1:20" x14ac:dyDescent="0.25">
      <c r="A33" s="34">
        <f t="shared" si="1"/>
        <v>27</v>
      </c>
      <c r="B33" s="158" t="s">
        <v>57</v>
      </c>
      <c r="C33" s="26">
        <v>3</v>
      </c>
      <c r="D33" s="25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20" x14ac:dyDescent="0.25">
      <c r="A34" s="34">
        <f t="shared" si="1"/>
        <v>28</v>
      </c>
      <c r="B34" s="159"/>
      <c r="D34" s="2" t="s">
        <v>18</v>
      </c>
      <c r="E34" s="130">
        <v>32181</v>
      </c>
      <c r="F34" s="120">
        <v>25</v>
      </c>
      <c r="G34" s="131">
        <f>F34*E34</f>
        <v>804525</v>
      </c>
      <c r="H34" s="120">
        <v>25</v>
      </c>
      <c r="I34" s="131">
        <f>H34*E34</f>
        <v>804525</v>
      </c>
      <c r="J34" s="132">
        <f>I34/I36</f>
        <v>0.15773760412542903</v>
      </c>
      <c r="K34" s="132"/>
      <c r="L34" s="120">
        <f>ROUND(H34*S36,2)</f>
        <v>25.95</v>
      </c>
      <c r="M34" s="131">
        <f>L34*E34</f>
        <v>835096.95</v>
      </c>
      <c r="N34" s="131">
        <f t="shared" ref="N34:N39" si="23">M34-I34</f>
        <v>30571.949999999953</v>
      </c>
      <c r="O34" s="132">
        <f>IF(I34=0,0,N34/I34)</f>
        <v>3.7999999999999944E-2</v>
      </c>
      <c r="P34" s="132">
        <f>M34/M36</f>
        <v>0.15775029247186717</v>
      </c>
      <c r="Q34" s="133">
        <f>P34-J34</f>
        <v>1.2688346438138876E-5</v>
      </c>
      <c r="R34" s="133"/>
      <c r="T34" s="6">
        <f>L34/H34-1</f>
        <v>3.8000000000000034E-2</v>
      </c>
    </row>
    <row r="35" spans="1:20" x14ac:dyDescent="0.25">
      <c r="A35" s="34">
        <f t="shared" si="1"/>
        <v>29</v>
      </c>
      <c r="B35" s="14"/>
      <c r="D35" s="2" t="s">
        <v>53</v>
      </c>
      <c r="E35" s="130">
        <v>52185080</v>
      </c>
      <c r="F35" s="121">
        <v>8.3879999999999996E-2</v>
      </c>
      <c r="G35" s="131">
        <f t="shared" ref="G35" si="24">F35*E35</f>
        <v>4377284.5104</v>
      </c>
      <c r="H35" s="134">
        <v>8.2320000000000004E-2</v>
      </c>
      <c r="I35" s="131">
        <f t="shared" ref="I35" si="25">H35*E35</f>
        <v>4295875.7856000001</v>
      </c>
      <c r="J35" s="132">
        <f>I35/I36</f>
        <v>0.84226239587457097</v>
      </c>
      <c r="K35" s="132"/>
      <c r="L35" s="121">
        <f>ROUND(H35*S36,6)</f>
        <v>8.5440000000000002E-2</v>
      </c>
      <c r="M35" s="131">
        <f t="shared" ref="M35" si="26">L35*E35</f>
        <v>4458693.2352</v>
      </c>
      <c r="N35" s="131">
        <f t="shared" si="23"/>
        <v>162817.44959999993</v>
      </c>
      <c r="O35" s="132">
        <f t="shared" ref="O35" si="27">IF(I35=0,0,N35/I35)</f>
        <v>3.7900874635568495E-2</v>
      </c>
      <c r="P35" s="132">
        <f>M35/M36</f>
        <v>0.84224970752813277</v>
      </c>
      <c r="Q35" s="133">
        <f t="shared" ref="Q35:Q36" si="28">P35-J35</f>
        <v>-1.2688346438194387E-5</v>
      </c>
      <c r="R35" s="133"/>
      <c r="T35" s="6">
        <f>L35/H35-1</f>
        <v>3.790087463556846E-2</v>
      </c>
    </row>
    <row r="36" spans="1:20" s="7" customFormat="1" ht="20.399999999999999" customHeight="1" x14ac:dyDescent="0.3">
      <c r="A36" s="34">
        <f t="shared" si="1"/>
        <v>30</v>
      </c>
      <c r="C36" s="17"/>
      <c r="D36" s="19" t="s">
        <v>7</v>
      </c>
      <c r="E36" s="135"/>
      <c r="F36" s="136"/>
      <c r="G36" s="20">
        <f>SUM(G34:G35)</f>
        <v>5181809.5104</v>
      </c>
      <c r="H36" s="135"/>
      <c r="I36" s="20">
        <f>SUM(I34:I35)</f>
        <v>5100400.7856000001</v>
      </c>
      <c r="J36" s="137">
        <f>SUM(J34:J35)</f>
        <v>1</v>
      </c>
      <c r="K36" s="138">
        <f>I36+Summary!I12</f>
        <v>5293706.9655999998</v>
      </c>
      <c r="L36" s="135"/>
      <c r="M36" s="20">
        <f>SUM(M34:M35)</f>
        <v>5293790.1852000002</v>
      </c>
      <c r="N36" s="20">
        <f>SUM(N34:N35)</f>
        <v>193389.39959999989</v>
      </c>
      <c r="O36" s="137">
        <f t="shared" ref="O36" si="29">N36/I36</f>
        <v>3.7916510433061976E-2</v>
      </c>
      <c r="P36" s="137">
        <f>SUM(P34:P35)</f>
        <v>1</v>
      </c>
      <c r="Q36" s="139">
        <f t="shared" si="28"/>
        <v>0</v>
      </c>
      <c r="R36" s="140">
        <f>M36-K36</f>
        <v>83.219600000418723</v>
      </c>
      <c r="S36" s="7">
        <f>K36/I36</f>
        <v>1.0379001941466566</v>
      </c>
    </row>
    <row r="37" spans="1:20" x14ac:dyDescent="0.25">
      <c r="A37" s="34">
        <f t="shared" si="1"/>
        <v>31</v>
      </c>
      <c r="D37" s="2" t="s">
        <v>30</v>
      </c>
      <c r="G37" s="131">
        <v>-205158.62</v>
      </c>
      <c r="I37" s="141">
        <f>G37+(0.00156*E35)</f>
        <v>-123749.8952</v>
      </c>
      <c r="M37" s="131">
        <f>I37</f>
        <v>-123749.8952</v>
      </c>
      <c r="N37" s="131">
        <f t="shared" si="23"/>
        <v>0</v>
      </c>
      <c r="O37" s="120">
        <v>0</v>
      </c>
      <c r="R37" s="142"/>
    </row>
    <row r="38" spans="1:20" x14ac:dyDescent="0.25">
      <c r="A38" s="34">
        <f t="shared" si="1"/>
        <v>32</v>
      </c>
      <c r="D38" s="2" t="s">
        <v>31</v>
      </c>
      <c r="G38" s="131">
        <v>536461.34</v>
      </c>
      <c r="I38" s="141">
        <f>G38</f>
        <v>536461.34</v>
      </c>
      <c r="M38" s="131">
        <f t="shared" ref="M38:M40" si="30">I38</f>
        <v>536461.34</v>
      </c>
      <c r="N38" s="131">
        <f t="shared" si="23"/>
        <v>0</v>
      </c>
      <c r="O38" s="120">
        <v>0</v>
      </c>
    </row>
    <row r="39" spans="1:20" x14ac:dyDescent="0.25">
      <c r="A39" s="34">
        <f t="shared" si="1"/>
        <v>33</v>
      </c>
      <c r="D39" s="2" t="s">
        <v>33</v>
      </c>
      <c r="E39" s="130"/>
      <c r="F39" s="120"/>
      <c r="G39" s="131">
        <v>0</v>
      </c>
      <c r="I39" s="141">
        <f>G39</f>
        <v>0</v>
      </c>
      <c r="M39" s="131">
        <f t="shared" si="30"/>
        <v>0</v>
      </c>
      <c r="N39" s="131">
        <f t="shared" si="23"/>
        <v>0</v>
      </c>
      <c r="O39" s="120">
        <v>0</v>
      </c>
    </row>
    <row r="40" spans="1:20" x14ac:dyDescent="0.25">
      <c r="A40" s="34">
        <f t="shared" si="1"/>
        <v>34</v>
      </c>
      <c r="B40" s="69"/>
      <c r="D40" s="2" t="s">
        <v>43</v>
      </c>
      <c r="G40" s="131">
        <v>0</v>
      </c>
      <c r="I40" s="141">
        <f>G40</f>
        <v>0</v>
      </c>
      <c r="M40" s="131">
        <f t="shared" si="30"/>
        <v>0</v>
      </c>
      <c r="N40" s="131"/>
      <c r="O40" s="120">
        <v>0</v>
      </c>
    </row>
    <row r="41" spans="1:20" x14ac:dyDescent="0.25">
      <c r="A41" s="34">
        <f t="shared" si="1"/>
        <v>35</v>
      </c>
      <c r="D41" s="15" t="s">
        <v>9</v>
      </c>
      <c r="E41" s="143"/>
      <c r="F41" s="143"/>
      <c r="G41" s="144">
        <f>SUM(G37:G40)</f>
        <v>331302.71999999997</v>
      </c>
      <c r="H41" s="143"/>
      <c r="I41" s="144">
        <f>SUM(I37:I40)</f>
        <v>412711.44479999994</v>
      </c>
      <c r="J41" s="143"/>
      <c r="K41" s="143"/>
      <c r="L41" s="143"/>
      <c r="M41" s="144">
        <f>SUM(M37:M40)</f>
        <v>412711.44479999994</v>
      </c>
      <c r="N41" s="144">
        <f>M41-I41</f>
        <v>0</v>
      </c>
      <c r="O41" s="145">
        <v>0</v>
      </c>
    </row>
    <row r="42" spans="1:20" s="7" customFormat="1" ht="26.4" customHeight="1" thickBot="1" x14ac:dyDescent="0.3">
      <c r="A42" s="34">
        <f t="shared" si="1"/>
        <v>36</v>
      </c>
      <c r="C42" s="17"/>
      <c r="D42" s="8" t="s">
        <v>20</v>
      </c>
      <c r="E42" s="146"/>
      <c r="F42" s="146"/>
      <c r="G42" s="147">
        <f>G36+G41</f>
        <v>5513112.2303999998</v>
      </c>
      <c r="H42" s="146"/>
      <c r="I42" s="148">
        <f>I41+I36</f>
        <v>5513112.2303999998</v>
      </c>
      <c r="J42" s="146"/>
      <c r="K42" s="146"/>
      <c r="L42" s="146"/>
      <c r="M42" s="147">
        <f>M41+M36</f>
        <v>5706501.6299999999</v>
      </c>
      <c r="N42" s="147">
        <f>M42-I42</f>
        <v>193389.39960000012</v>
      </c>
      <c r="O42" s="149">
        <f>N42/I42</f>
        <v>3.5078081402665169E-2</v>
      </c>
      <c r="P42" s="115"/>
      <c r="Q42" s="115"/>
      <c r="R42" s="115"/>
    </row>
    <row r="43" spans="1:20" ht="13.8" thickTop="1" x14ac:dyDescent="0.25">
      <c r="A43" s="34">
        <f t="shared" si="1"/>
        <v>37</v>
      </c>
      <c r="D43" s="2" t="s">
        <v>19</v>
      </c>
      <c r="E43" s="120">
        <f>E35/E34</f>
        <v>1621.6115098971443</v>
      </c>
      <c r="G43" s="150">
        <f>G42/E34</f>
        <v>171.31575247506291</v>
      </c>
      <c r="I43" s="150">
        <f>I42/E34</f>
        <v>171.31575247506291</v>
      </c>
      <c r="M43" s="150">
        <f>M42/E34</f>
        <v>177.32518038594202</v>
      </c>
      <c r="N43" s="150">
        <f>M43-I43</f>
        <v>6.0094279108791113</v>
      </c>
      <c r="O43" s="132">
        <f>N43/I43</f>
        <v>3.5078081402665273E-2</v>
      </c>
    </row>
    <row r="44" spans="1:20" ht="13.8" thickBot="1" x14ac:dyDescent="0.3">
      <c r="A44" s="34">
        <f t="shared" si="1"/>
        <v>38</v>
      </c>
    </row>
    <row r="45" spans="1:20" x14ac:dyDescent="0.25">
      <c r="A45" s="34">
        <f t="shared" si="1"/>
        <v>39</v>
      </c>
      <c r="B45" s="158" t="s">
        <v>58</v>
      </c>
      <c r="C45" s="26">
        <v>4</v>
      </c>
      <c r="D45" s="25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1:20" x14ac:dyDescent="0.25">
      <c r="A46" s="34">
        <f t="shared" si="1"/>
        <v>40</v>
      </c>
      <c r="B46" s="159"/>
      <c r="D46" s="2" t="s">
        <v>18</v>
      </c>
      <c r="E46" s="130">
        <v>3650</v>
      </c>
      <c r="F46" s="120">
        <v>21.31</v>
      </c>
      <c r="G46" s="131">
        <f>F46*E46</f>
        <v>77781.5</v>
      </c>
      <c r="H46" s="120">
        <v>21.31</v>
      </c>
      <c r="I46" s="131">
        <f>H46*E46</f>
        <v>77781.5</v>
      </c>
      <c r="J46" s="132">
        <f>I46/I49</f>
        <v>4.8637642749378221E-3</v>
      </c>
      <c r="K46" s="132"/>
      <c r="L46" s="120">
        <f>ROUND(J46*K49/E46,2)</f>
        <v>22.12</v>
      </c>
      <c r="M46" s="131">
        <f>L46*E46</f>
        <v>80738</v>
      </c>
      <c r="N46" s="131">
        <f t="shared" ref="N46:N52" si="31">M46-I46</f>
        <v>2956.5</v>
      </c>
      <c r="O46" s="132">
        <f>IF(I46=0,0,N46/I46)</f>
        <v>3.8010323791647115E-2</v>
      </c>
      <c r="P46" s="132">
        <f>M46/M49</f>
        <v>4.8647058196973E-3</v>
      </c>
      <c r="Q46" s="133">
        <f>P46-J46</f>
        <v>9.4154475947794136E-7</v>
      </c>
      <c r="R46" s="133"/>
      <c r="T46" s="6">
        <f>L46/H46-1</f>
        <v>3.8010323791647149E-2</v>
      </c>
    </row>
    <row r="47" spans="1:20" x14ac:dyDescent="0.25">
      <c r="A47" s="34">
        <f t="shared" si="1"/>
        <v>41</v>
      </c>
      <c r="B47" s="14"/>
      <c r="D47" s="2" t="s">
        <v>53</v>
      </c>
      <c r="E47" s="130">
        <v>201435841</v>
      </c>
      <c r="F47" s="121">
        <v>6.2520000000000006E-2</v>
      </c>
      <c r="G47" s="131">
        <f t="shared" ref="G47:G48" si="32">F47*E47</f>
        <v>12593768.779320002</v>
      </c>
      <c r="H47" s="134">
        <v>6.096E-2</v>
      </c>
      <c r="I47" s="131">
        <f t="shared" ref="I47:I48" si="33">H47*E47</f>
        <v>12279528.86736</v>
      </c>
      <c r="J47" s="132">
        <f>I47/I49</f>
        <v>0.76785268756880831</v>
      </c>
      <c r="K47" s="132"/>
      <c r="L47" s="134">
        <f>ROUND(J47*K49/E47,5)</f>
        <v>6.3270000000000007E-2</v>
      </c>
      <c r="M47" s="131">
        <f t="shared" ref="M47:M48" si="34">L47*E47</f>
        <v>12744845.660070002</v>
      </c>
      <c r="N47" s="131">
        <f t="shared" si="31"/>
        <v>465316.79271000251</v>
      </c>
      <c r="O47" s="132">
        <f t="shared" ref="O47:O48" si="35">IF(I47=0,0,N47/I47)</f>
        <v>3.7893700787401778E-2</v>
      </c>
      <c r="P47" s="132">
        <f>M47/M49</f>
        <v>0.76791504438661373</v>
      </c>
      <c r="Q47" s="133">
        <f t="shared" ref="Q47:Q49" si="36">P47-J47</f>
        <v>6.2356817805420128E-5</v>
      </c>
      <c r="R47" s="133"/>
      <c r="T47" s="6">
        <f>L47/H47-1</f>
        <v>3.7893700787401619E-2</v>
      </c>
    </row>
    <row r="48" spans="1:20" x14ac:dyDescent="0.25">
      <c r="A48" s="34">
        <f t="shared" si="1"/>
        <v>42</v>
      </c>
      <c r="B48" s="14"/>
      <c r="D48" s="2" t="s">
        <v>54</v>
      </c>
      <c r="E48" s="130">
        <v>592940.78200000001</v>
      </c>
      <c r="F48" s="120">
        <v>6.13</v>
      </c>
      <c r="G48" s="131">
        <f t="shared" si="32"/>
        <v>3634726.9936600002</v>
      </c>
      <c r="H48" s="120">
        <v>6.13</v>
      </c>
      <c r="I48" s="131">
        <f t="shared" si="33"/>
        <v>3634726.9936600002</v>
      </c>
      <c r="J48" s="132">
        <f>I48/I49</f>
        <v>0.22728354815625387</v>
      </c>
      <c r="K48" s="132"/>
      <c r="L48" s="120">
        <f>ROUND(J48*K49/E48,2)</f>
        <v>6.36</v>
      </c>
      <c r="M48" s="131">
        <f t="shared" si="34"/>
        <v>3771103.3735200004</v>
      </c>
      <c r="N48" s="131">
        <f t="shared" si="31"/>
        <v>136376.37986000022</v>
      </c>
      <c r="O48" s="132">
        <f t="shared" si="35"/>
        <v>3.752039151712893E-2</v>
      </c>
      <c r="P48" s="132">
        <f>M48/M49</f>
        <v>0.22722024979368904</v>
      </c>
      <c r="Q48" s="133">
        <f t="shared" si="36"/>
        <v>-6.3298362564828681E-5</v>
      </c>
      <c r="R48" s="133"/>
      <c r="T48" s="6">
        <f>L48/H48-1</f>
        <v>3.7520391517128937E-2</v>
      </c>
    </row>
    <row r="49" spans="1:23" s="7" customFormat="1" ht="20.399999999999999" customHeight="1" x14ac:dyDescent="0.3">
      <c r="A49" s="34">
        <f t="shared" si="1"/>
        <v>43</v>
      </c>
      <c r="C49" s="17"/>
      <c r="D49" s="19" t="s">
        <v>7</v>
      </c>
      <c r="E49" s="135"/>
      <c r="F49" s="136"/>
      <c r="G49" s="20">
        <f>SUM(G46:G48)</f>
        <v>16306277.272980001</v>
      </c>
      <c r="H49" s="135"/>
      <c r="I49" s="20">
        <f>SUM(I46:I48)</f>
        <v>15992037.361019999</v>
      </c>
      <c r="J49" s="137">
        <f>SUM(J46:J48)</f>
        <v>1</v>
      </c>
      <c r="K49" s="138">
        <f>I49+Summary!I13</f>
        <v>16598138.681019999</v>
      </c>
      <c r="L49" s="135"/>
      <c r="M49" s="20">
        <f>SUM(M46:M48)</f>
        <v>16596687.033590002</v>
      </c>
      <c r="N49" s="20">
        <f>SUM(N46:N48)</f>
        <v>604649.67257000273</v>
      </c>
      <c r="O49" s="137">
        <f t="shared" ref="O49" si="37">N49/I49</f>
        <v>3.780942095869623E-2</v>
      </c>
      <c r="P49" s="137">
        <f>SUM(P46:P48)</f>
        <v>1</v>
      </c>
      <c r="Q49" s="139">
        <f t="shared" si="36"/>
        <v>0</v>
      </c>
      <c r="R49" s="140">
        <f>M49-K49</f>
        <v>-1451.6474299971014</v>
      </c>
      <c r="S49" s="7">
        <f>K49/I49</f>
        <v>1.0379001940976795</v>
      </c>
    </row>
    <row r="50" spans="1:23" x14ac:dyDescent="0.25">
      <c r="A50" s="34">
        <f t="shared" si="1"/>
        <v>44</v>
      </c>
      <c r="D50" s="2" t="s">
        <v>30</v>
      </c>
      <c r="E50" s="151"/>
      <c r="G50" s="131">
        <v>-799722.82</v>
      </c>
      <c r="I50" s="141">
        <f>G50+(0.00156*E47)</f>
        <v>-485482.90803999995</v>
      </c>
      <c r="M50" s="131">
        <f>I50</f>
        <v>-485482.90803999995</v>
      </c>
      <c r="N50" s="131">
        <f t="shared" si="31"/>
        <v>0</v>
      </c>
      <c r="O50" s="120">
        <v>0</v>
      </c>
      <c r="R50" s="142"/>
    </row>
    <row r="51" spans="1:23" x14ac:dyDescent="0.25">
      <c r="A51" s="34">
        <f t="shared" si="1"/>
        <v>45</v>
      </c>
      <c r="D51" s="2" t="s">
        <v>31</v>
      </c>
      <c r="G51" s="131">
        <v>1627158.94</v>
      </c>
      <c r="I51" s="141">
        <f>G51</f>
        <v>1627158.94</v>
      </c>
      <c r="M51" s="131">
        <f t="shared" ref="M51:M53" si="38">I51</f>
        <v>1627158.94</v>
      </c>
      <c r="N51" s="131">
        <f t="shared" si="31"/>
        <v>0</v>
      </c>
      <c r="O51" s="120">
        <v>0</v>
      </c>
    </row>
    <row r="52" spans="1:23" x14ac:dyDescent="0.25">
      <c r="A52" s="34">
        <f t="shared" si="1"/>
        <v>46</v>
      </c>
      <c r="D52" s="2" t="s">
        <v>33</v>
      </c>
      <c r="E52" s="130"/>
      <c r="F52" s="120"/>
      <c r="G52" s="131">
        <v>0</v>
      </c>
      <c r="I52" s="141">
        <f>G52</f>
        <v>0</v>
      </c>
      <c r="M52" s="131">
        <f t="shared" si="38"/>
        <v>0</v>
      </c>
      <c r="N52" s="131">
        <f t="shared" si="31"/>
        <v>0</v>
      </c>
      <c r="O52" s="120">
        <v>0</v>
      </c>
    </row>
    <row r="53" spans="1:23" x14ac:dyDescent="0.25">
      <c r="A53" s="34">
        <f t="shared" si="1"/>
        <v>47</v>
      </c>
      <c r="B53" s="69"/>
      <c r="D53" s="2" t="s">
        <v>43</v>
      </c>
      <c r="G53" s="131">
        <v>0</v>
      </c>
      <c r="I53" s="141">
        <f>G53</f>
        <v>0</v>
      </c>
      <c r="M53" s="131">
        <f t="shared" si="38"/>
        <v>0</v>
      </c>
      <c r="N53" s="131"/>
      <c r="O53" s="120">
        <v>0</v>
      </c>
    </row>
    <row r="54" spans="1:23" x14ac:dyDescent="0.25">
      <c r="A54" s="34">
        <f t="shared" si="1"/>
        <v>48</v>
      </c>
      <c r="D54" s="15" t="s">
        <v>9</v>
      </c>
      <c r="E54" s="143"/>
      <c r="F54" s="143"/>
      <c r="G54" s="144">
        <f>SUM(G50:G53)</f>
        <v>827436.12</v>
      </c>
      <c r="H54" s="143"/>
      <c r="I54" s="144">
        <f>SUM(I50:I53)</f>
        <v>1141676.0319600001</v>
      </c>
      <c r="J54" s="143"/>
      <c r="K54" s="143"/>
      <c r="L54" s="143"/>
      <c r="M54" s="144">
        <f>SUM(M50:M53)</f>
        <v>1141676.0319600001</v>
      </c>
      <c r="N54" s="144">
        <f>M54-I54</f>
        <v>0</v>
      </c>
      <c r="O54" s="145">
        <v>0</v>
      </c>
    </row>
    <row r="55" spans="1:23" s="7" customFormat="1" ht="26.4" customHeight="1" thickBot="1" x14ac:dyDescent="0.3">
      <c r="A55" s="34">
        <f t="shared" si="1"/>
        <v>49</v>
      </c>
      <c r="C55" s="17"/>
      <c r="D55" s="8" t="s">
        <v>20</v>
      </c>
      <c r="E55" s="146"/>
      <c r="F55" s="146"/>
      <c r="G55" s="147">
        <f>G49+G54</f>
        <v>17133713.392980002</v>
      </c>
      <c r="H55" s="146"/>
      <c r="I55" s="148">
        <f>I54+I49</f>
        <v>17133713.392979998</v>
      </c>
      <c r="J55" s="146"/>
      <c r="K55" s="146"/>
      <c r="L55" s="146"/>
      <c r="M55" s="147">
        <f>M54+M49</f>
        <v>17738363.065550003</v>
      </c>
      <c r="N55" s="147">
        <f>M55-I55</f>
        <v>604649.67257000506</v>
      </c>
      <c r="O55" s="149">
        <f>N55/I55</f>
        <v>3.5290054099874305E-2</v>
      </c>
      <c r="P55" s="115"/>
      <c r="Q55" s="115"/>
      <c r="R55" s="115"/>
    </row>
    <row r="56" spans="1:23" ht="13.8" thickTop="1" x14ac:dyDescent="0.25">
      <c r="A56" s="34">
        <f t="shared" si="1"/>
        <v>50</v>
      </c>
      <c r="D56" s="2" t="s">
        <v>19</v>
      </c>
      <c r="E56" s="120">
        <f>E47/E46</f>
        <v>55187.901643835619</v>
      </c>
      <c r="G56" s="150">
        <f>G55/E46</f>
        <v>4694.1680528712332</v>
      </c>
      <c r="I56" s="150">
        <f>I55/E46</f>
        <v>4694.1680528712322</v>
      </c>
      <c r="M56" s="150">
        <f>M55/E46</f>
        <v>4859.8254974109595</v>
      </c>
      <c r="N56" s="150">
        <f>M56-I56</f>
        <v>165.65744453972729</v>
      </c>
      <c r="O56" s="132">
        <f>N56/I56</f>
        <v>3.5290054099874277E-2</v>
      </c>
    </row>
    <row r="57" spans="1:23" ht="13.8" thickBot="1" x14ac:dyDescent="0.3">
      <c r="A57" s="34">
        <f t="shared" si="1"/>
        <v>51</v>
      </c>
    </row>
    <row r="58" spans="1:23" ht="16.2" customHeight="1" x14ac:dyDescent="0.25">
      <c r="A58" s="34">
        <f t="shared" si="1"/>
        <v>52</v>
      </c>
      <c r="B58" s="158" t="s">
        <v>148</v>
      </c>
      <c r="C58" s="26">
        <v>5</v>
      </c>
      <c r="D58" s="25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23" x14ac:dyDescent="0.25">
      <c r="A59" s="34">
        <f t="shared" si="1"/>
        <v>53</v>
      </c>
      <c r="B59" s="159"/>
      <c r="D59" s="2" t="s">
        <v>18</v>
      </c>
      <c r="E59" s="130">
        <v>108</v>
      </c>
      <c r="F59" s="120">
        <v>21.31</v>
      </c>
      <c r="G59" s="131">
        <f>F59*E59</f>
        <v>2301.48</v>
      </c>
      <c r="H59" s="120">
        <v>21.31</v>
      </c>
      <c r="I59" s="131">
        <f>H59*E59</f>
        <v>2301.48</v>
      </c>
      <c r="J59" s="132">
        <f>I59/I62</f>
        <v>1.6909233212781024E-3</v>
      </c>
      <c r="K59" s="132"/>
      <c r="L59" s="120">
        <f>ROUND(H59*S62,2)</f>
        <v>22.12</v>
      </c>
      <c r="M59" s="131">
        <f>L59*E59</f>
        <v>2388.96</v>
      </c>
      <c r="N59" s="131">
        <f t="shared" ref="N59:N65" si="39">M59-I59</f>
        <v>87.480000000000018</v>
      </c>
      <c r="O59" s="132">
        <f>IF(I59=0,0,N59/I59)</f>
        <v>3.8010323791647121E-2</v>
      </c>
      <c r="P59" s="132">
        <f>M59/M62</f>
        <v>1.6910317249177369E-3</v>
      </c>
      <c r="Q59" s="133">
        <f>P59-J59</f>
        <v>1.0840363963448597E-7</v>
      </c>
      <c r="R59" s="133"/>
      <c r="T59" s="6">
        <f>L59/H59-1</f>
        <v>3.8010323791647149E-2</v>
      </c>
    </row>
    <row r="60" spans="1:23" x14ac:dyDescent="0.25">
      <c r="A60" s="34">
        <f t="shared" si="1"/>
        <v>54</v>
      </c>
      <c r="B60" s="14"/>
      <c r="D60" s="2" t="s">
        <v>53</v>
      </c>
      <c r="E60" s="130">
        <v>17722800</v>
      </c>
      <c r="F60" s="121">
        <v>5.9389999999999998E-2</v>
      </c>
      <c r="G60" s="131">
        <f t="shared" ref="G60:G61" si="40">F60*E60</f>
        <v>1052557.0919999999</v>
      </c>
      <c r="H60" s="134">
        <v>5.7910000000000003E-2</v>
      </c>
      <c r="I60" s="131">
        <f t="shared" ref="I60:I61" si="41">H60*E60</f>
        <v>1026327.348</v>
      </c>
      <c r="J60" s="132">
        <f>I60/I62</f>
        <v>0.75405428159215238</v>
      </c>
      <c r="K60" s="132"/>
      <c r="L60" s="134">
        <f>ROUND(L47*0.95,5)</f>
        <v>6.0109999999999997E-2</v>
      </c>
      <c r="M60" s="131">
        <f t="shared" ref="M60:M61" si="42">L60*E60</f>
        <v>1065317.5079999999</v>
      </c>
      <c r="N60" s="131">
        <f t="shared" si="39"/>
        <v>38990.159999999916</v>
      </c>
      <c r="O60" s="132">
        <f t="shared" ref="O60:O61" si="43">IF(I60=0,0,N60/I60)</f>
        <v>3.7989984458642642E-2</v>
      </c>
      <c r="P60" s="132">
        <f>M60/M62</f>
        <v>0.75408784707081944</v>
      </c>
      <c r="Q60" s="133">
        <f t="shared" ref="Q60:Q62" si="44">P60-J60</f>
        <v>3.3565478667063608E-5</v>
      </c>
      <c r="R60" s="133"/>
      <c r="T60" s="6">
        <f>L60/H60-1</f>
        <v>3.7989984458642656E-2</v>
      </c>
      <c r="W60" s="113" t="s">
        <v>143</v>
      </c>
    </row>
    <row r="61" spans="1:23" x14ac:dyDescent="0.25">
      <c r="A61" s="34">
        <f t="shared" si="1"/>
        <v>55</v>
      </c>
      <c r="B61" s="14"/>
      <c r="D61" s="2" t="s">
        <v>54</v>
      </c>
      <c r="E61" s="130">
        <v>57122</v>
      </c>
      <c r="F61" s="120">
        <v>5.82</v>
      </c>
      <c r="G61" s="131">
        <f t="shared" si="40"/>
        <v>332450.04000000004</v>
      </c>
      <c r="H61" s="120">
        <v>5.82</v>
      </c>
      <c r="I61" s="131">
        <f t="shared" si="41"/>
        <v>332450.04000000004</v>
      </c>
      <c r="J61" s="132">
        <f>I61/I62</f>
        <v>0.24425479508656955</v>
      </c>
      <c r="K61" s="132"/>
      <c r="L61" s="120">
        <f>ROUND(H61*S62,2)</f>
        <v>6.04</v>
      </c>
      <c r="M61" s="131">
        <f t="shared" si="42"/>
        <v>345016.88</v>
      </c>
      <c r="N61" s="131">
        <f t="shared" si="39"/>
        <v>12566.839999999967</v>
      </c>
      <c r="O61" s="132">
        <f t="shared" si="43"/>
        <v>3.7800687285223268E-2</v>
      </c>
      <c r="P61" s="132">
        <f>M61/M62</f>
        <v>0.2442211212042629</v>
      </c>
      <c r="Q61" s="133">
        <f t="shared" si="44"/>
        <v>-3.3673882306656244E-5</v>
      </c>
      <c r="R61" s="133"/>
      <c r="T61" s="6">
        <f>L61/H61-1</f>
        <v>3.7800687285223233E-2</v>
      </c>
    </row>
    <row r="62" spans="1:23" s="7" customFormat="1" ht="20.399999999999999" customHeight="1" x14ac:dyDescent="0.3">
      <c r="A62" s="34">
        <f t="shared" si="1"/>
        <v>56</v>
      </c>
      <c r="C62" s="17"/>
      <c r="D62" s="19" t="s">
        <v>7</v>
      </c>
      <c r="E62" s="135"/>
      <c r="F62" s="136"/>
      <c r="G62" s="20">
        <f>SUM(G59:G61)</f>
        <v>1387308.612</v>
      </c>
      <c r="H62" s="135"/>
      <c r="I62" s="20">
        <f>SUM(I59:I61)</f>
        <v>1361078.868</v>
      </c>
      <c r="J62" s="137">
        <f>SUM(J59:J61)</f>
        <v>1</v>
      </c>
      <c r="K62" s="138">
        <f>I62+Summary!I14</f>
        <v>1412664.0179999999</v>
      </c>
      <c r="L62" s="135"/>
      <c r="M62" s="20">
        <f>SUM(M59:M61)</f>
        <v>1412723.3479999998</v>
      </c>
      <c r="N62" s="20">
        <f>SUM(N59:N61)</f>
        <v>51644.479999999887</v>
      </c>
      <c r="O62" s="137">
        <f t="shared" ref="O62" si="45">N62/I62</f>
        <v>3.7943782108591145E-2</v>
      </c>
      <c r="P62" s="137">
        <f>SUM(P59:P61)</f>
        <v>1</v>
      </c>
      <c r="Q62" s="139">
        <f t="shared" si="44"/>
        <v>0</v>
      </c>
      <c r="R62" s="140">
        <f>M62-K62</f>
        <v>59.329999999841675</v>
      </c>
      <c r="S62" s="7">
        <f>K62/I62</f>
        <v>1.0379001916882307</v>
      </c>
    </row>
    <row r="63" spans="1:23" x14ac:dyDescent="0.25">
      <c r="A63" s="34">
        <f t="shared" si="1"/>
        <v>57</v>
      </c>
      <c r="D63" s="2" t="s">
        <v>30</v>
      </c>
      <c r="E63" s="151"/>
      <c r="G63" s="131">
        <v>-71411.53</v>
      </c>
      <c r="I63" s="141">
        <f>G63+(0.00156*E60)</f>
        <v>-43763.962</v>
      </c>
      <c r="M63" s="131">
        <f>I63</f>
        <v>-43763.962</v>
      </c>
      <c r="N63" s="131">
        <f t="shared" si="39"/>
        <v>0</v>
      </c>
      <c r="O63" s="120">
        <v>0</v>
      </c>
      <c r="R63" s="142"/>
    </row>
    <row r="64" spans="1:23" x14ac:dyDescent="0.25">
      <c r="A64" s="34">
        <f t="shared" si="1"/>
        <v>58</v>
      </c>
      <c r="D64" s="2" t="s">
        <v>31</v>
      </c>
      <c r="G64" s="131">
        <v>138625.18</v>
      </c>
      <c r="I64" s="141">
        <f>G64</f>
        <v>138625.18</v>
      </c>
      <c r="M64" s="131">
        <f t="shared" ref="M64:M66" si="46">I64</f>
        <v>138625.18</v>
      </c>
      <c r="N64" s="131">
        <f t="shared" si="39"/>
        <v>0</v>
      </c>
      <c r="O64" s="120">
        <v>0</v>
      </c>
    </row>
    <row r="65" spans="1:20" x14ac:dyDescent="0.25">
      <c r="A65" s="34">
        <f t="shared" si="1"/>
        <v>59</v>
      </c>
      <c r="D65" s="2" t="s">
        <v>33</v>
      </c>
      <c r="E65" s="130"/>
      <c r="F65" s="120"/>
      <c r="G65" s="131">
        <v>0</v>
      </c>
      <c r="I65" s="141">
        <f>G65</f>
        <v>0</v>
      </c>
      <c r="M65" s="131">
        <f t="shared" si="46"/>
        <v>0</v>
      </c>
      <c r="N65" s="131">
        <f t="shared" si="39"/>
        <v>0</v>
      </c>
      <c r="O65" s="120">
        <v>0</v>
      </c>
    </row>
    <row r="66" spans="1:20" x14ac:dyDescent="0.25">
      <c r="A66" s="34">
        <f t="shared" si="1"/>
        <v>60</v>
      </c>
      <c r="B66" s="69"/>
      <c r="D66" s="2" t="s">
        <v>43</v>
      </c>
      <c r="G66" s="131">
        <v>0</v>
      </c>
      <c r="I66" s="141">
        <f>G66</f>
        <v>0</v>
      </c>
      <c r="M66" s="131">
        <f t="shared" si="46"/>
        <v>0</v>
      </c>
      <c r="N66" s="131"/>
      <c r="O66" s="120">
        <v>0</v>
      </c>
    </row>
    <row r="67" spans="1:20" x14ac:dyDescent="0.25">
      <c r="A67" s="34">
        <f t="shared" si="1"/>
        <v>61</v>
      </c>
      <c r="D67" s="15" t="s">
        <v>9</v>
      </c>
      <c r="E67" s="143"/>
      <c r="F67" s="143"/>
      <c r="G67" s="144">
        <f>SUM(G63:G66)</f>
        <v>67213.649999999994</v>
      </c>
      <c r="H67" s="143"/>
      <c r="I67" s="144">
        <f>SUM(I63:I66)</f>
        <v>94861.217999999993</v>
      </c>
      <c r="J67" s="143"/>
      <c r="K67" s="143"/>
      <c r="L67" s="143"/>
      <c r="M67" s="144">
        <f>SUM(M63:M66)</f>
        <v>94861.217999999993</v>
      </c>
      <c r="N67" s="144">
        <f>M67-I67</f>
        <v>0</v>
      </c>
      <c r="O67" s="145">
        <v>0</v>
      </c>
    </row>
    <row r="68" spans="1:20" s="7" customFormat="1" ht="26.4" customHeight="1" thickBot="1" x14ac:dyDescent="0.3">
      <c r="A68" s="34">
        <f t="shared" si="1"/>
        <v>62</v>
      </c>
      <c r="C68" s="17"/>
      <c r="D68" s="8" t="s">
        <v>20</v>
      </c>
      <c r="E68" s="146"/>
      <c r="F68" s="146"/>
      <c r="G68" s="147">
        <f>G62+G67</f>
        <v>1454522.2619999999</v>
      </c>
      <c r="H68" s="146"/>
      <c r="I68" s="148">
        <f>I67+I62</f>
        <v>1455940.0860000001</v>
      </c>
      <c r="J68" s="146"/>
      <c r="K68" s="146"/>
      <c r="L68" s="146"/>
      <c r="M68" s="147">
        <f>M67+M62</f>
        <v>1507584.5659999996</v>
      </c>
      <c r="N68" s="147">
        <f>M68-I68</f>
        <v>51644.479999999516</v>
      </c>
      <c r="O68" s="149">
        <f>N68/I68</f>
        <v>3.5471569535451004E-2</v>
      </c>
      <c r="P68" s="115"/>
      <c r="Q68" s="115"/>
      <c r="R68" s="115"/>
    </row>
    <row r="69" spans="1:20" ht="13.8" thickTop="1" x14ac:dyDescent="0.25">
      <c r="A69" s="34">
        <f t="shared" si="1"/>
        <v>63</v>
      </c>
      <c r="D69" s="2" t="s">
        <v>19</v>
      </c>
      <c r="E69" s="120">
        <f>E60/E59</f>
        <v>164100</v>
      </c>
      <c r="G69" s="150">
        <f>G68/E59</f>
        <v>13467.798722222222</v>
      </c>
      <c r="I69" s="150">
        <f>I68/E59</f>
        <v>13480.926722222224</v>
      </c>
      <c r="M69" s="150">
        <f>M68/E59</f>
        <v>13959.116351851848</v>
      </c>
      <c r="N69" s="150">
        <f>M69-I69</f>
        <v>478.1896296296236</v>
      </c>
      <c r="O69" s="132">
        <f>N69/I69</f>
        <v>3.5471569535450886E-2</v>
      </c>
    </row>
    <row r="70" spans="1:20" ht="13.8" thickBot="1" x14ac:dyDescent="0.3">
      <c r="A70" s="34">
        <f t="shared" si="1"/>
        <v>64</v>
      </c>
    </row>
    <row r="71" spans="1:20" x14ac:dyDescent="0.25">
      <c r="A71" s="34">
        <f t="shared" si="1"/>
        <v>65</v>
      </c>
      <c r="B71" s="25" t="s">
        <v>59</v>
      </c>
      <c r="C71" s="26">
        <v>9</v>
      </c>
      <c r="D71" s="25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1:20" x14ac:dyDescent="0.25">
      <c r="A72" s="34">
        <f t="shared" si="1"/>
        <v>66</v>
      </c>
      <c r="D72" s="2" t="s">
        <v>18</v>
      </c>
      <c r="E72" s="130">
        <v>137</v>
      </c>
      <c r="F72" s="120">
        <v>1521.83</v>
      </c>
      <c r="G72" s="131">
        <f>F72*E72</f>
        <v>208490.71</v>
      </c>
      <c r="H72" s="120">
        <v>1521.83</v>
      </c>
      <c r="I72" s="131">
        <f>H72*E72</f>
        <v>208490.71</v>
      </c>
      <c r="J72" s="132">
        <f>I72/I77</f>
        <v>2.7544844095902129E-2</v>
      </c>
      <c r="K72" s="132"/>
      <c r="L72" s="120">
        <f>ROUND(H72*S77,2)</f>
        <v>1579.51</v>
      </c>
      <c r="M72" s="131">
        <f>L72*E72</f>
        <v>216392.87</v>
      </c>
      <c r="N72" s="131">
        <f t="shared" ref="N72:N80" si="47">M72-I72</f>
        <v>7902.1600000000035</v>
      </c>
      <c r="O72" s="132">
        <f>IF(I72=0,0,N72/I72)</f>
        <v>3.790173672486416E-2</v>
      </c>
      <c r="P72" s="132">
        <f>M72/M77</f>
        <v>2.7549643610008685E-2</v>
      </c>
      <c r="Q72" s="133">
        <f>P72-J72</f>
        <v>4.7995141065557134E-6</v>
      </c>
      <c r="R72" s="133"/>
      <c r="T72" s="6">
        <f>L72/H72-1</f>
        <v>3.7901736724864188E-2</v>
      </c>
    </row>
    <row r="73" spans="1:20" x14ac:dyDescent="0.25">
      <c r="A73" s="34">
        <f t="shared" ref="A73:A136" si="48">A72+1</f>
        <v>67</v>
      </c>
      <c r="B73" s="14"/>
      <c r="D73" s="2" t="s">
        <v>74</v>
      </c>
      <c r="E73" s="130">
        <v>104640049</v>
      </c>
      <c r="F73" s="121">
        <v>4.7039999999999998E-2</v>
      </c>
      <c r="G73" s="131">
        <f t="shared" ref="G73:G75" si="49">F73*E73</f>
        <v>4922267.90496</v>
      </c>
      <c r="H73" s="134">
        <v>4.548E-2</v>
      </c>
      <c r="I73" s="131">
        <f t="shared" ref="I73:I75" si="50">H73*E73</f>
        <v>4759029.4285199996</v>
      </c>
      <c r="J73" s="132">
        <f>I73/I77</f>
        <v>0.62874131732964789</v>
      </c>
      <c r="K73" s="132"/>
      <c r="L73" s="121">
        <f>ROUND(H73*S77,5)</f>
        <v>4.7199999999999999E-2</v>
      </c>
      <c r="M73" s="131">
        <f t="shared" ref="M73:M75" si="51">L73*E73</f>
        <v>4939010.3127999995</v>
      </c>
      <c r="N73" s="131">
        <f t="shared" si="47"/>
        <v>179980.88427999988</v>
      </c>
      <c r="O73" s="132">
        <f t="shared" ref="O73:O75" si="52">IF(I73=0,0,N73/I73)</f>
        <v>3.7818821459982388E-2</v>
      </c>
      <c r="P73" s="132">
        <f>M73/M77</f>
        <v>0.62880063425286381</v>
      </c>
      <c r="Q73" s="133">
        <f t="shared" ref="Q73:Q77" si="53">P73-J73</f>
        <v>5.9316923215924078E-5</v>
      </c>
      <c r="R73" s="133"/>
      <c r="T73" s="6">
        <f>L73/H73-1</f>
        <v>3.7818821459982388E-2</v>
      </c>
    </row>
    <row r="74" spans="1:20" x14ac:dyDescent="0.25">
      <c r="A74" s="34">
        <f t="shared" si="48"/>
        <v>68</v>
      </c>
      <c r="B74" s="14"/>
      <c r="D74" s="2" t="s">
        <v>75</v>
      </c>
      <c r="E74" s="130">
        <v>17956205</v>
      </c>
      <c r="F74" s="121">
        <v>4.3389999999999998E-2</v>
      </c>
      <c r="G74" s="131">
        <f t="shared" ref="G74" si="54">F74*E74</f>
        <v>779119.73494999995</v>
      </c>
      <c r="H74" s="134">
        <v>4.1829999999999999E-2</v>
      </c>
      <c r="I74" s="131">
        <f t="shared" ref="I74" si="55">H74*E74</f>
        <v>751108.05515000003</v>
      </c>
      <c r="J74" s="132">
        <f>I74/I77</f>
        <v>9.9232979149445122E-2</v>
      </c>
      <c r="K74" s="132"/>
      <c r="L74" s="121">
        <f>ROUND(H74*S77,5)</f>
        <v>4.342E-2</v>
      </c>
      <c r="M74" s="131">
        <f t="shared" ref="M74" si="56">L74*E74</f>
        <v>779658.42110000004</v>
      </c>
      <c r="N74" s="131">
        <f t="shared" ref="N74" si="57">M74-I74</f>
        <v>28550.365950000007</v>
      </c>
      <c r="O74" s="132">
        <f t="shared" ref="O74" si="58">IF(I74=0,0,N74/I74)</f>
        <v>3.8010996892182652E-2</v>
      </c>
      <c r="P74" s="132">
        <f>M74/M77</f>
        <v>9.9260717965647741E-2</v>
      </c>
      <c r="Q74" s="133">
        <f t="shared" ref="Q74" si="59">P74-J74</f>
        <v>2.7738816202618755E-5</v>
      </c>
      <c r="R74" s="133"/>
      <c r="T74" s="6">
        <f>L74/H74-1</f>
        <v>3.801099689218268E-2</v>
      </c>
    </row>
    <row r="75" spans="1:20" x14ac:dyDescent="0.25">
      <c r="A75" s="34">
        <f t="shared" si="48"/>
        <v>69</v>
      </c>
      <c r="B75" s="14"/>
      <c r="D75" s="2" t="s">
        <v>54</v>
      </c>
      <c r="E75" s="130">
        <v>227830</v>
      </c>
      <c r="F75" s="120">
        <v>7.25</v>
      </c>
      <c r="G75" s="131">
        <f t="shared" si="49"/>
        <v>1651767.5</v>
      </c>
      <c r="H75" s="120">
        <v>7.25</v>
      </c>
      <c r="I75" s="131">
        <f t="shared" si="50"/>
        <v>1651767.5</v>
      </c>
      <c r="J75" s="132">
        <f>I75/I77</f>
        <v>0.21822400753576993</v>
      </c>
      <c r="K75" s="132"/>
      <c r="L75" s="120">
        <f>ROUND(H75*S77,2)</f>
        <v>7.52</v>
      </c>
      <c r="M75" s="131">
        <f t="shared" si="51"/>
        <v>1713281.5999999999</v>
      </c>
      <c r="N75" s="131">
        <f t="shared" si="47"/>
        <v>61514.09999999986</v>
      </c>
      <c r="O75" s="132">
        <f t="shared" si="52"/>
        <v>3.7241379310344741E-2</v>
      </c>
      <c r="P75" s="132">
        <f>M75/M77</f>
        <v>0.21812316405612373</v>
      </c>
      <c r="Q75" s="133">
        <f t="shared" si="53"/>
        <v>-1.00843479646201E-4</v>
      </c>
      <c r="R75" s="133"/>
      <c r="T75" s="6">
        <f>L75/H75-1</f>
        <v>3.7241379310344769E-2</v>
      </c>
    </row>
    <row r="76" spans="1:20" x14ac:dyDescent="0.25">
      <c r="A76" s="34">
        <f t="shared" si="48"/>
        <v>70</v>
      </c>
      <c r="B76" s="14"/>
      <c r="D76" s="2" t="s">
        <v>73</v>
      </c>
      <c r="E76" s="130">
        <v>19914</v>
      </c>
      <c r="F76" s="120">
        <v>9.98</v>
      </c>
      <c r="G76" s="131">
        <f t="shared" ref="G76" si="60">F76*E76</f>
        <v>198741.72</v>
      </c>
      <c r="H76" s="120">
        <v>9.98</v>
      </c>
      <c r="I76" s="131">
        <f t="shared" ref="I76" si="61">H76*E76</f>
        <v>198741.72</v>
      </c>
      <c r="J76" s="132">
        <f>I76/I77</f>
        <v>2.625685188923494E-2</v>
      </c>
      <c r="K76" s="132"/>
      <c r="L76" s="120">
        <f>ROUND(H76*S77,2)</f>
        <v>10.36</v>
      </c>
      <c r="M76" s="131">
        <f t="shared" ref="M76" si="62">L76*E76</f>
        <v>206309.03999999998</v>
      </c>
      <c r="N76" s="131">
        <f t="shared" ref="N76" si="63">M76-I76</f>
        <v>7567.3199999999779</v>
      </c>
      <c r="O76" s="132">
        <f t="shared" ref="O76" si="64">IF(I76=0,0,N76/I76)</f>
        <v>3.8076152304609104E-2</v>
      </c>
      <c r="P76" s="132">
        <f>M76/M77</f>
        <v>2.6265840115356046E-2</v>
      </c>
      <c r="Q76" s="133">
        <f t="shared" ref="Q76" si="65">P76-J76</f>
        <v>8.9882261211059189E-6</v>
      </c>
      <c r="R76" s="133"/>
      <c r="T76" s="6">
        <f>L76/H76-1</f>
        <v>3.8076152304609145E-2</v>
      </c>
    </row>
    <row r="77" spans="1:20" s="7" customFormat="1" ht="20.399999999999999" customHeight="1" x14ac:dyDescent="0.3">
      <c r="A77" s="34">
        <f t="shared" si="48"/>
        <v>71</v>
      </c>
      <c r="C77" s="17"/>
      <c r="D77" s="19" t="s">
        <v>7</v>
      </c>
      <c r="E77" s="135"/>
      <c r="F77" s="136"/>
      <c r="G77" s="20">
        <f>SUM(G72:G76)</f>
        <v>7760387.5699100001</v>
      </c>
      <c r="H77" s="135"/>
      <c r="I77" s="20">
        <f>SUM(I72:I76)</f>
        <v>7569137.4136699997</v>
      </c>
      <c r="J77" s="137">
        <f>SUM(J72:J76)</f>
        <v>1</v>
      </c>
      <c r="K77" s="138">
        <f>I77+Summary!I15</f>
        <v>7856009.1936699999</v>
      </c>
      <c r="L77" s="135"/>
      <c r="M77" s="20">
        <f>SUM(M72:M76)</f>
        <v>7854652.2438999992</v>
      </c>
      <c r="N77" s="20">
        <f>SUM(N72:N76)</f>
        <v>285514.83022999973</v>
      </c>
      <c r="O77" s="137">
        <f t="shared" ref="O77" si="66">N77/I77</f>
        <v>3.7720920446543189E-2</v>
      </c>
      <c r="P77" s="137">
        <f>SUM(P72:P76)</f>
        <v>1</v>
      </c>
      <c r="Q77" s="139">
        <f t="shared" si="53"/>
        <v>0</v>
      </c>
      <c r="R77" s="140">
        <f>M77-K77</f>
        <v>-1356.9497700007632</v>
      </c>
      <c r="S77" s="7">
        <f>K77/I77</f>
        <v>1.0379001944768376</v>
      </c>
    </row>
    <row r="78" spans="1:20" x14ac:dyDescent="0.25">
      <c r="A78" s="34">
        <f t="shared" si="48"/>
        <v>72</v>
      </c>
      <c r="D78" s="2" t="s">
        <v>30</v>
      </c>
      <c r="G78" s="131">
        <v>-478962.66</v>
      </c>
      <c r="I78" s="141">
        <f>G78+(0.00156*E73)</f>
        <v>-315724.18355999998</v>
      </c>
      <c r="K78" s="141"/>
      <c r="M78" s="131">
        <f>I78</f>
        <v>-315724.18355999998</v>
      </c>
      <c r="N78" s="131">
        <f t="shared" si="47"/>
        <v>0</v>
      </c>
      <c r="O78" s="120">
        <v>0</v>
      </c>
      <c r="R78" s="142"/>
    </row>
    <row r="79" spans="1:20" x14ac:dyDescent="0.25">
      <c r="A79" s="34">
        <f t="shared" si="48"/>
        <v>73</v>
      </c>
      <c r="D79" s="2" t="s">
        <v>31</v>
      </c>
      <c r="G79" s="131">
        <v>943661</v>
      </c>
      <c r="I79" s="141">
        <f>G79</f>
        <v>943661</v>
      </c>
      <c r="M79" s="131">
        <f t="shared" ref="M79:M81" si="67">I79</f>
        <v>943661</v>
      </c>
      <c r="N79" s="131">
        <f t="shared" si="47"/>
        <v>0</v>
      </c>
      <c r="O79" s="120">
        <v>0</v>
      </c>
    </row>
    <row r="80" spans="1:20" x14ac:dyDescent="0.25">
      <c r="A80" s="34">
        <f t="shared" si="48"/>
        <v>74</v>
      </c>
      <c r="D80" s="2" t="s">
        <v>33</v>
      </c>
      <c r="E80" s="130"/>
      <c r="F80" s="120"/>
      <c r="G80" s="131">
        <v>0</v>
      </c>
      <c r="I80" s="141">
        <f>G80</f>
        <v>0</v>
      </c>
      <c r="M80" s="131">
        <f t="shared" si="67"/>
        <v>0</v>
      </c>
      <c r="N80" s="131">
        <f t="shared" si="47"/>
        <v>0</v>
      </c>
      <c r="O80" s="120">
        <v>0</v>
      </c>
    </row>
    <row r="81" spans="1:20" x14ac:dyDescent="0.25">
      <c r="A81" s="34">
        <f t="shared" si="48"/>
        <v>75</v>
      </c>
      <c r="B81" s="69"/>
      <c r="D81" s="2" t="s">
        <v>43</v>
      </c>
      <c r="G81" s="131">
        <v>0</v>
      </c>
      <c r="I81" s="141">
        <f>G81</f>
        <v>0</v>
      </c>
      <c r="M81" s="131">
        <f t="shared" si="67"/>
        <v>0</v>
      </c>
      <c r="N81" s="131"/>
      <c r="O81" s="120">
        <v>0</v>
      </c>
    </row>
    <row r="82" spans="1:20" x14ac:dyDescent="0.25">
      <c r="A82" s="34">
        <f t="shared" si="48"/>
        <v>76</v>
      </c>
      <c r="D82" s="15" t="s">
        <v>9</v>
      </c>
      <c r="E82" s="143"/>
      <c r="F82" s="143"/>
      <c r="G82" s="144">
        <f>SUM(G78:G81)</f>
        <v>464698.34</v>
      </c>
      <c r="H82" s="143"/>
      <c r="I82" s="144">
        <f>SUM(I78:I81)</f>
        <v>627936.81643999997</v>
      </c>
      <c r="J82" s="143"/>
      <c r="K82" s="143"/>
      <c r="L82" s="143"/>
      <c r="M82" s="144">
        <f>SUM(M78:M81)</f>
        <v>627936.81643999997</v>
      </c>
      <c r="N82" s="144">
        <f>M82-I82</f>
        <v>0</v>
      </c>
      <c r="O82" s="145">
        <v>0</v>
      </c>
    </row>
    <row r="83" spans="1:20" s="7" customFormat="1" ht="26.4" customHeight="1" thickBot="1" x14ac:dyDescent="0.3">
      <c r="A83" s="34">
        <f t="shared" si="48"/>
        <v>77</v>
      </c>
      <c r="C83" s="17"/>
      <c r="D83" s="8" t="s">
        <v>20</v>
      </c>
      <c r="E83" s="146"/>
      <c r="F83" s="146"/>
      <c r="G83" s="147">
        <f>G77+G82</f>
        <v>8225085.9099099999</v>
      </c>
      <c r="H83" s="146"/>
      <c r="I83" s="148">
        <f>I82+I77</f>
        <v>8197074.2301099999</v>
      </c>
      <c r="J83" s="146"/>
      <c r="K83" s="146"/>
      <c r="L83" s="146"/>
      <c r="M83" s="147">
        <f>M82+M77</f>
        <v>8482589.0603399985</v>
      </c>
      <c r="N83" s="147">
        <f>M83-I83</f>
        <v>285514.83022999857</v>
      </c>
      <c r="O83" s="149">
        <f>N83/I83</f>
        <v>3.4831309588636859E-2</v>
      </c>
      <c r="P83" s="115"/>
      <c r="Q83" s="115"/>
      <c r="R83" s="115"/>
    </row>
    <row r="84" spans="1:20" ht="13.8" thickTop="1" x14ac:dyDescent="0.25">
      <c r="A84" s="34">
        <f t="shared" si="48"/>
        <v>78</v>
      </c>
      <c r="D84" s="2" t="s">
        <v>19</v>
      </c>
      <c r="E84" s="120">
        <f>(E73+E74)/E72</f>
        <v>894863.16788321163</v>
      </c>
      <c r="G84" s="150">
        <f>G83/E72</f>
        <v>60037.12343</v>
      </c>
      <c r="I84" s="150">
        <f>I83/E72</f>
        <v>59832.658613941603</v>
      </c>
      <c r="M84" s="150">
        <f>M83/E72</f>
        <v>61916.708469635028</v>
      </c>
      <c r="N84" s="150">
        <f>M84-I84</f>
        <v>2084.0498556934253</v>
      </c>
      <c r="O84" s="132">
        <f>N84/I84</f>
        <v>3.4831309588636949E-2</v>
      </c>
    </row>
    <row r="85" spans="1:20" ht="13.8" thickBot="1" x14ac:dyDescent="0.3">
      <c r="A85" s="34">
        <f t="shared" si="48"/>
        <v>79</v>
      </c>
    </row>
    <row r="86" spans="1:20" x14ac:dyDescent="0.25">
      <c r="A86" s="34">
        <f t="shared" si="48"/>
        <v>80</v>
      </c>
      <c r="B86" s="25" t="s">
        <v>60</v>
      </c>
      <c r="C86" s="26">
        <v>10</v>
      </c>
      <c r="D86" s="25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1:20" x14ac:dyDescent="0.25">
      <c r="A87" s="34">
        <f t="shared" si="48"/>
        <v>81</v>
      </c>
      <c r="D87" s="2" t="s">
        <v>18</v>
      </c>
      <c r="E87" s="130">
        <v>42</v>
      </c>
      <c r="F87" s="120">
        <v>0</v>
      </c>
      <c r="G87" s="131">
        <f>F87*E87</f>
        <v>0</v>
      </c>
      <c r="H87" s="120">
        <v>0</v>
      </c>
      <c r="I87" s="131">
        <f>H87*E87</f>
        <v>0</v>
      </c>
      <c r="J87" s="132">
        <f>I87/I89</f>
        <v>0</v>
      </c>
      <c r="K87" s="132"/>
      <c r="L87" s="120">
        <f>ROUND(H87*S89,2)</f>
        <v>0</v>
      </c>
      <c r="M87" s="131">
        <f>L87*E87</f>
        <v>0</v>
      </c>
      <c r="N87" s="131">
        <f t="shared" ref="N87:N92" si="68">M87-I87</f>
        <v>0</v>
      </c>
      <c r="O87" s="132">
        <f>IF(I87=0,0,N87/I87)</f>
        <v>0</v>
      </c>
      <c r="P87" s="132">
        <f>M87/M89</f>
        <v>0</v>
      </c>
      <c r="Q87" s="133">
        <f>P87-J87</f>
        <v>0</v>
      </c>
      <c r="R87" s="133"/>
      <c r="T87" s="6"/>
    </row>
    <row r="88" spans="1:20" x14ac:dyDescent="0.25">
      <c r="A88" s="34">
        <f t="shared" si="48"/>
        <v>82</v>
      </c>
      <c r="B88" s="14"/>
      <c r="D88" s="2" t="s">
        <v>53</v>
      </c>
      <c r="E88" s="130">
        <v>15134</v>
      </c>
      <c r="F88" s="121">
        <v>4.947E-2</v>
      </c>
      <c r="G88" s="131">
        <f t="shared" ref="G88" si="69">F88*E88</f>
        <v>748.67898000000002</v>
      </c>
      <c r="H88" s="134">
        <v>4.8529999999999997E-2</v>
      </c>
      <c r="I88" s="131">
        <f t="shared" ref="I88" si="70">H88*E88</f>
        <v>734.45301999999992</v>
      </c>
      <c r="J88" s="132">
        <f>I88/I89</f>
        <v>1</v>
      </c>
      <c r="K88" s="132"/>
      <c r="L88" s="121">
        <f>ROUND(0.6*L9,6)</f>
        <v>5.0374000000000002E-2</v>
      </c>
      <c r="M88" s="131">
        <f t="shared" ref="M88" si="71">L88*E88</f>
        <v>762.36011600000006</v>
      </c>
      <c r="N88" s="131">
        <f t="shared" si="68"/>
        <v>27.907096000000138</v>
      </c>
      <c r="O88" s="132">
        <f t="shared" ref="O88" si="72">IF(I88=0,0,N88/I88)</f>
        <v>3.7997115186482779E-2</v>
      </c>
      <c r="P88" s="132">
        <f>M88/M89</f>
        <v>1</v>
      </c>
      <c r="Q88" s="133">
        <f t="shared" ref="Q88:Q89" si="73">P88-J88</f>
        <v>0</v>
      </c>
      <c r="R88" s="133"/>
      <c r="T88" s="6">
        <f>L88/H88-1</f>
        <v>3.7997115186482633E-2</v>
      </c>
    </row>
    <row r="89" spans="1:20" s="7" customFormat="1" ht="20.399999999999999" customHeight="1" x14ac:dyDescent="0.3">
      <c r="A89" s="34">
        <f t="shared" si="48"/>
        <v>83</v>
      </c>
      <c r="C89" s="17"/>
      <c r="D89" s="19" t="s">
        <v>7</v>
      </c>
      <c r="E89" s="135"/>
      <c r="F89" s="136"/>
      <c r="G89" s="20">
        <f>SUM(G87:G88)</f>
        <v>748.67898000000002</v>
      </c>
      <c r="H89" s="135"/>
      <c r="I89" s="20">
        <f>SUM(I87:I88)</f>
        <v>734.45301999999992</v>
      </c>
      <c r="J89" s="137">
        <f>SUM(J87:J88)</f>
        <v>1</v>
      </c>
      <c r="K89" s="138">
        <f>I89+Summary!I16</f>
        <v>762.29301999999996</v>
      </c>
      <c r="L89" s="135"/>
      <c r="M89" s="20">
        <f>SUM(M87:M88)</f>
        <v>762.36011600000006</v>
      </c>
      <c r="N89" s="20">
        <f t="shared" si="68"/>
        <v>27.907096000000138</v>
      </c>
      <c r="O89" s="137">
        <f t="shared" ref="O89" si="74">N89/I89</f>
        <v>3.7997115186482779E-2</v>
      </c>
      <c r="P89" s="137">
        <f>SUM(P87:P88)</f>
        <v>1</v>
      </c>
      <c r="Q89" s="139">
        <f t="shared" si="73"/>
        <v>0</v>
      </c>
      <c r="R89" s="140">
        <f>M89-K89</f>
        <v>6.709600000010596E-2</v>
      </c>
      <c r="S89" s="7">
        <f>K89/I89</f>
        <v>1.0379057601260868</v>
      </c>
    </row>
    <row r="90" spans="1:20" x14ac:dyDescent="0.25">
      <c r="A90" s="34">
        <f t="shared" si="48"/>
        <v>84</v>
      </c>
      <c r="D90" s="2" t="s">
        <v>30</v>
      </c>
      <c r="G90" s="131">
        <v>-58.1</v>
      </c>
      <c r="I90" s="141">
        <f>G90+(0.00156*E88)</f>
        <v>-34.490960000000001</v>
      </c>
      <c r="M90" s="131">
        <f>I90</f>
        <v>-34.490960000000001</v>
      </c>
      <c r="N90" s="131">
        <f t="shared" si="68"/>
        <v>0</v>
      </c>
      <c r="O90" s="120">
        <v>0</v>
      </c>
      <c r="R90" s="142"/>
    </row>
    <row r="91" spans="1:20" x14ac:dyDescent="0.25">
      <c r="A91" s="34">
        <f t="shared" si="48"/>
        <v>85</v>
      </c>
      <c r="D91" s="2" t="s">
        <v>31</v>
      </c>
      <c r="G91" s="131">
        <v>67.849999999999994</v>
      </c>
      <c r="I91" s="141">
        <f>G91</f>
        <v>67.849999999999994</v>
      </c>
      <c r="M91" s="131">
        <f t="shared" ref="M91:M93" si="75">I91</f>
        <v>67.849999999999994</v>
      </c>
      <c r="N91" s="131">
        <f t="shared" si="68"/>
        <v>0</v>
      </c>
      <c r="O91" s="120">
        <v>0</v>
      </c>
    </row>
    <row r="92" spans="1:20" x14ac:dyDescent="0.25">
      <c r="A92" s="34">
        <f t="shared" si="48"/>
        <v>86</v>
      </c>
      <c r="D92" s="2" t="s">
        <v>33</v>
      </c>
      <c r="E92" s="130"/>
      <c r="F92" s="120"/>
      <c r="G92" s="131">
        <v>0</v>
      </c>
      <c r="I92" s="141">
        <f>G92</f>
        <v>0</v>
      </c>
      <c r="M92" s="131">
        <f t="shared" si="75"/>
        <v>0</v>
      </c>
      <c r="N92" s="131">
        <f t="shared" si="68"/>
        <v>0</v>
      </c>
      <c r="O92" s="120">
        <v>0</v>
      </c>
    </row>
    <row r="93" spans="1:20" x14ac:dyDescent="0.25">
      <c r="A93" s="34">
        <f t="shared" si="48"/>
        <v>87</v>
      </c>
      <c r="B93" s="69"/>
      <c r="D93" s="2" t="s">
        <v>43</v>
      </c>
      <c r="G93" s="131">
        <v>0</v>
      </c>
      <c r="I93" s="141">
        <f>G93</f>
        <v>0</v>
      </c>
      <c r="M93" s="131">
        <f t="shared" si="75"/>
        <v>0</v>
      </c>
      <c r="N93" s="131"/>
      <c r="O93" s="120">
        <v>0</v>
      </c>
    </row>
    <row r="94" spans="1:20" x14ac:dyDescent="0.25">
      <c r="A94" s="34">
        <f t="shared" si="48"/>
        <v>88</v>
      </c>
      <c r="D94" s="15" t="s">
        <v>9</v>
      </c>
      <c r="E94" s="143"/>
      <c r="F94" s="143"/>
      <c r="G94" s="144">
        <f>SUM(G90:G93)</f>
        <v>9.7499999999999929</v>
      </c>
      <c r="H94" s="143"/>
      <c r="I94" s="144">
        <f>SUM(I90:I93)</f>
        <v>33.359039999999993</v>
      </c>
      <c r="J94" s="143"/>
      <c r="K94" s="143"/>
      <c r="L94" s="143"/>
      <c r="M94" s="144">
        <f>SUM(M90:M93)</f>
        <v>33.359039999999993</v>
      </c>
      <c r="N94" s="144">
        <f>M94-I94</f>
        <v>0</v>
      </c>
      <c r="O94" s="145">
        <v>0</v>
      </c>
    </row>
    <row r="95" spans="1:20" s="7" customFormat="1" ht="26.4" customHeight="1" thickBot="1" x14ac:dyDescent="0.3">
      <c r="A95" s="34">
        <f t="shared" si="48"/>
        <v>89</v>
      </c>
      <c r="C95" s="17"/>
      <c r="D95" s="8" t="s">
        <v>20</v>
      </c>
      <c r="E95" s="146"/>
      <c r="F95" s="146"/>
      <c r="G95" s="147">
        <f>G89+G94</f>
        <v>758.42898000000002</v>
      </c>
      <c r="H95" s="146"/>
      <c r="I95" s="148">
        <f>I94+I89</f>
        <v>767.81205999999997</v>
      </c>
      <c r="J95" s="146"/>
      <c r="K95" s="146"/>
      <c r="L95" s="146"/>
      <c r="M95" s="147">
        <f>M94+M89</f>
        <v>795.71915600000011</v>
      </c>
      <c r="N95" s="147">
        <f>M95-I95</f>
        <v>27.907096000000138</v>
      </c>
      <c r="O95" s="149">
        <f>N95/I95</f>
        <v>3.6346259005100988E-2</v>
      </c>
      <c r="P95" s="115"/>
      <c r="Q95" s="115"/>
      <c r="R95" s="115"/>
    </row>
    <row r="96" spans="1:20" ht="13.8" thickTop="1" x14ac:dyDescent="0.25">
      <c r="A96" s="34">
        <f t="shared" si="48"/>
        <v>90</v>
      </c>
      <c r="D96" s="2" t="s">
        <v>19</v>
      </c>
      <c r="E96" s="120">
        <f>E88/E87</f>
        <v>360.33333333333331</v>
      </c>
      <c r="G96" s="150">
        <f>G95/E87</f>
        <v>18.057832857142859</v>
      </c>
      <c r="I96" s="150">
        <f>I95/E87</f>
        <v>18.281239523809525</v>
      </c>
      <c r="M96" s="150">
        <f>M95/E87</f>
        <v>18.945694190476193</v>
      </c>
      <c r="N96" s="150">
        <f>M96-I96</f>
        <v>0.66445466666666775</v>
      </c>
      <c r="O96" s="132">
        <f>N96/I96</f>
        <v>3.6346259005100863E-2</v>
      </c>
    </row>
    <row r="97" spans="1:20" ht="13.8" thickBot="1" x14ac:dyDescent="0.3">
      <c r="A97" s="34">
        <f t="shared" si="48"/>
        <v>91</v>
      </c>
    </row>
    <row r="98" spans="1:20" x14ac:dyDescent="0.25">
      <c r="A98" s="34">
        <f t="shared" si="48"/>
        <v>92</v>
      </c>
      <c r="B98" s="25" t="s">
        <v>61</v>
      </c>
      <c r="C98" s="26">
        <v>12</v>
      </c>
      <c r="D98" s="25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1:20" x14ac:dyDescent="0.25">
      <c r="A99" s="34">
        <f t="shared" si="48"/>
        <v>93</v>
      </c>
      <c r="D99" s="2" t="s">
        <v>18</v>
      </c>
      <c r="E99" s="130">
        <v>30</v>
      </c>
      <c r="F99" s="120">
        <v>1521.83</v>
      </c>
      <c r="G99" s="131">
        <f>F99*E99</f>
        <v>45654.899999999994</v>
      </c>
      <c r="H99" s="120">
        <v>1521.83</v>
      </c>
      <c r="I99" s="131">
        <f>H99*E99</f>
        <v>45654.899999999994</v>
      </c>
      <c r="J99" s="132">
        <f>I99/I103</f>
        <v>4.9970121744199542E-2</v>
      </c>
      <c r="K99" s="132"/>
      <c r="L99" s="120">
        <f>ROUND(H99*S103,2)</f>
        <v>1579.51</v>
      </c>
      <c r="M99" s="131">
        <f>L99*E99</f>
        <v>47385.3</v>
      </c>
      <c r="N99" s="131">
        <f t="shared" ref="N99:N106" si="76">M99-I99</f>
        <v>1730.4000000000087</v>
      </c>
      <c r="O99" s="132">
        <f>IF(I99=0,0,N99/I99)</f>
        <v>3.7901736724864341E-2</v>
      </c>
      <c r="P99" s="132">
        <f>M99/M103</f>
        <v>4.9979585650269102E-2</v>
      </c>
      <c r="Q99" s="133">
        <f>P99-J99</f>
        <v>9.463906069560879E-6</v>
      </c>
      <c r="R99" s="133"/>
      <c r="T99" s="6">
        <f>L99/H99-1</f>
        <v>3.7901736724864188E-2</v>
      </c>
    </row>
    <row r="100" spans="1:20" x14ac:dyDescent="0.25">
      <c r="A100" s="34">
        <f t="shared" si="48"/>
        <v>94</v>
      </c>
      <c r="B100" s="14"/>
      <c r="D100" s="2" t="s">
        <v>53</v>
      </c>
      <c r="E100" s="130">
        <v>13946344</v>
      </c>
      <c r="F100" s="121">
        <v>4.8599999999999997E-2</v>
      </c>
      <c r="G100" s="131">
        <f t="shared" ref="G100:G102" si="77">F100*E100</f>
        <v>677792.31839999999</v>
      </c>
      <c r="H100" s="134">
        <v>4.7039999999999998E-2</v>
      </c>
      <c r="I100" s="131">
        <f t="shared" ref="I100:I102" si="78">H100*E100</f>
        <v>656036.02176000003</v>
      </c>
      <c r="J100" s="132">
        <f>I100/I103</f>
        <v>0.71804340554743395</v>
      </c>
      <c r="K100" s="132"/>
      <c r="L100" s="121">
        <f>ROUND(H100*S103,5)</f>
        <v>4.8820000000000002E-2</v>
      </c>
      <c r="M100" s="131">
        <f t="shared" ref="M100:M102" si="79">L100*E100</f>
        <v>680860.51407999999</v>
      </c>
      <c r="N100" s="131">
        <f t="shared" si="76"/>
        <v>24824.492319999961</v>
      </c>
      <c r="O100" s="132">
        <f t="shared" ref="O100:O102" si="80">IF(I100=0,0,N100/I100)</f>
        <v>3.7840136054421707E-2</v>
      </c>
      <c r="P100" s="132">
        <f>M100/M103</f>
        <v>0.71813677193871539</v>
      </c>
      <c r="Q100" s="133">
        <f t="shared" ref="Q100:Q103" si="81">P100-J100</f>
        <v>9.3366391281435313E-5</v>
      </c>
      <c r="R100" s="133"/>
      <c r="T100" s="6">
        <f>L100/H100-1</f>
        <v>3.7840136054421825E-2</v>
      </c>
    </row>
    <row r="101" spans="1:20" x14ac:dyDescent="0.25">
      <c r="A101" s="34">
        <f t="shared" si="48"/>
        <v>95</v>
      </c>
      <c r="B101" s="14"/>
      <c r="D101" s="2" t="s">
        <v>54</v>
      </c>
      <c r="E101" s="130">
        <v>29100</v>
      </c>
      <c r="F101" s="120">
        <v>7.25</v>
      </c>
      <c r="G101" s="131">
        <f t="shared" ref="G101" si="82">F101*E101</f>
        <v>210975</v>
      </c>
      <c r="H101" s="120">
        <v>7.25</v>
      </c>
      <c r="I101" s="131">
        <f t="shared" ref="I101" si="83">H101*E101</f>
        <v>210975</v>
      </c>
      <c r="J101" s="132">
        <f>I101/I103</f>
        <v>0.23091599006859065</v>
      </c>
      <c r="K101" s="132"/>
      <c r="L101" s="120">
        <f>ROUND(H101*S103,2)</f>
        <v>7.52</v>
      </c>
      <c r="M101" s="131">
        <f t="shared" ref="M101" si="84">L101*E101</f>
        <v>218832</v>
      </c>
      <c r="N101" s="131">
        <f t="shared" ref="N101" si="85">M101-I101</f>
        <v>7857</v>
      </c>
      <c r="O101" s="132">
        <f t="shared" ref="O101" si="86">IF(I101=0,0,N101/I101)</f>
        <v>3.7241379310344824E-2</v>
      </c>
      <c r="P101" s="132">
        <f>M101/M103</f>
        <v>0.23081277710639558</v>
      </c>
      <c r="Q101" s="133">
        <f t="shared" ref="Q101" si="87">P101-J101</f>
        <v>-1.0321296219506504E-4</v>
      </c>
      <c r="R101" s="133"/>
      <c r="T101" s="6">
        <f>L101/H101-1</f>
        <v>3.7241379310344769E-2</v>
      </c>
    </row>
    <row r="102" spans="1:20" x14ac:dyDescent="0.25">
      <c r="A102" s="34">
        <f t="shared" si="48"/>
        <v>96</v>
      </c>
      <c r="B102" s="14"/>
      <c r="D102" s="2" t="s">
        <v>73</v>
      </c>
      <c r="E102" s="130">
        <v>98</v>
      </c>
      <c r="F102" s="120">
        <v>9.98</v>
      </c>
      <c r="G102" s="131">
        <f t="shared" si="77"/>
        <v>978.04000000000008</v>
      </c>
      <c r="H102" s="120">
        <v>9.98</v>
      </c>
      <c r="I102" s="131">
        <f t="shared" si="78"/>
        <v>978.04000000000008</v>
      </c>
      <c r="J102" s="132">
        <f>I102/I103</f>
        <v>1.0704826397757289E-3</v>
      </c>
      <c r="K102" s="132"/>
      <c r="L102" s="120">
        <f>ROUND(H102*S103,2)</f>
        <v>10.36</v>
      </c>
      <c r="M102" s="131">
        <f t="shared" si="79"/>
        <v>1015.28</v>
      </c>
      <c r="N102" s="131">
        <f t="shared" si="76"/>
        <v>37.239999999999895</v>
      </c>
      <c r="O102" s="132">
        <f t="shared" si="80"/>
        <v>3.8076152304609111E-2</v>
      </c>
      <c r="P102" s="132">
        <f>M102/M103</f>
        <v>1.0708653046198971E-3</v>
      </c>
      <c r="Q102" s="133">
        <f t="shared" si="81"/>
        <v>3.826648441681603E-7</v>
      </c>
      <c r="R102" s="133"/>
      <c r="T102" s="6">
        <f>L102/H102-1</f>
        <v>3.8076152304609145E-2</v>
      </c>
    </row>
    <row r="103" spans="1:20" s="7" customFormat="1" ht="20.399999999999999" customHeight="1" x14ac:dyDescent="0.3">
      <c r="A103" s="34">
        <f t="shared" si="48"/>
        <v>97</v>
      </c>
      <c r="C103" s="17"/>
      <c r="D103" s="19" t="s">
        <v>7</v>
      </c>
      <c r="E103" s="135"/>
      <c r="F103" s="136"/>
      <c r="G103" s="20">
        <f>SUM(G99:G102)</f>
        <v>935400.25840000005</v>
      </c>
      <c r="H103" s="135"/>
      <c r="I103" s="20">
        <f>SUM(I99:I102)</f>
        <v>913643.96176000009</v>
      </c>
      <c r="J103" s="137">
        <f>SUM(J99:J102)</f>
        <v>0.99999999999999989</v>
      </c>
      <c r="K103" s="138">
        <f>I103+Summary!I17</f>
        <v>948271.24176000012</v>
      </c>
      <c r="L103" s="135"/>
      <c r="M103" s="20">
        <f>SUM(M99:M102)</f>
        <v>948093.09408000007</v>
      </c>
      <c r="N103" s="20">
        <f>SUM(N99:N102)</f>
        <v>34449.132319999968</v>
      </c>
      <c r="O103" s="137">
        <f t="shared" ref="O103" si="88">N103/I103</f>
        <v>3.7705204392353017E-2</v>
      </c>
      <c r="P103" s="137">
        <f>SUM(P99:P102)</f>
        <v>0.99999999999999989</v>
      </c>
      <c r="Q103" s="139">
        <f t="shared" si="81"/>
        <v>0</v>
      </c>
      <c r="R103" s="140">
        <f>M103-K103</f>
        <v>-178.14768000005279</v>
      </c>
      <c r="S103" s="7">
        <f>K103/I103</f>
        <v>1.037900190281229</v>
      </c>
    </row>
    <row r="104" spans="1:20" x14ac:dyDescent="0.25">
      <c r="A104" s="34">
        <f t="shared" si="48"/>
        <v>98</v>
      </c>
      <c r="D104" s="2" t="s">
        <v>30</v>
      </c>
      <c r="G104" s="131">
        <v>-51282.74</v>
      </c>
      <c r="I104" s="141">
        <f>G104+(0.00156*E100)</f>
        <v>-29526.443359999997</v>
      </c>
      <c r="K104" s="141"/>
      <c r="M104" s="131">
        <f>I104</f>
        <v>-29526.443359999997</v>
      </c>
      <c r="N104" s="131">
        <f t="shared" si="76"/>
        <v>0</v>
      </c>
      <c r="O104" s="120">
        <v>0</v>
      </c>
      <c r="R104" s="142"/>
    </row>
    <row r="105" spans="1:20" x14ac:dyDescent="0.25">
      <c r="A105" s="34">
        <f t="shared" si="48"/>
        <v>99</v>
      </c>
      <c r="D105" s="2" t="s">
        <v>31</v>
      </c>
      <c r="G105" s="131">
        <v>106064.31</v>
      </c>
      <c r="I105" s="141">
        <f>G105</f>
        <v>106064.31</v>
      </c>
      <c r="M105" s="131">
        <f t="shared" ref="M105:M107" si="89">I105</f>
        <v>106064.31</v>
      </c>
      <c r="N105" s="131">
        <f t="shared" si="76"/>
        <v>0</v>
      </c>
      <c r="O105" s="120">
        <v>0</v>
      </c>
    </row>
    <row r="106" spans="1:20" x14ac:dyDescent="0.25">
      <c r="A106" s="34">
        <f t="shared" si="48"/>
        <v>100</v>
      </c>
      <c r="D106" s="2" t="s">
        <v>33</v>
      </c>
      <c r="E106" s="130"/>
      <c r="F106" s="120"/>
      <c r="G106" s="131">
        <v>0</v>
      </c>
      <c r="I106" s="141">
        <f>G106</f>
        <v>0</v>
      </c>
      <c r="M106" s="131">
        <f t="shared" si="89"/>
        <v>0</v>
      </c>
      <c r="N106" s="131">
        <f t="shared" si="76"/>
        <v>0</v>
      </c>
      <c r="O106" s="120">
        <v>0</v>
      </c>
    </row>
    <row r="107" spans="1:20" x14ac:dyDescent="0.25">
      <c r="A107" s="34">
        <f t="shared" si="48"/>
        <v>101</v>
      </c>
      <c r="B107" s="69"/>
      <c r="D107" s="2" t="s">
        <v>43</v>
      </c>
      <c r="G107" s="131">
        <v>0</v>
      </c>
      <c r="I107" s="141">
        <f>G107</f>
        <v>0</v>
      </c>
      <c r="M107" s="131">
        <f t="shared" si="89"/>
        <v>0</v>
      </c>
      <c r="N107" s="131"/>
      <c r="O107" s="120">
        <v>0</v>
      </c>
    </row>
    <row r="108" spans="1:20" x14ac:dyDescent="0.25">
      <c r="A108" s="34">
        <f t="shared" si="48"/>
        <v>102</v>
      </c>
      <c r="D108" s="15" t="s">
        <v>9</v>
      </c>
      <c r="E108" s="143"/>
      <c r="F108" s="143"/>
      <c r="G108" s="144">
        <f>SUM(G104:G107)</f>
        <v>54781.57</v>
      </c>
      <c r="H108" s="143"/>
      <c r="I108" s="144">
        <f>SUM(I104:I107)</f>
        <v>76537.866639999993</v>
      </c>
      <c r="J108" s="143"/>
      <c r="K108" s="143"/>
      <c r="L108" s="143"/>
      <c r="M108" s="144">
        <f>SUM(M104:M107)</f>
        <v>76537.866639999993</v>
      </c>
      <c r="N108" s="144">
        <f>M108-I108</f>
        <v>0</v>
      </c>
      <c r="O108" s="145">
        <v>0</v>
      </c>
    </row>
    <row r="109" spans="1:20" s="7" customFormat="1" ht="26.4" customHeight="1" thickBot="1" x14ac:dyDescent="0.3">
      <c r="A109" s="34">
        <f t="shared" si="48"/>
        <v>103</v>
      </c>
      <c r="C109" s="17"/>
      <c r="D109" s="8" t="s">
        <v>20</v>
      </c>
      <c r="E109" s="146"/>
      <c r="F109" s="146"/>
      <c r="G109" s="147">
        <f>G103+G108</f>
        <v>990181.8284</v>
      </c>
      <c r="H109" s="146"/>
      <c r="I109" s="148">
        <f>I108+I103</f>
        <v>990181.82840000011</v>
      </c>
      <c r="J109" s="146"/>
      <c r="K109" s="146"/>
      <c r="L109" s="146"/>
      <c r="M109" s="147">
        <f>M108+M103</f>
        <v>1024630.9607200001</v>
      </c>
      <c r="N109" s="147">
        <f>M109-I109</f>
        <v>34449.132319999975</v>
      </c>
      <c r="O109" s="149">
        <f>N109/I109</f>
        <v>3.4790713515380413E-2</v>
      </c>
      <c r="P109" s="115"/>
      <c r="Q109" s="115"/>
      <c r="R109" s="115"/>
    </row>
    <row r="110" spans="1:20" ht="13.8" thickTop="1" x14ac:dyDescent="0.25">
      <c r="A110" s="34">
        <f t="shared" si="48"/>
        <v>104</v>
      </c>
      <c r="D110" s="2" t="s">
        <v>19</v>
      </c>
      <c r="E110" s="120">
        <f>E100/E99</f>
        <v>464878.13333333336</v>
      </c>
      <c r="G110" s="150">
        <f>G109/E99</f>
        <v>33006.060946666665</v>
      </c>
      <c r="I110" s="150">
        <f>I109/E99</f>
        <v>33006.060946666672</v>
      </c>
      <c r="M110" s="150">
        <f>M109/E99</f>
        <v>34154.365357333336</v>
      </c>
      <c r="N110" s="150">
        <f>M110-I110</f>
        <v>1148.3044106666639</v>
      </c>
      <c r="O110" s="132">
        <f>N110/I110</f>
        <v>3.4790713515380357E-2</v>
      </c>
    </row>
    <row r="111" spans="1:20" ht="13.8" thickBot="1" x14ac:dyDescent="0.3">
      <c r="A111" s="34">
        <f t="shared" si="48"/>
        <v>105</v>
      </c>
    </row>
    <row r="112" spans="1:20" ht="16.2" customHeight="1" x14ac:dyDescent="0.25">
      <c r="A112" s="34">
        <f t="shared" si="48"/>
        <v>106</v>
      </c>
      <c r="B112" s="25" t="s">
        <v>122</v>
      </c>
      <c r="C112" s="26">
        <v>13</v>
      </c>
      <c r="D112" s="25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1:20" x14ac:dyDescent="0.25">
      <c r="A113" s="34">
        <f t="shared" si="48"/>
        <v>107</v>
      </c>
      <c r="C113" s="29"/>
      <c r="D113" s="2" t="s">
        <v>18</v>
      </c>
      <c r="E113" s="130">
        <v>24</v>
      </c>
      <c r="F113" s="120">
        <v>3042.58</v>
      </c>
      <c r="G113" s="131">
        <f>F113*E113</f>
        <v>73021.919999999998</v>
      </c>
      <c r="H113" s="120">
        <v>3042.58</v>
      </c>
      <c r="I113" s="131">
        <f>H113*E113</f>
        <v>73021.919999999998</v>
      </c>
      <c r="J113" s="132">
        <f>I113/SUM(I$113:I$117)</f>
        <v>7.9037831195660473E-3</v>
      </c>
      <c r="K113" s="132"/>
      <c r="L113" s="120">
        <f>ROUND(H113*S119,2)</f>
        <v>3157.89</v>
      </c>
      <c r="M113" s="131">
        <f>L113*E113</f>
        <v>75789.36</v>
      </c>
      <c r="N113" s="131">
        <f t="shared" ref="N113:N122" si="90">M113-I113</f>
        <v>2767.4400000000023</v>
      </c>
      <c r="O113" s="132">
        <f>IF(I113=0,0,N113/I113)</f>
        <v>3.7898756975987519E-2</v>
      </c>
      <c r="P113" s="132">
        <f>M113/SUM(M$113:M$117)</f>
        <v>7.9052788466974812E-3</v>
      </c>
      <c r="Q113" s="133">
        <f>P113-J113</f>
        <v>1.4957271314338522E-6</v>
      </c>
      <c r="R113" s="133"/>
      <c r="T113" s="6">
        <f t="shared" ref="T113:T118" si="91">L113/H113-1</f>
        <v>3.7898756975987435E-2</v>
      </c>
    </row>
    <row r="114" spans="1:20" x14ac:dyDescent="0.25">
      <c r="A114" s="34">
        <f t="shared" si="48"/>
        <v>108</v>
      </c>
      <c r="B114" s="14"/>
      <c r="C114" s="29"/>
      <c r="D114" s="2" t="s">
        <v>74</v>
      </c>
      <c r="E114" s="130">
        <v>127022300</v>
      </c>
      <c r="F114" s="121">
        <v>4.2040000000000001E-2</v>
      </c>
      <c r="G114" s="131">
        <f t="shared" ref="G114" si="92">F114*E114</f>
        <v>5340017.4920000006</v>
      </c>
      <c r="H114" s="134">
        <v>4.0480000000000002E-2</v>
      </c>
      <c r="I114" s="131">
        <f t="shared" ref="I114" si="93">H114*E114</f>
        <v>5141862.7039999999</v>
      </c>
      <c r="J114" s="132">
        <f t="shared" ref="J114:J117" si="94">I114/SUM(I$113:I$117)</f>
        <v>0.55654750851527102</v>
      </c>
      <c r="K114" s="132"/>
      <c r="L114" s="134">
        <f>ROUND(H114*S119,5)</f>
        <v>4.2009999999999999E-2</v>
      </c>
      <c r="M114" s="131">
        <f t="shared" ref="M114" si="95">L114*E114</f>
        <v>5336206.8229999999</v>
      </c>
      <c r="N114" s="131">
        <f t="shared" ref="N114" si="96">M114-I114</f>
        <v>194344.11899999995</v>
      </c>
      <c r="O114" s="132">
        <f t="shared" ref="O114" si="97">IF(I114=0,0,N114/I114)</f>
        <v>3.7796442687747026E-2</v>
      </c>
      <c r="P114" s="132">
        <f t="shared" ref="P114:P117" si="98">M114/SUM(M$113:M$117)</f>
        <v>0.55659795675098289</v>
      </c>
      <c r="Q114" s="133">
        <f t="shared" ref="Q114" si="99">P114-J114</f>
        <v>5.0448235711875178E-5</v>
      </c>
      <c r="R114" s="133"/>
      <c r="T114" s="6">
        <f t="shared" si="91"/>
        <v>3.7796442687746845E-2</v>
      </c>
    </row>
    <row r="115" spans="1:20" x14ac:dyDescent="0.25">
      <c r="A115" s="34">
        <f t="shared" si="48"/>
        <v>109</v>
      </c>
      <c r="B115" s="14"/>
      <c r="C115" s="29"/>
      <c r="D115" s="2" t="s">
        <v>75</v>
      </c>
      <c r="E115" s="130">
        <v>44894967</v>
      </c>
      <c r="F115" s="121">
        <v>4.1169999999999998E-2</v>
      </c>
      <c r="G115" s="131">
        <f t="shared" ref="G115:G116" si="100">F115*E115</f>
        <v>1848325.7913899999</v>
      </c>
      <c r="H115" s="134">
        <v>3.9609999999999999E-2</v>
      </c>
      <c r="I115" s="131">
        <f t="shared" ref="I115:I116" si="101">H115*E115</f>
        <v>1778289.6428699999</v>
      </c>
      <c r="J115" s="132">
        <f t="shared" si="94"/>
        <v>0.19247940428045499</v>
      </c>
      <c r="K115" s="132"/>
      <c r="L115" s="134">
        <f>ROUND(H115*S119,5)</f>
        <v>4.1110000000000001E-2</v>
      </c>
      <c r="M115" s="131">
        <f t="shared" ref="M115:M116" si="102">L115*E115</f>
        <v>1845632.0933700001</v>
      </c>
      <c r="N115" s="131">
        <f t="shared" si="90"/>
        <v>67342.450500000268</v>
      </c>
      <c r="O115" s="132">
        <f t="shared" ref="O115:O116" si="103">IF(I115=0,0,N115/I115)</f>
        <v>3.786922494319632E-2</v>
      </c>
      <c r="P115" s="132">
        <f t="shared" si="98"/>
        <v>0.1925103516707867</v>
      </c>
      <c r="Q115" s="133">
        <f t="shared" ref="Q115:Q119" si="104">P115-J115</f>
        <v>3.0947390331714786E-5</v>
      </c>
      <c r="R115" s="133"/>
      <c r="T115" s="6">
        <f t="shared" si="91"/>
        <v>3.7869224943196222E-2</v>
      </c>
    </row>
    <row r="116" spans="1:20" x14ac:dyDescent="0.25">
      <c r="A116" s="34">
        <f t="shared" si="48"/>
        <v>110</v>
      </c>
      <c r="B116" s="14"/>
      <c r="C116" s="29"/>
      <c r="D116" s="2" t="s">
        <v>54</v>
      </c>
      <c r="E116" s="130">
        <v>270000</v>
      </c>
      <c r="F116" s="120">
        <v>7.25</v>
      </c>
      <c r="G116" s="131">
        <f t="shared" si="100"/>
        <v>1957500</v>
      </c>
      <c r="H116" s="120">
        <v>7.25</v>
      </c>
      <c r="I116" s="131">
        <f t="shared" si="101"/>
        <v>1957500</v>
      </c>
      <c r="J116" s="132">
        <f t="shared" si="94"/>
        <v>0.21187686459833621</v>
      </c>
      <c r="K116" s="132"/>
      <c r="L116" s="120">
        <f>ROUND(H116*S119,2)</f>
        <v>7.52</v>
      </c>
      <c r="M116" s="131">
        <f t="shared" si="102"/>
        <v>2030400</v>
      </c>
      <c r="N116" s="131">
        <f t="shared" si="90"/>
        <v>72900</v>
      </c>
      <c r="O116" s="132">
        <f t="shared" si="103"/>
        <v>3.7241379310344824E-2</v>
      </c>
      <c r="P116" s="132">
        <f t="shared" si="98"/>
        <v>0.21178273797713251</v>
      </c>
      <c r="Q116" s="133">
        <f t="shared" si="104"/>
        <v>-9.4126621203699523E-5</v>
      </c>
      <c r="R116" s="133"/>
      <c r="T116" s="6">
        <f t="shared" si="91"/>
        <v>3.7241379310344769E-2</v>
      </c>
    </row>
    <row r="117" spans="1:20" x14ac:dyDescent="0.25">
      <c r="A117" s="34">
        <f t="shared" si="48"/>
        <v>111</v>
      </c>
      <c r="B117" s="88"/>
      <c r="C117" s="29"/>
      <c r="D117" s="2" t="s">
        <v>73</v>
      </c>
      <c r="E117" s="130">
        <v>28876</v>
      </c>
      <c r="F117" s="120">
        <v>9.98</v>
      </c>
      <c r="G117" s="131">
        <f t="shared" ref="G117" si="105">F117*E117</f>
        <v>288182.48000000004</v>
      </c>
      <c r="H117" s="120">
        <v>9.98</v>
      </c>
      <c r="I117" s="131">
        <f t="shared" ref="I117" si="106">H117*E117</f>
        <v>288182.48000000004</v>
      </c>
      <c r="J117" s="132">
        <f t="shared" si="94"/>
        <v>3.1192439486371772E-2</v>
      </c>
      <c r="K117" s="132"/>
      <c r="L117" s="120">
        <f>ROUND(H117*S119,2)</f>
        <v>10.36</v>
      </c>
      <c r="M117" s="131">
        <f t="shared" ref="M117" si="107">L117*E117</f>
        <v>299155.36</v>
      </c>
      <c r="N117" s="131">
        <f t="shared" ref="N117" si="108">M117-I117</f>
        <v>10972.879999999946</v>
      </c>
      <c r="O117" s="132">
        <f t="shared" ref="O117" si="109">IF(I117=0,0,N117/I117)</f>
        <v>3.8076152304609027E-2</v>
      </c>
      <c r="P117" s="132">
        <f t="shared" si="98"/>
        <v>3.1203674754400484E-2</v>
      </c>
      <c r="Q117" s="133">
        <f t="shared" ref="Q117" si="110">P117-J117</f>
        <v>1.1235268028712136E-5</v>
      </c>
      <c r="R117" s="133"/>
      <c r="T117" s="6">
        <f t="shared" si="91"/>
        <v>3.8076152304609145E-2</v>
      </c>
    </row>
    <row r="118" spans="1:20" x14ac:dyDescent="0.25">
      <c r="A118" s="34">
        <f t="shared" si="48"/>
        <v>112</v>
      </c>
      <c r="B118" s="14"/>
      <c r="C118" s="29"/>
      <c r="D118" s="2" t="s">
        <v>125</v>
      </c>
      <c r="E118" s="130">
        <v>216813</v>
      </c>
      <c r="F118" s="120">
        <v>-5.6</v>
      </c>
      <c r="G118" s="131">
        <f t="shared" ref="G118" si="111">F118*E118</f>
        <v>-1214152.7999999998</v>
      </c>
      <c r="H118" s="120">
        <f>F118</f>
        <v>-5.6</v>
      </c>
      <c r="I118" s="131">
        <f t="shared" ref="I118" si="112">H118*E118</f>
        <v>-1214152.7999999998</v>
      </c>
      <c r="J118" s="132"/>
      <c r="K118" s="132"/>
      <c r="L118" s="120">
        <f>H118</f>
        <v>-5.6</v>
      </c>
      <c r="M118" s="131">
        <f t="shared" ref="M118" si="113">L118*E118</f>
        <v>-1214152.7999999998</v>
      </c>
      <c r="N118" s="131">
        <f t="shared" ref="N118" si="114">M118-I118</f>
        <v>0</v>
      </c>
      <c r="O118" s="132">
        <f t="shared" ref="O118" si="115">IF(I118=0,0,N118/I118)</f>
        <v>0</v>
      </c>
      <c r="P118" s="132"/>
      <c r="Q118" s="133">
        <f t="shared" ref="Q118" si="116">P118-J118</f>
        <v>0</v>
      </c>
      <c r="R118" s="133"/>
      <c r="T118" s="6">
        <f t="shared" si="91"/>
        <v>0</v>
      </c>
    </row>
    <row r="119" spans="1:20" s="7" customFormat="1" ht="20.399999999999999" customHeight="1" x14ac:dyDescent="0.3">
      <c r="A119" s="34">
        <f t="shared" si="48"/>
        <v>113</v>
      </c>
      <c r="C119" s="17"/>
      <c r="D119" s="19" t="s">
        <v>7</v>
      </c>
      <c r="E119" s="135"/>
      <c r="F119" s="136"/>
      <c r="G119" s="20">
        <f>SUM(G113:G118)</f>
        <v>8292894.883390001</v>
      </c>
      <c r="H119" s="135"/>
      <c r="I119" s="20">
        <f>SUM(I113:I118)</f>
        <v>8024703.9468700001</v>
      </c>
      <c r="J119" s="137">
        <f>SUM(J113:J118)</f>
        <v>1</v>
      </c>
      <c r="K119" s="138">
        <f>I119+Summary!I18</f>
        <v>8328841.78687</v>
      </c>
      <c r="L119" s="135"/>
      <c r="M119" s="20">
        <f>SUM(M113:M118)</f>
        <v>8373030.8363699997</v>
      </c>
      <c r="N119" s="20">
        <f>SUM(N113:N118)</f>
        <v>348326.88950000016</v>
      </c>
      <c r="O119" s="137">
        <f t="shared" ref="O119" si="117">N119/I119</f>
        <v>4.3406821211873309E-2</v>
      </c>
      <c r="P119" s="137">
        <f>SUM(P113:P118)</f>
        <v>1</v>
      </c>
      <c r="Q119" s="139">
        <f t="shared" si="104"/>
        <v>0</v>
      </c>
      <c r="R119" s="140">
        <f>M119-K119</f>
        <v>44189.049499999732</v>
      </c>
      <c r="S119" s="89">
        <v>1.037900190281229</v>
      </c>
    </row>
    <row r="120" spans="1:20" x14ac:dyDescent="0.25">
      <c r="A120" s="34">
        <f t="shared" si="48"/>
        <v>114</v>
      </c>
      <c r="D120" s="2" t="s">
        <v>30</v>
      </c>
      <c r="G120" s="131">
        <v>-689083.09</v>
      </c>
      <c r="I120" s="141">
        <f>G120+(0.00156*E115)</f>
        <v>-619046.94147999992</v>
      </c>
      <c r="K120" s="141">
        <f>K119-I119</f>
        <v>304137.83999999985</v>
      </c>
      <c r="M120" s="131">
        <f>I120</f>
        <v>-619046.94147999992</v>
      </c>
      <c r="N120" s="131">
        <f t="shared" si="90"/>
        <v>0</v>
      </c>
      <c r="O120" s="120">
        <v>0</v>
      </c>
      <c r="R120" s="142"/>
    </row>
    <row r="121" spans="1:20" x14ac:dyDescent="0.25">
      <c r="A121" s="34">
        <f t="shared" si="48"/>
        <v>115</v>
      </c>
      <c r="D121" s="2" t="s">
        <v>31</v>
      </c>
      <c r="G121" s="131">
        <v>1142458</v>
      </c>
      <c r="I121" s="141">
        <f>G121</f>
        <v>1142458</v>
      </c>
      <c r="M121" s="131">
        <f t="shared" ref="M121:M123" si="118">I121</f>
        <v>1142458</v>
      </c>
      <c r="N121" s="131">
        <f t="shared" si="90"/>
        <v>0</v>
      </c>
      <c r="O121" s="120">
        <v>0</v>
      </c>
    </row>
    <row r="122" spans="1:20" x14ac:dyDescent="0.25">
      <c r="A122" s="34">
        <f t="shared" si="48"/>
        <v>116</v>
      </c>
      <c r="D122" s="2" t="s">
        <v>126</v>
      </c>
      <c r="E122" s="130"/>
      <c r="F122" s="120"/>
      <c r="G122" s="131">
        <v>75951</v>
      </c>
      <c r="I122" s="141">
        <f>G122</f>
        <v>75951</v>
      </c>
      <c r="M122" s="131">
        <f t="shared" si="118"/>
        <v>75951</v>
      </c>
      <c r="N122" s="131">
        <f t="shared" si="90"/>
        <v>0</v>
      </c>
      <c r="O122" s="120">
        <v>0</v>
      </c>
    </row>
    <row r="123" spans="1:20" x14ac:dyDescent="0.25">
      <c r="A123" s="34">
        <f t="shared" si="48"/>
        <v>117</v>
      </c>
      <c r="B123" s="69"/>
      <c r="D123" s="2" t="s">
        <v>43</v>
      </c>
      <c r="G123" s="131">
        <v>0</v>
      </c>
      <c r="I123" s="141">
        <f>G123</f>
        <v>0</v>
      </c>
      <c r="M123" s="131">
        <f t="shared" si="118"/>
        <v>0</v>
      </c>
      <c r="N123" s="131"/>
      <c r="O123" s="120">
        <v>0</v>
      </c>
    </row>
    <row r="124" spans="1:20" x14ac:dyDescent="0.25">
      <c r="A124" s="34">
        <f t="shared" si="48"/>
        <v>118</v>
      </c>
      <c r="D124" s="15" t="s">
        <v>9</v>
      </c>
      <c r="E124" s="143"/>
      <c r="F124" s="143"/>
      <c r="G124" s="144">
        <f>SUM(G120:G123)</f>
        <v>529325.91</v>
      </c>
      <c r="H124" s="143"/>
      <c r="I124" s="144">
        <f>SUM(I120:I123)</f>
        <v>599362.05852000008</v>
      </c>
      <c r="J124" s="143"/>
      <c r="K124" s="143"/>
      <c r="L124" s="143"/>
      <c r="M124" s="144">
        <f>SUM(M120:M123)</f>
        <v>599362.05852000008</v>
      </c>
      <c r="N124" s="144">
        <f>M124-I124</f>
        <v>0</v>
      </c>
      <c r="O124" s="145">
        <v>0</v>
      </c>
    </row>
    <row r="125" spans="1:20" s="7" customFormat="1" ht="26.4" customHeight="1" thickBot="1" x14ac:dyDescent="0.3">
      <c r="A125" s="34">
        <f t="shared" si="48"/>
        <v>119</v>
      </c>
      <c r="C125" s="17"/>
      <c r="D125" s="8" t="s">
        <v>20</v>
      </c>
      <c r="E125" s="146"/>
      <c r="F125" s="146"/>
      <c r="G125" s="147">
        <f>G119+G124</f>
        <v>8822220.7933900002</v>
      </c>
      <c r="H125" s="146"/>
      <c r="I125" s="148">
        <f>I124+I119</f>
        <v>8624066.0053899996</v>
      </c>
      <c r="J125" s="146"/>
      <c r="K125" s="146"/>
      <c r="L125" s="146"/>
      <c r="M125" s="147">
        <f>M124+M119</f>
        <v>8972392.8948899992</v>
      </c>
      <c r="N125" s="147">
        <f>M125-I125</f>
        <v>348326.88949999958</v>
      </c>
      <c r="O125" s="149">
        <f>N125/I125</f>
        <v>4.0390100131689269E-2</v>
      </c>
      <c r="P125" s="115"/>
      <c r="Q125" s="115"/>
      <c r="R125" s="115"/>
    </row>
    <row r="126" spans="1:20" ht="13.8" thickTop="1" x14ac:dyDescent="0.25">
      <c r="A126" s="34">
        <f t="shared" si="48"/>
        <v>120</v>
      </c>
      <c r="D126" s="2" t="s">
        <v>19</v>
      </c>
      <c r="E126" s="120">
        <f>(E114+E115)/E113</f>
        <v>7163219.458333333</v>
      </c>
      <c r="G126" s="150">
        <f>G125/E113</f>
        <v>367592.53305791668</v>
      </c>
      <c r="I126" s="150">
        <f>I125/E113</f>
        <v>359336.08355791663</v>
      </c>
      <c r="M126" s="150">
        <f>M125/E113</f>
        <v>373849.70395374997</v>
      </c>
      <c r="N126" s="150">
        <f>M126-I126</f>
        <v>14513.620395833335</v>
      </c>
      <c r="O126" s="132">
        <f>N126/I126</f>
        <v>4.0390100131689324E-2</v>
      </c>
    </row>
    <row r="127" spans="1:20" ht="13.8" thickBot="1" x14ac:dyDescent="0.3">
      <c r="A127" s="34">
        <f t="shared" si="48"/>
        <v>121</v>
      </c>
    </row>
    <row r="128" spans="1:20" x14ac:dyDescent="0.25">
      <c r="A128" s="34">
        <f t="shared" si="48"/>
        <v>122</v>
      </c>
      <c r="B128" s="158" t="s">
        <v>152</v>
      </c>
      <c r="C128" s="26">
        <v>20</v>
      </c>
      <c r="D128" s="25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1:20" x14ac:dyDescent="0.25">
      <c r="A129" s="34">
        <f t="shared" si="48"/>
        <v>123</v>
      </c>
      <c r="B129" s="159"/>
      <c r="D129" s="2" t="s">
        <v>18</v>
      </c>
      <c r="E129" s="130">
        <v>115</v>
      </c>
      <c r="F129" s="120">
        <v>61.33</v>
      </c>
      <c r="G129" s="131">
        <f>F129*E129</f>
        <v>7052.95</v>
      </c>
      <c r="H129" s="120">
        <v>61.33</v>
      </c>
      <c r="I129" s="131">
        <f>H129*E129</f>
        <v>7052.95</v>
      </c>
      <c r="J129" s="132">
        <f>I129/I132</f>
        <v>4.2370855797845892E-2</v>
      </c>
      <c r="K129" s="132"/>
      <c r="L129" s="120">
        <f>ROUND(H129*S132,2)</f>
        <v>63.65</v>
      </c>
      <c r="M129" s="131">
        <f>L129*E129</f>
        <v>7319.75</v>
      </c>
      <c r="N129" s="131">
        <f t="shared" ref="N129:N135" si="119">M129-I129</f>
        <v>266.80000000000018</v>
      </c>
      <c r="O129" s="132">
        <f>IF(I129=0,0,N129/I129)</f>
        <v>3.7828142833849693E-2</v>
      </c>
      <c r="P129" s="132">
        <f>M129/M132</f>
        <v>4.2368124148196525E-2</v>
      </c>
      <c r="Q129" s="133">
        <f>P129-J129</f>
        <v>-2.7316496493678954E-6</v>
      </c>
      <c r="R129" s="133"/>
      <c r="T129" s="6">
        <f>L129/H129-1</f>
        <v>3.782814283384961E-2</v>
      </c>
    </row>
    <row r="130" spans="1:20" x14ac:dyDescent="0.25">
      <c r="A130" s="34">
        <f t="shared" si="48"/>
        <v>124</v>
      </c>
      <c r="B130" s="14"/>
      <c r="D130" s="2" t="s">
        <v>76</v>
      </c>
      <c r="E130" s="130">
        <v>1111040</v>
      </c>
      <c r="F130" s="121">
        <v>0.10099</v>
      </c>
      <c r="G130" s="131">
        <f t="shared" ref="G130:G131" si="120">F130*E130</f>
        <v>112203.9296</v>
      </c>
      <c r="H130" s="134">
        <v>9.9430000000000004E-2</v>
      </c>
      <c r="I130" s="131">
        <f t="shared" ref="I130:I131" si="121">H130*E130</f>
        <v>110470.7072</v>
      </c>
      <c r="J130" s="132">
        <f>I130/I132</f>
        <v>0.66365682510967128</v>
      </c>
      <c r="K130" s="132"/>
      <c r="L130" s="134">
        <f>ROUND(H130*S132,5)</f>
        <v>0.1032</v>
      </c>
      <c r="M130" s="131">
        <f t="shared" ref="M130:M131" si="122">L130*E130</f>
        <v>114659.32799999999</v>
      </c>
      <c r="N130" s="131">
        <f t="shared" si="119"/>
        <v>4188.6207999999897</v>
      </c>
      <c r="O130" s="132">
        <f t="shared" ref="O130:O131" si="123">IF(I130=0,0,N130/I130)</f>
        <v>3.7916121894800266E-2</v>
      </c>
      <c r="P130" s="132">
        <f>M130/M132</f>
        <v>0.66367029522221188</v>
      </c>
      <c r="Q130" s="133">
        <f t="shared" ref="Q130:Q132" si="124">P130-J130</f>
        <v>1.3470112540603374E-5</v>
      </c>
      <c r="R130" s="133"/>
      <c r="T130" s="6">
        <f>L130/H130-1</f>
        <v>3.7916121894800314E-2</v>
      </c>
    </row>
    <row r="131" spans="1:20" x14ac:dyDescent="0.25">
      <c r="A131" s="34">
        <f t="shared" si="48"/>
        <v>125</v>
      </c>
      <c r="B131" s="14"/>
      <c r="D131" s="2" t="s">
        <v>77</v>
      </c>
      <c r="E131" s="130">
        <v>873820</v>
      </c>
      <c r="F131" s="121">
        <v>5.756E-2</v>
      </c>
      <c r="G131" s="131">
        <f t="shared" si="120"/>
        <v>50297.0792</v>
      </c>
      <c r="H131" s="134">
        <v>5.6000000000000001E-2</v>
      </c>
      <c r="I131" s="131">
        <f t="shared" si="121"/>
        <v>48933.919999999998</v>
      </c>
      <c r="J131" s="132">
        <f>I131/I132</f>
        <v>0.29397231909248284</v>
      </c>
      <c r="K131" s="132"/>
      <c r="L131" s="121">
        <f>ROUND(H131*S132,5)</f>
        <v>5.8119999999999998E-2</v>
      </c>
      <c r="M131" s="131">
        <f t="shared" si="122"/>
        <v>50786.418399999995</v>
      </c>
      <c r="N131" s="131">
        <f t="shared" si="119"/>
        <v>1852.4983999999968</v>
      </c>
      <c r="O131" s="132">
        <f t="shared" si="123"/>
        <v>3.7857142857142791E-2</v>
      </c>
      <c r="P131" s="132">
        <f>M131/M132</f>
        <v>0.29396158062959149</v>
      </c>
      <c r="Q131" s="133">
        <f t="shared" si="124"/>
        <v>-1.0738462891346501E-5</v>
      </c>
      <c r="R131" s="133"/>
      <c r="T131" s="6">
        <f>L131/H131-1</f>
        <v>3.7857142857142811E-2</v>
      </c>
    </row>
    <row r="132" spans="1:20" s="7" customFormat="1" ht="20.399999999999999" customHeight="1" x14ac:dyDescent="0.3">
      <c r="A132" s="34">
        <f t="shared" si="48"/>
        <v>126</v>
      </c>
      <c r="C132" s="17"/>
      <c r="D132" s="19" t="s">
        <v>7</v>
      </c>
      <c r="E132" s="135"/>
      <c r="F132" s="136"/>
      <c r="G132" s="20">
        <f>SUM(G129:G131)</f>
        <v>169553.95879999999</v>
      </c>
      <c r="H132" s="135"/>
      <c r="I132" s="20">
        <f>SUM(I129:I131)</f>
        <v>166457.5772</v>
      </c>
      <c r="J132" s="137">
        <f>SUM(J129:J131)</f>
        <v>1</v>
      </c>
      <c r="K132" s="138">
        <f>I132+Summary!I19</f>
        <v>172766.34719999999</v>
      </c>
      <c r="L132" s="135"/>
      <c r="M132" s="20">
        <f>SUM(M129:M131)</f>
        <v>172765.4964</v>
      </c>
      <c r="N132" s="20">
        <f>SUM(N129:N131)</f>
        <v>6307.9191999999866</v>
      </c>
      <c r="O132" s="137">
        <f t="shared" ref="O132" si="125">N132/I132</f>
        <v>3.7895055942217488E-2</v>
      </c>
      <c r="P132" s="137">
        <f>SUM(P129:P131)</f>
        <v>1</v>
      </c>
      <c r="Q132" s="139">
        <f t="shared" si="124"/>
        <v>0</v>
      </c>
      <c r="R132" s="140">
        <f>M132-K132</f>
        <v>-0.85079999998561107</v>
      </c>
      <c r="S132" s="7">
        <f>K132/I132</f>
        <v>1.0379001671544212</v>
      </c>
    </row>
    <row r="133" spans="1:20" x14ac:dyDescent="0.25">
      <c r="A133" s="34">
        <f t="shared" si="48"/>
        <v>127</v>
      </c>
      <c r="D133" s="2" t="s">
        <v>30</v>
      </c>
      <c r="G133" s="131">
        <v>-8309.65</v>
      </c>
      <c r="I133" s="141">
        <f>G133+(0.00156*E130)</f>
        <v>-6576.4276</v>
      </c>
      <c r="M133" s="131">
        <f>I133</f>
        <v>-6576.4276</v>
      </c>
      <c r="N133" s="131">
        <f t="shared" si="119"/>
        <v>0</v>
      </c>
      <c r="O133" s="120">
        <v>0</v>
      </c>
      <c r="R133" s="142"/>
    </row>
    <row r="134" spans="1:20" x14ac:dyDescent="0.25">
      <c r="A134" s="34">
        <f t="shared" si="48"/>
        <v>128</v>
      </c>
      <c r="D134" s="2" t="s">
        <v>31</v>
      </c>
      <c r="G134" s="131">
        <v>17011.810000000001</v>
      </c>
      <c r="I134" s="141">
        <f>G134</f>
        <v>17011.810000000001</v>
      </c>
      <c r="M134" s="131">
        <f t="shared" ref="M134:M136" si="126">I134</f>
        <v>17011.810000000001</v>
      </c>
      <c r="N134" s="131">
        <f t="shared" si="119"/>
        <v>0</v>
      </c>
      <c r="O134" s="120">
        <v>0</v>
      </c>
    </row>
    <row r="135" spans="1:20" x14ac:dyDescent="0.25">
      <c r="A135" s="34">
        <f t="shared" si="48"/>
        <v>129</v>
      </c>
      <c r="D135" s="2" t="s">
        <v>33</v>
      </c>
      <c r="E135" s="130"/>
      <c r="F135" s="120"/>
      <c r="G135" s="131">
        <v>0</v>
      </c>
      <c r="I135" s="141">
        <f>G135</f>
        <v>0</v>
      </c>
      <c r="M135" s="131">
        <f t="shared" si="126"/>
        <v>0</v>
      </c>
      <c r="N135" s="131">
        <f t="shared" si="119"/>
        <v>0</v>
      </c>
      <c r="O135" s="120">
        <v>0</v>
      </c>
    </row>
    <row r="136" spans="1:20" x14ac:dyDescent="0.25">
      <c r="A136" s="34">
        <f t="shared" si="48"/>
        <v>130</v>
      </c>
      <c r="B136" s="69"/>
      <c r="D136" s="2" t="s">
        <v>43</v>
      </c>
      <c r="G136" s="131">
        <v>0</v>
      </c>
      <c r="I136" s="141">
        <f>G136</f>
        <v>0</v>
      </c>
      <c r="M136" s="131">
        <f t="shared" si="126"/>
        <v>0</v>
      </c>
      <c r="N136" s="131"/>
      <c r="O136" s="120">
        <v>0</v>
      </c>
    </row>
    <row r="137" spans="1:20" x14ac:dyDescent="0.25">
      <c r="A137" s="34">
        <f t="shared" ref="A137:A200" si="127">A136+1</f>
        <v>131</v>
      </c>
      <c r="D137" s="15" t="s">
        <v>9</v>
      </c>
      <c r="E137" s="143"/>
      <c r="F137" s="143"/>
      <c r="G137" s="144">
        <f>SUM(G133:G136)</f>
        <v>8702.1600000000017</v>
      </c>
      <c r="H137" s="143"/>
      <c r="I137" s="144">
        <f>SUM(I133:I136)</f>
        <v>10435.382400000002</v>
      </c>
      <c r="J137" s="143"/>
      <c r="K137" s="143"/>
      <c r="L137" s="143"/>
      <c r="M137" s="144">
        <f>SUM(M133:M136)</f>
        <v>10435.382400000002</v>
      </c>
      <c r="N137" s="144">
        <f>M137-I137</f>
        <v>0</v>
      </c>
      <c r="O137" s="145">
        <v>0</v>
      </c>
    </row>
    <row r="138" spans="1:20" s="7" customFormat="1" ht="26.4" customHeight="1" thickBot="1" x14ac:dyDescent="0.3">
      <c r="A138" s="34">
        <f t="shared" si="127"/>
        <v>132</v>
      </c>
      <c r="C138" s="17"/>
      <c r="D138" s="8" t="s">
        <v>20</v>
      </c>
      <c r="E138" s="146"/>
      <c r="F138" s="146"/>
      <c r="G138" s="147">
        <f>G132+G137</f>
        <v>178256.1188</v>
      </c>
      <c r="H138" s="146"/>
      <c r="I138" s="148">
        <f>I137+I132</f>
        <v>176892.9596</v>
      </c>
      <c r="J138" s="146"/>
      <c r="K138" s="146"/>
      <c r="L138" s="146"/>
      <c r="M138" s="147">
        <f>M137+M132</f>
        <v>183200.87880000001</v>
      </c>
      <c r="N138" s="147">
        <f>M138-I138</f>
        <v>6307.9192000000039</v>
      </c>
      <c r="O138" s="149">
        <f>N138/I138</f>
        <v>3.5659526610125211E-2</v>
      </c>
      <c r="P138" s="115"/>
      <c r="Q138" s="115"/>
      <c r="R138" s="115"/>
    </row>
    <row r="139" spans="1:20" ht="13.8" thickTop="1" x14ac:dyDescent="0.25">
      <c r="A139" s="34">
        <f t="shared" si="127"/>
        <v>133</v>
      </c>
      <c r="D139" s="2" t="s">
        <v>19</v>
      </c>
      <c r="E139" s="120">
        <f>(E130+E131)/E129</f>
        <v>17259.652173913044</v>
      </c>
      <c r="G139" s="150">
        <f>G138/E129</f>
        <v>1550.0532069565218</v>
      </c>
      <c r="I139" s="150">
        <f>I138/E129</f>
        <v>1538.1996486956523</v>
      </c>
      <c r="M139" s="150">
        <f>M138/E129</f>
        <v>1593.0511200000001</v>
      </c>
      <c r="N139" s="150">
        <f>M139-I139</f>
        <v>54.851471304347797</v>
      </c>
      <c r="O139" s="132">
        <f>N139/I139</f>
        <v>3.565952661012517E-2</v>
      </c>
    </row>
    <row r="140" spans="1:20" ht="13.8" thickBot="1" x14ac:dyDescent="0.3">
      <c r="A140" s="34">
        <f t="shared" si="127"/>
        <v>134</v>
      </c>
    </row>
    <row r="141" spans="1:20" x14ac:dyDescent="0.25">
      <c r="A141" s="34">
        <f t="shared" si="127"/>
        <v>135</v>
      </c>
      <c r="B141" s="158" t="s">
        <v>153</v>
      </c>
      <c r="C141" s="26">
        <v>22</v>
      </c>
      <c r="D141" s="25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1:20" x14ac:dyDescent="0.25">
      <c r="A142" s="34">
        <f t="shared" si="127"/>
        <v>136</v>
      </c>
      <c r="B142" s="159"/>
      <c r="D142" s="2" t="s">
        <v>18</v>
      </c>
      <c r="E142" s="130">
        <v>425</v>
      </c>
      <c r="F142" s="120">
        <v>24.51</v>
      </c>
      <c r="G142" s="131">
        <f>F142*E142</f>
        <v>10416.75</v>
      </c>
      <c r="H142" s="120">
        <v>24.51</v>
      </c>
      <c r="I142" s="131">
        <f>H142*E142</f>
        <v>10416.75</v>
      </c>
      <c r="J142" s="132">
        <f>I142/I145</f>
        <v>7.4631197222765011E-2</v>
      </c>
      <c r="K142" s="132"/>
      <c r="L142" s="120">
        <f>ROUND(H142*S145,2)</f>
        <v>25.44</v>
      </c>
      <c r="M142" s="131">
        <f>L142*E142</f>
        <v>10812</v>
      </c>
      <c r="N142" s="131">
        <f t="shared" ref="N142:N148" si="128">M142-I142</f>
        <v>395.25</v>
      </c>
      <c r="O142" s="132">
        <f>IF(I142=0,0,N142/I142)</f>
        <v>3.7943696450428395E-2</v>
      </c>
      <c r="P142" s="132">
        <f>M142/M145</f>
        <v>7.4636496415639617E-2</v>
      </c>
      <c r="Q142" s="133">
        <f>P142-J142</f>
        <v>5.2991928746054517E-6</v>
      </c>
      <c r="R142" s="133"/>
      <c r="T142" s="6">
        <f>L142/H142-1</f>
        <v>3.7943696450428277E-2</v>
      </c>
    </row>
    <row r="143" spans="1:20" x14ac:dyDescent="0.25">
      <c r="A143" s="34">
        <f t="shared" si="127"/>
        <v>137</v>
      </c>
      <c r="B143" s="14"/>
      <c r="D143" s="2" t="s">
        <v>76</v>
      </c>
      <c r="E143" s="130">
        <v>801068</v>
      </c>
      <c r="F143" s="121">
        <v>0.10167</v>
      </c>
      <c r="G143" s="131">
        <f t="shared" ref="G143:G144" si="129">F143*E143</f>
        <v>81444.583559999999</v>
      </c>
      <c r="H143" s="134">
        <v>0.10011</v>
      </c>
      <c r="I143" s="131">
        <f t="shared" ref="I143:I144" si="130">H143*E143</f>
        <v>80194.917480000004</v>
      </c>
      <c r="J143" s="132">
        <f>I143/I145</f>
        <v>0.57455950298444769</v>
      </c>
      <c r="K143" s="132"/>
      <c r="L143" s="134">
        <f>ROUND(H143*S145,5)</f>
        <v>0.10390000000000001</v>
      </c>
      <c r="M143" s="131">
        <f t="shared" ref="M143:M144" si="131">L143*E143</f>
        <v>83230.965200000006</v>
      </c>
      <c r="N143" s="131">
        <f t="shared" si="128"/>
        <v>3036.0477200000023</v>
      </c>
      <c r="O143" s="132">
        <f t="shared" ref="O143:O144" si="132">IF(I143=0,0,N143/I143)</f>
        <v>3.7858355808610557E-2</v>
      </c>
      <c r="P143" s="132">
        <f>M143/M145</f>
        <v>0.57455305547724989</v>
      </c>
      <c r="Q143" s="133">
        <f t="shared" ref="Q143:Q145" si="133">P143-J143</f>
        <v>-6.4475071978042919E-6</v>
      </c>
      <c r="R143" s="133"/>
      <c r="T143" s="6">
        <f>L143/H143-1</f>
        <v>3.7858355808610522E-2</v>
      </c>
    </row>
    <row r="144" spans="1:20" x14ac:dyDescent="0.25">
      <c r="A144" s="34">
        <f t="shared" si="127"/>
        <v>138</v>
      </c>
      <c r="B144" s="14"/>
      <c r="D144" s="2" t="s">
        <v>77</v>
      </c>
      <c r="E144" s="130">
        <v>870638</v>
      </c>
      <c r="F144" s="121">
        <v>5.7799999999999997E-2</v>
      </c>
      <c r="G144" s="131">
        <f t="shared" si="129"/>
        <v>50322.876400000001</v>
      </c>
      <c r="H144" s="134">
        <v>5.6239999999999998E-2</v>
      </c>
      <c r="I144" s="131">
        <f t="shared" si="130"/>
        <v>48964.681120000001</v>
      </c>
      <c r="J144" s="132">
        <f>I144/I145</f>
        <v>0.35080929979278741</v>
      </c>
      <c r="K144" s="132"/>
      <c r="L144" s="121">
        <f>ROUND(H144*S145,5)</f>
        <v>5.8369999999999998E-2</v>
      </c>
      <c r="M144" s="131">
        <f t="shared" si="131"/>
        <v>50819.140059999998</v>
      </c>
      <c r="N144" s="131">
        <f t="shared" si="128"/>
        <v>1854.4589399999968</v>
      </c>
      <c r="O144" s="132">
        <f t="shared" si="132"/>
        <v>3.7873399715504914E-2</v>
      </c>
      <c r="P144" s="132">
        <f>M144/M145</f>
        <v>0.35081044810711037</v>
      </c>
      <c r="Q144" s="133">
        <f t="shared" si="133"/>
        <v>1.1483143229629178E-6</v>
      </c>
      <c r="R144" s="133"/>
      <c r="T144" s="6">
        <f>L144/H144-1</f>
        <v>3.7873399715504963E-2</v>
      </c>
    </row>
    <row r="145" spans="1:22" s="7" customFormat="1" ht="20.399999999999999" customHeight="1" x14ac:dyDescent="0.3">
      <c r="A145" s="34">
        <f t="shared" si="127"/>
        <v>139</v>
      </c>
      <c r="C145" s="17"/>
      <c r="D145" s="19" t="s">
        <v>7</v>
      </c>
      <c r="E145" s="135"/>
      <c r="F145" s="136"/>
      <c r="G145" s="20">
        <f>SUM(G142:G144)</f>
        <v>142184.20996000001</v>
      </c>
      <c r="H145" s="135"/>
      <c r="I145" s="20">
        <f>SUM(I142:I144)</f>
        <v>139576.3486</v>
      </c>
      <c r="J145" s="137">
        <f>SUM(J142:J144)</f>
        <v>1</v>
      </c>
      <c r="K145" s="138">
        <f>I145+Summary!I20</f>
        <v>144866.3186</v>
      </c>
      <c r="L145" s="135"/>
      <c r="M145" s="20">
        <f>SUM(M142:M144)</f>
        <v>144862.10526000001</v>
      </c>
      <c r="N145" s="20">
        <f>SUM(N142:N144)</f>
        <v>5285.7566599999991</v>
      </c>
      <c r="O145" s="137">
        <f t="shared" ref="O145" si="134">N145/I145</f>
        <v>3.7870002425324942E-2</v>
      </c>
      <c r="P145" s="137">
        <f>SUM(P142:P144)</f>
        <v>0.99999999999999989</v>
      </c>
      <c r="Q145" s="139">
        <f t="shared" si="133"/>
        <v>0</v>
      </c>
      <c r="R145" s="140">
        <f>M145-K145</f>
        <v>-4.213339999987511</v>
      </c>
      <c r="S145" s="7">
        <f>K145/I145</f>
        <v>1.0379001890582484</v>
      </c>
    </row>
    <row r="146" spans="1:22" x14ac:dyDescent="0.25">
      <c r="A146" s="34">
        <f t="shared" si="127"/>
        <v>140</v>
      </c>
      <c r="D146" s="2" t="s">
        <v>30</v>
      </c>
      <c r="G146" s="131">
        <v>-6840.5</v>
      </c>
      <c r="I146" s="141">
        <f>G146+(0.00156*E143)</f>
        <v>-5590.83392</v>
      </c>
      <c r="M146" s="131">
        <f>I146</f>
        <v>-5590.83392</v>
      </c>
      <c r="N146" s="131">
        <f t="shared" si="128"/>
        <v>0</v>
      </c>
      <c r="O146" s="120">
        <v>0</v>
      </c>
      <c r="R146" s="142"/>
    </row>
    <row r="147" spans="1:22" x14ac:dyDescent="0.25">
      <c r="A147" s="34">
        <f t="shared" si="127"/>
        <v>141</v>
      </c>
      <c r="D147" s="2" t="s">
        <v>31</v>
      </c>
      <c r="G147" s="131">
        <v>14379.88</v>
      </c>
      <c r="I147" s="141">
        <f>G147</f>
        <v>14379.88</v>
      </c>
      <c r="M147" s="131">
        <f t="shared" ref="M147:M149" si="135">I147</f>
        <v>14379.88</v>
      </c>
      <c r="N147" s="131">
        <f t="shared" si="128"/>
        <v>0</v>
      </c>
      <c r="O147" s="120">
        <v>0</v>
      </c>
    </row>
    <row r="148" spans="1:22" x14ac:dyDescent="0.25">
      <c r="A148" s="34">
        <f t="shared" si="127"/>
        <v>142</v>
      </c>
      <c r="D148" s="2" t="s">
        <v>33</v>
      </c>
      <c r="E148" s="130"/>
      <c r="F148" s="120"/>
      <c r="G148" s="131">
        <v>0</v>
      </c>
      <c r="I148" s="141">
        <f>G148</f>
        <v>0</v>
      </c>
      <c r="M148" s="131">
        <f t="shared" si="135"/>
        <v>0</v>
      </c>
      <c r="N148" s="131">
        <f t="shared" si="128"/>
        <v>0</v>
      </c>
      <c r="O148" s="120">
        <v>0</v>
      </c>
    </row>
    <row r="149" spans="1:22" x14ac:dyDescent="0.25">
      <c r="A149" s="34">
        <f t="shared" si="127"/>
        <v>143</v>
      </c>
      <c r="B149" s="69"/>
      <c r="D149" s="2" t="s">
        <v>43</v>
      </c>
      <c r="G149" s="131">
        <v>0</v>
      </c>
      <c r="I149" s="141">
        <f>G149</f>
        <v>0</v>
      </c>
      <c r="M149" s="131">
        <f t="shared" si="135"/>
        <v>0</v>
      </c>
      <c r="N149" s="131"/>
      <c r="O149" s="120">
        <v>0</v>
      </c>
    </row>
    <row r="150" spans="1:22" x14ac:dyDescent="0.25">
      <c r="A150" s="34">
        <f t="shared" si="127"/>
        <v>144</v>
      </c>
      <c r="D150" s="15" t="s">
        <v>9</v>
      </c>
      <c r="E150" s="143"/>
      <c r="F150" s="143"/>
      <c r="G150" s="144">
        <f>SUM(G146:G149)</f>
        <v>7539.3799999999992</v>
      </c>
      <c r="H150" s="143"/>
      <c r="I150" s="144">
        <f>SUM(I146:I149)</f>
        <v>8789.0460800000001</v>
      </c>
      <c r="J150" s="143"/>
      <c r="K150" s="143"/>
      <c r="L150" s="143"/>
      <c r="M150" s="144">
        <f>SUM(M146:M149)</f>
        <v>8789.0460800000001</v>
      </c>
      <c r="N150" s="144">
        <f>M150-I150</f>
        <v>0</v>
      </c>
      <c r="O150" s="145">
        <v>0</v>
      </c>
    </row>
    <row r="151" spans="1:22" s="7" customFormat="1" ht="26.4" customHeight="1" thickBot="1" x14ac:dyDescent="0.3">
      <c r="A151" s="34">
        <f t="shared" si="127"/>
        <v>145</v>
      </c>
      <c r="C151" s="17"/>
      <c r="D151" s="8" t="s">
        <v>20</v>
      </c>
      <c r="E151" s="146"/>
      <c r="F151" s="146"/>
      <c r="G151" s="147">
        <f>G145+G150</f>
        <v>149723.58996000001</v>
      </c>
      <c r="H151" s="146"/>
      <c r="I151" s="148">
        <f>I150+I145</f>
        <v>148365.39468</v>
      </c>
      <c r="J151" s="146"/>
      <c r="K151" s="146"/>
      <c r="L151" s="146"/>
      <c r="M151" s="147">
        <f>M150+M145</f>
        <v>153651.15134000001</v>
      </c>
      <c r="N151" s="147">
        <f>M151-I151</f>
        <v>5285.7566600000137</v>
      </c>
      <c r="O151" s="149">
        <f>N151/I151</f>
        <v>3.5626614086125205E-2</v>
      </c>
      <c r="P151" s="115"/>
      <c r="Q151" s="115"/>
      <c r="R151" s="115"/>
    </row>
    <row r="152" spans="1:22" ht="13.8" thickTop="1" x14ac:dyDescent="0.25">
      <c r="A152" s="34">
        <f t="shared" si="127"/>
        <v>146</v>
      </c>
      <c r="D152" s="2" t="s">
        <v>19</v>
      </c>
      <c r="E152" s="120">
        <f>(E143+E144)/E142</f>
        <v>3933.4258823529412</v>
      </c>
      <c r="G152" s="150">
        <f>G151/E142</f>
        <v>352.29079990588241</v>
      </c>
      <c r="I152" s="150">
        <f>I151/E142</f>
        <v>349.09504630588236</v>
      </c>
      <c r="M152" s="150">
        <f>M151/E142</f>
        <v>361.53212080000003</v>
      </c>
      <c r="N152" s="150">
        <f>M152-I152</f>
        <v>12.437074494117667</v>
      </c>
      <c r="O152" s="132">
        <f>N152/I152</f>
        <v>3.562661408612517E-2</v>
      </c>
    </row>
    <row r="153" spans="1:22" ht="13.8" thickBot="1" x14ac:dyDescent="0.3">
      <c r="A153" s="34">
        <f t="shared" si="127"/>
        <v>147</v>
      </c>
    </row>
    <row r="154" spans="1:22" x14ac:dyDescent="0.25">
      <c r="A154" s="34">
        <f t="shared" si="127"/>
        <v>148</v>
      </c>
      <c r="B154" s="158" t="s">
        <v>62</v>
      </c>
      <c r="C154" s="26">
        <v>24</v>
      </c>
      <c r="D154" s="25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1:22" x14ac:dyDescent="0.25">
      <c r="A155" s="34">
        <f t="shared" si="127"/>
        <v>149</v>
      </c>
      <c r="B155" s="159"/>
      <c r="D155" s="2" t="s">
        <v>18</v>
      </c>
      <c r="E155" s="130">
        <v>24</v>
      </c>
      <c r="F155" s="120">
        <v>61.33</v>
      </c>
      <c r="G155" s="131">
        <f>F155*E155</f>
        <v>1471.92</v>
      </c>
      <c r="H155" s="120">
        <v>61.33</v>
      </c>
      <c r="I155" s="131">
        <f>H155*E155</f>
        <v>1471.92</v>
      </c>
      <c r="J155" s="132">
        <f>I155/I158</f>
        <v>6.9465004277256956E-3</v>
      </c>
      <c r="K155" s="132"/>
      <c r="L155" s="120">
        <f>ROUND(H155*S158,2)</f>
        <v>63.65</v>
      </c>
      <c r="M155" s="131">
        <f>L155*E155</f>
        <v>1527.6</v>
      </c>
      <c r="N155" s="131">
        <f t="shared" ref="N155:N161" si="136">M155-I155</f>
        <v>55.679999999999836</v>
      </c>
      <c r="O155" s="132">
        <f>IF(I155=0,0,N155/I155)</f>
        <v>3.7828142833849554E-2</v>
      </c>
      <c r="P155" s="132">
        <f>M155/M158</f>
        <v>6.9462739269943886E-3</v>
      </c>
      <c r="Q155" s="133">
        <f>P155-J155</f>
        <v>-2.2650073130698473E-7</v>
      </c>
      <c r="R155" s="133"/>
      <c r="T155" s="6">
        <f>L155/H155-1</f>
        <v>3.782814283384961E-2</v>
      </c>
    </row>
    <row r="156" spans="1:22" x14ac:dyDescent="0.25">
      <c r="A156" s="34">
        <f t="shared" si="127"/>
        <v>150</v>
      </c>
      <c r="B156" s="14"/>
      <c r="D156" s="2" t="s">
        <v>76</v>
      </c>
      <c r="E156" s="130">
        <v>1389600</v>
      </c>
      <c r="F156" s="121">
        <v>9.5939999999999998E-2</v>
      </c>
      <c r="G156" s="131">
        <f t="shared" ref="G156:G157" si="137">F156*E156</f>
        <v>133318.22399999999</v>
      </c>
      <c r="H156" s="134">
        <v>9.4459000000000001E-2</v>
      </c>
      <c r="I156" s="131">
        <f t="shared" ref="I156:I157" si="138">H156*E156</f>
        <v>131260.22640000001</v>
      </c>
      <c r="J156" s="132">
        <f>I156/I158</f>
        <v>0.61946248357993072</v>
      </c>
      <c r="K156" s="132"/>
      <c r="L156" s="134">
        <f>ROUND(H156*S158,5)</f>
        <v>9.8040000000000002E-2</v>
      </c>
      <c r="M156" s="131">
        <f t="shared" ref="M156:M157" si="139">L156*E156</f>
        <v>136236.38399999999</v>
      </c>
      <c r="N156" s="131">
        <f t="shared" si="136"/>
        <v>4976.1575999999768</v>
      </c>
      <c r="O156" s="132">
        <f t="shared" ref="O156:O157" si="140">IF(I156=0,0,N156/I156)</f>
        <v>3.7910627891465959E-2</v>
      </c>
      <c r="P156" s="132">
        <f>M156/M158</f>
        <v>0.61949151747001541</v>
      </c>
      <c r="Q156" s="133">
        <f t="shared" ref="Q156:Q158" si="141">P156-J156</f>
        <v>2.9033890084684266E-5</v>
      </c>
      <c r="R156" s="133"/>
      <c r="T156" s="6">
        <f>L156/H156-1</f>
        <v>3.7910627891466042E-2</v>
      </c>
    </row>
    <row r="157" spans="1:22" x14ac:dyDescent="0.25">
      <c r="A157" s="34">
        <f t="shared" si="127"/>
        <v>151</v>
      </c>
      <c r="B157" s="14"/>
      <c r="D157" s="2" t="s">
        <v>77</v>
      </c>
      <c r="E157" s="130">
        <v>1488000</v>
      </c>
      <c r="F157" s="121">
        <v>5.4679999999999999E-2</v>
      </c>
      <c r="G157" s="131">
        <f t="shared" si="137"/>
        <v>81363.839999999997</v>
      </c>
      <c r="H157" s="134">
        <v>5.3199999999999997E-2</v>
      </c>
      <c r="I157" s="131">
        <f t="shared" si="138"/>
        <v>79161.599999999991</v>
      </c>
      <c r="J157" s="132">
        <f>I157/I158</f>
        <v>0.37359101599234357</v>
      </c>
      <c r="K157" s="132"/>
      <c r="L157" s="121">
        <f>ROUND(L131*0.95,5)</f>
        <v>5.5210000000000002E-2</v>
      </c>
      <c r="M157" s="131">
        <f t="shared" si="139"/>
        <v>82152.479999999996</v>
      </c>
      <c r="N157" s="131">
        <f t="shared" si="136"/>
        <v>2990.8800000000047</v>
      </c>
      <c r="O157" s="132">
        <f t="shared" si="140"/>
        <v>3.7781954887218111E-2</v>
      </c>
      <c r="P157" s="132">
        <f>M157/M158</f>
        <v>0.37356220860299028</v>
      </c>
      <c r="Q157" s="133">
        <f t="shared" si="141"/>
        <v>-2.8807389353291413E-5</v>
      </c>
      <c r="R157" s="133"/>
      <c r="T157" s="6">
        <f>L157/H157-1</f>
        <v>3.7781954887218028E-2</v>
      </c>
      <c r="V157" s="113" t="s">
        <v>144</v>
      </c>
    </row>
    <row r="158" spans="1:22" s="7" customFormat="1" ht="20.399999999999999" customHeight="1" x14ac:dyDescent="0.3">
      <c r="A158" s="34">
        <f t="shared" si="127"/>
        <v>152</v>
      </c>
      <c r="C158" s="17"/>
      <c r="D158" s="19" t="s">
        <v>7</v>
      </c>
      <c r="E158" s="135"/>
      <c r="F158" s="136"/>
      <c r="G158" s="20">
        <f>SUM(G155:G157)</f>
        <v>216153.984</v>
      </c>
      <c r="H158" s="135"/>
      <c r="I158" s="20">
        <f>SUM(I155:I157)</f>
        <v>211893.7464</v>
      </c>
      <c r="J158" s="137">
        <f>SUM(J155:J157)</f>
        <v>1</v>
      </c>
      <c r="K158" s="138">
        <f>I158+Summary!I21</f>
        <v>219924.5564</v>
      </c>
      <c r="L158" s="135"/>
      <c r="M158" s="20">
        <f>SUM(M155:M157)</f>
        <v>219916.46399999998</v>
      </c>
      <c r="N158" s="20">
        <f>SUM(N155:N157)</f>
        <v>8022.7175999999818</v>
      </c>
      <c r="O158" s="137">
        <f t="shared" ref="O158" si="142">N158/I158</f>
        <v>3.7861983830590203E-2</v>
      </c>
      <c r="P158" s="137">
        <f>SUM(P155:P157)</f>
        <v>1</v>
      </c>
      <c r="Q158" s="139">
        <f t="shared" si="141"/>
        <v>0</v>
      </c>
      <c r="R158" s="140">
        <f>M158-K158</f>
        <v>-8.0924000000231899</v>
      </c>
      <c r="S158" s="7">
        <f>K158/I158</f>
        <v>1.037900174669808</v>
      </c>
    </row>
    <row r="159" spans="1:22" x14ac:dyDescent="0.25">
      <c r="A159" s="34">
        <f t="shared" si="127"/>
        <v>153</v>
      </c>
      <c r="D159" s="2" t="s">
        <v>30</v>
      </c>
      <c r="G159" s="131">
        <v>-10757.15</v>
      </c>
      <c r="I159" s="141">
        <f>G159+(0.00156*E156)</f>
        <v>-8589.3739999999998</v>
      </c>
      <c r="M159" s="131">
        <f>I159</f>
        <v>-8589.3739999999998</v>
      </c>
      <c r="N159" s="131">
        <f t="shared" si="136"/>
        <v>0</v>
      </c>
      <c r="O159" s="120">
        <v>0</v>
      </c>
      <c r="R159" s="142"/>
    </row>
    <row r="160" spans="1:22" x14ac:dyDescent="0.25">
      <c r="A160" s="34">
        <f t="shared" si="127"/>
        <v>154</v>
      </c>
      <c r="D160" s="2" t="s">
        <v>31</v>
      </c>
      <c r="G160" s="131">
        <v>21614.080000000002</v>
      </c>
      <c r="I160" s="141">
        <f>G160</f>
        <v>21614.080000000002</v>
      </c>
      <c r="M160" s="131">
        <f t="shared" ref="M160:M162" si="143">I160</f>
        <v>21614.080000000002</v>
      </c>
      <c r="N160" s="131">
        <f t="shared" si="136"/>
        <v>0</v>
      </c>
      <c r="O160" s="120">
        <v>0</v>
      </c>
    </row>
    <row r="161" spans="1:20" x14ac:dyDescent="0.25">
      <c r="A161" s="34">
        <f t="shared" si="127"/>
        <v>155</v>
      </c>
      <c r="D161" s="2" t="s">
        <v>33</v>
      </c>
      <c r="E161" s="130"/>
      <c r="F161" s="120"/>
      <c r="G161" s="131">
        <v>0</v>
      </c>
      <c r="I161" s="141">
        <f>G161</f>
        <v>0</v>
      </c>
      <c r="M161" s="131">
        <f t="shared" si="143"/>
        <v>0</v>
      </c>
      <c r="N161" s="131">
        <f t="shared" si="136"/>
        <v>0</v>
      </c>
      <c r="O161" s="120">
        <v>0</v>
      </c>
    </row>
    <row r="162" spans="1:20" x14ac:dyDescent="0.25">
      <c r="A162" s="34">
        <f t="shared" si="127"/>
        <v>156</v>
      </c>
      <c r="B162" s="69"/>
      <c r="D162" s="2" t="s">
        <v>43</v>
      </c>
      <c r="G162" s="131">
        <v>0</v>
      </c>
      <c r="I162" s="141">
        <f>G162</f>
        <v>0</v>
      </c>
      <c r="M162" s="131">
        <f t="shared" si="143"/>
        <v>0</v>
      </c>
      <c r="N162" s="131"/>
      <c r="O162" s="120">
        <v>0</v>
      </c>
    </row>
    <row r="163" spans="1:20" x14ac:dyDescent="0.25">
      <c r="A163" s="34">
        <f t="shared" si="127"/>
        <v>157</v>
      </c>
      <c r="D163" s="15" t="s">
        <v>9</v>
      </c>
      <c r="E163" s="143"/>
      <c r="F163" s="143"/>
      <c r="G163" s="144">
        <f>SUM(G159:G162)</f>
        <v>10856.930000000002</v>
      </c>
      <c r="H163" s="143"/>
      <c r="I163" s="144">
        <f>SUM(I159:I162)</f>
        <v>13024.706000000002</v>
      </c>
      <c r="J163" s="143"/>
      <c r="K163" s="143"/>
      <c r="L163" s="143"/>
      <c r="M163" s="144">
        <f>SUM(M159:M162)</f>
        <v>13024.706000000002</v>
      </c>
      <c r="N163" s="144">
        <f>M163-I163</f>
        <v>0</v>
      </c>
      <c r="O163" s="145">
        <v>0</v>
      </c>
    </row>
    <row r="164" spans="1:20" s="7" customFormat="1" ht="26.4" customHeight="1" thickBot="1" x14ac:dyDescent="0.3">
      <c r="A164" s="34">
        <f t="shared" si="127"/>
        <v>158</v>
      </c>
      <c r="C164" s="17"/>
      <c r="D164" s="8" t="s">
        <v>20</v>
      </c>
      <c r="E164" s="146"/>
      <c r="F164" s="146"/>
      <c r="G164" s="147">
        <f>G158+G163</f>
        <v>227010.91399999999</v>
      </c>
      <c r="H164" s="146"/>
      <c r="I164" s="148">
        <f>I163+I158</f>
        <v>224918.45240000001</v>
      </c>
      <c r="J164" s="146"/>
      <c r="K164" s="146"/>
      <c r="L164" s="146"/>
      <c r="M164" s="147">
        <f>M163+M158</f>
        <v>232941.16999999998</v>
      </c>
      <c r="N164" s="147">
        <f>M164-I164</f>
        <v>8022.7175999999745</v>
      </c>
      <c r="O164" s="149">
        <f>N164/I164</f>
        <v>3.5669450480355407E-2</v>
      </c>
      <c r="P164" s="115"/>
      <c r="Q164" s="115"/>
      <c r="R164" s="115"/>
    </row>
    <row r="165" spans="1:20" ht="13.8" thickTop="1" x14ac:dyDescent="0.25">
      <c r="A165" s="34">
        <f t="shared" si="127"/>
        <v>159</v>
      </c>
      <c r="D165" s="2" t="s">
        <v>19</v>
      </c>
      <c r="E165" s="120">
        <f>(E156+E157)/E155</f>
        <v>119900</v>
      </c>
      <c r="G165" s="150">
        <f>G164/E155</f>
        <v>9458.7880833333329</v>
      </c>
      <c r="I165" s="150">
        <f>I164/E155</f>
        <v>9371.6021833333343</v>
      </c>
      <c r="M165" s="150">
        <f>M164/E155</f>
        <v>9705.882083333332</v>
      </c>
      <c r="N165" s="150">
        <f>M165-I165</f>
        <v>334.27989999999772</v>
      </c>
      <c r="O165" s="132">
        <f>N165/I165</f>
        <v>3.5669450480355275E-2</v>
      </c>
    </row>
    <row r="166" spans="1:20" ht="13.8" thickBot="1" x14ac:dyDescent="0.3">
      <c r="A166" s="34">
        <f t="shared" si="127"/>
        <v>160</v>
      </c>
    </row>
    <row r="167" spans="1:20" ht="16.2" customHeight="1" x14ac:dyDescent="0.25">
      <c r="A167" s="34">
        <f t="shared" si="127"/>
        <v>161</v>
      </c>
      <c r="B167" s="158" t="s">
        <v>63</v>
      </c>
      <c r="C167" s="26">
        <v>31</v>
      </c>
      <c r="D167" s="25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1:20" x14ac:dyDescent="0.25">
      <c r="A168" s="34">
        <f t="shared" si="127"/>
        <v>162</v>
      </c>
      <c r="B168" s="159"/>
      <c r="D168" s="2" t="s">
        <v>18</v>
      </c>
      <c r="E168" s="130">
        <v>51</v>
      </c>
      <c r="F168" s="120">
        <v>20</v>
      </c>
      <c r="G168" s="131">
        <f>F168*E168</f>
        <v>1020</v>
      </c>
      <c r="H168" s="120">
        <v>20</v>
      </c>
      <c r="I168" s="131">
        <f>H168*E168</f>
        <v>1020</v>
      </c>
      <c r="J168" s="132">
        <f>I168/I171</f>
        <v>0.16185555601733759</v>
      </c>
      <c r="K168" s="132"/>
      <c r="L168" s="120">
        <f>ROUND(H168*S171,2)</f>
        <v>20.76</v>
      </c>
      <c r="M168" s="131">
        <f>L168*E168</f>
        <v>1058.76</v>
      </c>
      <c r="N168" s="131">
        <f t="shared" ref="N168:N174" si="144">M168-I168</f>
        <v>38.759999999999991</v>
      </c>
      <c r="O168" s="132">
        <f>IF(I168=0,0,N168/I168)</f>
        <v>3.7999999999999992E-2</v>
      </c>
      <c r="P168" s="132">
        <f>M168/M171</f>
        <v>0.16186204422570777</v>
      </c>
      <c r="Q168" s="133">
        <f>P168-J168</f>
        <v>6.4882083701811588E-6</v>
      </c>
      <c r="R168" s="133"/>
      <c r="T168" s="6">
        <f>L168/H168-1</f>
        <v>3.8000000000000034E-2</v>
      </c>
    </row>
    <row r="169" spans="1:20" x14ac:dyDescent="0.25">
      <c r="A169" s="34">
        <f t="shared" si="127"/>
        <v>163</v>
      </c>
      <c r="B169" s="14"/>
      <c r="D169" s="2" t="s">
        <v>76</v>
      </c>
      <c r="E169" s="130">
        <v>22018</v>
      </c>
      <c r="F169" s="121">
        <v>0.12099</v>
      </c>
      <c r="G169" s="131">
        <f t="shared" ref="G169:G170" si="145">F169*E169</f>
        <v>2663.9578200000001</v>
      </c>
      <c r="H169" s="134">
        <v>0.11942999999999999</v>
      </c>
      <c r="I169" s="131">
        <f t="shared" ref="I169:I170" si="146">H169*E169</f>
        <v>2629.6097399999999</v>
      </c>
      <c r="J169" s="132">
        <f>I169/I171</f>
        <v>0.41727151625128089</v>
      </c>
      <c r="K169" s="132"/>
      <c r="L169" s="134">
        <f>ROUND(H169*S171,5)</f>
        <v>0.12396</v>
      </c>
      <c r="M169" s="131">
        <f t="shared" ref="M169:M170" si="147">L169*E169</f>
        <v>2729.3512799999999</v>
      </c>
      <c r="N169" s="131">
        <f t="shared" si="144"/>
        <v>99.741539999999986</v>
      </c>
      <c r="O169" s="132">
        <f t="shared" ref="O169:O170" si="148">IF(I169=0,0,N169/I169)</f>
        <v>3.7930168299422251E-2</v>
      </c>
      <c r="P169" s="132">
        <f>M169/M171</f>
        <v>0.4172601700015604</v>
      </c>
      <c r="Q169" s="133">
        <f t="shared" ref="Q169:Q171" si="149">P169-J169</f>
        <v>-1.1346249720489698E-5</v>
      </c>
      <c r="R169" s="133"/>
      <c r="T169" s="6">
        <f>L169/H169-1</f>
        <v>3.7930168299422418E-2</v>
      </c>
    </row>
    <row r="170" spans="1:20" x14ac:dyDescent="0.25">
      <c r="A170" s="34">
        <f t="shared" si="127"/>
        <v>164</v>
      </c>
      <c r="B170" s="14"/>
      <c r="D170" s="2" t="s">
        <v>77</v>
      </c>
      <c r="E170" s="130">
        <v>45161</v>
      </c>
      <c r="F170" s="121">
        <v>6.0290000000000003E-2</v>
      </c>
      <c r="G170" s="131">
        <f t="shared" si="145"/>
        <v>2722.7566900000002</v>
      </c>
      <c r="H170" s="134">
        <v>5.8729999999999997E-2</v>
      </c>
      <c r="I170" s="131">
        <f t="shared" si="146"/>
        <v>2652.3055300000001</v>
      </c>
      <c r="J170" s="132">
        <f>I170/I171</f>
        <v>0.42087292773138163</v>
      </c>
      <c r="K170" s="132"/>
      <c r="L170" s="134">
        <f>ROUND(H170*S171,5)</f>
        <v>6.096E-2</v>
      </c>
      <c r="M170" s="131">
        <f t="shared" si="147"/>
        <v>2753.0145600000001</v>
      </c>
      <c r="N170" s="131">
        <f t="shared" si="144"/>
        <v>100.70902999999998</v>
      </c>
      <c r="O170" s="132">
        <f t="shared" si="148"/>
        <v>3.7970372892899701E-2</v>
      </c>
      <c r="P170" s="132">
        <f>M170/M171</f>
        <v>0.42087778577273172</v>
      </c>
      <c r="Q170" s="133">
        <f t="shared" si="149"/>
        <v>4.858041350086495E-6</v>
      </c>
      <c r="R170" s="133"/>
      <c r="T170" s="6">
        <f>L170/H170-1</f>
        <v>3.7970372892899729E-2</v>
      </c>
    </row>
    <row r="171" spans="1:20" s="7" customFormat="1" ht="20.399999999999999" customHeight="1" x14ac:dyDescent="0.3">
      <c r="A171" s="34">
        <f t="shared" si="127"/>
        <v>165</v>
      </c>
      <c r="C171" s="17"/>
      <c r="D171" s="19" t="s">
        <v>7</v>
      </c>
      <c r="E171" s="135"/>
      <c r="F171" s="136"/>
      <c r="G171" s="20">
        <f>SUM(G168:G170)</f>
        <v>6406.7145099999998</v>
      </c>
      <c r="H171" s="135"/>
      <c r="I171" s="20">
        <f>SUM(I168:I170)</f>
        <v>6301.9152699999995</v>
      </c>
      <c r="J171" s="137">
        <f>SUM(J168:J170)</f>
        <v>1</v>
      </c>
      <c r="K171" s="138">
        <f>I171+Summary!I22</f>
        <v>6540.7552699999997</v>
      </c>
      <c r="L171" s="135"/>
      <c r="M171" s="20">
        <f>SUM(M168:M170)</f>
        <v>6541.1258400000006</v>
      </c>
      <c r="N171" s="20">
        <f>SUM(N168:N170)</f>
        <v>239.21056999999996</v>
      </c>
      <c r="O171" s="137">
        <f t="shared" ref="O171" si="150">N171/I171</f>
        <v>3.7958391973112009E-2</v>
      </c>
      <c r="P171" s="137">
        <f>SUM(P168:P170)</f>
        <v>0.99999999999999989</v>
      </c>
      <c r="Q171" s="139">
        <f t="shared" si="149"/>
        <v>0</v>
      </c>
      <c r="R171" s="140">
        <f>M171-K171</f>
        <v>0.37057000000095286</v>
      </c>
      <c r="S171" s="7">
        <f>K171/I171</f>
        <v>1.0378995892148832</v>
      </c>
    </row>
    <row r="172" spans="1:20" x14ac:dyDescent="0.25">
      <c r="A172" s="34">
        <f t="shared" si="127"/>
        <v>166</v>
      </c>
      <c r="D172" s="2" t="s">
        <v>30</v>
      </c>
      <c r="G172" s="131">
        <v>-259.32</v>
      </c>
      <c r="I172" s="141">
        <f>G172+(0.00156*E169)</f>
        <v>-224.97192000000001</v>
      </c>
      <c r="K172" s="141"/>
      <c r="M172" s="131">
        <f>I172</f>
        <v>-224.97192000000001</v>
      </c>
      <c r="N172" s="131">
        <f t="shared" si="144"/>
        <v>0</v>
      </c>
      <c r="O172" s="120">
        <v>0</v>
      </c>
      <c r="R172" s="142"/>
    </row>
    <row r="173" spans="1:20" x14ac:dyDescent="0.25">
      <c r="A173" s="34">
        <f t="shared" si="127"/>
        <v>167</v>
      </c>
      <c r="D173" s="2" t="s">
        <v>31</v>
      </c>
      <c r="G173" s="131">
        <v>661.36</v>
      </c>
      <c r="I173" s="141">
        <f>G173</f>
        <v>661.36</v>
      </c>
      <c r="M173" s="131">
        <f t="shared" ref="M173:M175" si="151">I173</f>
        <v>661.36</v>
      </c>
      <c r="N173" s="131">
        <f t="shared" si="144"/>
        <v>0</v>
      </c>
      <c r="O173" s="120">
        <v>0</v>
      </c>
    </row>
    <row r="174" spans="1:20" x14ac:dyDescent="0.25">
      <c r="A174" s="34">
        <f t="shared" si="127"/>
        <v>168</v>
      </c>
      <c r="D174" s="2" t="s">
        <v>33</v>
      </c>
      <c r="E174" s="130"/>
      <c r="F174" s="120"/>
      <c r="G174" s="131">
        <v>0</v>
      </c>
      <c r="I174" s="141">
        <f>G174</f>
        <v>0</v>
      </c>
      <c r="M174" s="131">
        <f t="shared" si="151"/>
        <v>0</v>
      </c>
      <c r="N174" s="131">
        <f t="shared" si="144"/>
        <v>0</v>
      </c>
      <c r="O174" s="120">
        <v>0</v>
      </c>
    </row>
    <row r="175" spans="1:20" x14ac:dyDescent="0.25">
      <c r="A175" s="34">
        <f t="shared" si="127"/>
        <v>169</v>
      </c>
      <c r="B175" s="69"/>
      <c r="D175" s="2" t="s">
        <v>43</v>
      </c>
      <c r="G175" s="131">
        <v>0</v>
      </c>
      <c r="I175" s="141">
        <f>G175</f>
        <v>0</v>
      </c>
      <c r="M175" s="131">
        <f t="shared" si="151"/>
        <v>0</v>
      </c>
      <c r="N175" s="131"/>
      <c r="O175" s="120">
        <v>0</v>
      </c>
    </row>
    <row r="176" spans="1:20" x14ac:dyDescent="0.25">
      <c r="A176" s="34">
        <f t="shared" si="127"/>
        <v>170</v>
      </c>
      <c r="D176" s="15" t="s">
        <v>9</v>
      </c>
      <c r="E176" s="143"/>
      <c r="F176" s="143"/>
      <c r="G176" s="144">
        <f>SUM(G172:G175)</f>
        <v>402.04</v>
      </c>
      <c r="H176" s="143"/>
      <c r="I176" s="144">
        <f>SUM(I172:I175)</f>
        <v>436.38808</v>
      </c>
      <c r="J176" s="143"/>
      <c r="K176" s="143"/>
      <c r="L176" s="143"/>
      <c r="M176" s="144">
        <f>SUM(M172:M175)</f>
        <v>436.38808</v>
      </c>
      <c r="N176" s="144">
        <f>M176-I176</f>
        <v>0</v>
      </c>
      <c r="O176" s="145">
        <v>0</v>
      </c>
    </row>
    <row r="177" spans="1:20" s="7" customFormat="1" ht="26.4" customHeight="1" thickBot="1" x14ac:dyDescent="0.3">
      <c r="A177" s="34">
        <f t="shared" si="127"/>
        <v>171</v>
      </c>
      <c r="C177" s="17"/>
      <c r="D177" s="8" t="s">
        <v>20</v>
      </c>
      <c r="E177" s="146"/>
      <c r="F177" s="146"/>
      <c r="G177" s="147">
        <f>G171+G176</f>
        <v>6808.7545099999998</v>
      </c>
      <c r="H177" s="146"/>
      <c r="I177" s="148">
        <f>I176+I171</f>
        <v>6738.3033499999992</v>
      </c>
      <c r="J177" s="146"/>
      <c r="K177" s="146"/>
      <c r="L177" s="146"/>
      <c r="M177" s="147">
        <f>M176+M171</f>
        <v>6977.5139200000003</v>
      </c>
      <c r="N177" s="147">
        <f>M177-I177</f>
        <v>239.2105700000011</v>
      </c>
      <c r="O177" s="149">
        <f>N177/I177</f>
        <v>3.5500118883784168E-2</v>
      </c>
      <c r="P177" s="115"/>
      <c r="Q177" s="115"/>
      <c r="R177" s="115"/>
    </row>
    <row r="178" spans="1:20" ht="13.8" thickTop="1" x14ac:dyDescent="0.25">
      <c r="A178" s="34">
        <f t="shared" si="127"/>
        <v>172</v>
      </c>
      <c r="D178" s="2" t="s">
        <v>19</v>
      </c>
      <c r="E178" s="120">
        <f>(E169+E170)/E168</f>
        <v>1317.2352941176471</v>
      </c>
      <c r="G178" s="150">
        <f>G177/E168</f>
        <v>133.50499039215686</v>
      </c>
      <c r="I178" s="150">
        <f>I177/E168</f>
        <v>132.1235950980392</v>
      </c>
      <c r="M178" s="150">
        <f>M177/E168</f>
        <v>136.81399843137257</v>
      </c>
      <c r="N178" s="150">
        <f>M178-I178</f>
        <v>4.6904033333333643</v>
      </c>
      <c r="O178" s="132">
        <f>N178/I178</f>
        <v>3.5500118883784237E-2</v>
      </c>
    </row>
    <row r="179" spans="1:20" ht="13.8" thickBot="1" x14ac:dyDescent="0.3">
      <c r="A179" s="34">
        <f t="shared" si="127"/>
        <v>173</v>
      </c>
    </row>
    <row r="180" spans="1:20" x14ac:dyDescent="0.25">
      <c r="A180" s="34">
        <f t="shared" si="127"/>
        <v>174</v>
      </c>
      <c r="B180" s="158" t="s">
        <v>64</v>
      </c>
      <c r="C180" s="26">
        <v>33</v>
      </c>
      <c r="D180" s="25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1:20" x14ac:dyDescent="0.25">
      <c r="A181" s="34">
        <f t="shared" si="127"/>
        <v>175</v>
      </c>
      <c r="B181" s="159"/>
      <c r="D181" s="2" t="s">
        <v>18</v>
      </c>
      <c r="E181" s="130">
        <v>26</v>
      </c>
      <c r="F181" s="120">
        <v>20</v>
      </c>
      <c r="G181" s="131">
        <f>F181*E181</f>
        <v>520</v>
      </c>
      <c r="H181" s="120">
        <v>20</v>
      </c>
      <c r="I181" s="131">
        <f>H181*E181</f>
        <v>520</v>
      </c>
      <c r="J181" s="132">
        <f>I181/I184</f>
        <v>0.18775147640359302</v>
      </c>
      <c r="K181" s="132"/>
      <c r="L181" s="120">
        <f>ROUND(H181*S184,2)</f>
        <v>20.76</v>
      </c>
      <c r="M181" s="131">
        <f>L181*E181</f>
        <v>539.76</v>
      </c>
      <c r="N181" s="131">
        <f t="shared" ref="N181:N187" si="152">M181-I181</f>
        <v>19.759999999999991</v>
      </c>
      <c r="O181" s="132">
        <f>IF(I181=0,0,N181/I181)</f>
        <v>3.7999999999999985E-2</v>
      </c>
      <c r="P181" s="132">
        <f>M181/M184</f>
        <v>0.18776168201712456</v>
      </c>
      <c r="Q181" s="133">
        <f>P181-J181</f>
        <v>1.0205613531544255E-5</v>
      </c>
      <c r="R181" s="133"/>
      <c r="T181" s="6">
        <f>L181/H181-1</f>
        <v>3.8000000000000034E-2</v>
      </c>
    </row>
    <row r="182" spans="1:20" x14ac:dyDescent="0.25">
      <c r="A182" s="34">
        <f t="shared" si="127"/>
        <v>176</v>
      </c>
      <c r="B182" s="14"/>
      <c r="D182" s="2" t="s">
        <v>76</v>
      </c>
      <c r="E182" s="130">
        <v>12305</v>
      </c>
      <c r="F182" s="121">
        <v>0.10341</v>
      </c>
      <c r="G182" s="131">
        <f t="shared" ref="G182:G183" si="153">F182*E182</f>
        <v>1272.4600499999999</v>
      </c>
      <c r="H182" s="134">
        <v>0.10185</v>
      </c>
      <c r="I182" s="131">
        <f t="shared" ref="I182:I183" si="154">H182*E182</f>
        <v>1253.2642499999999</v>
      </c>
      <c r="J182" s="132">
        <f>I182/I184</f>
        <v>0.45250425627181096</v>
      </c>
      <c r="K182" s="132"/>
      <c r="L182" s="134">
        <f>ROUND(H182*S184,5)</f>
        <v>0.10571</v>
      </c>
      <c r="M182" s="131">
        <f t="shared" ref="M182:M183" si="155">L182*E182</f>
        <v>1300.7615499999999</v>
      </c>
      <c r="N182" s="131">
        <f t="shared" si="152"/>
        <v>47.497299999999996</v>
      </c>
      <c r="O182" s="132">
        <f t="shared" ref="O182:O183" si="156">IF(I182=0,0,N182/I182)</f>
        <v>3.7898870888561607E-2</v>
      </c>
      <c r="P182" s="132">
        <f>M182/M184</f>
        <v>0.45248476458278136</v>
      </c>
      <c r="Q182" s="133">
        <f t="shared" ref="Q182:Q184" si="157">P182-J182</f>
        <v>-1.9491689029593751E-5</v>
      </c>
      <c r="R182" s="133"/>
      <c r="T182" s="6">
        <f>L182/H182-1</f>
        <v>3.7898870888561698E-2</v>
      </c>
    </row>
    <row r="183" spans="1:20" x14ac:dyDescent="0.25">
      <c r="A183" s="34">
        <f t="shared" si="127"/>
        <v>177</v>
      </c>
      <c r="B183" s="14"/>
      <c r="D183" s="2" t="s">
        <v>77</v>
      </c>
      <c r="E183" s="130">
        <v>16965</v>
      </c>
      <c r="F183" s="121">
        <v>6.0290000000000003E-2</v>
      </c>
      <c r="G183" s="131">
        <f t="shared" si="153"/>
        <v>1022.8198500000001</v>
      </c>
      <c r="H183" s="134">
        <v>5.8729999999999997E-2</v>
      </c>
      <c r="I183" s="131">
        <f t="shared" si="154"/>
        <v>996.35444999999993</v>
      </c>
      <c r="J183" s="132">
        <f>I183/I184</f>
        <v>0.35974426732459597</v>
      </c>
      <c r="K183" s="132"/>
      <c r="L183" s="134">
        <f>ROUND(H183*S184,5)</f>
        <v>6.096E-2</v>
      </c>
      <c r="M183" s="131">
        <f t="shared" si="155"/>
        <v>1034.1864</v>
      </c>
      <c r="N183" s="131">
        <f t="shared" si="152"/>
        <v>37.83195000000012</v>
      </c>
      <c r="O183" s="132">
        <f t="shared" si="156"/>
        <v>3.7970372892899833E-2</v>
      </c>
      <c r="P183" s="132">
        <f>M183/M184</f>
        <v>0.35975355340009413</v>
      </c>
      <c r="Q183" s="133">
        <f t="shared" si="157"/>
        <v>9.2860754981605176E-6</v>
      </c>
      <c r="R183" s="133"/>
      <c r="T183" s="6">
        <f>L183/H183-1</f>
        <v>3.7970372892899729E-2</v>
      </c>
    </row>
    <row r="184" spans="1:20" s="7" customFormat="1" ht="20.399999999999999" customHeight="1" x14ac:dyDescent="0.3">
      <c r="A184" s="34">
        <f t="shared" si="127"/>
        <v>178</v>
      </c>
      <c r="C184" s="17"/>
      <c r="D184" s="19" t="s">
        <v>7</v>
      </c>
      <c r="E184" s="135"/>
      <c r="F184" s="136"/>
      <c r="G184" s="20">
        <f>SUM(G181:G183)</f>
        <v>2815.2799</v>
      </c>
      <c r="H184" s="135"/>
      <c r="I184" s="20">
        <f>SUM(I181:I183)</f>
        <v>2769.6187</v>
      </c>
      <c r="J184" s="137">
        <f>SUM(J181:J183)</f>
        <v>0.99999999999999989</v>
      </c>
      <c r="K184" s="138">
        <f>I184+Summary!I23</f>
        <v>2874.5886999999998</v>
      </c>
      <c r="L184" s="135"/>
      <c r="M184" s="20">
        <f>SUM(M181:M183)</f>
        <v>2874.70795</v>
      </c>
      <c r="N184" s="20">
        <f t="shared" si="152"/>
        <v>105.08924999999999</v>
      </c>
      <c r="O184" s="137">
        <f t="shared" ref="O184" si="158">N184/I184</f>
        <v>3.7943580464704398E-2</v>
      </c>
      <c r="P184" s="137">
        <f>SUM(P181:P183)</f>
        <v>1</v>
      </c>
      <c r="Q184" s="139">
        <f t="shared" si="157"/>
        <v>0</v>
      </c>
      <c r="R184" s="140">
        <f>M184-K184</f>
        <v>0.11925000000019281</v>
      </c>
      <c r="S184" s="7">
        <f>K184/I184</f>
        <v>1.0379005239963175</v>
      </c>
    </row>
    <row r="185" spans="1:20" x14ac:dyDescent="0.25">
      <c r="A185" s="34">
        <f t="shared" si="127"/>
        <v>179</v>
      </c>
      <c r="D185" s="2" t="s">
        <v>30</v>
      </c>
      <c r="G185" s="131">
        <v>-126.94</v>
      </c>
      <c r="I185" s="141">
        <f>G185+(0.00156*E182)</f>
        <v>-107.74420000000001</v>
      </c>
      <c r="M185" s="131">
        <f>I185</f>
        <v>-107.74420000000001</v>
      </c>
      <c r="N185" s="131">
        <f t="shared" si="152"/>
        <v>0</v>
      </c>
      <c r="O185" s="120">
        <v>0</v>
      </c>
      <c r="R185" s="142"/>
    </row>
    <row r="186" spans="1:20" x14ac:dyDescent="0.25">
      <c r="A186" s="34">
        <f t="shared" si="127"/>
        <v>180</v>
      </c>
      <c r="D186" s="2" t="s">
        <v>31</v>
      </c>
      <c r="G186" s="131">
        <v>285.7</v>
      </c>
      <c r="I186" s="141">
        <f>G186</f>
        <v>285.7</v>
      </c>
      <c r="M186" s="131">
        <f t="shared" ref="M186:M188" si="159">I186</f>
        <v>285.7</v>
      </c>
      <c r="N186" s="131">
        <f t="shared" si="152"/>
        <v>0</v>
      </c>
      <c r="O186" s="120">
        <v>0</v>
      </c>
    </row>
    <row r="187" spans="1:20" x14ac:dyDescent="0.25">
      <c r="A187" s="34">
        <f t="shared" si="127"/>
        <v>181</v>
      </c>
      <c r="D187" s="2" t="s">
        <v>33</v>
      </c>
      <c r="E187" s="130"/>
      <c r="F187" s="120"/>
      <c r="G187" s="131">
        <v>0</v>
      </c>
      <c r="I187" s="141">
        <f>G187</f>
        <v>0</v>
      </c>
      <c r="M187" s="131">
        <f t="shared" si="159"/>
        <v>0</v>
      </c>
      <c r="N187" s="131">
        <f t="shared" si="152"/>
        <v>0</v>
      </c>
      <c r="O187" s="120">
        <v>0</v>
      </c>
    </row>
    <row r="188" spans="1:20" x14ac:dyDescent="0.25">
      <c r="A188" s="34">
        <f t="shared" si="127"/>
        <v>182</v>
      </c>
      <c r="B188" s="69"/>
      <c r="D188" s="2" t="s">
        <v>43</v>
      </c>
      <c r="G188" s="131">
        <v>0</v>
      </c>
      <c r="I188" s="141">
        <f>G188</f>
        <v>0</v>
      </c>
      <c r="M188" s="131">
        <f t="shared" si="159"/>
        <v>0</v>
      </c>
      <c r="N188" s="131"/>
      <c r="O188" s="120">
        <v>0</v>
      </c>
    </row>
    <row r="189" spans="1:20" x14ac:dyDescent="0.25">
      <c r="A189" s="34">
        <f t="shared" si="127"/>
        <v>183</v>
      </c>
      <c r="D189" s="15" t="s">
        <v>9</v>
      </c>
      <c r="E189" s="143"/>
      <c r="F189" s="143"/>
      <c r="G189" s="144">
        <f>SUM(G185:G188)</f>
        <v>158.76</v>
      </c>
      <c r="H189" s="143"/>
      <c r="I189" s="144">
        <f>SUM(I185:I188)</f>
        <v>177.95579999999998</v>
      </c>
      <c r="J189" s="143"/>
      <c r="K189" s="143"/>
      <c r="L189" s="143"/>
      <c r="M189" s="144">
        <f>SUM(M185:M188)</f>
        <v>177.95579999999998</v>
      </c>
      <c r="N189" s="144">
        <f>M189-I189</f>
        <v>0</v>
      </c>
      <c r="O189" s="145">
        <v>0</v>
      </c>
    </row>
    <row r="190" spans="1:20" s="7" customFormat="1" ht="26.4" customHeight="1" thickBot="1" x14ac:dyDescent="0.3">
      <c r="A190" s="34">
        <f t="shared" si="127"/>
        <v>184</v>
      </c>
      <c r="C190" s="17"/>
      <c r="D190" s="8" t="s">
        <v>20</v>
      </c>
      <c r="E190" s="146"/>
      <c r="F190" s="146"/>
      <c r="G190" s="147">
        <f>G184+G189</f>
        <v>2974.0398999999998</v>
      </c>
      <c r="H190" s="146"/>
      <c r="I190" s="148">
        <f>I189+I184</f>
        <v>2947.5745000000002</v>
      </c>
      <c r="J190" s="146"/>
      <c r="K190" s="146"/>
      <c r="L190" s="146"/>
      <c r="M190" s="147">
        <f>M189+M184</f>
        <v>3052.6637500000002</v>
      </c>
      <c r="N190" s="147">
        <f>M190-I190</f>
        <v>105.08924999999999</v>
      </c>
      <c r="O190" s="149">
        <f>N190/I190</f>
        <v>3.5652788419766823E-2</v>
      </c>
      <c r="P190" s="115"/>
      <c r="Q190" s="115"/>
      <c r="R190" s="115"/>
    </row>
    <row r="191" spans="1:20" ht="13.8" thickTop="1" x14ac:dyDescent="0.25">
      <c r="A191" s="34">
        <f t="shared" si="127"/>
        <v>185</v>
      </c>
      <c r="D191" s="2" t="s">
        <v>19</v>
      </c>
      <c r="E191" s="120">
        <f>(E182+E183)/E181</f>
        <v>1125.7692307692307</v>
      </c>
      <c r="G191" s="150">
        <f>G190/E181</f>
        <v>114.38614999999999</v>
      </c>
      <c r="I191" s="150">
        <f>I190/E181</f>
        <v>113.36825</v>
      </c>
      <c r="M191" s="150">
        <f>M190/E181</f>
        <v>117.41014423076923</v>
      </c>
      <c r="N191" s="150">
        <f>M191-I191</f>
        <v>4.0418942307692305</v>
      </c>
      <c r="O191" s="132">
        <f>N191/I191</f>
        <v>3.5652788419766823E-2</v>
      </c>
    </row>
    <row r="192" spans="1:20" ht="13.8" thickBot="1" x14ac:dyDescent="0.3">
      <c r="A192" s="34">
        <f t="shared" si="127"/>
        <v>186</v>
      </c>
    </row>
    <row r="193" spans="1:20" x14ac:dyDescent="0.25">
      <c r="A193" s="34">
        <f t="shared" si="127"/>
        <v>187</v>
      </c>
      <c r="B193" s="158" t="s">
        <v>65</v>
      </c>
      <c r="C193" s="26">
        <v>35</v>
      </c>
      <c r="D193" s="25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1:20" x14ac:dyDescent="0.25">
      <c r="A194" s="34">
        <f t="shared" si="127"/>
        <v>188</v>
      </c>
      <c r="B194" s="159"/>
      <c r="D194" s="2" t="s">
        <v>18</v>
      </c>
      <c r="E194" s="130">
        <v>84</v>
      </c>
      <c r="F194" s="120">
        <v>20</v>
      </c>
      <c r="G194" s="131">
        <f>F194*E194</f>
        <v>1680</v>
      </c>
      <c r="H194" s="120">
        <v>20</v>
      </c>
      <c r="I194" s="131">
        <f>H194*E194</f>
        <v>1680</v>
      </c>
      <c r="J194" s="132">
        <f>I194/I198</f>
        <v>0.12721498477663712</v>
      </c>
      <c r="K194" s="132"/>
      <c r="L194" s="120">
        <f>ROUND(H194*S198,2)</f>
        <v>20.76</v>
      </c>
      <c r="M194" s="131">
        <f>L194*E194</f>
        <v>1743.8400000000001</v>
      </c>
      <c r="N194" s="131">
        <f t="shared" ref="N194:N201" si="160">M194-I194</f>
        <v>63.840000000000146</v>
      </c>
      <c r="O194" s="132">
        <f>IF(I194=0,0,N194/I194)</f>
        <v>3.8000000000000089E-2</v>
      </c>
      <c r="P194" s="132">
        <f>M194/M198</f>
        <v>0.12722470546193732</v>
      </c>
      <c r="Q194" s="133">
        <f>P194-J194</f>
        <v>9.7206853001963189E-6</v>
      </c>
      <c r="R194" s="133"/>
      <c r="T194" s="6">
        <f>L194/H194-1</f>
        <v>3.8000000000000034E-2</v>
      </c>
    </row>
    <row r="195" spans="1:20" x14ac:dyDescent="0.25">
      <c r="A195" s="34">
        <f t="shared" si="127"/>
        <v>189</v>
      </c>
      <c r="B195" s="14"/>
      <c r="D195" s="2" t="s">
        <v>78</v>
      </c>
      <c r="E195" s="130">
        <v>52734</v>
      </c>
      <c r="F195" s="121">
        <v>0.10242</v>
      </c>
      <c r="G195" s="131">
        <f t="shared" ref="G195:G197" si="161">F195*E195</f>
        <v>5401.0162799999998</v>
      </c>
      <c r="H195" s="134">
        <v>0.10086000000000001</v>
      </c>
      <c r="I195" s="131">
        <f t="shared" ref="I195:I197" si="162">H195*E195</f>
        <v>5318.7512400000005</v>
      </c>
      <c r="J195" s="132">
        <f>I195/I198</f>
        <v>0.40275289168292849</v>
      </c>
      <c r="K195" s="132"/>
      <c r="L195" s="121">
        <f>ROUND(H195*S198,5)</f>
        <v>0.10468</v>
      </c>
      <c r="M195" s="131">
        <f t="shared" ref="M195:M197" si="163">L195*E195</f>
        <v>5520.1951199999994</v>
      </c>
      <c r="N195" s="131">
        <f t="shared" si="160"/>
        <v>201.4438799999989</v>
      </c>
      <c r="O195" s="132">
        <f t="shared" ref="O195:O197" si="164">IF(I195=0,0,N195/I195)</f>
        <v>3.7874281181836E-2</v>
      </c>
      <c r="P195" s="132">
        <f>M195/M198</f>
        <v>0.40273488292184123</v>
      </c>
      <c r="Q195" s="133">
        <f t="shared" ref="Q195:Q198" si="165">P195-J195</f>
        <v>-1.800876108726257E-5</v>
      </c>
      <c r="R195" s="133"/>
      <c r="T195" s="6">
        <f>L195/H195-1</f>
        <v>3.7874281181836E-2</v>
      </c>
    </row>
    <row r="196" spans="1:20" x14ac:dyDescent="0.25">
      <c r="A196" s="34">
        <f t="shared" si="127"/>
        <v>190</v>
      </c>
      <c r="B196" s="14"/>
      <c r="D196" s="2" t="s">
        <v>79</v>
      </c>
      <c r="E196" s="130">
        <v>49276</v>
      </c>
      <c r="F196" s="121">
        <v>6.0290000000000003E-2</v>
      </c>
      <c r="G196" s="131">
        <f t="shared" ref="G196" si="166">F196*E196</f>
        <v>2970.8500400000003</v>
      </c>
      <c r="H196" s="134">
        <v>5.8729999999999997E-2</v>
      </c>
      <c r="I196" s="131">
        <f t="shared" ref="I196" si="167">H196*E196</f>
        <v>2893.97948</v>
      </c>
      <c r="J196" s="132">
        <f>I196/I198</f>
        <v>0.21914140207863106</v>
      </c>
      <c r="K196" s="132"/>
      <c r="L196" s="121">
        <f>ROUND(H196*S198,5)</f>
        <v>6.096E-2</v>
      </c>
      <c r="M196" s="131">
        <f t="shared" ref="M196" si="168">L196*E196</f>
        <v>3003.8649599999999</v>
      </c>
      <c r="N196" s="131">
        <f t="shared" ref="N196" si="169">M196-I196</f>
        <v>109.88547999999992</v>
      </c>
      <c r="O196" s="132">
        <f t="shared" ref="O196" si="170">IF(I196=0,0,N196/I196)</f>
        <v>3.797037289289968E-2</v>
      </c>
      <c r="P196" s="132">
        <f>M196/M198</f>
        <v>0.21915189167781107</v>
      </c>
      <c r="Q196" s="133">
        <f t="shared" ref="Q196" si="171">P196-J196</f>
        <v>1.0489599180013576E-5</v>
      </c>
      <c r="R196" s="133"/>
      <c r="T196" s="6">
        <f>L196/H196-1</f>
        <v>3.7970372892899729E-2</v>
      </c>
    </row>
    <row r="197" spans="1:20" x14ac:dyDescent="0.25">
      <c r="A197" s="34">
        <f t="shared" si="127"/>
        <v>191</v>
      </c>
      <c r="B197" s="14"/>
      <c r="D197" s="2" t="s">
        <v>80</v>
      </c>
      <c r="E197" s="130">
        <v>43464</v>
      </c>
      <c r="F197" s="121">
        <v>7.7789999999999998E-2</v>
      </c>
      <c r="G197" s="131">
        <f t="shared" si="161"/>
        <v>3381.0645599999998</v>
      </c>
      <c r="H197" s="134">
        <v>7.6230000000000006E-2</v>
      </c>
      <c r="I197" s="131">
        <f t="shared" si="162"/>
        <v>3313.2607200000002</v>
      </c>
      <c r="J197" s="132">
        <f>I197/I198</f>
        <v>0.25089072146180341</v>
      </c>
      <c r="K197" s="132"/>
      <c r="L197" s="121">
        <f>ROUND(H197*S198,5)</f>
        <v>7.9119999999999996E-2</v>
      </c>
      <c r="M197" s="131">
        <f t="shared" si="163"/>
        <v>3438.8716799999997</v>
      </c>
      <c r="N197" s="131">
        <f t="shared" si="160"/>
        <v>125.61095999999952</v>
      </c>
      <c r="O197" s="132">
        <f t="shared" si="164"/>
        <v>3.7911583366128675E-2</v>
      </c>
      <c r="P197" s="132">
        <f>M197/M198</f>
        <v>0.25088851993841033</v>
      </c>
      <c r="Q197" s="133">
        <f t="shared" si="165"/>
        <v>-2.2015233930861022E-6</v>
      </c>
      <c r="R197" s="133"/>
      <c r="T197" s="6">
        <f>L197/H197-1</f>
        <v>3.7911583366128765E-2</v>
      </c>
    </row>
    <row r="198" spans="1:20" s="7" customFormat="1" ht="20.399999999999999" customHeight="1" x14ac:dyDescent="0.3">
      <c r="A198" s="34">
        <f t="shared" si="127"/>
        <v>192</v>
      </c>
      <c r="C198" s="17"/>
      <c r="D198" s="19" t="s">
        <v>7</v>
      </c>
      <c r="E198" s="135"/>
      <c r="F198" s="136"/>
      <c r="G198" s="20">
        <f>SUM(G194:G197)</f>
        <v>13432.93088</v>
      </c>
      <c r="H198" s="135"/>
      <c r="I198" s="20">
        <f>SUM(I194:I197)</f>
        <v>13205.99144</v>
      </c>
      <c r="J198" s="137">
        <f>SUM(J194:J197)</f>
        <v>1.0000000000000002</v>
      </c>
      <c r="K198" s="138">
        <f>I198+Summary!I24</f>
        <v>13706.50144</v>
      </c>
      <c r="L198" s="135"/>
      <c r="M198" s="20">
        <f>SUM(M194:M197)</f>
        <v>13706.77176</v>
      </c>
      <c r="N198" s="20">
        <f>SUM(N194:N197)</f>
        <v>500.78031999999848</v>
      </c>
      <c r="O198" s="137">
        <f t="shared" ref="O198" si="172">N198/I198</f>
        <v>3.7920690943594806E-2</v>
      </c>
      <c r="P198" s="137">
        <f>SUM(P194:P197)</f>
        <v>1</v>
      </c>
      <c r="Q198" s="139">
        <f t="shared" si="165"/>
        <v>0</v>
      </c>
      <c r="R198" s="140">
        <f>M198-K198</f>
        <v>0.27031999999962864</v>
      </c>
      <c r="S198" s="7">
        <f>K198/I198</f>
        <v>1.0379002214467588</v>
      </c>
    </row>
    <row r="199" spans="1:20" x14ac:dyDescent="0.25">
      <c r="A199" s="34">
        <f t="shared" si="127"/>
        <v>193</v>
      </c>
      <c r="D199" s="2" t="s">
        <v>30</v>
      </c>
      <c r="G199" s="131">
        <v>-554.82000000000005</v>
      </c>
      <c r="I199" s="141">
        <f>G199+(0.00156*E195)</f>
        <v>-472.55496000000005</v>
      </c>
      <c r="M199" s="131">
        <f>I199</f>
        <v>-472.55496000000005</v>
      </c>
      <c r="N199" s="131">
        <f t="shared" si="160"/>
        <v>0</v>
      </c>
      <c r="O199" s="120">
        <v>0</v>
      </c>
      <c r="R199" s="142"/>
    </row>
    <row r="200" spans="1:20" x14ac:dyDescent="0.25">
      <c r="A200" s="34">
        <f t="shared" si="127"/>
        <v>194</v>
      </c>
      <c r="D200" s="2" t="s">
        <v>31</v>
      </c>
      <c r="G200" s="131">
        <v>1380.89</v>
      </c>
      <c r="I200" s="141">
        <f>G200</f>
        <v>1380.89</v>
      </c>
      <c r="M200" s="131">
        <f t="shared" ref="M200:M202" si="173">I200</f>
        <v>1380.89</v>
      </c>
      <c r="N200" s="131">
        <f t="shared" si="160"/>
        <v>0</v>
      </c>
      <c r="O200" s="120">
        <v>0</v>
      </c>
    </row>
    <row r="201" spans="1:20" x14ac:dyDescent="0.25">
      <c r="A201" s="34">
        <f t="shared" ref="A201:A264" si="174">A200+1</f>
        <v>195</v>
      </c>
      <c r="D201" s="2" t="s">
        <v>33</v>
      </c>
      <c r="E201" s="130"/>
      <c r="F201" s="120"/>
      <c r="G201" s="131">
        <v>0</v>
      </c>
      <c r="I201" s="141">
        <f>G201</f>
        <v>0</v>
      </c>
      <c r="M201" s="131">
        <f t="shared" si="173"/>
        <v>0</v>
      </c>
      <c r="N201" s="131">
        <f t="shared" si="160"/>
        <v>0</v>
      </c>
      <c r="O201" s="120">
        <v>0</v>
      </c>
    </row>
    <row r="202" spans="1:20" x14ac:dyDescent="0.25">
      <c r="A202" s="34">
        <f t="shared" si="174"/>
        <v>196</v>
      </c>
      <c r="B202" s="69"/>
      <c r="D202" s="2" t="s">
        <v>43</v>
      </c>
      <c r="G202" s="131">
        <v>0</v>
      </c>
      <c r="I202" s="141">
        <f>G202</f>
        <v>0</v>
      </c>
      <c r="M202" s="131">
        <f t="shared" si="173"/>
        <v>0</v>
      </c>
      <c r="N202" s="131"/>
      <c r="O202" s="120">
        <v>0</v>
      </c>
    </row>
    <row r="203" spans="1:20" x14ac:dyDescent="0.25">
      <c r="A203" s="34">
        <f t="shared" si="174"/>
        <v>197</v>
      </c>
      <c r="D203" s="15" t="s">
        <v>9</v>
      </c>
      <c r="E203" s="143"/>
      <c r="F203" s="143"/>
      <c r="G203" s="144">
        <f>SUM(G199:G202)</f>
        <v>826.07</v>
      </c>
      <c r="H203" s="143"/>
      <c r="I203" s="144">
        <f>SUM(I199:I202)</f>
        <v>908.33504000000005</v>
      </c>
      <c r="J203" s="143"/>
      <c r="K203" s="143"/>
      <c r="L203" s="143"/>
      <c r="M203" s="144">
        <f>SUM(M199:M202)</f>
        <v>908.33504000000005</v>
      </c>
      <c r="N203" s="144">
        <f>M203-I203</f>
        <v>0</v>
      </c>
      <c r="O203" s="145">
        <v>0</v>
      </c>
    </row>
    <row r="204" spans="1:20" s="7" customFormat="1" ht="26.4" customHeight="1" thickBot="1" x14ac:dyDescent="0.3">
      <c r="A204" s="34">
        <f t="shared" si="174"/>
        <v>198</v>
      </c>
      <c r="C204" s="17"/>
      <c r="D204" s="8" t="s">
        <v>20</v>
      </c>
      <c r="E204" s="146"/>
      <c r="F204" s="146"/>
      <c r="G204" s="147">
        <f>G198+G203</f>
        <v>14259.00088</v>
      </c>
      <c r="H204" s="146"/>
      <c r="I204" s="148">
        <f>I203+I198</f>
        <v>14114.32648</v>
      </c>
      <c r="J204" s="146"/>
      <c r="K204" s="146"/>
      <c r="L204" s="146"/>
      <c r="M204" s="147">
        <f>M203+M198</f>
        <v>14615.1068</v>
      </c>
      <c r="N204" s="147">
        <f>M204-I204</f>
        <v>500.78031999999985</v>
      </c>
      <c r="O204" s="149">
        <f>N204/I204</f>
        <v>3.5480284568279299E-2</v>
      </c>
      <c r="P204" s="115"/>
      <c r="Q204" s="115"/>
      <c r="R204" s="115"/>
    </row>
    <row r="205" spans="1:20" ht="13.8" thickTop="1" x14ac:dyDescent="0.25">
      <c r="A205" s="34">
        <f t="shared" si="174"/>
        <v>199</v>
      </c>
      <c r="D205" s="2" t="s">
        <v>19</v>
      </c>
      <c r="E205" s="120">
        <f>(E195+E196+E197)/E194</f>
        <v>1731.8333333333333</v>
      </c>
      <c r="G205" s="150">
        <f>G204/E194</f>
        <v>169.75001047619048</v>
      </c>
      <c r="I205" s="150">
        <f>I204/E194</f>
        <v>168.02769619047618</v>
      </c>
      <c r="M205" s="150">
        <f>M204/E194</f>
        <v>173.98936666666665</v>
      </c>
      <c r="N205" s="150">
        <f>M205-I205</f>
        <v>5.9616704761904771</v>
      </c>
      <c r="O205" s="132">
        <f>N205/I205</f>
        <v>3.5480284568279313E-2</v>
      </c>
    </row>
    <row r="206" spans="1:20" ht="13.8" thickBot="1" x14ac:dyDescent="0.3">
      <c r="A206" s="34">
        <f t="shared" si="174"/>
        <v>200</v>
      </c>
    </row>
    <row r="207" spans="1:20" x14ac:dyDescent="0.25">
      <c r="A207" s="34">
        <f t="shared" si="174"/>
        <v>201</v>
      </c>
      <c r="B207" s="158" t="s">
        <v>66</v>
      </c>
      <c r="C207" s="26">
        <v>40</v>
      </c>
      <c r="D207" s="25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1:20" x14ac:dyDescent="0.25">
      <c r="A208" s="34">
        <f t="shared" si="174"/>
        <v>202</v>
      </c>
      <c r="B208" s="159"/>
      <c r="D208" s="2" t="s">
        <v>18</v>
      </c>
      <c r="E208" s="130">
        <v>313</v>
      </c>
      <c r="F208" s="120">
        <v>20</v>
      </c>
      <c r="G208" s="131">
        <f>F208*E208</f>
        <v>6260</v>
      </c>
      <c r="H208" s="120">
        <v>20</v>
      </c>
      <c r="I208" s="131">
        <f>H208*E208</f>
        <v>6260</v>
      </c>
      <c r="J208" s="132">
        <f>I208/I211</f>
        <v>0.27583773142899676</v>
      </c>
      <c r="K208" s="132"/>
      <c r="L208" s="120">
        <f>L8</f>
        <v>20.76</v>
      </c>
      <c r="M208" s="131">
        <f>L208*E208</f>
        <v>6497.88</v>
      </c>
      <c r="N208" s="131">
        <f t="shared" ref="N208:N214" si="175">M208-I208</f>
        <v>237.88000000000011</v>
      </c>
      <c r="O208" s="132">
        <f>IF(I208=0,0,N208/I208)</f>
        <v>3.800000000000002E-2</v>
      </c>
      <c r="P208" s="132">
        <f>M208/M211</f>
        <v>0.27585633658951647</v>
      </c>
      <c r="Q208" s="133">
        <f>P208-J208</f>
        <v>1.8605160519713504E-5</v>
      </c>
      <c r="R208" s="133"/>
      <c r="T208" s="6">
        <f>L208/H208-1</f>
        <v>3.8000000000000034E-2</v>
      </c>
    </row>
    <row r="209" spans="1:20" x14ac:dyDescent="0.25">
      <c r="A209" s="34">
        <f t="shared" si="174"/>
        <v>203</v>
      </c>
      <c r="B209" s="14"/>
      <c r="D209" s="2" t="s">
        <v>81</v>
      </c>
      <c r="E209" s="130">
        <v>342646</v>
      </c>
      <c r="F209" s="121">
        <v>8.2449999999999996E-2</v>
      </c>
      <c r="G209" s="131">
        <f t="shared" ref="G209:G210" si="176">F209*E209</f>
        <v>28251.162699999997</v>
      </c>
      <c r="H209" s="134">
        <v>8.0890000000000004E-2</v>
      </c>
      <c r="I209" s="131">
        <f t="shared" ref="I209:I210" si="177">H209*E209</f>
        <v>27716.63494</v>
      </c>
      <c r="J209" s="132">
        <f>1-J208</f>
        <v>0.72416226857100319</v>
      </c>
      <c r="K209" s="132"/>
      <c r="L209" s="134">
        <f>L9</f>
        <v>8.3956000000000003E-2</v>
      </c>
      <c r="M209" s="131">
        <f t="shared" ref="M209:M210" si="178">L209*E209</f>
        <v>28767.187576</v>
      </c>
      <c r="N209" s="131">
        <f t="shared" si="175"/>
        <v>1050.5526360000003</v>
      </c>
      <c r="O209" s="132">
        <f t="shared" ref="O209:O210" si="179">IF(I209=0,0,N209/I209)</f>
        <v>3.7903325503770569E-2</v>
      </c>
      <c r="P209" s="132">
        <f>1-P208</f>
        <v>0.72414366341048353</v>
      </c>
      <c r="Q209" s="133">
        <f t="shared" ref="Q209:Q211" si="180">P209-J209</f>
        <v>-1.8605160519657993E-5</v>
      </c>
      <c r="R209" s="133"/>
      <c r="T209" s="6">
        <f>L209/H209-1</f>
        <v>3.7903325503770624E-2</v>
      </c>
    </row>
    <row r="210" spans="1:20" x14ac:dyDescent="0.25">
      <c r="A210" s="34">
        <f t="shared" si="174"/>
        <v>204</v>
      </c>
      <c r="B210" s="14"/>
      <c r="D210" s="2" t="s">
        <v>82</v>
      </c>
      <c r="E210" s="130">
        <v>139475</v>
      </c>
      <c r="F210" s="121">
        <v>-8.2449999999999996E-2</v>
      </c>
      <c r="G210" s="131">
        <f t="shared" si="176"/>
        <v>-11499.713749999999</v>
      </c>
      <c r="H210" s="134">
        <v>-8.0890000000000004E-2</v>
      </c>
      <c r="I210" s="131">
        <f t="shared" si="177"/>
        <v>-11282.132750000001</v>
      </c>
      <c r="J210" s="132">
        <v>0</v>
      </c>
      <c r="K210" s="132"/>
      <c r="L210" s="134">
        <f>-L209</f>
        <v>-8.3956000000000003E-2</v>
      </c>
      <c r="M210" s="131">
        <f t="shared" si="178"/>
        <v>-11709.7631</v>
      </c>
      <c r="N210" s="131">
        <f t="shared" si="175"/>
        <v>-427.63034999999945</v>
      </c>
      <c r="O210" s="132">
        <f t="shared" si="179"/>
        <v>3.7903325503770499E-2</v>
      </c>
      <c r="P210" s="132">
        <v>0</v>
      </c>
      <c r="Q210" s="133">
        <f t="shared" si="180"/>
        <v>0</v>
      </c>
      <c r="R210" s="133"/>
      <c r="T210" s="6">
        <f>L210/H210-1</f>
        <v>3.7903325503770624E-2</v>
      </c>
    </row>
    <row r="211" spans="1:20" s="7" customFormat="1" ht="20.399999999999999" customHeight="1" x14ac:dyDescent="0.3">
      <c r="A211" s="34">
        <f t="shared" si="174"/>
        <v>205</v>
      </c>
      <c r="C211" s="17"/>
      <c r="D211" s="19" t="s">
        <v>7</v>
      </c>
      <c r="E211" s="135"/>
      <c r="F211" s="136"/>
      <c r="G211" s="20">
        <f>SUM(G208:G210)</f>
        <v>23011.448950000002</v>
      </c>
      <c r="H211" s="135"/>
      <c r="I211" s="20">
        <f>SUM(I208:I210)</f>
        <v>22694.502190000003</v>
      </c>
      <c r="J211" s="137">
        <f>SUM(J208:J210)</f>
        <v>1</v>
      </c>
      <c r="K211" s="138">
        <f>I211+Summary!I25</f>
        <v>23554.632190000004</v>
      </c>
      <c r="L211" s="152"/>
      <c r="M211" s="20">
        <f>SUM(M208:M210)</f>
        <v>23555.304476000001</v>
      </c>
      <c r="N211" s="20">
        <f t="shared" si="175"/>
        <v>860.80228599999828</v>
      </c>
      <c r="O211" s="137">
        <f t="shared" ref="O211" si="181">N211/I211</f>
        <v>3.792999197749744E-2</v>
      </c>
      <c r="P211" s="137">
        <f>SUM(P208:P210)</f>
        <v>1</v>
      </c>
      <c r="Q211" s="139">
        <f t="shared" si="180"/>
        <v>0</v>
      </c>
      <c r="R211" s="140">
        <f>M211-K211</f>
        <v>0.67228599999725702</v>
      </c>
      <c r="S211" s="7">
        <f>K211/I211</f>
        <v>1.0379003686795565</v>
      </c>
    </row>
    <row r="212" spans="1:20" x14ac:dyDescent="0.25">
      <c r="A212" s="34">
        <f t="shared" si="174"/>
        <v>206</v>
      </c>
      <c r="D212" s="2" t="s">
        <v>30</v>
      </c>
      <c r="G212" s="131">
        <v>-1417.21</v>
      </c>
      <c r="I212" s="141">
        <f>G212+(0.00156*E209)</f>
        <v>-882.68224000000009</v>
      </c>
      <c r="M212" s="131">
        <f>I212</f>
        <v>-882.68224000000009</v>
      </c>
      <c r="N212" s="131">
        <f t="shared" si="175"/>
        <v>0</v>
      </c>
      <c r="O212" s="120">
        <v>0</v>
      </c>
      <c r="R212" s="142"/>
    </row>
    <row r="213" spans="1:20" x14ac:dyDescent="0.25">
      <c r="A213" s="34">
        <f t="shared" si="174"/>
        <v>207</v>
      </c>
      <c r="D213" s="2" t="s">
        <v>31</v>
      </c>
      <c r="G213" s="131">
        <v>2348.1999999999998</v>
      </c>
      <c r="I213" s="141">
        <f>G213</f>
        <v>2348.1999999999998</v>
      </c>
      <c r="M213" s="131">
        <f t="shared" ref="M213:M215" si="182">I213</f>
        <v>2348.1999999999998</v>
      </c>
      <c r="N213" s="131">
        <f t="shared" si="175"/>
        <v>0</v>
      </c>
      <c r="O213" s="120">
        <v>0</v>
      </c>
    </row>
    <row r="214" spans="1:20" x14ac:dyDescent="0.25">
      <c r="A214" s="34">
        <f t="shared" si="174"/>
        <v>208</v>
      </c>
      <c r="D214" s="2" t="s">
        <v>33</v>
      </c>
      <c r="E214" s="130"/>
      <c r="F214" s="120"/>
      <c r="G214" s="131">
        <v>0</v>
      </c>
      <c r="I214" s="141">
        <f>G214</f>
        <v>0</v>
      </c>
      <c r="M214" s="131">
        <f t="shared" si="182"/>
        <v>0</v>
      </c>
      <c r="N214" s="131">
        <f t="shared" si="175"/>
        <v>0</v>
      </c>
      <c r="O214" s="120">
        <v>0</v>
      </c>
    </row>
    <row r="215" spans="1:20" x14ac:dyDescent="0.25">
      <c r="A215" s="34">
        <f t="shared" si="174"/>
        <v>209</v>
      </c>
      <c r="B215" s="69"/>
      <c r="D215" s="2" t="s">
        <v>43</v>
      </c>
      <c r="G215" s="131">
        <v>0</v>
      </c>
      <c r="I215" s="141">
        <f>G215</f>
        <v>0</v>
      </c>
      <c r="M215" s="131">
        <f t="shared" si="182"/>
        <v>0</v>
      </c>
      <c r="N215" s="131"/>
      <c r="O215" s="120">
        <v>0</v>
      </c>
    </row>
    <row r="216" spans="1:20" x14ac:dyDescent="0.25">
      <c r="A216" s="34">
        <f t="shared" si="174"/>
        <v>210</v>
      </c>
      <c r="D216" s="15" t="s">
        <v>9</v>
      </c>
      <c r="E216" s="143"/>
      <c r="F216" s="143"/>
      <c r="G216" s="144">
        <f>SUM(G212:G215)</f>
        <v>930.98999999999978</v>
      </c>
      <c r="H216" s="143"/>
      <c r="I216" s="144">
        <f>SUM(I212:I215)</f>
        <v>1465.5177599999997</v>
      </c>
      <c r="J216" s="143"/>
      <c r="K216" s="143"/>
      <c r="L216" s="143"/>
      <c r="M216" s="144">
        <f>SUM(M212:M215)</f>
        <v>1465.5177599999997</v>
      </c>
      <c r="N216" s="144">
        <f>M216-I216</f>
        <v>0</v>
      </c>
      <c r="O216" s="145">
        <v>0</v>
      </c>
    </row>
    <row r="217" spans="1:20" s="7" customFormat="1" ht="26.4" customHeight="1" thickBot="1" x14ac:dyDescent="0.3">
      <c r="A217" s="34">
        <f t="shared" si="174"/>
        <v>211</v>
      </c>
      <c r="C217" s="17"/>
      <c r="D217" s="8" t="s">
        <v>20</v>
      </c>
      <c r="E217" s="146"/>
      <c r="F217" s="146"/>
      <c r="G217" s="147">
        <f>G211+G216</f>
        <v>23942.438950000003</v>
      </c>
      <c r="H217" s="146"/>
      <c r="I217" s="148">
        <f>I216+I211</f>
        <v>24160.019950000002</v>
      </c>
      <c r="J217" s="146"/>
      <c r="K217" s="146"/>
      <c r="L217" s="146"/>
      <c r="M217" s="147">
        <f>M216+M211</f>
        <v>25020.822236</v>
      </c>
      <c r="N217" s="147">
        <f>M217-I217</f>
        <v>860.80228599999828</v>
      </c>
      <c r="O217" s="149">
        <f>N217/I217</f>
        <v>3.5629204271414444E-2</v>
      </c>
      <c r="P217" s="115"/>
      <c r="Q217" s="115"/>
      <c r="R217" s="115"/>
    </row>
    <row r="218" spans="1:20" ht="13.8" thickTop="1" x14ac:dyDescent="0.25">
      <c r="A218" s="34">
        <f t="shared" si="174"/>
        <v>212</v>
      </c>
      <c r="D218" s="2" t="s">
        <v>19</v>
      </c>
      <c r="E218" s="120">
        <f>(E209+E210)/E208</f>
        <v>1540.3226837060704</v>
      </c>
      <c r="G218" s="150">
        <f>G217/E208</f>
        <v>76.493415175718866</v>
      </c>
      <c r="I218" s="150">
        <f>I217/E208</f>
        <v>77.188562140575087</v>
      </c>
      <c r="M218" s="150">
        <f>M217/E208</f>
        <v>79.938729188498399</v>
      </c>
      <c r="N218" s="150">
        <f>M218-I218</f>
        <v>2.7501670479233127</v>
      </c>
      <c r="O218" s="132">
        <f>N218/I218</f>
        <v>3.5629204271414389E-2</v>
      </c>
    </row>
    <row r="219" spans="1:20" ht="13.8" thickBot="1" x14ac:dyDescent="0.3">
      <c r="A219" s="34">
        <f t="shared" si="174"/>
        <v>213</v>
      </c>
    </row>
    <row r="220" spans="1:20" ht="16.2" customHeight="1" x14ac:dyDescent="0.25">
      <c r="A220" s="34">
        <f t="shared" si="174"/>
        <v>214</v>
      </c>
      <c r="B220" s="158" t="s">
        <v>67</v>
      </c>
      <c r="C220" s="26">
        <v>46</v>
      </c>
      <c r="D220" s="25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1:20" x14ac:dyDescent="0.25">
      <c r="A221" s="34">
        <f t="shared" si="174"/>
        <v>215</v>
      </c>
      <c r="B221" s="159"/>
      <c r="D221" s="2" t="s">
        <v>18</v>
      </c>
      <c r="E221" s="130">
        <v>12</v>
      </c>
      <c r="F221" s="120">
        <v>25</v>
      </c>
      <c r="G221" s="131">
        <f>F221*E221</f>
        <v>300</v>
      </c>
      <c r="H221" s="120">
        <v>25</v>
      </c>
      <c r="I221" s="131">
        <f>H221*E221</f>
        <v>300</v>
      </c>
      <c r="J221" s="132">
        <f>I221/I226</f>
        <v>0.22769404405205781</v>
      </c>
      <c r="K221" s="132"/>
      <c r="L221" s="120">
        <f>L34</f>
        <v>25.95</v>
      </c>
      <c r="M221" s="131">
        <f>L221*E221</f>
        <v>311.39999999999998</v>
      </c>
      <c r="N221" s="131">
        <f t="shared" ref="N221:N229" si="183">M221-I221</f>
        <v>11.399999999999977</v>
      </c>
      <c r="O221" s="132">
        <f>IF(I221=0,0,N221/I221)</f>
        <v>3.7999999999999923E-2</v>
      </c>
      <c r="P221" s="132">
        <f>M221/M226</f>
        <v>0.22771083829880429</v>
      </c>
      <c r="Q221" s="133">
        <f>P221-J221</f>
        <v>1.6794246746471009E-5</v>
      </c>
      <c r="R221" s="133"/>
      <c r="T221" s="6">
        <f>L221/H221-1</f>
        <v>3.8000000000000034E-2</v>
      </c>
    </row>
    <row r="222" spans="1:20" x14ac:dyDescent="0.25">
      <c r="A222" s="34">
        <f t="shared" si="174"/>
        <v>216</v>
      </c>
      <c r="B222" s="14"/>
      <c r="D222" s="2" t="s">
        <v>81</v>
      </c>
      <c r="E222" s="130">
        <v>18846</v>
      </c>
      <c r="F222" s="121">
        <v>8.3879999999999996E-2</v>
      </c>
      <c r="G222" s="131">
        <f t="shared" ref="G222:G223" si="184">F222*E222</f>
        <v>1580.8024799999998</v>
      </c>
      <c r="H222" s="134">
        <v>8.2320000000000004E-2</v>
      </c>
      <c r="I222" s="131">
        <f t="shared" ref="I222:I223" si="185">H222*E222</f>
        <v>1551.40272</v>
      </c>
      <c r="J222" s="132">
        <f>1-J219</f>
        <v>1</v>
      </c>
      <c r="K222" s="132"/>
      <c r="L222" s="121">
        <f>L35</f>
        <v>8.5440000000000002E-2</v>
      </c>
      <c r="M222" s="131">
        <f t="shared" ref="M222:M223" si="186">L222*E222</f>
        <v>1610.2022400000001</v>
      </c>
      <c r="N222" s="131">
        <f t="shared" ref="N222:N223" si="187">M222-I222</f>
        <v>58.79952000000003</v>
      </c>
      <c r="O222" s="132">
        <f t="shared" ref="O222:O223" si="188">IF(I222=0,0,N222/I222)</f>
        <v>3.7900874635568529E-2</v>
      </c>
      <c r="P222" s="132">
        <f>1-P219</f>
        <v>1</v>
      </c>
      <c r="Q222" s="133">
        <f t="shared" ref="Q222:Q223" si="189">P222-J222</f>
        <v>0</v>
      </c>
      <c r="R222" s="133"/>
      <c r="T222" s="6">
        <f>L222/H222-1</f>
        <v>3.790087463556846E-2</v>
      </c>
    </row>
    <row r="223" spans="1:20" x14ac:dyDescent="0.25">
      <c r="A223" s="34">
        <f t="shared" si="174"/>
        <v>217</v>
      </c>
      <c r="B223" s="14"/>
      <c r="D223" s="2" t="s">
        <v>82</v>
      </c>
      <c r="E223" s="130">
        <v>11993</v>
      </c>
      <c r="F223" s="121">
        <v>-8.3879999999999996E-2</v>
      </c>
      <c r="G223" s="131">
        <f t="shared" si="184"/>
        <v>-1005.9728399999999</v>
      </c>
      <c r="H223" s="134">
        <v>-8.2320000000000004E-2</v>
      </c>
      <c r="I223" s="131">
        <f t="shared" si="185"/>
        <v>-987.26376000000005</v>
      </c>
      <c r="J223" s="132">
        <v>0</v>
      </c>
      <c r="K223" s="132"/>
      <c r="L223" s="134">
        <f>-L222</f>
        <v>-8.5440000000000002E-2</v>
      </c>
      <c r="M223" s="131">
        <f t="shared" si="186"/>
        <v>-1024.68192</v>
      </c>
      <c r="N223" s="131">
        <f t="shared" si="187"/>
        <v>-37.418159999999943</v>
      </c>
      <c r="O223" s="132">
        <f t="shared" si="188"/>
        <v>3.7900874635568453E-2</v>
      </c>
      <c r="P223" s="132">
        <v>0</v>
      </c>
      <c r="Q223" s="133">
        <f t="shared" si="189"/>
        <v>0</v>
      </c>
      <c r="R223" s="133"/>
      <c r="T223" s="6">
        <f>L223/H223-1</f>
        <v>3.790087463556846E-2</v>
      </c>
    </row>
    <row r="224" spans="1:20" x14ac:dyDescent="0.25">
      <c r="A224" s="34">
        <f t="shared" si="174"/>
        <v>218</v>
      </c>
      <c r="B224" s="14"/>
      <c r="D224" s="2" t="s">
        <v>127</v>
      </c>
      <c r="E224" s="130">
        <v>16176</v>
      </c>
      <c r="F224" s="121">
        <v>-8.3879999999999996E-2</v>
      </c>
      <c r="G224" s="131">
        <f t="shared" ref="G224:G225" si="190">F224*E224</f>
        <v>-1356.8428799999999</v>
      </c>
      <c r="H224" s="134">
        <v>8.2320000000000004E-2</v>
      </c>
      <c r="I224" s="131">
        <f t="shared" ref="I224:I225" si="191">H224*E224</f>
        <v>1331.60832</v>
      </c>
      <c r="J224" s="132">
        <f>1-J221</f>
        <v>0.77230595594794216</v>
      </c>
      <c r="K224" s="132"/>
      <c r="L224" s="134">
        <f>L222</f>
        <v>8.5440000000000002E-2</v>
      </c>
      <c r="M224" s="131">
        <f t="shared" ref="M224:M225" si="192">L224*E224</f>
        <v>1382.07744</v>
      </c>
      <c r="N224" s="131">
        <f t="shared" si="183"/>
        <v>50.469119999999975</v>
      </c>
      <c r="O224" s="132">
        <f t="shared" ref="O224:O225" si="193">IF(I224=0,0,N224/I224)</f>
        <v>3.7900874635568495E-2</v>
      </c>
      <c r="P224" s="132">
        <f>1-P221</f>
        <v>0.77228916170119577</v>
      </c>
      <c r="Q224" s="133">
        <f t="shared" ref="Q224:Q226" si="194">P224-J224</f>
        <v>-1.6794246746387742E-5</v>
      </c>
      <c r="R224" s="133"/>
      <c r="T224" s="6">
        <f>L224/H224-1</f>
        <v>3.790087463556846E-2</v>
      </c>
    </row>
    <row r="225" spans="1:20" x14ac:dyDescent="0.25">
      <c r="A225" s="34">
        <f t="shared" si="174"/>
        <v>219</v>
      </c>
      <c r="B225" s="14"/>
      <c r="D225" s="2" t="s">
        <v>128</v>
      </c>
      <c r="E225" s="130">
        <v>10668</v>
      </c>
      <c r="F225" s="121">
        <v>8.3879999999999996E-2</v>
      </c>
      <c r="G225" s="131">
        <f t="shared" si="190"/>
        <v>894.83183999999994</v>
      </c>
      <c r="H225" s="134">
        <v>-8.2320000000000004E-2</v>
      </c>
      <c r="I225" s="131">
        <f t="shared" si="191"/>
        <v>-878.18976000000009</v>
      </c>
      <c r="J225" s="132">
        <v>0</v>
      </c>
      <c r="K225" s="132"/>
      <c r="L225" s="134">
        <f>L223</f>
        <v>-8.5440000000000002E-2</v>
      </c>
      <c r="M225" s="131">
        <f t="shared" si="192"/>
        <v>-911.47392000000002</v>
      </c>
      <c r="N225" s="131">
        <f t="shared" si="183"/>
        <v>-33.284159999999929</v>
      </c>
      <c r="O225" s="132">
        <f t="shared" si="193"/>
        <v>3.7900874635568425E-2</v>
      </c>
      <c r="P225" s="132">
        <v>0</v>
      </c>
      <c r="Q225" s="133">
        <f t="shared" si="194"/>
        <v>0</v>
      </c>
      <c r="R225" s="133"/>
      <c r="T225" s="6">
        <f>L225/H225-1</f>
        <v>3.790087463556846E-2</v>
      </c>
    </row>
    <row r="226" spans="1:20" s="7" customFormat="1" ht="20.399999999999999" customHeight="1" x14ac:dyDescent="0.3">
      <c r="A226" s="34">
        <f t="shared" si="174"/>
        <v>220</v>
      </c>
      <c r="C226" s="17"/>
      <c r="D226" s="19" t="s">
        <v>7</v>
      </c>
      <c r="E226" s="135"/>
      <c r="F226" s="136"/>
      <c r="G226" s="20">
        <f>SUM(G221:G225)</f>
        <v>412.81859999999995</v>
      </c>
      <c r="H226" s="135"/>
      <c r="I226" s="20">
        <f>SUM(I221:I225)</f>
        <v>1317.5575199999998</v>
      </c>
      <c r="J226" s="137">
        <f>SUM(J221:J225)</f>
        <v>2</v>
      </c>
      <c r="K226" s="138">
        <f>I226+Summary!I26</f>
        <v>1367.4975199999999</v>
      </c>
      <c r="L226" s="135"/>
      <c r="M226" s="20">
        <f>SUM(M221:M225)</f>
        <v>1367.5238400000003</v>
      </c>
      <c r="N226" s="20">
        <f t="shared" si="183"/>
        <v>49.966320000000451</v>
      </c>
      <c r="O226" s="137">
        <f t="shared" ref="O226" si="195">N226/I226</f>
        <v>3.7923444890664397E-2</v>
      </c>
      <c r="P226" s="137">
        <f>SUM(P221:P225)</f>
        <v>2</v>
      </c>
      <c r="Q226" s="139">
        <f t="shared" si="194"/>
        <v>0</v>
      </c>
      <c r="R226" s="140">
        <f>M226-K226</f>
        <v>2.6320000000396249E-2</v>
      </c>
      <c r="S226" s="7">
        <f>K226/I226</f>
        <v>1.0379034685331994</v>
      </c>
    </row>
    <row r="227" spans="1:20" x14ac:dyDescent="0.25">
      <c r="A227" s="34">
        <f t="shared" si="174"/>
        <v>221</v>
      </c>
      <c r="D227" s="2" t="s">
        <v>30</v>
      </c>
      <c r="G227" s="131">
        <v>-64.34</v>
      </c>
      <c r="I227" s="141">
        <f>G227+(0.00156*E224)</f>
        <v>-39.105440000000002</v>
      </c>
      <c r="K227" s="141"/>
      <c r="M227" s="131">
        <f>I227</f>
        <v>-39.105440000000002</v>
      </c>
      <c r="N227" s="131">
        <f t="shared" si="183"/>
        <v>0</v>
      </c>
      <c r="O227" s="120">
        <v>0</v>
      </c>
      <c r="R227" s="142"/>
    </row>
    <row r="228" spans="1:20" x14ac:dyDescent="0.25">
      <c r="A228" s="34">
        <f t="shared" si="174"/>
        <v>222</v>
      </c>
      <c r="D228" s="2" t="s">
        <v>31</v>
      </c>
      <c r="G228" s="131">
        <v>33.81</v>
      </c>
      <c r="I228" s="141">
        <f>G228</f>
        <v>33.81</v>
      </c>
      <c r="M228" s="131">
        <f t="shared" ref="M228:M230" si="196">I228</f>
        <v>33.81</v>
      </c>
      <c r="N228" s="131">
        <f t="shared" si="183"/>
        <v>0</v>
      </c>
      <c r="O228" s="120">
        <v>0</v>
      </c>
    </row>
    <row r="229" spans="1:20" x14ac:dyDescent="0.25">
      <c r="A229" s="34">
        <f t="shared" si="174"/>
        <v>223</v>
      </c>
      <c r="D229" s="2" t="s">
        <v>33</v>
      </c>
      <c r="E229" s="130"/>
      <c r="F229" s="120"/>
      <c r="G229" s="131">
        <v>0</v>
      </c>
      <c r="I229" s="141">
        <f>G229</f>
        <v>0</v>
      </c>
      <c r="M229" s="131">
        <f t="shared" si="196"/>
        <v>0</v>
      </c>
      <c r="N229" s="131">
        <f t="shared" si="183"/>
        <v>0</v>
      </c>
      <c r="O229" s="120">
        <v>0</v>
      </c>
    </row>
    <row r="230" spans="1:20" x14ac:dyDescent="0.25">
      <c r="A230" s="34">
        <f t="shared" si="174"/>
        <v>224</v>
      </c>
      <c r="B230" s="69"/>
      <c r="D230" s="2" t="s">
        <v>43</v>
      </c>
      <c r="G230" s="131">
        <v>0</v>
      </c>
      <c r="I230" s="141">
        <f>G230</f>
        <v>0</v>
      </c>
      <c r="M230" s="131">
        <f t="shared" si="196"/>
        <v>0</v>
      </c>
      <c r="N230" s="131"/>
      <c r="O230" s="120">
        <v>0</v>
      </c>
    </row>
    <row r="231" spans="1:20" x14ac:dyDescent="0.25">
      <c r="A231" s="34">
        <f t="shared" si="174"/>
        <v>225</v>
      </c>
      <c r="D231" s="15" t="s">
        <v>9</v>
      </c>
      <c r="E231" s="143"/>
      <c r="F231" s="143"/>
      <c r="G231" s="144">
        <f>SUM(G227:G230)</f>
        <v>-30.53</v>
      </c>
      <c r="H231" s="143"/>
      <c r="I231" s="144">
        <f>SUM(I227:I230)</f>
        <v>-5.2954399999999993</v>
      </c>
      <c r="J231" s="143"/>
      <c r="K231" s="143"/>
      <c r="L231" s="143"/>
      <c r="M231" s="144">
        <f>SUM(M227:M230)</f>
        <v>-5.2954399999999993</v>
      </c>
      <c r="N231" s="144">
        <f>M231-I231</f>
        <v>0</v>
      </c>
      <c r="O231" s="145">
        <v>0</v>
      </c>
    </row>
    <row r="232" spans="1:20" s="7" customFormat="1" ht="26.4" customHeight="1" thickBot="1" x14ac:dyDescent="0.3">
      <c r="A232" s="34">
        <f t="shared" si="174"/>
        <v>226</v>
      </c>
      <c r="C232" s="17"/>
      <c r="D232" s="8" t="s">
        <v>20</v>
      </c>
      <c r="E232" s="146"/>
      <c r="F232" s="146"/>
      <c r="G232" s="147">
        <f>G226+G231</f>
        <v>382.28859999999997</v>
      </c>
      <c r="H232" s="146"/>
      <c r="I232" s="148">
        <f>I231+I226</f>
        <v>1312.2620799999997</v>
      </c>
      <c r="J232" s="146"/>
      <c r="K232" s="146"/>
      <c r="L232" s="146"/>
      <c r="M232" s="147">
        <f>M231+M226</f>
        <v>1362.2284000000002</v>
      </c>
      <c r="N232" s="147">
        <f>M232-I232</f>
        <v>49.966320000000451</v>
      </c>
      <c r="O232" s="149">
        <f>N232/I232</f>
        <v>3.8076479356928809E-2</v>
      </c>
      <c r="P232" s="115"/>
      <c r="Q232" s="115"/>
      <c r="R232" s="115"/>
    </row>
    <row r="233" spans="1:20" ht="13.8" thickTop="1" x14ac:dyDescent="0.25">
      <c r="A233" s="34">
        <f t="shared" si="174"/>
        <v>227</v>
      </c>
      <c r="D233" s="2" t="s">
        <v>19</v>
      </c>
      <c r="E233" s="120">
        <f>(E224+E225)/E221</f>
        <v>2237</v>
      </c>
      <c r="G233" s="150">
        <f>G232/E221</f>
        <v>31.857383333333331</v>
      </c>
      <c r="I233" s="150">
        <f>I232/E221</f>
        <v>109.35517333333331</v>
      </c>
      <c r="M233" s="150">
        <f>M232/E221</f>
        <v>113.51903333333335</v>
      </c>
      <c r="N233" s="150">
        <f>M233-I233</f>
        <v>4.1638600000000423</v>
      </c>
      <c r="O233" s="132">
        <f>N233/I233</f>
        <v>3.8076479356928851E-2</v>
      </c>
    </row>
    <row r="234" spans="1:20" ht="13.8" thickBot="1" x14ac:dyDescent="0.3">
      <c r="A234" s="34">
        <f t="shared" si="174"/>
        <v>228</v>
      </c>
    </row>
    <row r="235" spans="1:20" x14ac:dyDescent="0.25">
      <c r="A235" s="34">
        <f t="shared" si="174"/>
        <v>229</v>
      </c>
      <c r="B235" s="158" t="s">
        <v>68</v>
      </c>
      <c r="C235" s="26">
        <v>50</v>
      </c>
      <c r="D235" s="25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1:20" x14ac:dyDescent="0.25">
      <c r="A236" s="34">
        <f t="shared" si="174"/>
        <v>230</v>
      </c>
      <c r="B236" s="159"/>
      <c r="D236" s="2" t="s">
        <v>18</v>
      </c>
      <c r="E236" s="130">
        <v>24</v>
      </c>
      <c r="F236" s="120">
        <v>21.31</v>
      </c>
      <c r="G236" s="131">
        <f>F236*E236</f>
        <v>511.43999999999994</v>
      </c>
      <c r="H236" s="120">
        <v>21.31</v>
      </c>
      <c r="I236" s="131">
        <f>H236*E236</f>
        <v>511.43999999999994</v>
      </c>
      <c r="J236" s="132">
        <f>I236/I240</f>
        <v>1.2978457283487692E-2</v>
      </c>
      <c r="K236" s="132"/>
      <c r="L236" s="120">
        <f>L46</f>
        <v>22.12</v>
      </c>
      <c r="M236" s="131">
        <f>L236*E236</f>
        <v>530.88</v>
      </c>
      <c r="N236" s="131">
        <f t="shared" ref="N236:N243" si="197">M236-I236</f>
        <v>19.440000000000055</v>
      </c>
      <c r="O236" s="132">
        <f>IF(I236=0,0,N236/I236)</f>
        <v>3.8010323791647226E-2</v>
      </c>
      <c r="P236" s="132">
        <f>M236/M240</f>
        <v>1.2981417587819627E-2</v>
      </c>
      <c r="Q236" s="133">
        <f>P236-J236</f>
        <v>2.9603043319344213E-6</v>
      </c>
      <c r="R236" s="133"/>
      <c r="T236" s="6">
        <f>L236/H236-1</f>
        <v>3.8010323791647149E-2</v>
      </c>
    </row>
    <row r="237" spans="1:20" x14ac:dyDescent="0.25">
      <c r="A237" s="34">
        <f t="shared" si="174"/>
        <v>231</v>
      </c>
      <c r="B237" s="14"/>
      <c r="D237" s="2" t="s">
        <v>54</v>
      </c>
      <c r="E237" s="130">
        <v>2094</v>
      </c>
      <c r="F237" s="120">
        <v>6.13</v>
      </c>
      <c r="G237" s="131">
        <f t="shared" ref="G237" si="198">F237*E237</f>
        <v>12836.22</v>
      </c>
      <c r="H237" s="120">
        <v>6.13</v>
      </c>
      <c r="I237" s="131">
        <f t="shared" ref="I237" si="199">H237*E237</f>
        <v>12836.22</v>
      </c>
      <c r="J237" s="132">
        <f>I237/I240</f>
        <v>0.32573583010998436</v>
      </c>
      <c r="K237" s="132"/>
      <c r="L237" s="120">
        <f>L48</f>
        <v>6.36</v>
      </c>
      <c r="M237" s="131">
        <f t="shared" ref="M237" si="200">L237*E237</f>
        <v>13317.84</v>
      </c>
      <c r="N237" s="131">
        <f t="shared" si="197"/>
        <v>481.6200000000008</v>
      </c>
      <c r="O237" s="132">
        <f t="shared" ref="O237" si="201">IF(I237=0,0,N237/I237)</f>
        <v>3.7520391517128937E-2</v>
      </c>
      <c r="P237" s="132">
        <f>M237/M240</f>
        <v>0.32565634871867039</v>
      </c>
      <c r="Q237" s="133">
        <f t="shared" ref="Q237" si="202">P237-J237</f>
        <v>-7.9481391313973582E-5</v>
      </c>
      <c r="R237" s="133"/>
      <c r="T237" s="6">
        <f>L237/H237-1</f>
        <v>3.7520391517128937E-2</v>
      </c>
    </row>
    <row r="238" spans="1:20" x14ac:dyDescent="0.25">
      <c r="A238" s="34">
        <f t="shared" si="174"/>
        <v>232</v>
      </c>
      <c r="B238" s="14"/>
      <c r="D238" s="2" t="s">
        <v>81</v>
      </c>
      <c r="E238" s="130">
        <v>505240</v>
      </c>
      <c r="F238" s="121">
        <v>6.2520000000000006E-2</v>
      </c>
      <c r="G238" s="131">
        <f t="shared" ref="G238:G239" si="203">F238*E238</f>
        <v>31587.604800000005</v>
      </c>
      <c r="H238" s="121">
        <v>6.096E-2</v>
      </c>
      <c r="I238" s="131">
        <f t="shared" ref="I238:I239" si="204">H238*E238</f>
        <v>30799.430400000001</v>
      </c>
      <c r="J238" s="132">
        <f>1-J236-J237</f>
        <v>0.66128571260652791</v>
      </c>
      <c r="K238" s="132"/>
      <c r="L238" s="121">
        <f>L47</f>
        <v>6.3270000000000007E-2</v>
      </c>
      <c r="M238" s="131">
        <f t="shared" ref="M238:M239" si="205">L238*E238</f>
        <v>31966.534800000005</v>
      </c>
      <c r="N238" s="131">
        <f t="shared" si="197"/>
        <v>1167.1044000000038</v>
      </c>
      <c r="O238" s="132">
        <f t="shared" ref="O238:O239" si="206">IF(I238=0,0,N238/I238)</f>
        <v>3.7893700787401695E-2</v>
      </c>
      <c r="P238" s="132">
        <f>M238/M240</f>
        <v>0.78166617140289374</v>
      </c>
      <c r="Q238" s="133">
        <f t="shared" ref="Q238:Q240" si="207">P238-J238</f>
        <v>0.12038045879636583</v>
      </c>
      <c r="R238" s="133"/>
      <c r="T238" s="6">
        <f>L238/H238-1</f>
        <v>3.7893700787401619E-2</v>
      </c>
    </row>
    <row r="239" spans="1:20" x14ac:dyDescent="0.25">
      <c r="A239" s="34">
        <f t="shared" si="174"/>
        <v>233</v>
      </c>
      <c r="B239" s="14"/>
      <c r="D239" s="2" t="s">
        <v>82</v>
      </c>
      <c r="E239" s="130">
        <v>77760</v>
      </c>
      <c r="F239" s="121">
        <f>-F238</f>
        <v>-6.2520000000000006E-2</v>
      </c>
      <c r="G239" s="131">
        <f t="shared" si="203"/>
        <v>-4861.5552000000007</v>
      </c>
      <c r="H239" s="121">
        <v>-6.096E-2</v>
      </c>
      <c r="I239" s="131">
        <f t="shared" si="204"/>
        <v>-4740.2496000000001</v>
      </c>
      <c r="J239" s="132">
        <v>0</v>
      </c>
      <c r="K239" s="132"/>
      <c r="L239" s="121">
        <f>-L238</f>
        <v>-6.3270000000000007E-2</v>
      </c>
      <c r="M239" s="131">
        <f t="shared" si="205"/>
        <v>-4919.8752000000004</v>
      </c>
      <c r="N239" s="131">
        <f t="shared" si="197"/>
        <v>-179.6256000000003</v>
      </c>
      <c r="O239" s="132">
        <f t="shared" si="206"/>
        <v>3.7893700787401639E-2</v>
      </c>
      <c r="P239" s="132">
        <f>M239/M240</f>
        <v>-0.12030393770938369</v>
      </c>
      <c r="Q239" s="133">
        <f t="shared" si="207"/>
        <v>-0.12030393770938369</v>
      </c>
      <c r="R239" s="133"/>
      <c r="T239" s="6">
        <f>L239/H239-1</f>
        <v>3.7893700787401619E-2</v>
      </c>
    </row>
    <row r="240" spans="1:20" s="7" customFormat="1" ht="20.399999999999999" customHeight="1" x14ac:dyDescent="0.3">
      <c r="A240" s="34">
        <f t="shared" si="174"/>
        <v>234</v>
      </c>
      <c r="C240" s="17"/>
      <c r="D240" s="19" t="s">
        <v>7</v>
      </c>
      <c r="E240" s="135"/>
      <c r="F240" s="136"/>
      <c r="G240" s="20">
        <f>SUM(G236:G239)</f>
        <v>40073.709600000002</v>
      </c>
      <c r="H240" s="135"/>
      <c r="I240" s="20">
        <f>SUM(I236:I239)</f>
        <v>39406.840799999998</v>
      </c>
      <c r="J240" s="137">
        <f>SUM(J236:J239)</f>
        <v>1</v>
      </c>
      <c r="K240" s="138">
        <f>I240+Summary!I27</f>
        <v>40900.370799999997</v>
      </c>
      <c r="L240" s="135"/>
      <c r="M240" s="20">
        <f>SUM(M236:M239)</f>
        <v>40895.3796</v>
      </c>
      <c r="N240" s="20">
        <f t="shared" si="197"/>
        <v>1488.5388000000021</v>
      </c>
      <c r="O240" s="137">
        <f t="shared" ref="O240" si="208">N240/I240</f>
        <v>3.7773614169040473E-2</v>
      </c>
      <c r="P240" s="137">
        <f>SUM(P236:P239)</f>
        <v>1</v>
      </c>
      <c r="Q240" s="139">
        <f t="shared" si="207"/>
        <v>0</v>
      </c>
      <c r="R240" s="140">
        <f>M240-K240</f>
        <v>-4.991199999996752</v>
      </c>
      <c r="S240" s="7">
        <f>K240/I240</f>
        <v>1.0379002723811344</v>
      </c>
    </row>
    <row r="241" spans="1:20" x14ac:dyDescent="0.25">
      <c r="A241" s="34">
        <f t="shared" si="174"/>
        <v>235</v>
      </c>
      <c r="D241" s="2" t="s">
        <v>30</v>
      </c>
      <c r="G241" s="131">
        <v>-1796.85</v>
      </c>
      <c r="I241" s="141">
        <f>G241+(0.00156*E238)</f>
        <v>-1008.6755999999999</v>
      </c>
      <c r="M241" s="131">
        <f>I241</f>
        <v>-1008.6755999999999</v>
      </c>
      <c r="N241" s="131">
        <f t="shared" si="197"/>
        <v>0</v>
      </c>
      <c r="O241" s="120">
        <v>0</v>
      </c>
      <c r="R241" s="142"/>
    </row>
    <row r="242" spans="1:20" x14ac:dyDescent="0.25">
      <c r="A242" s="34">
        <f t="shared" si="174"/>
        <v>236</v>
      </c>
      <c r="D242" s="2" t="s">
        <v>31</v>
      </c>
      <c r="G242" s="131">
        <v>3785.87</v>
      </c>
      <c r="I242" s="141">
        <f>G242</f>
        <v>3785.87</v>
      </c>
      <c r="M242" s="131">
        <f t="shared" ref="M242:M244" si="209">I242</f>
        <v>3785.87</v>
      </c>
      <c r="N242" s="131">
        <f t="shared" si="197"/>
        <v>0</v>
      </c>
      <c r="O242" s="120">
        <v>0</v>
      </c>
    </row>
    <row r="243" spans="1:20" x14ac:dyDescent="0.25">
      <c r="A243" s="34">
        <f t="shared" si="174"/>
        <v>237</v>
      </c>
      <c r="D243" s="2" t="s">
        <v>33</v>
      </c>
      <c r="E243" s="130"/>
      <c r="F243" s="120"/>
      <c r="G243" s="131">
        <v>0</v>
      </c>
      <c r="I243" s="141">
        <f>G243</f>
        <v>0</v>
      </c>
      <c r="M243" s="131">
        <f t="shared" si="209"/>
        <v>0</v>
      </c>
      <c r="N243" s="131">
        <f t="shared" si="197"/>
        <v>0</v>
      </c>
      <c r="O243" s="120">
        <v>0</v>
      </c>
    </row>
    <row r="244" spans="1:20" x14ac:dyDescent="0.25">
      <c r="A244" s="34">
        <f t="shared" si="174"/>
        <v>238</v>
      </c>
      <c r="B244" s="69"/>
      <c r="D244" s="2" t="s">
        <v>43</v>
      </c>
      <c r="G244" s="131">
        <v>0</v>
      </c>
      <c r="I244" s="141">
        <f>G244</f>
        <v>0</v>
      </c>
      <c r="M244" s="131">
        <f t="shared" si="209"/>
        <v>0</v>
      </c>
      <c r="N244" s="131"/>
      <c r="O244" s="120">
        <v>0</v>
      </c>
    </row>
    <row r="245" spans="1:20" x14ac:dyDescent="0.25">
      <c r="A245" s="34">
        <f t="shared" si="174"/>
        <v>239</v>
      </c>
      <c r="D245" s="15" t="s">
        <v>9</v>
      </c>
      <c r="E245" s="143"/>
      <c r="F245" s="143"/>
      <c r="G245" s="144">
        <f>SUM(G241:G244)</f>
        <v>1989.02</v>
      </c>
      <c r="H245" s="143"/>
      <c r="I245" s="144">
        <f>SUM(I241:I244)</f>
        <v>2777.1943999999999</v>
      </c>
      <c r="J245" s="143"/>
      <c r="K245" s="143"/>
      <c r="L245" s="143"/>
      <c r="M245" s="144">
        <f>SUM(M241:M244)</f>
        <v>2777.1943999999999</v>
      </c>
      <c r="N245" s="144">
        <f>M245-I245</f>
        <v>0</v>
      </c>
      <c r="O245" s="145">
        <v>0</v>
      </c>
    </row>
    <row r="246" spans="1:20" s="7" customFormat="1" ht="26.4" customHeight="1" thickBot="1" x14ac:dyDescent="0.3">
      <c r="A246" s="34">
        <f t="shared" si="174"/>
        <v>240</v>
      </c>
      <c r="C246" s="17"/>
      <c r="D246" s="8" t="s">
        <v>20</v>
      </c>
      <c r="E246" s="146"/>
      <c r="F246" s="146"/>
      <c r="G246" s="147">
        <f>G240+G245</f>
        <v>42062.729599999999</v>
      </c>
      <c r="H246" s="146"/>
      <c r="I246" s="148">
        <f>I245+I240</f>
        <v>42184.035199999998</v>
      </c>
      <c r="J246" s="146"/>
      <c r="K246" s="146"/>
      <c r="L246" s="146"/>
      <c r="M246" s="147">
        <f>M245+M240</f>
        <v>43672.574000000001</v>
      </c>
      <c r="N246" s="147">
        <f>M246-I246</f>
        <v>1488.5388000000021</v>
      </c>
      <c r="O246" s="149">
        <f>N246/I246</f>
        <v>3.5286780720304396E-2</v>
      </c>
      <c r="P246" s="115"/>
      <c r="Q246" s="115"/>
      <c r="R246" s="115"/>
    </row>
    <row r="247" spans="1:20" ht="13.8" thickTop="1" x14ac:dyDescent="0.25">
      <c r="A247" s="34">
        <f t="shared" si="174"/>
        <v>241</v>
      </c>
      <c r="D247" s="2" t="s">
        <v>19</v>
      </c>
      <c r="E247" s="120">
        <f>(E238+E239)/E236</f>
        <v>24291.666666666668</v>
      </c>
      <c r="G247" s="150">
        <f>G246/E236</f>
        <v>1752.6137333333334</v>
      </c>
      <c r="I247" s="150">
        <f>I246/E236</f>
        <v>1757.6681333333333</v>
      </c>
      <c r="M247" s="150">
        <f>M246/E236</f>
        <v>1819.6905833333333</v>
      </c>
      <c r="N247" s="150">
        <f>M247-I247</f>
        <v>62.022449999999935</v>
      </c>
      <c r="O247" s="132">
        <f>N247/I247</f>
        <v>3.5286780720304313E-2</v>
      </c>
    </row>
    <row r="248" spans="1:20" ht="13.8" thickBot="1" x14ac:dyDescent="0.3">
      <c r="A248" s="34">
        <f t="shared" si="174"/>
        <v>242</v>
      </c>
    </row>
    <row r="249" spans="1:20" x14ac:dyDescent="0.25">
      <c r="A249" s="34">
        <f t="shared" si="174"/>
        <v>243</v>
      </c>
      <c r="B249" s="25" t="s">
        <v>69</v>
      </c>
      <c r="C249" s="26">
        <v>60</v>
      </c>
      <c r="D249" s="25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</row>
    <row r="250" spans="1:20" x14ac:dyDescent="0.25">
      <c r="A250" s="34">
        <f t="shared" si="174"/>
        <v>244</v>
      </c>
      <c r="D250" s="2" t="s">
        <v>18</v>
      </c>
      <c r="E250" s="130">
        <v>5894</v>
      </c>
      <c r="F250" s="120">
        <v>20</v>
      </c>
      <c r="G250" s="131">
        <f>F250*E250</f>
        <v>117880</v>
      </c>
      <c r="H250" s="120">
        <v>20</v>
      </c>
      <c r="I250" s="131">
        <f>H250*E250</f>
        <v>117880</v>
      </c>
      <c r="J250" s="132">
        <f>I250/I253</f>
        <v>0.15421772271071257</v>
      </c>
      <c r="K250" s="132"/>
      <c r="L250" s="120">
        <f>L8</f>
        <v>20.76</v>
      </c>
      <c r="M250" s="131">
        <f>L250*E250</f>
        <v>122359.44</v>
      </c>
      <c r="N250" s="131">
        <f t="shared" ref="N250:N256" si="210">M250-I250</f>
        <v>4479.4400000000023</v>
      </c>
      <c r="O250" s="132">
        <f>IF(I250=0,0,N250/I250)</f>
        <v>3.800000000000002E-2</v>
      </c>
      <c r="P250" s="132">
        <f>M250/M253</f>
        <v>0.15453448015823418</v>
      </c>
      <c r="Q250" s="133">
        <f>P250-J250</f>
        <v>3.1675744752160395E-4</v>
      </c>
      <c r="R250" s="133"/>
      <c r="T250" s="6">
        <f>L250/H250-1</f>
        <v>3.8000000000000034E-2</v>
      </c>
    </row>
    <row r="251" spans="1:20" x14ac:dyDescent="0.25">
      <c r="A251" s="34">
        <f t="shared" si="174"/>
        <v>245</v>
      </c>
      <c r="B251" s="14"/>
      <c r="D251" s="2" t="s">
        <v>53</v>
      </c>
      <c r="E251" s="130">
        <v>7482209</v>
      </c>
      <c r="F251" s="121">
        <f>H251+0.00156</f>
        <v>8.2450000000000009E-2</v>
      </c>
      <c r="G251" s="131">
        <f t="shared" ref="G251:G252" si="211">F251*E251</f>
        <v>616908.13205000001</v>
      </c>
      <c r="H251" s="134">
        <v>8.0890000000000004E-2</v>
      </c>
      <c r="I251" s="131">
        <f t="shared" ref="I251:I252" si="212">H251*E251</f>
        <v>605235.88601000002</v>
      </c>
      <c r="J251" s="132">
        <f>I251/I253</f>
        <v>0.79180607434053807</v>
      </c>
      <c r="K251" s="132"/>
      <c r="L251" s="134">
        <f>L9</f>
        <v>8.3956000000000003E-2</v>
      </c>
      <c r="M251" s="131">
        <f t="shared" ref="M251:M252" si="213">L251*E251</f>
        <v>628176.33880400006</v>
      </c>
      <c r="N251" s="131">
        <f t="shared" si="210"/>
        <v>22940.452794000041</v>
      </c>
      <c r="O251" s="132">
        <f t="shared" ref="O251:O252" si="214">IF(I251=0,0,N251/I251)</f>
        <v>3.7903325503770617E-2</v>
      </c>
      <c r="P251" s="132">
        <f>M251/M253</f>
        <v>0.79335851786162914</v>
      </c>
      <c r="Q251" s="133">
        <f t="shared" ref="Q251:Q253" si="215">P251-J251</f>
        <v>1.5524435210910736E-3</v>
      </c>
      <c r="R251" s="133"/>
      <c r="T251" s="6">
        <f>L251/H251-1</f>
        <v>3.7903325503770624E-2</v>
      </c>
    </row>
    <row r="252" spans="1:20" x14ac:dyDescent="0.25">
      <c r="A252" s="34">
        <f t="shared" si="174"/>
        <v>246</v>
      </c>
      <c r="B252" s="14"/>
      <c r="D252" s="2" t="s">
        <v>83</v>
      </c>
      <c r="E252" s="130">
        <f>E250</f>
        <v>5894</v>
      </c>
      <c r="F252" s="120">
        <v>7</v>
      </c>
      <c r="G252" s="131">
        <f t="shared" si="211"/>
        <v>41258</v>
      </c>
      <c r="H252" s="120">
        <v>7</v>
      </c>
      <c r="I252" s="131">
        <f t="shared" si="212"/>
        <v>41258</v>
      </c>
      <c r="J252" s="132">
        <f>I252/I253</f>
        <v>5.3976202948749399E-2</v>
      </c>
      <c r="K252" s="132"/>
      <c r="L252" s="120">
        <f>H252</f>
        <v>7</v>
      </c>
      <c r="M252" s="131">
        <f t="shared" si="213"/>
        <v>41258</v>
      </c>
      <c r="N252" s="131">
        <f t="shared" si="210"/>
        <v>0</v>
      </c>
      <c r="O252" s="132">
        <f t="shared" si="214"/>
        <v>0</v>
      </c>
      <c r="P252" s="132">
        <f>M252/M253</f>
        <v>5.2107001980136763E-2</v>
      </c>
      <c r="Q252" s="133">
        <f t="shared" si="215"/>
        <v>-1.869200968612636E-3</v>
      </c>
      <c r="R252" s="133"/>
      <c r="T252" s="6">
        <f>L252/H252-1</f>
        <v>0</v>
      </c>
    </row>
    <row r="253" spans="1:20" s="7" customFormat="1" ht="20.399999999999999" customHeight="1" x14ac:dyDescent="0.3">
      <c r="A253" s="34">
        <f t="shared" si="174"/>
        <v>247</v>
      </c>
      <c r="C253" s="17"/>
      <c r="D253" s="19" t="s">
        <v>7</v>
      </c>
      <c r="E253" s="135"/>
      <c r="F253" s="136"/>
      <c r="G253" s="20">
        <f>SUM(G250:G252)</f>
        <v>776046.13205000001</v>
      </c>
      <c r="H253" s="135"/>
      <c r="I253" s="20">
        <f>SUM(I250:I252)</f>
        <v>764373.88601000002</v>
      </c>
      <c r="J253" s="137">
        <f>SUM(J250:J252)</f>
        <v>1</v>
      </c>
      <c r="K253" s="138">
        <f>I253+Summary!I28</f>
        <v>793343.80601000006</v>
      </c>
      <c r="L253" s="135"/>
      <c r="M253" s="20">
        <f>SUM(M250:M252)</f>
        <v>791793.778804</v>
      </c>
      <c r="N253" s="20">
        <f t="shared" si="210"/>
        <v>27419.892793999985</v>
      </c>
      <c r="O253" s="137">
        <f t="shared" ref="O253" si="216">N253/I253</f>
        <v>3.5872356834599217E-2</v>
      </c>
      <c r="P253" s="137">
        <f>SUM(P250:P252)</f>
        <v>1.0000000000000002</v>
      </c>
      <c r="Q253" s="139">
        <f t="shared" si="215"/>
        <v>0</v>
      </c>
      <c r="R253" s="140">
        <f>M253-K253</f>
        <v>-1550.027206000057</v>
      </c>
      <c r="S253" s="7">
        <f>K253/I253</f>
        <v>1.0379001958730194</v>
      </c>
    </row>
    <row r="254" spans="1:20" x14ac:dyDescent="0.25">
      <c r="A254" s="34">
        <f t="shared" si="174"/>
        <v>248</v>
      </c>
      <c r="D254" s="2" t="s">
        <v>30</v>
      </c>
      <c r="G254" s="131">
        <v>-30106.86</v>
      </c>
      <c r="I254" s="141">
        <f>G254+(0.00156*E251)</f>
        <v>-18434.613960000002</v>
      </c>
      <c r="M254" s="131">
        <f>I254</f>
        <v>-18434.613960000002</v>
      </c>
      <c r="N254" s="131">
        <f t="shared" si="210"/>
        <v>0</v>
      </c>
      <c r="O254" s="120">
        <v>0</v>
      </c>
      <c r="R254" s="142"/>
    </row>
    <row r="255" spans="1:20" x14ac:dyDescent="0.25">
      <c r="A255" s="34">
        <f t="shared" si="174"/>
        <v>249</v>
      </c>
      <c r="D255" s="2" t="s">
        <v>31</v>
      </c>
      <c r="G255" s="131">
        <v>79424.36</v>
      </c>
      <c r="I255" s="141">
        <f>G255</f>
        <v>79424.36</v>
      </c>
      <c r="M255" s="131">
        <f t="shared" ref="M255:M257" si="217">I255</f>
        <v>79424.36</v>
      </c>
      <c r="N255" s="131">
        <f t="shared" si="210"/>
        <v>0</v>
      </c>
      <c r="O255" s="120">
        <v>0</v>
      </c>
    </row>
    <row r="256" spans="1:20" x14ac:dyDescent="0.25">
      <c r="A256" s="34">
        <f t="shared" si="174"/>
        <v>250</v>
      </c>
      <c r="D256" s="2" t="s">
        <v>33</v>
      </c>
      <c r="E256" s="130"/>
      <c r="F256" s="120"/>
      <c r="G256" s="131">
        <v>0</v>
      </c>
      <c r="I256" s="141">
        <f>G256</f>
        <v>0</v>
      </c>
      <c r="M256" s="131">
        <f t="shared" si="217"/>
        <v>0</v>
      </c>
      <c r="N256" s="131">
        <f t="shared" si="210"/>
        <v>0</v>
      </c>
      <c r="O256" s="120">
        <v>0</v>
      </c>
    </row>
    <row r="257" spans="1:20" x14ac:dyDescent="0.25">
      <c r="A257" s="34">
        <f t="shared" si="174"/>
        <v>251</v>
      </c>
      <c r="B257" s="69"/>
      <c r="D257" s="2" t="s">
        <v>43</v>
      </c>
      <c r="G257" s="131">
        <v>0</v>
      </c>
      <c r="I257" s="141">
        <f>G257</f>
        <v>0</v>
      </c>
      <c r="M257" s="131">
        <f t="shared" si="217"/>
        <v>0</v>
      </c>
      <c r="N257" s="131"/>
      <c r="O257" s="120">
        <v>0</v>
      </c>
    </row>
    <row r="258" spans="1:20" x14ac:dyDescent="0.25">
      <c r="A258" s="34">
        <f t="shared" si="174"/>
        <v>252</v>
      </c>
      <c r="D258" s="15" t="s">
        <v>9</v>
      </c>
      <c r="E258" s="143"/>
      <c r="F258" s="143"/>
      <c r="G258" s="144">
        <f>SUM(G254:G257)</f>
        <v>49317.5</v>
      </c>
      <c r="H258" s="143"/>
      <c r="I258" s="144">
        <f>SUM(I254:I257)</f>
        <v>60989.746039999998</v>
      </c>
      <c r="J258" s="143"/>
      <c r="K258" s="143"/>
      <c r="L258" s="143"/>
      <c r="M258" s="144">
        <f>SUM(M254:M257)</f>
        <v>60989.746039999998</v>
      </c>
      <c r="N258" s="144">
        <f>M258-I258</f>
        <v>0</v>
      </c>
      <c r="O258" s="145">
        <v>0</v>
      </c>
    </row>
    <row r="259" spans="1:20" s="7" customFormat="1" ht="26.4" customHeight="1" thickBot="1" x14ac:dyDescent="0.3">
      <c r="A259" s="34">
        <f t="shared" si="174"/>
        <v>253</v>
      </c>
      <c r="C259" s="17"/>
      <c r="D259" s="8" t="s">
        <v>20</v>
      </c>
      <c r="E259" s="146"/>
      <c r="F259" s="146"/>
      <c r="G259" s="147">
        <f>G253+G258</f>
        <v>825363.63205000001</v>
      </c>
      <c r="H259" s="146"/>
      <c r="I259" s="148">
        <f>I258+I253</f>
        <v>825363.63205000001</v>
      </c>
      <c r="J259" s="146"/>
      <c r="K259" s="146"/>
      <c r="L259" s="146"/>
      <c r="M259" s="147">
        <f>M258+M253</f>
        <v>852783.524844</v>
      </c>
      <c r="N259" s="147">
        <f>M259-I259</f>
        <v>27419.892793999985</v>
      </c>
      <c r="O259" s="149">
        <f>N259/I259</f>
        <v>3.3221590738006866E-2</v>
      </c>
      <c r="P259" s="115"/>
      <c r="Q259" s="115"/>
      <c r="R259" s="115"/>
    </row>
    <row r="260" spans="1:20" ht="13.8" thickTop="1" x14ac:dyDescent="0.25">
      <c r="A260" s="34">
        <f t="shared" si="174"/>
        <v>254</v>
      </c>
      <c r="D260" s="2" t="s">
        <v>19</v>
      </c>
      <c r="E260" s="120">
        <f>E251/E250</f>
        <v>1269.4619952494061</v>
      </c>
      <c r="G260" s="150">
        <f>G259/E250</f>
        <v>140.03454904139804</v>
      </c>
      <c r="I260" s="150">
        <f>I259/E250</f>
        <v>140.03454904139804</v>
      </c>
      <c r="M260" s="150">
        <f>M259/E250</f>
        <v>144.68671951883272</v>
      </c>
      <c r="N260" s="150">
        <f>M260-I260</f>
        <v>4.6521704774346802</v>
      </c>
      <c r="O260" s="132">
        <f>N260/I260</f>
        <v>3.3221590738006887E-2</v>
      </c>
    </row>
    <row r="261" spans="1:20" ht="13.8" thickBot="1" x14ac:dyDescent="0.3">
      <c r="A261" s="34">
        <f t="shared" si="174"/>
        <v>255</v>
      </c>
    </row>
    <row r="262" spans="1:20" x14ac:dyDescent="0.25">
      <c r="A262" s="34">
        <f t="shared" si="174"/>
        <v>256</v>
      </c>
      <c r="B262" s="25" t="s">
        <v>34</v>
      </c>
      <c r="C262" s="26" t="s">
        <v>121</v>
      </c>
      <c r="D262" s="25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</row>
    <row r="263" spans="1:20" x14ac:dyDescent="0.25">
      <c r="A263" s="34">
        <f t="shared" si="174"/>
        <v>257</v>
      </c>
      <c r="B263" s="31"/>
      <c r="C263" s="83" t="s">
        <v>87</v>
      </c>
      <c r="E263" s="130"/>
      <c r="F263" s="120"/>
      <c r="G263" s="131"/>
      <c r="H263" s="120"/>
      <c r="I263" s="131"/>
      <c r="J263" s="132"/>
      <c r="K263" s="132"/>
      <c r="L263" s="120"/>
      <c r="M263" s="131"/>
      <c r="N263" s="131"/>
      <c r="O263" s="132"/>
      <c r="P263" s="132"/>
      <c r="Q263" s="133"/>
      <c r="R263" s="133"/>
      <c r="T263" s="6"/>
    </row>
    <row r="264" spans="1:20" x14ac:dyDescent="0.25">
      <c r="A264" s="34">
        <f t="shared" si="174"/>
        <v>258</v>
      </c>
      <c r="B264" s="31"/>
      <c r="C264" s="84" t="s">
        <v>88</v>
      </c>
      <c r="E264" s="130"/>
      <c r="F264" s="120"/>
      <c r="G264" s="131"/>
      <c r="H264" s="120"/>
      <c r="I264" s="131"/>
      <c r="J264" s="132"/>
      <c r="K264" s="132"/>
      <c r="L264" s="120"/>
      <c r="M264" s="131"/>
      <c r="N264" s="131"/>
      <c r="O264" s="132"/>
      <c r="P264" s="132"/>
      <c r="Q264" s="133"/>
      <c r="R264" s="133"/>
      <c r="T264" s="6"/>
    </row>
    <row r="265" spans="1:20" x14ac:dyDescent="0.25">
      <c r="A265" s="34">
        <f t="shared" ref="A265:A328" si="218">A264+1</f>
        <v>259</v>
      </c>
      <c r="B265" s="84">
        <v>11</v>
      </c>
      <c r="C265" s="84" t="s">
        <v>89</v>
      </c>
      <c r="E265" s="130">
        <v>26381</v>
      </c>
      <c r="F265" s="120">
        <v>10.96</v>
      </c>
      <c r="G265" s="131">
        <f t="shared" ref="G265:G277" si="219">F265*E265</f>
        <v>289135.76</v>
      </c>
      <c r="H265" s="120">
        <v>10.93</v>
      </c>
      <c r="I265" s="131">
        <f t="shared" ref="I265:I277" si="220">H265*E265</f>
        <v>288344.33</v>
      </c>
      <c r="J265" s="132">
        <f t="shared" ref="J265:J301" si="221">I265/I$304</f>
        <v>0.14252835554455004</v>
      </c>
      <c r="K265" s="132"/>
      <c r="L265" s="120">
        <f t="shared" ref="L265:L301" si="222">ROUND(H265*S$304,2)</f>
        <v>11.34</v>
      </c>
      <c r="M265" s="131">
        <f t="shared" ref="M265:M277" si="223">L265*E265</f>
        <v>299160.53999999998</v>
      </c>
      <c r="N265" s="131">
        <f t="shared" ref="N265:N277" si="224">M265-I265</f>
        <v>10816.209999999963</v>
      </c>
      <c r="O265" s="132">
        <f t="shared" ref="O265:O277" si="225">IF(I265=0,0,N265/I265)</f>
        <v>3.7511436413540579E-2</v>
      </c>
      <c r="P265" s="132">
        <f t="shared" ref="P265:P301" si="226">M265/M$304</f>
        <v>0.14250780636832969</v>
      </c>
      <c r="Q265" s="133">
        <f t="shared" ref="Q265:Q277" si="227">P265-J265</f>
        <v>-2.0549176220352461E-5</v>
      </c>
      <c r="R265" s="133"/>
      <c r="T265" s="6">
        <f t="shared" ref="T265:T277" si="228">L265/H265-1</f>
        <v>3.7511436413540711E-2</v>
      </c>
    </row>
    <row r="266" spans="1:20" x14ac:dyDescent="0.25">
      <c r="A266" s="34">
        <f t="shared" si="218"/>
        <v>260</v>
      </c>
      <c r="B266" s="84">
        <v>12</v>
      </c>
      <c r="C266" s="84" t="s">
        <v>90</v>
      </c>
      <c r="E266" s="130">
        <v>5980</v>
      </c>
      <c r="F266" s="120">
        <v>15.96</v>
      </c>
      <c r="G266" s="131">
        <f t="shared" si="219"/>
        <v>95440.8</v>
      </c>
      <c r="H266" s="120">
        <v>15.93</v>
      </c>
      <c r="I266" s="131">
        <f t="shared" si="220"/>
        <v>95261.4</v>
      </c>
      <c r="J266" s="132">
        <f t="shared" si="221"/>
        <v>4.7087628492197497E-2</v>
      </c>
      <c r="K266" s="132"/>
      <c r="L266" s="120">
        <f t="shared" si="222"/>
        <v>16.53</v>
      </c>
      <c r="M266" s="131">
        <f t="shared" si="223"/>
        <v>98849.400000000009</v>
      </c>
      <c r="N266" s="131">
        <f t="shared" si="224"/>
        <v>3588.0000000000146</v>
      </c>
      <c r="O266" s="132">
        <f t="shared" si="225"/>
        <v>3.7664783427495449E-2</v>
      </c>
      <c r="P266" s="132">
        <f t="shared" si="226"/>
        <v>4.7087798259842592E-2</v>
      </c>
      <c r="Q266" s="133">
        <f t="shared" si="227"/>
        <v>1.697676450945762E-7</v>
      </c>
      <c r="R266" s="133"/>
      <c r="T266" s="6">
        <f t="shared" si="228"/>
        <v>3.7664783427495463E-2</v>
      </c>
    </row>
    <row r="267" spans="1:20" x14ac:dyDescent="0.25">
      <c r="A267" s="34">
        <f t="shared" si="218"/>
        <v>261</v>
      </c>
      <c r="B267" s="84">
        <v>21</v>
      </c>
      <c r="C267" s="84" t="s">
        <v>91</v>
      </c>
      <c r="E267" s="130">
        <v>78647</v>
      </c>
      <c r="F267" s="120">
        <v>10.99</v>
      </c>
      <c r="G267" s="131">
        <f t="shared" si="219"/>
        <v>864330.53</v>
      </c>
      <c r="H267" s="120">
        <v>10.93</v>
      </c>
      <c r="I267" s="131">
        <f t="shared" si="220"/>
        <v>859611.71</v>
      </c>
      <c r="J267" s="132">
        <f t="shared" si="221"/>
        <v>0.4249053325693577</v>
      </c>
      <c r="K267" s="132"/>
      <c r="L267" s="120">
        <f t="shared" si="222"/>
        <v>11.34</v>
      </c>
      <c r="M267" s="131">
        <f t="shared" si="223"/>
        <v>891856.98</v>
      </c>
      <c r="N267" s="131">
        <f t="shared" si="224"/>
        <v>32245.270000000019</v>
      </c>
      <c r="O267" s="132">
        <f t="shared" si="225"/>
        <v>3.7511436413540739E-2</v>
      </c>
      <c r="P267" s="132">
        <f t="shared" si="226"/>
        <v>0.42484407139418612</v>
      </c>
      <c r="Q267" s="133">
        <f t="shared" si="227"/>
        <v>-6.1261175171578586E-5</v>
      </c>
      <c r="R267" s="133"/>
      <c r="T267" s="6">
        <f t="shared" si="228"/>
        <v>3.7511436413540711E-2</v>
      </c>
    </row>
    <row r="268" spans="1:20" x14ac:dyDescent="0.25">
      <c r="A268" s="34">
        <f t="shared" si="218"/>
        <v>262</v>
      </c>
      <c r="B268" s="84">
        <v>22</v>
      </c>
      <c r="C268" s="84" t="s">
        <v>92</v>
      </c>
      <c r="E268" s="130">
        <v>14761</v>
      </c>
      <c r="F268" s="120">
        <v>15.99</v>
      </c>
      <c r="G268" s="131">
        <f t="shared" si="219"/>
        <v>236028.39</v>
      </c>
      <c r="H268" s="120">
        <v>15.93</v>
      </c>
      <c r="I268" s="131">
        <f t="shared" si="220"/>
        <v>235142.72999999998</v>
      </c>
      <c r="J268" s="132">
        <f t="shared" si="221"/>
        <v>0.11623085019620856</v>
      </c>
      <c r="K268" s="132"/>
      <c r="L268" s="120">
        <f t="shared" si="222"/>
        <v>16.53</v>
      </c>
      <c r="M268" s="131">
        <f t="shared" si="223"/>
        <v>243999.33000000002</v>
      </c>
      <c r="N268" s="131">
        <f t="shared" si="224"/>
        <v>8856.6000000000349</v>
      </c>
      <c r="O268" s="132">
        <f t="shared" si="225"/>
        <v>3.7664783427495442E-2</v>
      </c>
      <c r="P268" s="132">
        <f t="shared" si="226"/>
        <v>0.11623126924975526</v>
      </c>
      <c r="Q268" s="133">
        <f t="shared" si="227"/>
        <v>4.1905354669635742E-7</v>
      </c>
      <c r="R268" s="133"/>
      <c r="T268" s="6">
        <f t="shared" si="228"/>
        <v>3.7664783427495463E-2</v>
      </c>
    </row>
    <row r="269" spans="1:20" x14ac:dyDescent="0.25">
      <c r="A269" s="34">
        <f t="shared" si="218"/>
        <v>263</v>
      </c>
      <c r="B269" s="84"/>
      <c r="C269" s="84" t="s">
        <v>93</v>
      </c>
      <c r="E269" s="130"/>
      <c r="F269" s="120"/>
      <c r="G269" s="131">
        <f t="shared" si="219"/>
        <v>0</v>
      </c>
      <c r="H269" s="120"/>
      <c r="I269" s="131">
        <f t="shared" si="220"/>
        <v>0</v>
      </c>
      <c r="J269" s="132">
        <f t="shared" si="221"/>
        <v>0</v>
      </c>
      <c r="K269" s="132"/>
      <c r="L269" s="120">
        <f t="shared" si="222"/>
        <v>0</v>
      </c>
      <c r="M269" s="131">
        <f t="shared" si="223"/>
        <v>0</v>
      </c>
      <c r="N269" s="131">
        <f t="shared" si="224"/>
        <v>0</v>
      </c>
      <c r="O269" s="132">
        <f t="shared" si="225"/>
        <v>0</v>
      </c>
      <c r="P269" s="132">
        <f t="shared" si="226"/>
        <v>0</v>
      </c>
      <c r="Q269" s="133">
        <f t="shared" si="227"/>
        <v>0</v>
      </c>
      <c r="R269" s="133"/>
      <c r="T269" s="6" t="e">
        <f t="shared" si="228"/>
        <v>#DIV/0!</v>
      </c>
    </row>
    <row r="270" spans="1:20" x14ac:dyDescent="0.25">
      <c r="A270" s="34">
        <f t="shared" si="218"/>
        <v>264</v>
      </c>
      <c r="B270" s="84">
        <v>31</v>
      </c>
      <c r="C270" s="84" t="s">
        <v>94</v>
      </c>
      <c r="E270" s="130">
        <v>2010</v>
      </c>
      <c r="F270" s="120">
        <v>16.36</v>
      </c>
      <c r="G270" s="131">
        <f t="shared" si="219"/>
        <v>32883.599999999999</v>
      </c>
      <c r="H270" s="120">
        <v>16.3</v>
      </c>
      <c r="I270" s="131">
        <f t="shared" si="220"/>
        <v>32763</v>
      </c>
      <c r="J270" s="132">
        <f t="shared" si="221"/>
        <v>1.6194722860359671E-2</v>
      </c>
      <c r="K270" s="132"/>
      <c r="L270" s="120">
        <f t="shared" si="222"/>
        <v>16.920000000000002</v>
      </c>
      <c r="M270" s="131">
        <f t="shared" si="223"/>
        <v>34009.200000000004</v>
      </c>
      <c r="N270" s="131">
        <f t="shared" si="224"/>
        <v>1246.2000000000044</v>
      </c>
      <c r="O270" s="132">
        <f t="shared" si="225"/>
        <v>3.8036809815951055E-2</v>
      </c>
      <c r="P270" s="132">
        <f t="shared" si="226"/>
        <v>1.6200587444927726E-2</v>
      </c>
      <c r="Q270" s="133">
        <f t="shared" si="227"/>
        <v>5.8645845680549424E-6</v>
      </c>
      <c r="R270" s="133"/>
      <c r="T270" s="6">
        <f t="shared" si="228"/>
        <v>3.8036809815950923E-2</v>
      </c>
    </row>
    <row r="271" spans="1:20" x14ac:dyDescent="0.25">
      <c r="A271" s="34">
        <f t="shared" si="218"/>
        <v>265</v>
      </c>
      <c r="B271" s="84">
        <v>32</v>
      </c>
      <c r="C271" s="84" t="s">
        <v>95</v>
      </c>
      <c r="E271" s="130">
        <v>969</v>
      </c>
      <c r="F271" s="120">
        <v>22.4</v>
      </c>
      <c r="G271" s="131">
        <f t="shared" si="219"/>
        <v>21705.599999999999</v>
      </c>
      <c r="H271" s="120">
        <v>22.34</v>
      </c>
      <c r="I271" s="131">
        <f t="shared" si="220"/>
        <v>21647.46</v>
      </c>
      <c r="J271" s="132">
        <f t="shared" si="221"/>
        <v>1.0700320951400102E-2</v>
      </c>
      <c r="K271" s="132"/>
      <c r="L271" s="120">
        <f t="shared" si="222"/>
        <v>23.19</v>
      </c>
      <c r="M271" s="131">
        <f t="shared" si="223"/>
        <v>22471.11</v>
      </c>
      <c r="N271" s="131">
        <f t="shared" si="224"/>
        <v>823.65000000000146</v>
      </c>
      <c r="O271" s="132">
        <f t="shared" si="225"/>
        <v>3.8048343777976792E-2</v>
      </c>
      <c r="P271" s="132">
        <f t="shared" si="226"/>
        <v>1.0704314789515479E-2</v>
      </c>
      <c r="Q271" s="133">
        <f t="shared" si="227"/>
        <v>3.9938381153764579E-6</v>
      </c>
      <c r="R271" s="133"/>
      <c r="T271" s="6">
        <f t="shared" si="228"/>
        <v>3.8048343777976834E-2</v>
      </c>
    </row>
    <row r="272" spans="1:20" x14ac:dyDescent="0.25">
      <c r="A272" s="34">
        <f t="shared" si="218"/>
        <v>266</v>
      </c>
      <c r="B272" s="84">
        <v>33</v>
      </c>
      <c r="C272" s="84" t="s">
        <v>96</v>
      </c>
      <c r="E272" s="130">
        <v>132</v>
      </c>
      <c r="F272" s="120">
        <v>22.15</v>
      </c>
      <c r="G272" s="131">
        <f t="shared" si="219"/>
        <v>2923.7999999999997</v>
      </c>
      <c r="H272" s="120">
        <v>22.02</v>
      </c>
      <c r="I272" s="131">
        <f t="shared" si="220"/>
        <v>2906.64</v>
      </c>
      <c r="J272" s="132">
        <f t="shared" si="221"/>
        <v>1.4367496644030104E-3</v>
      </c>
      <c r="K272" s="132"/>
      <c r="L272" s="120">
        <f t="shared" si="222"/>
        <v>22.85</v>
      </c>
      <c r="M272" s="131">
        <f t="shared" si="223"/>
        <v>3016.2000000000003</v>
      </c>
      <c r="N272" s="131">
        <f t="shared" si="224"/>
        <v>109.5600000000004</v>
      </c>
      <c r="O272" s="132">
        <f t="shared" si="225"/>
        <v>3.7693006357856634E-2</v>
      </c>
      <c r="P272" s="132">
        <f t="shared" si="226"/>
        <v>1.4367939219796704E-3</v>
      </c>
      <c r="Q272" s="133">
        <f t="shared" si="227"/>
        <v>4.42575766599132E-8</v>
      </c>
      <c r="R272" s="133"/>
      <c r="T272" s="6">
        <f t="shared" si="228"/>
        <v>3.7693006357856662E-2</v>
      </c>
    </row>
    <row r="273" spans="1:20" x14ac:dyDescent="0.25">
      <c r="A273" s="34">
        <f t="shared" si="218"/>
        <v>267</v>
      </c>
      <c r="B273" s="84">
        <v>34</v>
      </c>
      <c r="C273" s="84" t="s">
        <v>97</v>
      </c>
      <c r="E273" s="130">
        <v>146</v>
      </c>
      <c r="F273" s="120">
        <v>28.19</v>
      </c>
      <c r="G273" s="131">
        <f t="shared" si="219"/>
        <v>4115.74</v>
      </c>
      <c r="H273" s="120">
        <v>28.06</v>
      </c>
      <c r="I273" s="131">
        <f t="shared" si="220"/>
        <v>4096.76</v>
      </c>
      <c r="J273" s="132">
        <f t="shared" si="221"/>
        <v>2.0250249618596308E-3</v>
      </c>
      <c r="K273" s="132"/>
      <c r="L273" s="120">
        <f t="shared" si="222"/>
        <v>29.12</v>
      </c>
      <c r="M273" s="131">
        <f t="shared" si="223"/>
        <v>4251.5200000000004</v>
      </c>
      <c r="N273" s="131">
        <f t="shared" si="224"/>
        <v>154.76000000000022</v>
      </c>
      <c r="O273" s="132">
        <f t="shared" si="225"/>
        <v>3.777619387027803E-2</v>
      </c>
      <c r="P273" s="132">
        <f t="shared" si="226"/>
        <v>2.0252496834344564E-3</v>
      </c>
      <c r="Q273" s="133">
        <f t="shared" si="227"/>
        <v>2.2472157482555585E-7</v>
      </c>
      <c r="R273" s="133"/>
      <c r="T273" s="6">
        <f t="shared" si="228"/>
        <v>3.7776193870278085E-2</v>
      </c>
    </row>
    <row r="274" spans="1:20" x14ac:dyDescent="0.25">
      <c r="A274" s="34">
        <f t="shared" si="218"/>
        <v>268</v>
      </c>
      <c r="B274" s="84">
        <v>35</v>
      </c>
      <c r="C274" s="84" t="s">
        <v>98</v>
      </c>
      <c r="E274" s="130">
        <v>336</v>
      </c>
      <c r="F274" s="120">
        <v>27.45</v>
      </c>
      <c r="G274" s="131">
        <f t="shared" si="219"/>
        <v>9223.1999999999989</v>
      </c>
      <c r="H274" s="120">
        <v>27.21</v>
      </c>
      <c r="I274" s="131">
        <f t="shared" si="220"/>
        <v>9142.56</v>
      </c>
      <c r="J274" s="132">
        <f t="shared" si="221"/>
        <v>4.5191595834999819E-3</v>
      </c>
      <c r="K274" s="132"/>
      <c r="L274" s="120">
        <f t="shared" si="222"/>
        <v>28.24</v>
      </c>
      <c r="M274" s="131">
        <f t="shared" si="223"/>
        <v>9488.64</v>
      </c>
      <c r="N274" s="131">
        <f t="shared" si="224"/>
        <v>346.07999999999993</v>
      </c>
      <c r="O274" s="132">
        <f t="shared" si="225"/>
        <v>3.7853730246232994E-2</v>
      </c>
      <c r="P274" s="132">
        <f t="shared" si="226"/>
        <v>4.5199987666113576E-3</v>
      </c>
      <c r="Q274" s="133">
        <f t="shared" si="227"/>
        <v>8.3918311137576307E-7</v>
      </c>
      <c r="R274" s="133"/>
      <c r="T274" s="6">
        <f t="shared" si="228"/>
        <v>3.7853730246232953E-2</v>
      </c>
    </row>
    <row r="275" spans="1:20" x14ac:dyDescent="0.25">
      <c r="A275" s="34">
        <f t="shared" si="218"/>
        <v>269</v>
      </c>
      <c r="B275" s="84">
        <v>36</v>
      </c>
      <c r="C275" s="84" t="s">
        <v>99</v>
      </c>
      <c r="E275" s="130">
        <v>48</v>
      </c>
      <c r="F275" s="120">
        <v>33.49</v>
      </c>
      <c r="G275" s="131">
        <f t="shared" si="219"/>
        <v>1607.52</v>
      </c>
      <c r="H275" s="120">
        <v>33.25</v>
      </c>
      <c r="I275" s="131">
        <f t="shared" si="220"/>
        <v>1596</v>
      </c>
      <c r="J275" s="132">
        <f t="shared" si="221"/>
        <v>7.889014340913236E-4</v>
      </c>
      <c r="K275" s="132"/>
      <c r="L275" s="120">
        <f t="shared" si="222"/>
        <v>34.51</v>
      </c>
      <c r="M275" s="131">
        <f t="shared" si="223"/>
        <v>1656.48</v>
      </c>
      <c r="N275" s="131">
        <f t="shared" si="224"/>
        <v>60.480000000000018</v>
      </c>
      <c r="O275" s="132">
        <f t="shared" si="225"/>
        <v>3.7894736842105273E-2</v>
      </c>
      <c r="P275" s="132">
        <f t="shared" si="226"/>
        <v>7.8907910479440486E-4</v>
      </c>
      <c r="Q275" s="133">
        <f t="shared" si="227"/>
        <v>1.7767070308125771E-7</v>
      </c>
      <c r="R275" s="133"/>
      <c r="T275" s="6">
        <f t="shared" si="228"/>
        <v>3.7894736842105203E-2</v>
      </c>
    </row>
    <row r="276" spans="1:20" x14ac:dyDescent="0.25">
      <c r="A276" s="34">
        <f t="shared" si="218"/>
        <v>270</v>
      </c>
      <c r="B276" s="84">
        <v>61</v>
      </c>
      <c r="C276" s="84" t="s">
        <v>154</v>
      </c>
      <c r="E276" s="130">
        <v>16</v>
      </c>
      <c r="F276" s="120">
        <v>16.2</v>
      </c>
      <c r="G276" s="131">
        <f t="shared" si="219"/>
        <v>259.2</v>
      </c>
      <c r="H276" s="120">
        <v>16.170000000000002</v>
      </c>
      <c r="I276" s="131">
        <f t="shared" si="220"/>
        <v>258.72000000000003</v>
      </c>
      <c r="J276" s="132">
        <f t="shared" si="221"/>
        <v>1.2788507457901457E-4</v>
      </c>
      <c r="K276" s="132"/>
      <c r="L276" s="120">
        <f t="shared" si="222"/>
        <v>16.78</v>
      </c>
      <c r="M276" s="131">
        <f t="shared" si="223"/>
        <v>268.48</v>
      </c>
      <c r="N276" s="131">
        <f t="shared" si="224"/>
        <v>9.7599999999999909</v>
      </c>
      <c r="O276" s="132">
        <f t="shared" si="225"/>
        <v>3.7724180581323402E-2</v>
      </c>
      <c r="P276" s="132">
        <f t="shared" si="226"/>
        <v>1.2789285596880243E-4</v>
      </c>
      <c r="Q276" s="133">
        <f t="shared" si="227"/>
        <v>7.7813897878637687E-9</v>
      </c>
      <c r="R276" s="133"/>
      <c r="T276" s="6">
        <f t="shared" si="228"/>
        <v>3.7724180581323319E-2</v>
      </c>
    </row>
    <row r="277" spans="1:20" x14ac:dyDescent="0.25">
      <c r="A277" s="34">
        <f t="shared" si="218"/>
        <v>271</v>
      </c>
      <c r="B277" s="84">
        <v>62</v>
      </c>
      <c r="C277" s="84" t="s">
        <v>155</v>
      </c>
      <c r="E277" s="130">
        <v>18</v>
      </c>
      <c r="F277" s="120">
        <v>21.2</v>
      </c>
      <c r="G277" s="131">
        <f t="shared" si="219"/>
        <v>381.59999999999997</v>
      </c>
      <c r="H277" s="120">
        <v>21.17</v>
      </c>
      <c r="I277" s="131">
        <f t="shared" si="220"/>
        <v>381.06000000000006</v>
      </c>
      <c r="J277" s="132">
        <f t="shared" si="221"/>
        <v>1.8835763187646603E-4</v>
      </c>
      <c r="K277" s="132"/>
      <c r="L277" s="120">
        <f t="shared" si="222"/>
        <v>21.97</v>
      </c>
      <c r="M277" s="131">
        <f t="shared" si="223"/>
        <v>395.46</v>
      </c>
      <c r="N277" s="131">
        <f t="shared" si="224"/>
        <v>14.39999999999992</v>
      </c>
      <c r="O277" s="132">
        <f t="shared" si="225"/>
        <v>3.7789324515824063E-2</v>
      </c>
      <c r="P277" s="132">
        <f t="shared" si="226"/>
        <v>1.8838091783902934E-4</v>
      </c>
      <c r="Q277" s="133">
        <f t="shared" si="227"/>
        <v>2.3285962563317523E-8</v>
      </c>
      <c r="R277" s="133"/>
      <c r="T277" s="6">
        <f t="shared" si="228"/>
        <v>3.7789324515824063E-2</v>
      </c>
    </row>
    <row r="278" spans="1:20" x14ac:dyDescent="0.25">
      <c r="A278" s="34">
        <f t="shared" si="218"/>
        <v>272</v>
      </c>
      <c r="B278" s="84">
        <v>63</v>
      </c>
      <c r="C278" s="84" t="s">
        <v>156</v>
      </c>
      <c r="E278" s="130">
        <v>14</v>
      </c>
      <c r="F278" s="120">
        <v>19.28</v>
      </c>
      <c r="G278" s="131">
        <f t="shared" ref="G278:G291" si="229">F278*E278</f>
        <v>269.92</v>
      </c>
      <c r="H278" s="120">
        <v>19.22</v>
      </c>
      <c r="I278" s="131">
        <f t="shared" ref="I278:I291" si="230">H278*E278</f>
        <v>269.08</v>
      </c>
      <c r="J278" s="132">
        <f t="shared" si="221"/>
        <v>1.3300601371258981E-4</v>
      </c>
      <c r="K278" s="132"/>
      <c r="L278" s="120">
        <f t="shared" si="222"/>
        <v>19.95</v>
      </c>
      <c r="M278" s="131">
        <f t="shared" ref="M278:M291" si="231">L278*E278</f>
        <v>279.3</v>
      </c>
      <c r="N278" s="131">
        <f t="shared" ref="N278:N291" si="232">M278-I278</f>
        <v>10.220000000000027</v>
      </c>
      <c r="O278" s="132">
        <f t="shared" ref="O278:O291" si="233">IF(I278=0,0,N278/I278)</f>
        <v>3.7981269510926223E-2</v>
      </c>
      <c r="P278" s="132">
        <f t="shared" si="226"/>
        <v>1.330470600122412E-4</v>
      </c>
      <c r="Q278" s="133">
        <f t="shared" ref="Q278:Q291" si="234">P278-J278</f>
        <v>4.1046299651390818E-8</v>
      </c>
      <c r="R278" s="133"/>
      <c r="T278" s="6">
        <f t="shared" ref="T278:T291" si="235">L278/H278-1</f>
        <v>3.7981269510926063E-2</v>
      </c>
    </row>
    <row r="279" spans="1:20" x14ac:dyDescent="0.25">
      <c r="A279" s="34">
        <f t="shared" si="218"/>
        <v>273</v>
      </c>
      <c r="B279" s="84">
        <v>64</v>
      </c>
      <c r="C279" s="84" t="s">
        <v>157</v>
      </c>
      <c r="E279" s="130">
        <v>40</v>
      </c>
      <c r="F279" s="120">
        <v>24.28</v>
      </c>
      <c r="G279" s="131">
        <f t="shared" si="229"/>
        <v>971.2</v>
      </c>
      <c r="H279" s="120">
        <v>24.22</v>
      </c>
      <c r="I279" s="131">
        <f t="shared" si="230"/>
        <v>968.8</v>
      </c>
      <c r="J279" s="132">
        <f t="shared" si="221"/>
        <v>4.7887701086947004E-4</v>
      </c>
      <c r="K279" s="132"/>
      <c r="L279" s="120">
        <f t="shared" si="222"/>
        <v>25.14</v>
      </c>
      <c r="M279" s="131">
        <f t="shared" si="231"/>
        <v>1005.6</v>
      </c>
      <c r="N279" s="131">
        <f t="shared" si="232"/>
        <v>36.800000000000068</v>
      </c>
      <c r="O279" s="132">
        <f t="shared" si="233"/>
        <v>3.7985136251032274E-2</v>
      </c>
      <c r="P279" s="132">
        <f t="shared" si="226"/>
        <v>4.7902657912033563E-4</v>
      </c>
      <c r="Q279" s="133">
        <f t="shared" si="234"/>
        <v>1.4956825086559402E-7</v>
      </c>
      <c r="R279" s="133"/>
      <c r="T279" s="6">
        <f t="shared" si="235"/>
        <v>3.798513625103217E-2</v>
      </c>
    </row>
    <row r="280" spans="1:20" x14ac:dyDescent="0.25">
      <c r="A280" s="34">
        <f t="shared" si="218"/>
        <v>274</v>
      </c>
      <c r="B280" s="84">
        <v>65</v>
      </c>
      <c r="C280" s="84" t="s">
        <v>158</v>
      </c>
      <c r="E280" s="130">
        <v>0</v>
      </c>
      <c r="F280" s="120">
        <v>25.8</v>
      </c>
      <c r="G280" s="131">
        <f t="shared" si="229"/>
        <v>0</v>
      </c>
      <c r="H280" s="120">
        <v>25.67</v>
      </c>
      <c r="I280" s="131">
        <f t="shared" si="230"/>
        <v>0</v>
      </c>
      <c r="J280" s="132">
        <f t="shared" si="221"/>
        <v>0</v>
      </c>
      <c r="K280" s="132"/>
      <c r="L280" s="120">
        <f t="shared" si="222"/>
        <v>26.64</v>
      </c>
      <c r="M280" s="131">
        <f t="shared" si="231"/>
        <v>0</v>
      </c>
      <c r="N280" s="131">
        <f t="shared" si="232"/>
        <v>0</v>
      </c>
      <c r="O280" s="132">
        <f t="shared" si="233"/>
        <v>0</v>
      </c>
      <c r="P280" s="132">
        <f t="shared" si="226"/>
        <v>0</v>
      </c>
      <c r="Q280" s="133">
        <f t="shared" si="234"/>
        <v>0</v>
      </c>
      <c r="R280" s="133"/>
      <c r="T280" s="6">
        <f t="shared" si="235"/>
        <v>3.7787300350603736E-2</v>
      </c>
    </row>
    <row r="281" spans="1:20" x14ac:dyDescent="0.25">
      <c r="A281" s="34">
        <f t="shared" si="218"/>
        <v>275</v>
      </c>
      <c r="B281" s="84">
        <v>66</v>
      </c>
      <c r="C281" s="84" t="s">
        <v>159</v>
      </c>
      <c r="E281" s="130">
        <v>0</v>
      </c>
      <c r="F281" s="120">
        <v>30.8</v>
      </c>
      <c r="G281" s="131">
        <f t="shared" si="229"/>
        <v>0</v>
      </c>
      <c r="H281" s="120">
        <v>30.67</v>
      </c>
      <c r="I281" s="131">
        <f t="shared" si="230"/>
        <v>0</v>
      </c>
      <c r="J281" s="132">
        <f t="shared" si="221"/>
        <v>0</v>
      </c>
      <c r="K281" s="132"/>
      <c r="L281" s="120">
        <f t="shared" si="222"/>
        <v>31.83</v>
      </c>
      <c r="M281" s="131">
        <f t="shared" si="231"/>
        <v>0</v>
      </c>
      <c r="N281" s="131">
        <f t="shared" si="232"/>
        <v>0</v>
      </c>
      <c r="O281" s="132">
        <f t="shared" si="233"/>
        <v>0</v>
      </c>
      <c r="P281" s="132">
        <f t="shared" si="226"/>
        <v>0</v>
      </c>
      <c r="Q281" s="133">
        <f t="shared" si="234"/>
        <v>0</v>
      </c>
      <c r="R281" s="133"/>
      <c r="T281" s="6">
        <f t="shared" si="235"/>
        <v>3.7821975872187608E-2</v>
      </c>
    </row>
    <row r="282" spans="1:20" x14ac:dyDescent="0.25">
      <c r="A282" s="34">
        <f t="shared" si="218"/>
        <v>276</v>
      </c>
      <c r="B282" s="84"/>
      <c r="C282" s="84" t="s">
        <v>141</v>
      </c>
      <c r="E282" s="130"/>
      <c r="F282" s="120"/>
      <c r="G282" s="131"/>
      <c r="H282" s="120"/>
      <c r="I282" s="131"/>
      <c r="J282" s="132"/>
      <c r="K282" s="132"/>
      <c r="L282" s="120"/>
      <c r="M282" s="131"/>
      <c r="N282" s="131"/>
      <c r="O282" s="132"/>
      <c r="P282" s="132"/>
      <c r="Q282" s="133"/>
      <c r="R282" s="133"/>
      <c r="T282" s="6"/>
    </row>
    <row r="283" spans="1:20" x14ac:dyDescent="0.25">
      <c r="A283" s="34">
        <f t="shared" si="218"/>
        <v>277</v>
      </c>
      <c r="B283" s="84">
        <v>41</v>
      </c>
      <c r="C283" s="84" t="s">
        <v>100</v>
      </c>
      <c r="E283" s="130">
        <v>709</v>
      </c>
      <c r="F283" s="120">
        <v>15.31</v>
      </c>
      <c r="G283" s="131">
        <f t="shared" si="229"/>
        <v>10854.79</v>
      </c>
      <c r="H283" s="120">
        <v>15.25</v>
      </c>
      <c r="I283" s="131">
        <f t="shared" si="230"/>
        <v>10812.25</v>
      </c>
      <c r="J283" s="132">
        <f t="shared" si="221"/>
        <v>5.3444859215250077E-3</v>
      </c>
      <c r="K283" s="132"/>
      <c r="L283" s="120">
        <f t="shared" si="222"/>
        <v>15.83</v>
      </c>
      <c r="M283" s="131">
        <f t="shared" si="231"/>
        <v>11223.47</v>
      </c>
      <c r="N283" s="131">
        <f t="shared" si="232"/>
        <v>411.21999999999935</v>
      </c>
      <c r="O283" s="132">
        <f t="shared" si="233"/>
        <v>3.8032786885245841E-2</v>
      </c>
      <c r="P283" s="132">
        <f t="shared" si="226"/>
        <v>5.3464005966186489E-3</v>
      </c>
      <c r="Q283" s="133">
        <f t="shared" si="234"/>
        <v>1.9146750936411411E-6</v>
      </c>
      <c r="R283" s="133"/>
      <c r="T283" s="6">
        <f t="shared" si="235"/>
        <v>3.8032786885245917E-2</v>
      </c>
    </row>
    <row r="284" spans="1:20" x14ac:dyDescent="0.25">
      <c r="A284" s="34">
        <f t="shared" si="218"/>
        <v>278</v>
      </c>
      <c r="B284" s="84">
        <v>42</v>
      </c>
      <c r="C284" s="84" t="s">
        <v>101</v>
      </c>
      <c r="E284" s="130">
        <v>299</v>
      </c>
      <c r="F284" s="120">
        <v>21.35</v>
      </c>
      <c r="G284" s="131">
        <f t="shared" si="229"/>
        <v>6383.6500000000005</v>
      </c>
      <c r="H284" s="120">
        <v>21.29</v>
      </c>
      <c r="I284" s="131">
        <f t="shared" si="230"/>
        <v>6365.71</v>
      </c>
      <c r="J284" s="132">
        <f t="shared" si="221"/>
        <v>3.1465650050184705E-3</v>
      </c>
      <c r="K284" s="132"/>
      <c r="L284" s="120">
        <f t="shared" si="222"/>
        <v>22.1</v>
      </c>
      <c r="M284" s="131">
        <f t="shared" si="231"/>
        <v>6607.9000000000005</v>
      </c>
      <c r="N284" s="131">
        <f t="shared" si="232"/>
        <v>242.19000000000051</v>
      </c>
      <c r="O284" s="132">
        <f t="shared" si="233"/>
        <v>3.8046031000469785E-2</v>
      </c>
      <c r="P284" s="132">
        <f t="shared" si="226"/>
        <v>3.1477324305581407E-3</v>
      </c>
      <c r="Q284" s="133">
        <f t="shared" si="234"/>
        <v>1.1674255396701763E-6</v>
      </c>
      <c r="R284" s="133"/>
      <c r="T284" s="6">
        <f t="shared" si="235"/>
        <v>3.8046031000469771E-2</v>
      </c>
    </row>
    <row r="285" spans="1:20" x14ac:dyDescent="0.25">
      <c r="A285" s="34">
        <f t="shared" si="218"/>
        <v>279</v>
      </c>
      <c r="B285" s="84">
        <v>43</v>
      </c>
      <c r="C285" s="84" t="s">
        <v>102</v>
      </c>
      <c r="E285" s="130">
        <v>632</v>
      </c>
      <c r="F285" s="120">
        <v>18.73</v>
      </c>
      <c r="G285" s="131">
        <f t="shared" si="229"/>
        <v>11837.36</v>
      </c>
      <c r="H285" s="120">
        <v>18.600000000000001</v>
      </c>
      <c r="I285" s="131">
        <f t="shared" si="230"/>
        <v>11755.2</v>
      </c>
      <c r="J285" s="132">
        <f t="shared" si="221"/>
        <v>5.8105852995177492E-3</v>
      </c>
      <c r="K285" s="132"/>
      <c r="L285" s="120">
        <f t="shared" si="222"/>
        <v>19.3</v>
      </c>
      <c r="M285" s="131">
        <f t="shared" si="231"/>
        <v>12197.6</v>
      </c>
      <c r="N285" s="131">
        <f t="shared" si="232"/>
        <v>442.39999999999964</v>
      </c>
      <c r="O285" s="132">
        <f t="shared" si="233"/>
        <v>3.7634408602150504E-2</v>
      </c>
      <c r="P285" s="132">
        <f t="shared" si="226"/>
        <v>5.8104361589878736E-3</v>
      </c>
      <c r="Q285" s="133">
        <f t="shared" si="234"/>
        <v>-1.4914052987556603E-7</v>
      </c>
      <c r="R285" s="133"/>
      <c r="T285" s="6">
        <f t="shared" si="235"/>
        <v>3.7634408602150504E-2</v>
      </c>
    </row>
    <row r="286" spans="1:20" x14ac:dyDescent="0.25">
      <c r="A286" s="34">
        <f t="shared" si="218"/>
        <v>280</v>
      </c>
      <c r="B286" s="84">
        <v>44</v>
      </c>
      <c r="C286" s="84" t="s">
        <v>103</v>
      </c>
      <c r="E286" s="130">
        <v>316</v>
      </c>
      <c r="F286" s="120">
        <v>24.77</v>
      </c>
      <c r="G286" s="131">
        <f t="shared" si="229"/>
        <v>7827.32</v>
      </c>
      <c r="H286" s="120">
        <v>24.64</v>
      </c>
      <c r="I286" s="131">
        <f t="shared" si="230"/>
        <v>7786.24</v>
      </c>
      <c r="J286" s="132">
        <f t="shared" si="221"/>
        <v>3.8487317682827237E-3</v>
      </c>
      <c r="K286" s="132"/>
      <c r="L286" s="120">
        <f t="shared" si="222"/>
        <v>25.57</v>
      </c>
      <c r="M286" s="131">
        <f t="shared" si="231"/>
        <v>8080.12</v>
      </c>
      <c r="N286" s="131">
        <f t="shared" si="232"/>
        <v>293.88000000000011</v>
      </c>
      <c r="O286" s="132">
        <f t="shared" si="233"/>
        <v>3.774350649350651E-2</v>
      </c>
      <c r="P286" s="132">
        <f t="shared" si="226"/>
        <v>3.8490376317440395E-3</v>
      </c>
      <c r="Q286" s="133">
        <f t="shared" si="234"/>
        <v>3.0586346131582579E-7</v>
      </c>
      <c r="R286" s="133"/>
      <c r="T286" s="6">
        <f t="shared" si="235"/>
        <v>3.7743506493506551E-2</v>
      </c>
    </row>
    <row r="287" spans="1:20" x14ac:dyDescent="0.25">
      <c r="A287" s="34">
        <f t="shared" si="218"/>
        <v>281</v>
      </c>
      <c r="B287" s="84">
        <v>45</v>
      </c>
      <c r="C287" s="84" t="s">
        <v>104</v>
      </c>
      <c r="E287" s="130">
        <v>1246</v>
      </c>
      <c r="F287" s="120">
        <v>23.73</v>
      </c>
      <c r="G287" s="131">
        <f t="shared" si="229"/>
        <v>29567.58</v>
      </c>
      <c r="H287" s="120">
        <v>23.49</v>
      </c>
      <c r="I287" s="131">
        <f t="shared" si="230"/>
        <v>29268.539999999997</v>
      </c>
      <c r="J287" s="132">
        <f t="shared" si="221"/>
        <v>1.4467414273032121E-2</v>
      </c>
      <c r="K287" s="132"/>
      <c r="L287" s="120">
        <f t="shared" si="222"/>
        <v>24.38</v>
      </c>
      <c r="M287" s="131">
        <f t="shared" si="231"/>
        <v>30377.48</v>
      </c>
      <c r="N287" s="131">
        <f t="shared" si="232"/>
        <v>1108.9400000000023</v>
      </c>
      <c r="O287" s="132">
        <f t="shared" si="233"/>
        <v>3.7888463175819578E-2</v>
      </c>
      <c r="P287" s="132">
        <f t="shared" si="226"/>
        <v>1.4470585050414094E-2</v>
      </c>
      <c r="Q287" s="133">
        <f t="shared" si="234"/>
        <v>3.170777381973286E-6</v>
      </c>
      <c r="R287" s="133"/>
      <c r="T287" s="6">
        <f t="shared" si="235"/>
        <v>3.788846317581962E-2</v>
      </c>
    </row>
    <row r="288" spans="1:20" x14ac:dyDescent="0.25">
      <c r="A288" s="34">
        <f t="shared" si="218"/>
        <v>282</v>
      </c>
      <c r="B288" s="84">
        <v>46</v>
      </c>
      <c r="C288" s="84" t="s">
        <v>105</v>
      </c>
      <c r="E288" s="130">
        <v>519</v>
      </c>
      <c r="F288" s="120">
        <v>29.77</v>
      </c>
      <c r="G288" s="131">
        <f t="shared" si="229"/>
        <v>15450.63</v>
      </c>
      <c r="H288" s="120">
        <v>29.53</v>
      </c>
      <c r="I288" s="131">
        <f t="shared" si="230"/>
        <v>15326.07</v>
      </c>
      <c r="J288" s="132">
        <f t="shared" si="221"/>
        <v>7.5756632844511344E-3</v>
      </c>
      <c r="K288" s="132"/>
      <c r="L288" s="120">
        <f t="shared" si="222"/>
        <v>30.65</v>
      </c>
      <c r="M288" s="131">
        <f t="shared" si="231"/>
        <v>15907.349999999999</v>
      </c>
      <c r="N288" s="131">
        <f t="shared" si="232"/>
        <v>581.27999999999884</v>
      </c>
      <c r="O288" s="132">
        <f t="shared" si="233"/>
        <v>3.7927531324077134E-2</v>
      </c>
      <c r="P288" s="132">
        <f t="shared" si="226"/>
        <v>7.5776088438443421E-3</v>
      </c>
      <c r="Q288" s="133">
        <f t="shared" si="234"/>
        <v>1.9455593932076951E-6</v>
      </c>
      <c r="R288" s="133"/>
      <c r="T288" s="6">
        <f t="shared" si="235"/>
        <v>3.7927531324077224E-2</v>
      </c>
    </row>
    <row r="289" spans="1:20" x14ac:dyDescent="0.25">
      <c r="A289" s="34">
        <f t="shared" si="218"/>
        <v>283</v>
      </c>
      <c r="B289" s="84">
        <v>71</v>
      </c>
      <c r="C289" s="84" t="s">
        <v>106</v>
      </c>
      <c r="E289" s="130">
        <v>40</v>
      </c>
      <c r="F289" s="120">
        <v>14.28</v>
      </c>
      <c r="G289" s="131">
        <f t="shared" si="229"/>
        <v>571.19999999999993</v>
      </c>
      <c r="H289" s="120">
        <v>14.25</v>
      </c>
      <c r="I289" s="131">
        <f t="shared" si="230"/>
        <v>570</v>
      </c>
      <c r="J289" s="132">
        <f t="shared" si="221"/>
        <v>2.8175051217547271E-4</v>
      </c>
      <c r="K289" s="132"/>
      <c r="L289" s="120">
        <f t="shared" si="222"/>
        <v>14.79</v>
      </c>
      <c r="M289" s="131">
        <f t="shared" si="231"/>
        <v>591.59999999999991</v>
      </c>
      <c r="N289" s="131">
        <f t="shared" si="232"/>
        <v>21.599999999999909</v>
      </c>
      <c r="O289" s="132">
        <f t="shared" si="233"/>
        <v>3.7894736842105106E-2</v>
      </c>
      <c r="P289" s="132">
        <f t="shared" si="226"/>
        <v>2.818139659980017E-4</v>
      </c>
      <c r="Q289" s="133">
        <f t="shared" si="234"/>
        <v>6.3453822528997377E-8</v>
      </c>
      <c r="R289" s="133"/>
      <c r="T289" s="6">
        <f t="shared" si="235"/>
        <v>3.7894736842105203E-2</v>
      </c>
    </row>
    <row r="290" spans="1:20" x14ac:dyDescent="0.25">
      <c r="A290" s="34">
        <f t="shared" si="218"/>
        <v>284</v>
      </c>
      <c r="B290" s="84">
        <v>72</v>
      </c>
      <c r="C290" s="84" t="s">
        <v>107</v>
      </c>
      <c r="E290" s="130">
        <v>11</v>
      </c>
      <c r="F290" s="120">
        <v>19.28</v>
      </c>
      <c r="G290" s="131">
        <f t="shared" si="229"/>
        <v>212.08</v>
      </c>
      <c r="H290" s="120">
        <v>19.25</v>
      </c>
      <c r="I290" s="131">
        <f t="shared" si="230"/>
        <v>211.75</v>
      </c>
      <c r="J290" s="132">
        <f t="shared" si="221"/>
        <v>1.0466784377746727E-4</v>
      </c>
      <c r="K290" s="132"/>
      <c r="L290" s="120">
        <f t="shared" si="222"/>
        <v>19.98</v>
      </c>
      <c r="M290" s="131">
        <f t="shared" si="231"/>
        <v>219.78</v>
      </c>
      <c r="N290" s="131">
        <f t="shared" si="232"/>
        <v>8.0300000000000011</v>
      </c>
      <c r="O290" s="132">
        <f t="shared" si="233"/>
        <v>3.7922077922077926E-2</v>
      </c>
      <c r="P290" s="132">
        <f t="shared" si="226"/>
        <v>1.0469417418363899E-4</v>
      </c>
      <c r="Q290" s="133">
        <f t="shared" si="234"/>
        <v>2.633040617171776E-8</v>
      </c>
      <c r="R290" s="133"/>
      <c r="T290" s="6">
        <f t="shared" si="235"/>
        <v>3.7922077922077913E-2</v>
      </c>
    </row>
    <row r="291" spans="1:20" x14ac:dyDescent="0.25">
      <c r="A291" s="34">
        <f t="shared" si="218"/>
        <v>285</v>
      </c>
      <c r="B291" s="84">
        <v>73</v>
      </c>
      <c r="C291" s="84" t="s">
        <v>108</v>
      </c>
      <c r="E291" s="130">
        <v>3</v>
      </c>
      <c r="F291" s="120">
        <v>16.8</v>
      </c>
      <c r="G291" s="131">
        <f t="shared" si="229"/>
        <v>50.400000000000006</v>
      </c>
      <c r="H291" s="120">
        <v>16.75</v>
      </c>
      <c r="I291" s="131">
        <f t="shared" si="230"/>
        <v>50.25</v>
      </c>
      <c r="J291" s="132">
        <f t="shared" si="221"/>
        <v>2.4838531994416671E-5</v>
      </c>
      <c r="K291" s="132"/>
      <c r="L291" s="120">
        <f t="shared" si="222"/>
        <v>17.38</v>
      </c>
      <c r="M291" s="131">
        <f t="shared" si="231"/>
        <v>52.14</v>
      </c>
      <c r="N291" s="131">
        <f t="shared" si="232"/>
        <v>1.8900000000000006</v>
      </c>
      <c r="O291" s="132">
        <f t="shared" si="233"/>
        <v>3.7611940298507472E-2</v>
      </c>
      <c r="P291" s="132">
        <f t="shared" si="226"/>
        <v>2.4837356638160599E-5</v>
      </c>
      <c r="Q291" s="133">
        <f t="shared" si="234"/>
        <v>-1.1753562560716687E-9</v>
      </c>
      <c r="R291" s="133"/>
      <c r="T291" s="6">
        <f t="shared" si="235"/>
        <v>3.761194029850734E-2</v>
      </c>
    </row>
    <row r="292" spans="1:20" x14ac:dyDescent="0.25">
      <c r="A292" s="34">
        <f t="shared" si="218"/>
        <v>286</v>
      </c>
      <c r="B292" s="84">
        <v>74</v>
      </c>
      <c r="C292" s="84" t="s">
        <v>109</v>
      </c>
      <c r="E292" s="130">
        <v>0</v>
      </c>
      <c r="F292" s="120">
        <v>21.8</v>
      </c>
      <c r="G292" s="131">
        <f t="shared" ref="G292:G294" si="236">F292*E292</f>
        <v>0</v>
      </c>
      <c r="H292" s="120">
        <v>21.75</v>
      </c>
      <c r="I292" s="131">
        <f t="shared" ref="I292:I294" si="237">H292*E292</f>
        <v>0</v>
      </c>
      <c r="J292" s="132">
        <f t="shared" si="221"/>
        <v>0</v>
      </c>
      <c r="K292" s="132"/>
      <c r="L292" s="120">
        <f t="shared" si="222"/>
        <v>22.57</v>
      </c>
      <c r="M292" s="131">
        <f t="shared" ref="M292:M294" si="238">L292*E292</f>
        <v>0</v>
      </c>
      <c r="N292" s="131">
        <f t="shared" ref="N292:N294" si="239">M292-I292</f>
        <v>0</v>
      </c>
      <c r="O292" s="132">
        <f t="shared" ref="O292:O294" si="240">IF(I292=0,0,N292/I292)</f>
        <v>0</v>
      </c>
      <c r="P292" s="132">
        <f t="shared" si="226"/>
        <v>0</v>
      </c>
      <c r="Q292" s="133">
        <f t="shared" ref="Q292:Q294" si="241">P292-J292</f>
        <v>0</v>
      </c>
      <c r="R292" s="133"/>
      <c r="T292" s="6">
        <f t="shared" ref="T292:T301" si="242">L292/H292-1</f>
        <v>3.7701149425287461E-2</v>
      </c>
    </row>
    <row r="293" spans="1:20" x14ac:dyDescent="0.25">
      <c r="A293" s="34">
        <f t="shared" si="218"/>
        <v>287</v>
      </c>
      <c r="B293" s="84">
        <v>75</v>
      </c>
      <c r="C293" s="84" t="s">
        <v>110</v>
      </c>
      <c r="E293" s="130">
        <v>130</v>
      </c>
      <c r="F293" s="120">
        <v>18.89</v>
      </c>
      <c r="G293" s="131">
        <f t="shared" si="236"/>
        <v>2455.7000000000003</v>
      </c>
      <c r="H293" s="120">
        <v>18.82</v>
      </c>
      <c r="I293" s="131">
        <f t="shared" si="237"/>
        <v>2446.6</v>
      </c>
      <c r="J293" s="132">
        <f t="shared" si="221"/>
        <v>1.2093522861201956E-3</v>
      </c>
      <c r="K293" s="132"/>
      <c r="L293" s="120">
        <f t="shared" si="222"/>
        <v>19.53</v>
      </c>
      <c r="M293" s="131">
        <f t="shared" si="238"/>
        <v>2538.9</v>
      </c>
      <c r="N293" s="131">
        <f t="shared" si="239"/>
        <v>92.300000000000182</v>
      </c>
      <c r="O293" s="132">
        <f t="shared" si="240"/>
        <v>3.7725823591923564E-2</v>
      </c>
      <c r="P293" s="132">
        <f t="shared" si="226"/>
        <v>1.2094277861263128E-3</v>
      </c>
      <c r="Q293" s="133">
        <f t="shared" si="241"/>
        <v>7.5500006117227431E-8</v>
      </c>
      <c r="R293" s="133"/>
      <c r="T293" s="6">
        <f t="shared" si="242"/>
        <v>3.7725823591923557E-2</v>
      </c>
    </row>
    <row r="294" spans="1:20" x14ac:dyDescent="0.25">
      <c r="A294" s="34">
        <f t="shared" si="218"/>
        <v>288</v>
      </c>
      <c r="B294" s="84">
        <v>76</v>
      </c>
      <c r="C294" s="84" t="s">
        <v>111</v>
      </c>
      <c r="E294" s="130">
        <v>132</v>
      </c>
      <c r="F294" s="120">
        <v>23.89</v>
      </c>
      <c r="G294" s="131">
        <f t="shared" si="236"/>
        <v>3153.48</v>
      </c>
      <c r="H294" s="120">
        <v>23.82</v>
      </c>
      <c r="I294" s="131">
        <f t="shared" si="237"/>
        <v>3144.2400000000002</v>
      </c>
      <c r="J294" s="132">
        <f t="shared" si="221"/>
        <v>1.5541951410572075E-3</v>
      </c>
      <c r="K294" s="132"/>
      <c r="L294" s="120">
        <f t="shared" si="222"/>
        <v>24.72</v>
      </c>
      <c r="M294" s="131">
        <f t="shared" si="238"/>
        <v>3263.04</v>
      </c>
      <c r="N294" s="131">
        <f t="shared" si="239"/>
        <v>118.79999999999973</v>
      </c>
      <c r="O294" s="132">
        <f t="shared" si="240"/>
        <v>3.7783375314861374E-2</v>
      </c>
      <c r="P294" s="132">
        <f t="shared" si="226"/>
        <v>1.554378369861595E-3</v>
      </c>
      <c r="Q294" s="133">
        <f t="shared" si="241"/>
        <v>1.8322880438749987E-7</v>
      </c>
      <c r="R294" s="133"/>
      <c r="T294" s="6">
        <f t="shared" si="242"/>
        <v>3.7783375314861312E-2</v>
      </c>
    </row>
    <row r="295" spans="1:20" x14ac:dyDescent="0.25">
      <c r="A295" s="34">
        <f t="shared" si="218"/>
        <v>289</v>
      </c>
      <c r="B295" s="84"/>
      <c r="C295" s="83" t="s">
        <v>112</v>
      </c>
      <c r="E295" s="130">
        <v>0</v>
      </c>
      <c r="F295" s="120"/>
      <c r="G295" s="131"/>
      <c r="H295" s="120"/>
      <c r="I295" s="131"/>
      <c r="J295" s="132"/>
      <c r="K295" s="132"/>
      <c r="L295" s="120"/>
      <c r="M295" s="131"/>
      <c r="N295" s="131"/>
      <c r="O295" s="132"/>
      <c r="P295" s="132"/>
      <c r="Q295" s="133"/>
      <c r="R295" s="133"/>
      <c r="T295" s="6"/>
    </row>
    <row r="296" spans="1:20" x14ac:dyDescent="0.25">
      <c r="A296" s="34">
        <f t="shared" si="218"/>
        <v>290</v>
      </c>
      <c r="B296" s="84">
        <v>51</v>
      </c>
      <c r="C296" s="84" t="s">
        <v>113</v>
      </c>
      <c r="E296" s="130">
        <v>11682</v>
      </c>
      <c r="F296" s="120">
        <v>16.16</v>
      </c>
      <c r="G296" s="131">
        <f t="shared" ref="G296:G301" si="243">F296*E296</f>
        <v>188781.12</v>
      </c>
      <c r="H296" s="120">
        <v>16.100000000000001</v>
      </c>
      <c r="I296" s="131">
        <f t="shared" ref="I296:I301" si="244">H296*E296</f>
        <v>188080.2</v>
      </c>
      <c r="J296" s="132">
        <f t="shared" si="221"/>
        <v>9.2967881894851473E-2</v>
      </c>
      <c r="K296" s="132"/>
      <c r="L296" s="120">
        <f t="shared" si="222"/>
        <v>16.71</v>
      </c>
      <c r="M296" s="131">
        <f t="shared" ref="M296:M301" si="245">L296*E296</f>
        <v>195206.22</v>
      </c>
      <c r="N296" s="131">
        <f t="shared" ref="N296:N301" si="246">M296-I296</f>
        <v>7126.0199999999895</v>
      </c>
      <c r="O296" s="132">
        <f t="shared" ref="O296:O301" si="247">IF(I296=0,0,N296/I296)</f>
        <v>3.7888198757763919E-2</v>
      </c>
      <c r="P296" s="132">
        <f t="shared" si="226"/>
        <v>9.2988233680998053E-2</v>
      </c>
      <c r="Q296" s="133">
        <f t="shared" ref="Q296:Q301" si="248">P296-J296</f>
        <v>2.0351786146580175E-5</v>
      </c>
      <c r="R296" s="133"/>
      <c r="T296" s="6">
        <f t="shared" si="242"/>
        <v>3.7888198757763947E-2</v>
      </c>
    </row>
    <row r="297" spans="1:20" x14ac:dyDescent="0.25">
      <c r="A297" s="34">
        <f t="shared" si="218"/>
        <v>291</v>
      </c>
      <c r="B297" s="84">
        <v>52</v>
      </c>
      <c r="C297" s="84" t="s">
        <v>114</v>
      </c>
      <c r="E297" s="130">
        <v>9549</v>
      </c>
      <c r="F297" s="120">
        <v>19.21</v>
      </c>
      <c r="G297" s="131">
        <f t="shared" si="243"/>
        <v>183436.29</v>
      </c>
      <c r="H297" s="120">
        <v>19.149999999999999</v>
      </c>
      <c r="I297" s="131">
        <f t="shared" si="244"/>
        <v>182863.34999999998</v>
      </c>
      <c r="J297" s="132">
        <f t="shared" si="221"/>
        <v>9.038919740460126E-2</v>
      </c>
      <c r="K297" s="132"/>
      <c r="L297" s="120">
        <f t="shared" si="222"/>
        <v>19.88</v>
      </c>
      <c r="M297" s="131">
        <f t="shared" si="245"/>
        <v>189834.12</v>
      </c>
      <c r="N297" s="131">
        <f t="shared" si="246"/>
        <v>6970.7700000000186</v>
      </c>
      <c r="O297" s="132">
        <f t="shared" si="247"/>
        <v>3.8120104438642402E-2</v>
      </c>
      <c r="P297" s="132">
        <f t="shared" si="226"/>
        <v>9.042918566419976E-2</v>
      </c>
      <c r="Q297" s="133">
        <f t="shared" si="248"/>
        <v>3.9988259598500164E-5</v>
      </c>
      <c r="R297" s="133"/>
      <c r="T297" s="6">
        <f t="shared" si="242"/>
        <v>3.8120104438642333E-2</v>
      </c>
    </row>
    <row r="298" spans="1:20" x14ac:dyDescent="0.25">
      <c r="A298" s="34">
        <f t="shared" si="218"/>
        <v>292</v>
      </c>
      <c r="B298" s="84">
        <v>53</v>
      </c>
      <c r="C298" s="84" t="s">
        <v>115</v>
      </c>
      <c r="E298" s="130">
        <v>33</v>
      </c>
      <c r="F298" s="120">
        <v>25</v>
      </c>
      <c r="G298" s="131">
        <f t="shared" si="243"/>
        <v>825</v>
      </c>
      <c r="H298" s="120">
        <v>24.98</v>
      </c>
      <c r="I298" s="131">
        <f t="shared" si="244"/>
        <v>824.34</v>
      </c>
      <c r="J298" s="132">
        <f t="shared" si="221"/>
        <v>4.0747055650303365E-4</v>
      </c>
      <c r="K298" s="132"/>
      <c r="L298" s="120">
        <f t="shared" si="222"/>
        <v>25.93</v>
      </c>
      <c r="M298" s="131">
        <f t="shared" si="245"/>
        <v>855.68999999999994</v>
      </c>
      <c r="N298" s="131">
        <f t="shared" si="246"/>
        <v>31.349999999999909</v>
      </c>
      <c r="O298" s="132">
        <f t="shared" si="247"/>
        <v>3.8030424339471465E-2</v>
      </c>
      <c r="P298" s="132">
        <f t="shared" si="226"/>
        <v>4.0761560609335715E-4</v>
      </c>
      <c r="Q298" s="133">
        <f t="shared" si="248"/>
        <v>1.4504959032349881E-7</v>
      </c>
      <c r="R298" s="133"/>
      <c r="T298" s="6">
        <f t="shared" si="242"/>
        <v>3.8030424339471569E-2</v>
      </c>
    </row>
    <row r="299" spans="1:20" x14ac:dyDescent="0.25">
      <c r="A299" s="34">
        <f t="shared" si="218"/>
        <v>293</v>
      </c>
      <c r="B299" s="84">
        <v>54</v>
      </c>
      <c r="C299" s="84" t="s">
        <v>116</v>
      </c>
      <c r="E299" s="130">
        <v>174</v>
      </c>
      <c r="F299" s="120">
        <v>31.22</v>
      </c>
      <c r="G299" s="131">
        <f t="shared" si="243"/>
        <v>5432.28</v>
      </c>
      <c r="H299" s="120">
        <v>31.19</v>
      </c>
      <c r="I299" s="131">
        <f t="shared" si="244"/>
        <v>5427.06</v>
      </c>
      <c r="J299" s="132">
        <f t="shared" si="221"/>
        <v>2.6825911133456508E-3</v>
      </c>
      <c r="K299" s="132"/>
      <c r="L299" s="120">
        <f t="shared" si="222"/>
        <v>32.369999999999997</v>
      </c>
      <c r="M299" s="131">
        <f t="shared" si="245"/>
        <v>5632.3799999999992</v>
      </c>
      <c r="N299" s="131">
        <f t="shared" si="246"/>
        <v>205.3199999999988</v>
      </c>
      <c r="O299" s="132">
        <f t="shared" si="247"/>
        <v>3.7832638666238955E-2</v>
      </c>
      <c r="P299" s="132">
        <f t="shared" si="226"/>
        <v>2.6830347292221514E-3</v>
      </c>
      <c r="Q299" s="133">
        <f t="shared" si="248"/>
        <v>4.4361587650055059E-7</v>
      </c>
      <c r="R299" s="133"/>
      <c r="T299" s="6">
        <f t="shared" si="242"/>
        <v>3.7832638666239093E-2</v>
      </c>
    </row>
    <row r="300" spans="1:20" x14ac:dyDescent="0.25">
      <c r="A300" s="34">
        <f t="shared" si="218"/>
        <v>294</v>
      </c>
      <c r="B300" s="84">
        <v>55</v>
      </c>
      <c r="C300" s="84" t="s">
        <v>117</v>
      </c>
      <c r="E300" s="130">
        <v>219</v>
      </c>
      <c r="F300" s="120">
        <v>26.26</v>
      </c>
      <c r="G300" s="131">
        <f t="shared" si="243"/>
        <v>5750.9400000000005</v>
      </c>
      <c r="H300" s="120">
        <v>26.23</v>
      </c>
      <c r="I300" s="131">
        <f t="shared" si="244"/>
        <v>5744.37</v>
      </c>
      <c r="J300" s="132">
        <f t="shared" si="221"/>
        <v>2.8394371747814387E-3</v>
      </c>
      <c r="K300" s="132"/>
      <c r="L300" s="120">
        <f t="shared" si="222"/>
        <v>27.22</v>
      </c>
      <c r="M300" s="131">
        <f t="shared" si="245"/>
        <v>5961.1799999999994</v>
      </c>
      <c r="N300" s="131">
        <f t="shared" si="246"/>
        <v>216.80999999999949</v>
      </c>
      <c r="O300" s="132">
        <f t="shared" si="247"/>
        <v>3.774304231795645E-2</v>
      </c>
      <c r="P300" s="132">
        <f t="shared" si="226"/>
        <v>2.8396615581946717E-3</v>
      </c>
      <c r="Q300" s="133">
        <f t="shared" si="248"/>
        <v>2.2438341323307784E-7</v>
      </c>
      <c r="R300" s="133"/>
      <c r="T300" s="6">
        <f t="shared" si="242"/>
        <v>3.7743042317956554E-2</v>
      </c>
    </row>
    <row r="301" spans="1:20" x14ac:dyDescent="0.25">
      <c r="A301" s="34">
        <f t="shared" si="218"/>
        <v>295</v>
      </c>
      <c r="B301" s="84">
        <v>56</v>
      </c>
      <c r="C301" s="84" t="s">
        <v>118</v>
      </c>
      <c r="E301" s="130">
        <v>0</v>
      </c>
      <c r="F301" s="120">
        <v>43.82</v>
      </c>
      <c r="G301" s="131">
        <f t="shared" si="243"/>
        <v>0</v>
      </c>
      <c r="H301" s="120">
        <v>43.78</v>
      </c>
      <c r="I301" s="131">
        <f t="shared" si="244"/>
        <v>0</v>
      </c>
      <c r="J301" s="132">
        <f t="shared" si="221"/>
        <v>0</v>
      </c>
      <c r="K301" s="132"/>
      <c r="L301" s="120">
        <f t="shared" si="222"/>
        <v>45.44</v>
      </c>
      <c r="M301" s="131">
        <f t="shared" si="245"/>
        <v>0</v>
      </c>
      <c r="N301" s="131">
        <f t="shared" si="246"/>
        <v>0</v>
      </c>
      <c r="O301" s="132">
        <f t="shared" si="247"/>
        <v>0</v>
      </c>
      <c r="P301" s="132">
        <f t="shared" si="226"/>
        <v>0</v>
      </c>
      <c r="Q301" s="133">
        <f t="shared" si="248"/>
        <v>0</v>
      </c>
      <c r="R301" s="133"/>
      <c r="T301" s="6">
        <f t="shared" si="242"/>
        <v>3.7916857012334271E-2</v>
      </c>
    </row>
    <row r="302" spans="1:20" x14ac:dyDescent="0.25">
      <c r="A302" s="34">
        <f t="shared" si="218"/>
        <v>296</v>
      </c>
      <c r="B302" s="31"/>
      <c r="C302" s="83" t="s">
        <v>119</v>
      </c>
      <c r="E302" s="130"/>
      <c r="F302" s="120"/>
      <c r="G302" s="131"/>
      <c r="H302" s="120"/>
      <c r="I302" s="131"/>
      <c r="J302" s="132"/>
      <c r="K302" s="132"/>
      <c r="L302" s="120"/>
      <c r="M302" s="131"/>
      <c r="N302" s="131"/>
      <c r="O302" s="132"/>
      <c r="P302" s="132"/>
      <c r="Q302" s="133"/>
      <c r="R302" s="133"/>
      <c r="T302" s="6"/>
    </row>
    <row r="303" spans="1:20" x14ac:dyDescent="0.25">
      <c r="A303" s="34">
        <f t="shared" si="218"/>
        <v>297</v>
      </c>
      <c r="B303" s="31"/>
      <c r="C303" s="84" t="s">
        <v>120</v>
      </c>
      <c r="E303" s="130"/>
      <c r="F303" s="120"/>
      <c r="G303" s="131"/>
      <c r="H303" s="121">
        <v>5.5719999999999999E-2</v>
      </c>
      <c r="I303" s="131"/>
      <c r="J303" s="132"/>
      <c r="K303" s="132"/>
      <c r="L303" s="121">
        <f>H303*S304</f>
        <v>5.7831798815384423E-2</v>
      </c>
      <c r="M303" s="131"/>
      <c r="N303" s="131"/>
      <c r="O303" s="132"/>
      <c r="P303" s="132"/>
      <c r="Q303" s="133"/>
      <c r="R303" s="133"/>
      <c r="T303" s="6"/>
    </row>
    <row r="304" spans="1:20" s="7" customFormat="1" ht="24.6" customHeight="1" x14ac:dyDescent="0.3">
      <c r="A304" s="34">
        <f t="shared" si="218"/>
        <v>298</v>
      </c>
      <c r="C304" s="17"/>
      <c r="D304" s="19" t="s">
        <v>7</v>
      </c>
      <c r="E304" s="135"/>
      <c r="F304" s="135"/>
      <c r="G304" s="20">
        <f>SUM(G263:G303)</f>
        <v>2031866.68</v>
      </c>
      <c r="H304" s="135"/>
      <c r="I304" s="20">
        <f>SUM(I263:I303)</f>
        <v>2023066.4200000002</v>
      </c>
      <c r="J304" s="137">
        <f>SUM(J263:J303)</f>
        <v>0.99999999999999989</v>
      </c>
      <c r="K304" s="138">
        <f>I304+Summary!I29</f>
        <v>2099741.0300000003</v>
      </c>
      <c r="L304" s="135"/>
      <c r="M304" s="20">
        <f>SUM(M263:M303)</f>
        <v>2099257.21</v>
      </c>
      <c r="N304" s="20">
        <f>M304-I304</f>
        <v>76190.789999999804</v>
      </c>
      <c r="O304" s="137">
        <f t="shared" ref="O304" si="249">N304/I304</f>
        <v>3.7661042290445312E-2</v>
      </c>
      <c r="P304" s="137">
        <f>SUM(P263:P303)</f>
        <v>1.0000000000000002</v>
      </c>
      <c r="Q304" s="139">
        <f t="shared" ref="Q304" si="250">P304-J304</f>
        <v>0</v>
      </c>
      <c r="R304" s="140">
        <f>M304-K304</f>
        <v>-483.82000000029802</v>
      </c>
      <c r="S304" s="7">
        <f>K304/I304</f>
        <v>1.0379001941023767</v>
      </c>
    </row>
    <row r="305" spans="1:27" x14ac:dyDescent="0.25">
      <c r="A305" s="34">
        <f t="shared" si="218"/>
        <v>299</v>
      </c>
      <c r="D305" s="2" t="s">
        <v>30</v>
      </c>
      <c r="G305" s="131">
        <v>0</v>
      </c>
      <c r="I305" s="141">
        <v>0</v>
      </c>
      <c r="M305" s="131">
        <f>I305</f>
        <v>0</v>
      </c>
      <c r="N305" s="131">
        <f>M305-I305</f>
        <v>0</v>
      </c>
      <c r="O305" s="120">
        <v>0</v>
      </c>
    </row>
    <row r="306" spans="1:27" x14ac:dyDescent="0.25">
      <c r="A306" s="34">
        <f t="shared" si="218"/>
        <v>300</v>
      </c>
      <c r="D306" s="2" t="s">
        <v>31</v>
      </c>
      <c r="G306" s="131">
        <v>0</v>
      </c>
      <c r="I306" s="141">
        <v>0</v>
      </c>
      <c r="M306" s="131">
        <f t="shared" ref="M306:M307" si="251">I306</f>
        <v>0</v>
      </c>
      <c r="N306" s="131">
        <f>M306-I306</f>
        <v>0</v>
      </c>
      <c r="O306" s="120">
        <v>0</v>
      </c>
    </row>
    <row r="307" spans="1:27" x14ac:dyDescent="0.25">
      <c r="A307" s="34">
        <f t="shared" si="218"/>
        <v>301</v>
      </c>
      <c r="D307" s="2" t="s">
        <v>33</v>
      </c>
      <c r="G307" s="131">
        <v>0</v>
      </c>
      <c r="I307" s="141">
        <v>0</v>
      </c>
      <c r="M307" s="131">
        <f t="shared" si="251"/>
        <v>0</v>
      </c>
      <c r="N307" s="131">
        <f>M307-I307</f>
        <v>0</v>
      </c>
      <c r="O307" s="120">
        <v>0</v>
      </c>
    </row>
    <row r="308" spans="1:27" x14ac:dyDescent="0.25">
      <c r="A308" s="34">
        <f t="shared" si="218"/>
        <v>302</v>
      </c>
      <c r="D308" s="2" t="s">
        <v>43</v>
      </c>
      <c r="G308" s="131"/>
      <c r="I308" s="141"/>
      <c r="M308" s="131"/>
      <c r="N308" s="131"/>
      <c r="O308" s="120"/>
    </row>
    <row r="309" spans="1:27" x14ac:dyDescent="0.25">
      <c r="A309" s="34">
        <f t="shared" si="218"/>
        <v>303</v>
      </c>
      <c r="D309" s="15" t="s">
        <v>9</v>
      </c>
      <c r="E309" s="143"/>
      <c r="F309" s="143"/>
      <c r="G309" s="144">
        <f>SUM(G305:G307)</f>
        <v>0</v>
      </c>
      <c r="H309" s="143"/>
      <c r="I309" s="144">
        <f>SUM(I305:I307)</f>
        <v>0</v>
      </c>
      <c r="J309" s="143"/>
      <c r="K309" s="143"/>
      <c r="L309" s="143"/>
      <c r="M309" s="144">
        <f>SUM(M305:M307)</f>
        <v>0</v>
      </c>
      <c r="N309" s="144">
        <f>M309-I309</f>
        <v>0</v>
      </c>
      <c r="O309" s="145">
        <f>N309-J309</f>
        <v>0</v>
      </c>
    </row>
    <row r="310" spans="1:27" s="7" customFormat="1" ht="26.4" customHeight="1" thickBot="1" x14ac:dyDescent="0.3">
      <c r="A310" s="34">
        <f t="shared" si="218"/>
        <v>304</v>
      </c>
      <c r="C310" s="17"/>
      <c r="D310" s="8" t="s">
        <v>20</v>
      </c>
      <c r="E310" s="146"/>
      <c r="F310" s="146"/>
      <c r="G310" s="147">
        <f>G304+G309</f>
        <v>2031866.68</v>
      </c>
      <c r="H310" s="146"/>
      <c r="I310" s="148">
        <f>I309+I304</f>
        <v>2023066.4200000002</v>
      </c>
      <c r="J310" s="146"/>
      <c r="K310" s="146"/>
      <c r="L310" s="146"/>
      <c r="M310" s="147">
        <f>M309+M304</f>
        <v>2099257.21</v>
      </c>
      <c r="N310" s="147">
        <f>M310-I310</f>
        <v>76190.789999999804</v>
      </c>
      <c r="O310" s="149">
        <f>N310/I310</f>
        <v>3.7661042290445312E-2</v>
      </c>
      <c r="P310" s="115"/>
      <c r="Q310" s="115"/>
      <c r="R310" s="115"/>
    </row>
    <row r="311" spans="1:27" ht="12.6" customHeight="1" thickTop="1" thickBot="1" x14ac:dyDescent="0.3">
      <c r="A311" s="34">
        <f t="shared" si="218"/>
        <v>305</v>
      </c>
    </row>
    <row r="312" spans="1:27" x14ac:dyDescent="0.25">
      <c r="A312" s="34">
        <f t="shared" si="218"/>
        <v>306</v>
      </c>
      <c r="B312" s="25" t="s">
        <v>147</v>
      </c>
      <c r="C312" s="26" t="s">
        <v>44</v>
      </c>
      <c r="D312" s="25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</row>
    <row r="313" spans="1:27" x14ac:dyDescent="0.25">
      <c r="A313" s="34">
        <f t="shared" si="218"/>
        <v>307</v>
      </c>
      <c r="C313" s="29"/>
      <c r="D313" s="2" t="s">
        <v>86</v>
      </c>
      <c r="E313" s="130">
        <v>1952466</v>
      </c>
      <c r="F313" s="120">
        <f>H313</f>
        <v>6.92</v>
      </c>
      <c r="G313" s="131">
        <f>F313*E313</f>
        <v>13511064.720000001</v>
      </c>
      <c r="H313" s="120">
        <v>6.92</v>
      </c>
      <c r="I313" s="131">
        <f>H313*E313</f>
        <v>13511064.720000001</v>
      </c>
      <c r="J313" s="132">
        <f>I313/I321</f>
        <v>0.34247657208452398</v>
      </c>
      <c r="K313" s="132"/>
      <c r="L313" s="120">
        <v>7.64</v>
      </c>
      <c r="M313" s="131">
        <f>L313*E313</f>
        <v>14916840.24</v>
      </c>
      <c r="N313" s="131">
        <f t="shared" ref="N313:N324" si="252">M313-I313</f>
        <v>1405775.5199999996</v>
      </c>
      <c r="O313" s="132">
        <f>IF(I313=0,0,N313/I313)</f>
        <v>0.10404624277456644</v>
      </c>
      <c r="P313" s="132">
        <f>M313/M321</f>
        <v>0.34801497001160542</v>
      </c>
      <c r="Q313" s="133">
        <f>P313-J313</f>
        <v>5.5383979270814399E-3</v>
      </c>
      <c r="R313" s="133"/>
      <c r="T313" s="6">
        <f t="shared" ref="T313:T320" si="253">L313/H313-1</f>
        <v>0.10404624277456653</v>
      </c>
      <c r="W313" s="37"/>
    </row>
    <row r="314" spans="1:27" x14ac:dyDescent="0.25">
      <c r="A314" s="34">
        <f t="shared" si="218"/>
        <v>308</v>
      </c>
      <c r="B314" s="14"/>
      <c r="C314" s="29"/>
      <c r="D314" s="2" t="s">
        <v>76</v>
      </c>
      <c r="E314" s="130">
        <v>297565905</v>
      </c>
      <c r="F314" s="122">
        <v>4.0425000000000003E-2</v>
      </c>
      <c r="G314" s="131">
        <f t="shared" ref="G314:G317" si="254">F314*E314</f>
        <v>12029101.709625</v>
      </c>
      <c r="H314" s="153">
        <v>3.8905000000000002E-2</v>
      </c>
      <c r="I314" s="131">
        <f t="shared" ref="I314:I317" si="255">H314*E314</f>
        <v>11576801.534025</v>
      </c>
      <c r="J314" s="132">
        <f>I314/I321</f>
        <v>0.29344714034318836</v>
      </c>
      <c r="K314" s="132"/>
      <c r="L314" s="153">
        <v>4.0929E-2</v>
      </c>
      <c r="M314" s="131">
        <f t="shared" ref="M314:M317" si="256">L314*E314</f>
        <v>12179074.925744999</v>
      </c>
      <c r="N314" s="131">
        <f t="shared" ref="N314:N317" si="257">M314-I314</f>
        <v>602273.39171999879</v>
      </c>
      <c r="O314" s="132">
        <f t="shared" ref="O314:O317" si="258">IF(I314=0,0,N314/I314)</f>
        <v>5.2024161418840663E-2</v>
      </c>
      <c r="P314" s="132">
        <f>M314/M321</f>
        <v>0.2841419715474704</v>
      </c>
      <c r="Q314" s="133">
        <f t="shared" ref="Q314:Q320" si="259">P314-J314</f>
        <v>-9.3051687957179663E-3</v>
      </c>
      <c r="R314" s="133"/>
      <c r="T314" s="6">
        <f t="shared" si="253"/>
        <v>5.2024161418840809E-2</v>
      </c>
      <c r="W314" s="37"/>
    </row>
    <row r="315" spans="1:27" x14ac:dyDescent="0.25">
      <c r="A315" s="34">
        <f t="shared" si="218"/>
        <v>309</v>
      </c>
      <c r="B315" s="14"/>
      <c r="C315" s="29"/>
      <c r="D315" s="2" t="s">
        <v>77</v>
      </c>
      <c r="E315" s="130">
        <v>693442687</v>
      </c>
      <c r="F315" s="122">
        <v>3.6997000000000002E-2</v>
      </c>
      <c r="G315" s="131">
        <f t="shared" si="254"/>
        <v>25655299.090939</v>
      </c>
      <c r="H315" s="153">
        <v>3.5477000000000002E-2</v>
      </c>
      <c r="I315" s="131">
        <f t="shared" si="255"/>
        <v>24601266.206699003</v>
      </c>
      <c r="J315" s="132">
        <f>I315/I321</f>
        <v>0.62358944272817562</v>
      </c>
      <c r="K315" s="132"/>
      <c r="L315" s="153">
        <v>3.7501E-2</v>
      </c>
      <c r="M315" s="131">
        <f t="shared" si="256"/>
        <v>26004794.205187</v>
      </c>
      <c r="N315" s="131">
        <f t="shared" si="257"/>
        <v>1403527.9984879978</v>
      </c>
      <c r="O315" s="132">
        <f t="shared" si="258"/>
        <v>5.7051047157313094E-2</v>
      </c>
      <c r="P315" s="132">
        <f>M315/M321</f>
        <v>0.60670071743532483</v>
      </c>
      <c r="Q315" s="133">
        <f t="shared" si="259"/>
        <v>-1.6888725292850792E-2</v>
      </c>
      <c r="R315" s="133"/>
      <c r="T315" s="6">
        <f t="shared" si="253"/>
        <v>5.7051047157313128E-2</v>
      </c>
      <c r="W315" s="37"/>
    </row>
    <row r="316" spans="1:27" x14ac:dyDescent="0.25">
      <c r="A316" s="34">
        <f t="shared" si="218"/>
        <v>310</v>
      </c>
      <c r="B316" s="14"/>
      <c r="C316" s="29"/>
      <c r="D316" s="2" t="s">
        <v>84</v>
      </c>
      <c r="E316" s="130">
        <v>1440000</v>
      </c>
      <c r="F316" s="120">
        <f>H316</f>
        <v>-6.22</v>
      </c>
      <c r="G316" s="131">
        <f t="shared" si="254"/>
        <v>-8956800</v>
      </c>
      <c r="H316" s="120">
        <v>-6.22</v>
      </c>
      <c r="I316" s="131">
        <f t="shared" si="255"/>
        <v>-8956800</v>
      </c>
      <c r="J316" s="132">
        <f>I316/I321</f>
        <v>-0.22703570920698427</v>
      </c>
      <c r="K316" s="132"/>
      <c r="L316" s="120">
        <f>H316</f>
        <v>-6.22</v>
      </c>
      <c r="M316" s="131">
        <f t="shared" si="256"/>
        <v>-8956800</v>
      </c>
      <c r="N316" s="131">
        <f t="shared" si="257"/>
        <v>0</v>
      </c>
      <c r="O316" s="132">
        <f t="shared" si="258"/>
        <v>0</v>
      </c>
      <c r="P316" s="132">
        <f>M316/M321</f>
        <v>-0.20896519861098595</v>
      </c>
      <c r="Q316" s="133">
        <f t="shared" si="259"/>
        <v>1.8070510595998318E-2</v>
      </c>
      <c r="R316" s="133"/>
      <c r="T316" s="6">
        <f t="shared" ref="T316:T317" si="260">L316/H316-1</f>
        <v>0</v>
      </c>
      <c r="AA316" s="13"/>
    </row>
    <row r="317" spans="1:27" x14ac:dyDescent="0.25">
      <c r="A317" s="34">
        <f t="shared" si="218"/>
        <v>311</v>
      </c>
      <c r="B317" s="35"/>
      <c r="C317" s="29"/>
      <c r="D317" s="2" t="s">
        <v>85</v>
      </c>
      <c r="E317" s="130">
        <v>332466</v>
      </c>
      <c r="F317" s="120">
        <f>H317</f>
        <v>-4.2</v>
      </c>
      <c r="G317" s="131">
        <f t="shared" si="254"/>
        <v>-1396357.2</v>
      </c>
      <c r="H317" s="120">
        <v>-4.2</v>
      </c>
      <c r="I317" s="131">
        <f t="shared" si="255"/>
        <v>-1396357.2</v>
      </c>
      <c r="J317" s="132">
        <f>I317/I321</f>
        <v>-3.5394666310320511E-2</v>
      </c>
      <c r="K317" s="132"/>
      <c r="L317" s="120">
        <f>H317</f>
        <v>-4.2</v>
      </c>
      <c r="M317" s="131">
        <f t="shared" si="256"/>
        <v>-1396357.2</v>
      </c>
      <c r="N317" s="131">
        <f t="shared" si="257"/>
        <v>0</v>
      </c>
      <c r="O317" s="132">
        <f t="shared" si="258"/>
        <v>0</v>
      </c>
      <c r="P317" s="132">
        <f>M317/M321</f>
        <v>-3.2577489687151684E-2</v>
      </c>
      <c r="Q317" s="133">
        <f t="shared" si="259"/>
        <v>2.8171766231688267E-3</v>
      </c>
      <c r="R317" s="133"/>
      <c r="T317" s="6">
        <f t="shared" si="260"/>
        <v>0</v>
      </c>
    </row>
    <row r="318" spans="1:27" x14ac:dyDescent="0.25">
      <c r="A318" s="34">
        <f t="shared" si="218"/>
        <v>312</v>
      </c>
      <c r="B318" s="35"/>
      <c r="C318" s="29"/>
      <c r="D318" s="2" t="s">
        <v>131</v>
      </c>
      <c r="E318" s="130">
        <v>9167968</v>
      </c>
      <c r="F318" s="122">
        <v>-2.776E-2</v>
      </c>
      <c r="G318" s="131">
        <f t="shared" ref="G318" si="261">F318*E318</f>
        <v>-254502.79167999999</v>
      </c>
      <c r="H318" s="122">
        <v>-2.6239999999999999E-2</v>
      </c>
      <c r="I318" s="131">
        <f t="shared" ref="I318" si="262">H318*E318</f>
        <v>-240567.48032</v>
      </c>
      <c r="J318" s="132">
        <f>I318/I322</f>
        <v>8.9736662389362051E-2</v>
      </c>
      <c r="K318" s="132"/>
      <c r="L318" s="122">
        <f>H318</f>
        <v>-2.6239999999999999E-2</v>
      </c>
      <c r="M318" s="131">
        <f t="shared" ref="M318" si="263">L318*E318</f>
        <v>-240567.48032</v>
      </c>
      <c r="N318" s="131">
        <f t="shared" ref="N318" si="264">M318-I318</f>
        <v>0</v>
      </c>
      <c r="O318" s="132">
        <f t="shared" ref="O318" si="265">IF(I318=0,0,N318/I318)</f>
        <v>0</v>
      </c>
      <c r="P318" s="132">
        <f>M318/M322</f>
        <v>8.9736662389362051E-2</v>
      </c>
      <c r="Q318" s="133">
        <f t="shared" ref="Q318" si="266">P318-J318</f>
        <v>0</v>
      </c>
      <c r="R318" s="133"/>
      <c r="T318" s="6">
        <f t="shared" ref="T318" si="267">L318/H318-1</f>
        <v>0</v>
      </c>
    </row>
    <row r="319" spans="1:27" x14ac:dyDescent="0.25">
      <c r="A319" s="34">
        <f t="shared" si="218"/>
        <v>313</v>
      </c>
      <c r="B319" s="14"/>
      <c r="C319" s="29"/>
      <c r="D319" s="2" t="s">
        <v>129</v>
      </c>
      <c r="E319" s="130">
        <f>E313</f>
        <v>1952466</v>
      </c>
      <c r="F319" s="122">
        <v>3.7499999999999999E-2</v>
      </c>
      <c r="G319" s="131">
        <f t="shared" ref="G319:G320" si="268">F319*E319</f>
        <v>73217.474999999991</v>
      </c>
      <c r="H319" s="122">
        <f>F319</f>
        <v>3.7499999999999999E-2</v>
      </c>
      <c r="I319" s="131">
        <f t="shared" ref="I319:I320" si="269">H319*E319</f>
        <v>73217.474999999991</v>
      </c>
      <c r="J319" s="132">
        <f>I319/I321</f>
        <v>1.8559062793597756E-3</v>
      </c>
      <c r="K319" s="132"/>
      <c r="L319" s="122">
        <f>H319</f>
        <v>3.7499999999999999E-2</v>
      </c>
      <c r="M319" s="131">
        <f t="shared" ref="M319:M320" si="270">L319*E319</f>
        <v>73217.474999999991</v>
      </c>
      <c r="N319" s="131">
        <f t="shared" si="252"/>
        <v>0</v>
      </c>
      <c r="O319" s="132">
        <f t="shared" ref="O319:O320" si="271">IF(I319=0,0,N319/I319)</f>
        <v>0</v>
      </c>
      <c r="P319" s="132">
        <f>M319/M321</f>
        <v>1.7081886617061782E-3</v>
      </c>
      <c r="Q319" s="133">
        <f t="shared" si="259"/>
        <v>-1.4771761765359744E-4</v>
      </c>
      <c r="R319" s="133"/>
      <c r="T319" s="6">
        <f t="shared" si="253"/>
        <v>0</v>
      </c>
      <c r="AA319" s="13"/>
    </row>
    <row r="320" spans="1:27" x14ac:dyDescent="0.25">
      <c r="A320" s="34">
        <f t="shared" si="218"/>
        <v>314</v>
      </c>
      <c r="B320" s="35"/>
      <c r="C320" s="29"/>
      <c r="D320" s="2" t="s">
        <v>130</v>
      </c>
      <c r="E320" s="130">
        <f>E314+E315</f>
        <v>991008592</v>
      </c>
      <c r="F320" s="122">
        <v>2.8499999999999999E-4</v>
      </c>
      <c r="G320" s="131">
        <f t="shared" si="268"/>
        <v>282437.44871999999</v>
      </c>
      <c r="H320" s="122">
        <f>F320</f>
        <v>2.8499999999999999E-4</v>
      </c>
      <c r="I320" s="131">
        <f t="shared" si="269"/>
        <v>282437.44871999999</v>
      </c>
      <c r="J320" s="132">
        <f>I320/I321</f>
        <v>7.1591848067118222E-3</v>
      </c>
      <c r="K320" s="132"/>
      <c r="L320" s="122">
        <f>H320</f>
        <v>2.8499999999999999E-4</v>
      </c>
      <c r="M320" s="131">
        <f t="shared" si="270"/>
        <v>282437.44871999999</v>
      </c>
      <c r="N320" s="131">
        <f t="shared" si="252"/>
        <v>0</v>
      </c>
      <c r="O320" s="132">
        <f t="shared" si="271"/>
        <v>0</v>
      </c>
      <c r="P320" s="132">
        <f>M320/M321</f>
        <v>6.5893620005978652E-3</v>
      </c>
      <c r="Q320" s="133">
        <f t="shared" si="259"/>
        <v>-5.6982280611395705E-4</v>
      </c>
      <c r="R320" s="133"/>
      <c r="T320" s="6">
        <f t="shared" si="253"/>
        <v>0</v>
      </c>
    </row>
    <row r="321" spans="1:20" s="7" customFormat="1" ht="20.399999999999999" customHeight="1" x14ac:dyDescent="0.25">
      <c r="A321" s="34">
        <f t="shared" si="218"/>
        <v>315</v>
      </c>
      <c r="C321" s="36"/>
      <c r="D321" s="19" t="s">
        <v>7</v>
      </c>
      <c r="E321" s="135"/>
      <c r="F321" s="136"/>
      <c r="G321" s="20">
        <f>SUM(G313:G320)</f>
        <v>40943460.452604003</v>
      </c>
      <c r="H321" s="135"/>
      <c r="I321" s="20">
        <f>SUM(I313:I320)</f>
        <v>39451062.704124004</v>
      </c>
      <c r="J321" s="137">
        <f>SUM(J313:J320)</f>
        <v>1.0958345331140167</v>
      </c>
      <c r="K321" s="138">
        <f>I321+Summary!I32</f>
        <v>42832616.704124004</v>
      </c>
      <c r="L321" s="135"/>
      <c r="M321" s="20">
        <f>SUM(M313:M320)</f>
        <v>42862639.614331998</v>
      </c>
      <c r="N321" s="20">
        <f t="shared" si="252"/>
        <v>3411576.9102079943</v>
      </c>
      <c r="O321" s="137">
        <f t="shared" ref="O321" si="272">N321/I321</f>
        <v>8.6476172664706599E-2</v>
      </c>
      <c r="P321" s="137">
        <f>SUM(P313:P320)</f>
        <v>1.095349183747929</v>
      </c>
      <c r="Q321" s="139">
        <f t="shared" ref="Q321" si="273">P321-J321</f>
        <v>-4.8534936608768398E-4</v>
      </c>
      <c r="R321" s="140">
        <f>M321-K321</f>
        <v>30022.910207994282</v>
      </c>
      <c r="S321" s="85">
        <v>1.0522626692693506</v>
      </c>
      <c r="T321" s="2"/>
    </row>
    <row r="322" spans="1:20" x14ac:dyDescent="0.25">
      <c r="A322" s="34">
        <f t="shared" si="218"/>
        <v>316</v>
      </c>
      <c r="B322" s="90"/>
      <c r="C322" s="29"/>
      <c r="D322" s="2" t="s">
        <v>30</v>
      </c>
      <c r="G322" s="131">
        <v>-2680816</v>
      </c>
      <c r="I322" s="141">
        <f>G322</f>
        <v>-2680816</v>
      </c>
      <c r="K322" s="141">
        <f>K321-I321</f>
        <v>3381554</v>
      </c>
      <c r="M322" s="131">
        <f>I322</f>
        <v>-2680816</v>
      </c>
      <c r="N322" s="131">
        <f t="shared" si="252"/>
        <v>0</v>
      </c>
      <c r="O322" s="120">
        <v>0</v>
      </c>
      <c r="R322" s="142"/>
    </row>
    <row r="323" spans="1:20" x14ac:dyDescent="0.25">
      <c r="A323" s="34">
        <f t="shared" si="218"/>
        <v>317</v>
      </c>
      <c r="C323" s="29"/>
      <c r="D323" s="2" t="s">
        <v>31</v>
      </c>
      <c r="E323" s="154"/>
      <c r="G323" s="131">
        <v>5897742</v>
      </c>
      <c r="I323" s="141">
        <v>5873742</v>
      </c>
      <c r="M323" s="131">
        <v>5843719</v>
      </c>
      <c r="N323" s="131">
        <f t="shared" si="252"/>
        <v>-30023</v>
      </c>
      <c r="O323" s="120">
        <v>0</v>
      </c>
    </row>
    <row r="324" spans="1:20" x14ac:dyDescent="0.25">
      <c r="A324" s="34">
        <f t="shared" si="218"/>
        <v>318</v>
      </c>
      <c r="C324" s="29"/>
      <c r="D324" s="2" t="s">
        <v>33</v>
      </c>
      <c r="E324" s="130"/>
      <c r="F324" s="120"/>
      <c r="G324" s="131">
        <v>0</v>
      </c>
      <c r="I324" s="141">
        <f>G324</f>
        <v>0</v>
      </c>
      <c r="M324" s="131">
        <f t="shared" ref="M324:M325" si="274">I324</f>
        <v>0</v>
      </c>
      <c r="N324" s="131">
        <f t="shared" si="252"/>
        <v>0</v>
      </c>
      <c r="O324" s="120">
        <v>0</v>
      </c>
    </row>
    <row r="325" spans="1:20" x14ac:dyDescent="0.25">
      <c r="A325" s="34">
        <f t="shared" si="218"/>
        <v>319</v>
      </c>
      <c r="B325" s="69"/>
      <c r="C325" s="29"/>
      <c r="D325" s="2" t="s">
        <v>43</v>
      </c>
      <c r="G325" s="131">
        <v>0</v>
      </c>
      <c r="I325" s="141">
        <f>G325</f>
        <v>0</v>
      </c>
      <c r="M325" s="131">
        <f t="shared" si="274"/>
        <v>0</v>
      </c>
      <c r="N325" s="131"/>
      <c r="O325" s="120">
        <v>0</v>
      </c>
    </row>
    <row r="326" spans="1:20" x14ac:dyDescent="0.25">
      <c r="A326" s="34">
        <f t="shared" si="218"/>
        <v>320</v>
      </c>
      <c r="C326" s="29"/>
      <c r="D326" s="15" t="s">
        <v>9</v>
      </c>
      <c r="E326" s="143"/>
      <c r="F326" s="143"/>
      <c r="G326" s="144">
        <f>SUM(G322:G325)</f>
        <v>3216926</v>
      </c>
      <c r="H326" s="143"/>
      <c r="I326" s="144">
        <f>SUM(I322:I325)</f>
        <v>3192926</v>
      </c>
      <c r="J326" s="143"/>
      <c r="K326" s="143"/>
      <c r="L326" s="143"/>
      <c r="M326" s="144">
        <f>SUM(M322:M325)</f>
        <v>3162903</v>
      </c>
      <c r="N326" s="144">
        <f>M326-I326</f>
        <v>-30023</v>
      </c>
      <c r="O326" s="145">
        <v>0</v>
      </c>
    </row>
    <row r="327" spans="1:20" s="7" customFormat="1" ht="26.4" customHeight="1" thickBot="1" x14ac:dyDescent="0.3">
      <c r="A327" s="34">
        <f t="shared" si="218"/>
        <v>321</v>
      </c>
      <c r="C327" s="36"/>
      <c r="D327" s="8" t="s">
        <v>20</v>
      </c>
      <c r="E327" s="146"/>
      <c r="F327" s="146"/>
      <c r="G327" s="147">
        <f>G321+G326</f>
        <v>44160386.452604003</v>
      </c>
      <c r="H327" s="146"/>
      <c r="I327" s="148">
        <f>I326+I321</f>
        <v>42643988.704124004</v>
      </c>
      <c r="J327" s="146"/>
      <c r="K327" s="146"/>
      <c r="L327" s="146"/>
      <c r="M327" s="147">
        <f>M326+M321</f>
        <v>46025542.614331998</v>
      </c>
      <c r="N327" s="147">
        <f>M327-I327</f>
        <v>3381553.9102079943</v>
      </c>
      <c r="O327" s="149">
        <f>N327/I327</f>
        <v>7.9297317464137027E-2</v>
      </c>
      <c r="P327" s="115"/>
      <c r="Q327" s="115"/>
      <c r="R327" s="115"/>
    </row>
    <row r="328" spans="1:20" ht="13.8" thickTop="1" x14ac:dyDescent="0.25">
      <c r="A328" s="34">
        <f t="shared" si="218"/>
        <v>322</v>
      </c>
      <c r="C328" s="29"/>
      <c r="D328" s="2" t="s">
        <v>19</v>
      </c>
      <c r="E328" s="120">
        <f>(E314+E315)/E313</f>
        <v>507.5676564918416</v>
      </c>
      <c r="G328" s="150">
        <f>G327/E313</f>
        <v>22.617749273280047</v>
      </c>
      <c r="I328" s="150">
        <f>I327/E313</f>
        <v>21.84109157553781</v>
      </c>
      <c r="M328" s="150">
        <f>M327/E313</f>
        <v>23.573031547966519</v>
      </c>
      <c r="N328" s="150">
        <f>M328-I328</f>
        <v>1.7319399724287088</v>
      </c>
      <c r="O328" s="132">
        <f>N328/I328</f>
        <v>7.9297317464136943E-2</v>
      </c>
    </row>
    <row r="329" spans="1:20" x14ac:dyDescent="0.25">
      <c r="A329" s="34">
        <f t="shared" ref="A329:A367" si="275">A328+1</f>
        <v>323</v>
      </c>
    </row>
    <row r="330" spans="1:20" x14ac:dyDescent="0.25">
      <c r="A330" s="34">
        <f t="shared" si="275"/>
        <v>324</v>
      </c>
      <c r="B330" s="21"/>
      <c r="C330" s="22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20" x14ac:dyDescent="0.25">
      <c r="A331" s="34">
        <f t="shared" si="275"/>
        <v>325</v>
      </c>
    </row>
    <row r="332" spans="1:20" s="7" customFormat="1" ht="19.8" customHeight="1" x14ac:dyDescent="0.3">
      <c r="A332" s="34">
        <f t="shared" si="275"/>
        <v>326</v>
      </c>
      <c r="B332" s="7" t="s">
        <v>32</v>
      </c>
      <c r="C332" s="36"/>
      <c r="D332" s="19" t="s">
        <v>7</v>
      </c>
      <c r="E332" s="135"/>
      <c r="F332" s="135"/>
      <c r="G332" s="155">
        <f>G10+G24+G36+G49+G62+G77+G89+G103+G119+G132+G145+G158+G171+G184+G198+G211+G226+G240+G253+G321+G304</f>
        <v>162476755.42682397</v>
      </c>
      <c r="H332" s="155"/>
      <c r="I332" s="155">
        <f>I10+I24+I36+I49+I62+I77+I89+I103+I119+I132+I145+I158+I171+I184+I198+I211+I226+I240+I253+I321+I304</f>
        <v>158833485.82482401</v>
      </c>
      <c r="J332" s="135"/>
      <c r="K332" s="135"/>
      <c r="L332" s="135"/>
      <c r="M332" s="155">
        <f t="shared" ref="M332:N336" si="276">M10+M24+M36+M49+M62+M77+M89+M103+M119+M132+M145+M158+M171+M184+M198+M211+M226+M240+M253+M321+M304</f>
        <v>166810562.91359204</v>
      </c>
      <c r="N332" s="155">
        <f t="shared" si="276"/>
        <v>7977077.0887679951</v>
      </c>
      <c r="O332" s="137">
        <f t="shared" ref="O332" si="277">N332/I332</f>
        <v>5.0222892530142164E-2</v>
      </c>
      <c r="P332" s="156"/>
      <c r="Q332" s="156"/>
      <c r="R332" s="156"/>
    </row>
    <row r="333" spans="1:20" x14ac:dyDescent="0.25">
      <c r="A333" s="34">
        <f t="shared" si="275"/>
        <v>327</v>
      </c>
      <c r="C333" s="29"/>
      <c r="D333" s="2" t="s">
        <v>30</v>
      </c>
      <c r="G333" s="141">
        <f>G11+G25+G37+G50+G63+G78+G90+G104+G120+G133+G146+G159+G172+G185+G199+G212+G227+G241+G254+G322+G305</f>
        <v>-8035295.3900000006</v>
      </c>
      <c r="H333" s="141"/>
      <c r="I333" s="141">
        <f>I11+I25+I37+I50+I63+I78+I90+I104+I120+I133+I146+I159+I172+I185+I199+I212+I227+I241+I254+I322+I305</f>
        <v>-6123899.6023999993</v>
      </c>
      <c r="M333" s="141">
        <f t="shared" si="276"/>
        <v>-6123899.6023999993</v>
      </c>
      <c r="N333" s="141">
        <f t="shared" si="276"/>
        <v>0</v>
      </c>
    </row>
    <row r="334" spans="1:20" x14ac:dyDescent="0.25">
      <c r="A334" s="34">
        <f t="shared" si="275"/>
        <v>328</v>
      </c>
      <c r="C334" s="29"/>
      <c r="D334" s="2" t="s">
        <v>31</v>
      </c>
      <c r="G334" s="141">
        <f>G12+G26+G38+G51+G64+G79+G91+G105+G121+G134+G147+G160+G173+G186+G200+G213+G228+G242+G255+G323+G306</f>
        <v>18520667.609999999</v>
      </c>
      <c r="H334" s="141"/>
      <c r="I334" s="141">
        <f>I12+I26+I38+I51+I64+I79+I91+I105+I121+I134+I147+I160+I173+I186+I200+I213+I228+I242+I255+I323+I306</f>
        <v>18496667.609999999</v>
      </c>
      <c r="M334" s="141">
        <f t="shared" si="276"/>
        <v>18466644.609999999</v>
      </c>
      <c r="N334" s="141">
        <f t="shared" si="276"/>
        <v>-30023</v>
      </c>
    </row>
    <row r="335" spans="1:20" x14ac:dyDescent="0.25">
      <c r="A335" s="34">
        <f t="shared" si="275"/>
        <v>329</v>
      </c>
      <c r="C335" s="29"/>
      <c r="D335" s="2" t="s">
        <v>33</v>
      </c>
      <c r="G335" s="141">
        <f>G13+G27+G39+G52+G65+G80+G92+G106+G122+G135+G148+G161+G174+G187+G201+G214+G229+G243+G256+G324+G307</f>
        <v>75951</v>
      </c>
      <c r="H335" s="141"/>
      <c r="I335" s="141">
        <f>I13+I27+I39+I52+I65+I80+I92+I106+I122+I135+I148+I161+I174+I187+I201+I214+I229+I243+I256+I324+I307</f>
        <v>75951</v>
      </c>
      <c r="M335" s="141">
        <f t="shared" si="276"/>
        <v>75951</v>
      </c>
      <c r="N335" s="141">
        <f t="shared" si="276"/>
        <v>0</v>
      </c>
    </row>
    <row r="336" spans="1:20" x14ac:dyDescent="0.25">
      <c r="A336" s="34">
        <f t="shared" si="275"/>
        <v>330</v>
      </c>
      <c r="C336" s="29"/>
      <c r="D336" s="2" t="s">
        <v>43</v>
      </c>
      <c r="G336" s="141">
        <f>G14+G28+G40+G53+G66+G81+G93+G107+G123+G136+G149+G162+G175+G188+G202+G215+G230+G244+G257+G325+G308</f>
        <v>0</v>
      </c>
      <c r="I336" s="141">
        <f>I14+I28+I40+I53+I66+I81+I93+I107+I123+I136+I149+I162+I175+I188+I202+I215+I230+I244+I257+I325+I308</f>
        <v>0</v>
      </c>
      <c r="M336" s="141">
        <f t="shared" si="276"/>
        <v>0</v>
      </c>
      <c r="N336" s="141">
        <f t="shared" si="276"/>
        <v>0</v>
      </c>
      <c r="O336" s="120"/>
    </row>
    <row r="337" spans="1:23" x14ac:dyDescent="0.25">
      <c r="A337" s="34">
        <f t="shared" si="275"/>
        <v>331</v>
      </c>
      <c r="C337" s="29"/>
      <c r="D337" s="15" t="s">
        <v>9</v>
      </c>
      <c r="E337" s="143"/>
      <c r="F337" s="143"/>
      <c r="G337" s="157">
        <f>SUM(G333:G336)</f>
        <v>10561323.219999999</v>
      </c>
      <c r="H337" s="157"/>
      <c r="I337" s="157">
        <f>SUM(I333:I336)</f>
        <v>12448719.0076</v>
      </c>
      <c r="J337" s="143"/>
      <c r="K337" s="143"/>
      <c r="L337" s="143"/>
      <c r="M337" s="157">
        <f>SUM(M333:M336)</f>
        <v>12418696.0076</v>
      </c>
      <c r="N337" s="157">
        <f>SUM(N333:N336)</f>
        <v>-30023</v>
      </c>
      <c r="O337" s="143"/>
    </row>
    <row r="338" spans="1:23" s="7" customFormat="1" ht="21" customHeight="1" thickBot="1" x14ac:dyDescent="0.35">
      <c r="A338" s="34">
        <f t="shared" si="275"/>
        <v>332</v>
      </c>
      <c r="C338" s="36"/>
      <c r="D338" s="8" t="s">
        <v>20</v>
      </c>
      <c r="E338" s="146"/>
      <c r="F338" s="146"/>
      <c r="G338" s="148">
        <f>G337+G332</f>
        <v>173038078.64682397</v>
      </c>
      <c r="H338" s="148"/>
      <c r="I338" s="148">
        <f>I337+I332</f>
        <v>171282204.83242401</v>
      </c>
      <c r="J338" s="146"/>
      <c r="K338" s="146"/>
      <c r="L338" s="146"/>
      <c r="M338" s="148">
        <f>M337+M332</f>
        <v>179229258.92119205</v>
      </c>
      <c r="N338" s="148">
        <f>N337+N332</f>
        <v>7947054.0887679951</v>
      </c>
      <c r="O338" s="149">
        <f>N338/I338</f>
        <v>4.639742988212401E-2</v>
      </c>
      <c r="P338" s="156"/>
      <c r="Q338" s="156"/>
      <c r="R338" s="156"/>
    </row>
    <row r="339" spans="1:23" ht="13.8" thickTop="1" x14ac:dyDescent="0.25">
      <c r="A339" s="34">
        <f t="shared" si="275"/>
        <v>333</v>
      </c>
      <c r="C339" s="29"/>
    </row>
    <row r="340" spans="1:23" x14ac:dyDescent="0.25">
      <c r="A340" s="34">
        <f t="shared" si="275"/>
        <v>334</v>
      </c>
      <c r="D340" s="2" t="s">
        <v>41</v>
      </c>
      <c r="N340" s="141">
        <f>N338-Summary!L4</f>
        <v>40883.088767995127</v>
      </c>
    </row>
    <row r="341" spans="1:23" x14ac:dyDescent="0.25">
      <c r="A341" s="34">
        <f t="shared" si="275"/>
        <v>335</v>
      </c>
      <c r="N341" s="141"/>
    </row>
    <row r="342" spans="1:23" x14ac:dyDescent="0.25">
      <c r="A342" s="34">
        <f t="shared" si="275"/>
        <v>336</v>
      </c>
      <c r="B342" s="21"/>
      <c r="C342" s="22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1:23" ht="13.8" thickBot="1" x14ac:dyDescent="0.3">
      <c r="A343" s="34">
        <f t="shared" si="275"/>
        <v>337</v>
      </c>
    </row>
    <row r="344" spans="1:23" x14ac:dyDescent="0.25">
      <c r="A344" s="34">
        <f t="shared" si="275"/>
        <v>338</v>
      </c>
      <c r="B344" s="158" t="s">
        <v>149</v>
      </c>
      <c r="C344" s="26">
        <v>7</v>
      </c>
      <c r="D344" s="25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</row>
    <row r="345" spans="1:23" x14ac:dyDescent="0.25">
      <c r="A345" s="34">
        <f t="shared" si="275"/>
        <v>339</v>
      </c>
      <c r="B345" s="159"/>
      <c r="D345" s="2" t="s">
        <v>18</v>
      </c>
      <c r="E345" s="130">
        <v>0</v>
      </c>
      <c r="F345" s="120">
        <v>1521.83</v>
      </c>
      <c r="G345" s="131">
        <f>F345*E345</f>
        <v>0</v>
      </c>
      <c r="H345" s="120">
        <v>1521.83</v>
      </c>
      <c r="I345" s="131">
        <f>H345*E345</f>
        <v>0</v>
      </c>
      <c r="J345" s="132">
        <v>0</v>
      </c>
      <c r="K345" s="132"/>
      <c r="L345" s="120">
        <f>L72</f>
        <v>1579.51</v>
      </c>
      <c r="M345" s="131">
        <v>0</v>
      </c>
      <c r="N345" s="131">
        <f t="shared" ref="N345:N348" si="278">M345-I345</f>
        <v>0</v>
      </c>
      <c r="O345" s="132">
        <f>IF(I345=0,0,N345/I345)</f>
        <v>0</v>
      </c>
      <c r="P345" s="132">
        <v>0</v>
      </c>
      <c r="Q345" s="133">
        <f>P345-J345</f>
        <v>0</v>
      </c>
      <c r="R345" s="133"/>
      <c r="T345" s="6">
        <f>L345/H345-1</f>
        <v>3.7901736724864188E-2</v>
      </c>
      <c r="V345" s="113" t="s">
        <v>145</v>
      </c>
    </row>
    <row r="346" spans="1:23" x14ac:dyDescent="0.25">
      <c r="A346" s="34">
        <f t="shared" si="275"/>
        <v>340</v>
      </c>
      <c r="B346" s="14"/>
      <c r="D346" s="2" t="s">
        <v>74</v>
      </c>
      <c r="E346" s="130">
        <v>0</v>
      </c>
      <c r="F346" s="134">
        <v>4.7039999999999998E-2</v>
      </c>
      <c r="G346" s="131">
        <f t="shared" ref="G346:G348" si="279">F346*E346</f>
        <v>0</v>
      </c>
      <c r="H346" s="134">
        <v>4.548E-2</v>
      </c>
      <c r="I346" s="131">
        <f t="shared" ref="I346:I348" si="280">H346*E346</f>
        <v>0</v>
      </c>
      <c r="J346" s="132">
        <v>0</v>
      </c>
      <c r="K346" s="132"/>
      <c r="L346" s="121">
        <f>L73</f>
        <v>4.7199999999999999E-2</v>
      </c>
      <c r="M346" s="131">
        <v>0</v>
      </c>
      <c r="N346" s="131">
        <f t="shared" si="278"/>
        <v>0</v>
      </c>
      <c r="O346" s="132">
        <f t="shared" ref="O346:O348" si="281">IF(I346=0,0,N346/I346)</f>
        <v>0</v>
      </c>
      <c r="P346" s="132">
        <v>0</v>
      </c>
      <c r="Q346" s="133">
        <f t="shared" ref="Q346:Q348" si="282">P346-J346</f>
        <v>0</v>
      </c>
      <c r="R346" s="133"/>
      <c r="T346" s="6">
        <f>L346/H346-1</f>
        <v>3.7818821459982388E-2</v>
      </c>
      <c r="V346" s="113"/>
    </row>
    <row r="347" spans="1:23" x14ac:dyDescent="0.25">
      <c r="A347" s="34">
        <f t="shared" si="275"/>
        <v>341</v>
      </c>
      <c r="B347" s="14"/>
      <c r="D347" s="2" t="s">
        <v>75</v>
      </c>
      <c r="E347" s="130">
        <v>0</v>
      </c>
      <c r="F347" s="134">
        <v>4.3389999999999998E-2</v>
      </c>
      <c r="G347" s="131">
        <f t="shared" si="279"/>
        <v>0</v>
      </c>
      <c r="H347" s="134">
        <v>4.1829999999999999E-2</v>
      </c>
      <c r="I347" s="131">
        <f t="shared" si="280"/>
        <v>0</v>
      </c>
      <c r="J347" s="132">
        <v>0</v>
      </c>
      <c r="K347" s="132"/>
      <c r="L347" s="121">
        <f>L74</f>
        <v>4.342E-2</v>
      </c>
      <c r="M347" s="131">
        <v>0</v>
      </c>
      <c r="N347" s="131">
        <f t="shared" si="278"/>
        <v>0</v>
      </c>
      <c r="O347" s="132">
        <f t="shared" si="281"/>
        <v>0</v>
      </c>
      <c r="P347" s="132">
        <v>0</v>
      </c>
      <c r="Q347" s="133">
        <f t="shared" si="282"/>
        <v>0</v>
      </c>
      <c r="R347" s="133"/>
      <c r="T347" s="6">
        <f>L347/H347-1</f>
        <v>3.801099689218268E-2</v>
      </c>
      <c r="V347" s="113"/>
    </row>
    <row r="348" spans="1:23" x14ac:dyDescent="0.25">
      <c r="A348" s="34">
        <f t="shared" si="275"/>
        <v>342</v>
      </c>
      <c r="B348" s="14"/>
      <c r="D348" s="2" t="s">
        <v>54</v>
      </c>
      <c r="E348" s="130">
        <v>0</v>
      </c>
      <c r="F348" s="120">
        <v>7.25</v>
      </c>
      <c r="G348" s="131">
        <f t="shared" si="279"/>
        <v>0</v>
      </c>
      <c r="H348" s="120">
        <v>7.25</v>
      </c>
      <c r="I348" s="131">
        <f t="shared" si="280"/>
        <v>0</v>
      </c>
      <c r="J348" s="132">
        <v>0</v>
      </c>
      <c r="K348" s="132"/>
      <c r="L348" s="120">
        <f>L75</f>
        <v>7.52</v>
      </c>
      <c r="M348" s="131">
        <v>0</v>
      </c>
      <c r="N348" s="131">
        <f t="shared" si="278"/>
        <v>0</v>
      </c>
      <c r="O348" s="132">
        <f t="shared" si="281"/>
        <v>0</v>
      </c>
      <c r="P348" s="132">
        <v>0</v>
      </c>
      <c r="Q348" s="133">
        <f t="shared" si="282"/>
        <v>0</v>
      </c>
      <c r="R348" s="133"/>
      <c r="T348" s="6">
        <f>L348/H348-1</f>
        <v>3.7241379310344769E-2</v>
      </c>
      <c r="V348" s="113"/>
      <c r="W348" s="2" t="s">
        <v>142</v>
      </c>
    </row>
    <row r="349" spans="1:23" ht="13.8" thickBot="1" x14ac:dyDescent="0.3">
      <c r="A349" s="34">
        <f t="shared" si="275"/>
        <v>343</v>
      </c>
    </row>
    <row r="350" spans="1:23" x14ac:dyDescent="0.25">
      <c r="A350" s="34">
        <f t="shared" si="275"/>
        <v>344</v>
      </c>
      <c r="B350" s="158" t="s">
        <v>132</v>
      </c>
      <c r="C350" s="26">
        <v>8</v>
      </c>
      <c r="D350" s="25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</row>
    <row r="351" spans="1:23" x14ac:dyDescent="0.25">
      <c r="A351" s="34">
        <f t="shared" si="275"/>
        <v>345</v>
      </c>
      <c r="B351" s="159"/>
      <c r="D351" s="2" t="s">
        <v>18</v>
      </c>
      <c r="E351" s="130">
        <v>0</v>
      </c>
      <c r="F351" s="120">
        <f>H351</f>
        <v>1521.83</v>
      </c>
      <c r="G351" s="131">
        <f>F351*E351</f>
        <v>0</v>
      </c>
      <c r="H351" s="120">
        <v>1521.83</v>
      </c>
      <c r="I351" s="131">
        <f>H351*E351</f>
        <v>0</v>
      </c>
      <c r="J351" s="132">
        <v>0</v>
      </c>
      <c r="K351" s="132"/>
      <c r="L351" s="120">
        <f>L72</f>
        <v>1579.51</v>
      </c>
      <c r="M351" s="131">
        <v>0</v>
      </c>
      <c r="N351" s="131">
        <f t="shared" ref="N351:N354" si="283">M351-I351</f>
        <v>0</v>
      </c>
      <c r="O351" s="132">
        <f>IF(I351=0,0,N351/I351)</f>
        <v>0</v>
      </c>
      <c r="P351" s="132">
        <v>0</v>
      </c>
      <c r="Q351" s="133">
        <f>P351-J351</f>
        <v>0</v>
      </c>
      <c r="R351" s="133"/>
      <c r="T351" s="6">
        <f>L351/H351-1</f>
        <v>3.7901736724864188E-2</v>
      </c>
    </row>
    <row r="352" spans="1:23" x14ac:dyDescent="0.25">
      <c r="A352" s="34">
        <f t="shared" si="275"/>
        <v>346</v>
      </c>
      <c r="B352" s="14"/>
      <c r="D352" s="2" t="s">
        <v>74</v>
      </c>
      <c r="E352" s="130">
        <v>0</v>
      </c>
      <c r="F352" s="134">
        <v>4.2540000000000001E-2</v>
      </c>
      <c r="G352" s="131">
        <f t="shared" ref="G352:G354" si="284">F352*E352</f>
        <v>0</v>
      </c>
      <c r="H352" s="134">
        <v>4.0980000000000003E-2</v>
      </c>
      <c r="I352" s="131">
        <f t="shared" ref="I352:I354" si="285">H352*E352</f>
        <v>0</v>
      </c>
      <c r="J352" s="132">
        <v>0</v>
      </c>
      <c r="K352" s="132"/>
      <c r="L352" s="121">
        <f>H352*(1+O$332)</f>
        <v>4.3038134135885232E-2</v>
      </c>
      <c r="M352" s="131">
        <v>0</v>
      </c>
      <c r="N352" s="131">
        <f t="shared" si="283"/>
        <v>0</v>
      </c>
      <c r="O352" s="132">
        <f t="shared" ref="O352:O354" si="286">IF(I352=0,0,N352/I352)</f>
        <v>0</v>
      </c>
      <c r="P352" s="132">
        <v>0</v>
      </c>
      <c r="Q352" s="133">
        <f t="shared" ref="Q352:Q354" si="287">P352-J352</f>
        <v>0</v>
      </c>
      <c r="R352" s="133"/>
      <c r="T352" s="6">
        <f>L352/H352-1</f>
        <v>5.0222892530142227E-2</v>
      </c>
    </row>
    <row r="353" spans="1:23" x14ac:dyDescent="0.25">
      <c r="A353" s="34">
        <f t="shared" si="275"/>
        <v>347</v>
      </c>
      <c r="B353" s="14"/>
      <c r="D353" s="2" t="s">
        <v>75</v>
      </c>
      <c r="E353" s="130">
        <v>0</v>
      </c>
      <c r="F353" s="134">
        <v>4.1239999999999999E-2</v>
      </c>
      <c r="G353" s="131">
        <f t="shared" si="284"/>
        <v>0</v>
      </c>
      <c r="H353" s="134">
        <v>3.968E-2</v>
      </c>
      <c r="I353" s="131">
        <f t="shared" si="285"/>
        <v>0</v>
      </c>
      <c r="J353" s="132">
        <v>0</v>
      </c>
      <c r="K353" s="132"/>
      <c r="L353" s="121">
        <f>H353*(1+O$332)</f>
        <v>4.1672844375596041E-2</v>
      </c>
      <c r="M353" s="131">
        <v>0</v>
      </c>
      <c r="N353" s="131">
        <f t="shared" si="283"/>
        <v>0</v>
      </c>
      <c r="O353" s="132">
        <f t="shared" si="286"/>
        <v>0</v>
      </c>
      <c r="P353" s="132">
        <v>0</v>
      </c>
      <c r="Q353" s="133">
        <f t="shared" si="287"/>
        <v>0</v>
      </c>
      <c r="R353" s="133"/>
      <c r="T353" s="6">
        <f>L353/H353-1</f>
        <v>5.0222892530142227E-2</v>
      </c>
    </row>
    <row r="354" spans="1:23" x14ac:dyDescent="0.25">
      <c r="A354" s="34">
        <f t="shared" si="275"/>
        <v>348</v>
      </c>
      <c r="B354" s="14"/>
      <c r="D354" s="2" t="s">
        <v>54</v>
      </c>
      <c r="E354" s="130">
        <v>0</v>
      </c>
      <c r="F354" s="120">
        <f>H354</f>
        <v>7.25</v>
      </c>
      <c r="G354" s="131">
        <f t="shared" si="284"/>
        <v>0</v>
      </c>
      <c r="H354" s="120">
        <f>H75</f>
        <v>7.25</v>
      </c>
      <c r="I354" s="131">
        <f t="shared" si="285"/>
        <v>0</v>
      </c>
      <c r="J354" s="132">
        <v>0</v>
      </c>
      <c r="K354" s="132"/>
      <c r="L354" s="120">
        <f>L75</f>
        <v>7.52</v>
      </c>
      <c r="M354" s="131">
        <v>0</v>
      </c>
      <c r="N354" s="131">
        <f t="shared" si="283"/>
        <v>0</v>
      </c>
      <c r="O354" s="132">
        <f t="shared" si="286"/>
        <v>0</v>
      </c>
      <c r="P354" s="132">
        <v>0</v>
      </c>
      <c r="Q354" s="133">
        <f t="shared" si="287"/>
        <v>0</v>
      </c>
      <c r="R354" s="133"/>
      <c r="T354" s="6">
        <f>L354/H354-1</f>
        <v>3.7241379310344769E-2</v>
      </c>
      <c r="W354" s="2" t="s">
        <v>142</v>
      </c>
    </row>
    <row r="355" spans="1:23" ht="13.8" thickBot="1" x14ac:dyDescent="0.3">
      <c r="A355" s="34">
        <f t="shared" si="275"/>
        <v>349</v>
      </c>
    </row>
    <row r="356" spans="1:23" x14ac:dyDescent="0.25">
      <c r="A356" s="34">
        <f t="shared" si="275"/>
        <v>350</v>
      </c>
      <c r="B356" s="158" t="s">
        <v>133</v>
      </c>
      <c r="C356" s="26">
        <v>14</v>
      </c>
      <c r="D356" s="25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</row>
    <row r="357" spans="1:23" x14ac:dyDescent="0.25">
      <c r="A357" s="34">
        <f t="shared" si="275"/>
        <v>351</v>
      </c>
      <c r="B357" s="159"/>
      <c r="D357" s="2" t="str">
        <f>D113</f>
        <v>Customer Charge</v>
      </c>
      <c r="E357" s="130">
        <v>0</v>
      </c>
      <c r="F357" s="120">
        <f>H357</f>
        <v>3042.58</v>
      </c>
      <c r="G357" s="131">
        <f>F357*E357</f>
        <v>0</v>
      </c>
      <c r="H357" s="120">
        <v>3042.58</v>
      </c>
      <c r="I357" s="131">
        <f>H357*E357</f>
        <v>0</v>
      </c>
      <c r="J357" s="132">
        <v>0</v>
      </c>
      <c r="K357" s="132"/>
      <c r="L357" s="120">
        <f>L113</f>
        <v>3157.89</v>
      </c>
      <c r="M357" s="131">
        <v>0</v>
      </c>
      <c r="N357" s="131">
        <f t="shared" ref="N357:N360" si="288">M357-I357</f>
        <v>0</v>
      </c>
      <c r="O357" s="132">
        <f>IF(I357=0,0,N357/I357)</f>
        <v>0</v>
      </c>
      <c r="P357" s="132">
        <v>0</v>
      </c>
      <c r="Q357" s="133">
        <f>P357-J357</f>
        <v>0</v>
      </c>
      <c r="R357" s="133"/>
      <c r="T357" s="6">
        <f>L357/H357-1</f>
        <v>3.7898756975987435E-2</v>
      </c>
      <c r="V357" s="113" t="s">
        <v>146</v>
      </c>
    </row>
    <row r="358" spans="1:23" x14ac:dyDescent="0.25">
      <c r="A358" s="34">
        <f t="shared" si="275"/>
        <v>352</v>
      </c>
      <c r="B358" s="14"/>
      <c r="D358" s="2" t="str">
        <f>D114</f>
        <v>Energy Charge per kWh first 425</v>
      </c>
      <c r="E358" s="130">
        <v>0</v>
      </c>
      <c r="F358" s="121">
        <v>4.2040000000000001E-2</v>
      </c>
      <c r="G358" s="131">
        <f t="shared" ref="G358:G360" si="289">F358*E358</f>
        <v>0</v>
      </c>
      <c r="H358" s="121">
        <v>4.0480000000000002E-2</v>
      </c>
      <c r="I358" s="131">
        <f t="shared" ref="I358:I360" si="290">H358*E358</f>
        <v>0</v>
      </c>
      <c r="J358" s="132">
        <v>0</v>
      </c>
      <c r="K358" s="132"/>
      <c r="L358" s="121">
        <f>L114</f>
        <v>4.2009999999999999E-2</v>
      </c>
      <c r="M358" s="131">
        <v>0</v>
      </c>
      <c r="N358" s="131">
        <f t="shared" si="288"/>
        <v>0</v>
      </c>
      <c r="O358" s="132">
        <f t="shared" ref="O358:O360" si="291">IF(I358=0,0,N358/I358)</f>
        <v>0</v>
      </c>
      <c r="P358" s="132">
        <v>0</v>
      </c>
      <c r="Q358" s="133">
        <f t="shared" ref="Q358:Q360" si="292">P358-J358</f>
        <v>0</v>
      </c>
      <c r="R358" s="133"/>
      <c r="T358" s="6">
        <f>L358/H358-1</f>
        <v>3.7796442687746845E-2</v>
      </c>
    </row>
    <row r="359" spans="1:23" x14ac:dyDescent="0.25">
      <c r="A359" s="34">
        <f t="shared" si="275"/>
        <v>353</v>
      </c>
      <c r="B359" s="14"/>
      <c r="D359" s="2" t="str">
        <f>D115</f>
        <v>Energy Charge per kWh over 425</v>
      </c>
      <c r="E359" s="130">
        <v>0</v>
      </c>
      <c r="F359" s="121">
        <v>4.1169999999999998E-2</v>
      </c>
      <c r="G359" s="131">
        <f t="shared" si="289"/>
        <v>0</v>
      </c>
      <c r="H359" s="121">
        <v>3.9609999999999999E-2</v>
      </c>
      <c r="I359" s="131">
        <f t="shared" si="290"/>
        <v>0</v>
      </c>
      <c r="J359" s="132">
        <v>0</v>
      </c>
      <c r="K359" s="132"/>
      <c r="L359" s="121">
        <f>L115</f>
        <v>4.1110000000000001E-2</v>
      </c>
      <c r="M359" s="131">
        <v>0</v>
      </c>
      <c r="N359" s="131">
        <f t="shared" si="288"/>
        <v>0</v>
      </c>
      <c r="O359" s="132">
        <f t="shared" si="291"/>
        <v>0</v>
      </c>
      <c r="P359" s="132">
        <v>0</v>
      </c>
      <c r="Q359" s="133">
        <f t="shared" si="292"/>
        <v>0</v>
      </c>
      <c r="R359" s="133"/>
      <c r="T359" s="6">
        <f>L359/H359-1</f>
        <v>3.7869224943196222E-2</v>
      </c>
    </row>
    <row r="360" spans="1:23" x14ac:dyDescent="0.25">
      <c r="A360" s="34">
        <f t="shared" si="275"/>
        <v>354</v>
      </c>
      <c r="B360" s="14"/>
      <c r="D360" s="2" t="str">
        <f>D116</f>
        <v>Demand Charge per kW</v>
      </c>
      <c r="E360" s="130">
        <v>0</v>
      </c>
      <c r="F360" s="120">
        <v>7.25</v>
      </c>
      <c r="G360" s="131">
        <f t="shared" si="289"/>
        <v>0</v>
      </c>
      <c r="H360" s="120">
        <v>7.25</v>
      </c>
      <c r="I360" s="131">
        <f t="shared" si="290"/>
        <v>0</v>
      </c>
      <c r="J360" s="132">
        <v>0</v>
      </c>
      <c r="K360" s="132"/>
      <c r="L360" s="120">
        <f>L116</f>
        <v>7.52</v>
      </c>
      <c r="M360" s="131">
        <v>0</v>
      </c>
      <c r="N360" s="131">
        <f t="shared" si="288"/>
        <v>0</v>
      </c>
      <c r="O360" s="132">
        <f t="shared" si="291"/>
        <v>0</v>
      </c>
      <c r="P360" s="132">
        <v>0</v>
      </c>
      <c r="Q360" s="133">
        <f t="shared" si="292"/>
        <v>0</v>
      </c>
      <c r="R360" s="133"/>
      <c r="T360" s="6">
        <f>L360/H360-1</f>
        <v>3.7241379310344769E-2</v>
      </c>
      <c r="W360" s="2" t="s">
        <v>142</v>
      </c>
    </row>
    <row r="361" spans="1:23" ht="13.8" thickBot="1" x14ac:dyDescent="0.3">
      <c r="A361" s="34">
        <f t="shared" si="275"/>
        <v>355</v>
      </c>
    </row>
    <row r="362" spans="1:23" x14ac:dyDescent="0.25">
      <c r="A362" s="34">
        <f t="shared" si="275"/>
        <v>356</v>
      </c>
      <c r="B362" s="158" t="s">
        <v>150</v>
      </c>
      <c r="C362" s="26">
        <v>15</v>
      </c>
      <c r="D362" s="25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</row>
    <row r="363" spans="1:23" x14ac:dyDescent="0.25">
      <c r="A363" s="34">
        <f t="shared" si="275"/>
        <v>357</v>
      </c>
      <c r="B363" s="159"/>
      <c r="D363" s="2" t="s">
        <v>18</v>
      </c>
      <c r="E363" s="130">
        <v>0</v>
      </c>
      <c r="F363" s="120">
        <f>H363</f>
        <v>1521.83</v>
      </c>
      <c r="G363" s="131">
        <f>F363*E363</f>
        <v>0</v>
      </c>
      <c r="H363" s="120">
        <v>1521.83</v>
      </c>
      <c r="I363" s="131">
        <f>H363*E363</f>
        <v>0</v>
      </c>
      <c r="J363" s="132">
        <v>0</v>
      </c>
      <c r="K363" s="132"/>
      <c r="L363" s="120">
        <f>L351</f>
        <v>1579.51</v>
      </c>
      <c r="M363" s="131">
        <v>0</v>
      </c>
      <c r="N363" s="131">
        <f t="shared" ref="N363:N367" si="293">M363-I363</f>
        <v>0</v>
      </c>
      <c r="O363" s="132">
        <f>IF(I363=0,0,N363/I363)</f>
        <v>0</v>
      </c>
      <c r="P363" s="132">
        <v>0</v>
      </c>
      <c r="Q363" s="133">
        <f>P363-J363</f>
        <v>0</v>
      </c>
      <c r="R363" s="133"/>
      <c r="T363" s="6">
        <f>L363/H363-1</f>
        <v>3.7901736724864188E-2</v>
      </c>
    </row>
    <row r="364" spans="1:23" x14ac:dyDescent="0.25">
      <c r="A364" s="34">
        <f t="shared" si="275"/>
        <v>358</v>
      </c>
      <c r="B364" s="14"/>
      <c r="D364" s="2" t="s">
        <v>74</v>
      </c>
      <c r="E364" s="130">
        <v>0</v>
      </c>
      <c r="F364" s="121">
        <v>4.2540000000000001E-2</v>
      </c>
      <c r="G364" s="131">
        <f t="shared" ref="G364:G367" si="294">F364*E364</f>
        <v>0</v>
      </c>
      <c r="H364" s="134">
        <v>4.0980000000000003E-2</v>
      </c>
      <c r="I364" s="131">
        <f t="shared" ref="I364:I367" si="295">H364*E364</f>
        <v>0</v>
      </c>
      <c r="J364" s="132">
        <v>0</v>
      </c>
      <c r="K364" s="132"/>
      <c r="L364" s="121">
        <f>H364*(1+O$332)</f>
        <v>4.3038134135885232E-2</v>
      </c>
      <c r="M364" s="131">
        <v>0</v>
      </c>
      <c r="N364" s="131">
        <f t="shared" si="293"/>
        <v>0</v>
      </c>
      <c r="O364" s="132">
        <f t="shared" ref="O364:O367" si="296">IF(I364=0,0,N364/I364)</f>
        <v>0</v>
      </c>
      <c r="P364" s="132">
        <v>0</v>
      </c>
      <c r="Q364" s="133">
        <f t="shared" ref="Q364:Q367" si="297">P364-J364</f>
        <v>0</v>
      </c>
      <c r="R364" s="133"/>
      <c r="T364" s="6">
        <f>L364/H364-1</f>
        <v>5.0222892530142227E-2</v>
      </c>
    </row>
    <row r="365" spans="1:23" x14ac:dyDescent="0.25">
      <c r="A365" s="34">
        <f t="shared" si="275"/>
        <v>359</v>
      </c>
      <c r="B365" s="14"/>
      <c r="D365" s="2" t="s">
        <v>75</v>
      </c>
      <c r="E365" s="130">
        <v>0</v>
      </c>
      <c r="F365" s="121">
        <v>4.1239999999999999E-2</v>
      </c>
      <c r="G365" s="131">
        <f t="shared" si="294"/>
        <v>0</v>
      </c>
      <c r="H365" s="134">
        <v>3.968E-2</v>
      </c>
      <c r="I365" s="131">
        <f t="shared" si="295"/>
        <v>0</v>
      </c>
      <c r="J365" s="132">
        <v>0</v>
      </c>
      <c r="K365" s="132"/>
      <c r="L365" s="121">
        <f>H365*(1+O$332)</f>
        <v>4.1672844375596041E-2</v>
      </c>
      <c r="M365" s="131">
        <v>0</v>
      </c>
      <c r="N365" s="131">
        <f t="shared" si="293"/>
        <v>0</v>
      </c>
      <c r="O365" s="132">
        <f t="shared" si="296"/>
        <v>0</v>
      </c>
      <c r="P365" s="132">
        <v>0</v>
      </c>
      <c r="Q365" s="133">
        <f t="shared" si="297"/>
        <v>0</v>
      </c>
      <c r="R365" s="133"/>
      <c r="T365" s="6">
        <f>L365/H365-1</f>
        <v>5.0222892530142227E-2</v>
      </c>
    </row>
    <row r="366" spans="1:23" x14ac:dyDescent="0.25">
      <c r="A366" s="34">
        <f t="shared" si="275"/>
        <v>360</v>
      </c>
      <c r="B366" s="14"/>
      <c r="D366" s="2" t="s">
        <v>54</v>
      </c>
      <c r="E366" s="130">
        <v>0</v>
      </c>
      <c r="F366" s="120">
        <f>H366</f>
        <v>7.25</v>
      </c>
      <c r="G366" s="131">
        <f t="shared" si="294"/>
        <v>0</v>
      </c>
      <c r="H366" s="120">
        <v>7.25</v>
      </c>
      <c r="I366" s="131">
        <f t="shared" si="295"/>
        <v>0</v>
      </c>
      <c r="J366" s="132">
        <v>0</v>
      </c>
      <c r="K366" s="132"/>
      <c r="L366" s="120">
        <f>L354</f>
        <v>7.52</v>
      </c>
      <c r="M366" s="131">
        <v>0</v>
      </c>
      <c r="N366" s="131">
        <f t="shared" si="293"/>
        <v>0</v>
      </c>
      <c r="O366" s="132">
        <f t="shared" si="296"/>
        <v>0</v>
      </c>
      <c r="P366" s="132">
        <v>0</v>
      </c>
      <c r="Q366" s="133">
        <f t="shared" si="297"/>
        <v>0</v>
      </c>
      <c r="R366" s="133"/>
      <c r="T366" s="6">
        <f>L366/H366-1</f>
        <v>3.7241379310344769E-2</v>
      </c>
      <c r="W366" s="2" t="s">
        <v>142</v>
      </c>
    </row>
    <row r="367" spans="1:23" x14ac:dyDescent="0.25">
      <c r="A367" s="34">
        <f t="shared" si="275"/>
        <v>361</v>
      </c>
      <c r="B367" s="14"/>
      <c r="D367" s="2" t="s">
        <v>73</v>
      </c>
      <c r="E367" s="130">
        <v>0</v>
      </c>
      <c r="F367" s="120">
        <f>H367</f>
        <v>9.98</v>
      </c>
      <c r="G367" s="131">
        <f t="shared" si="294"/>
        <v>0</v>
      </c>
      <c r="H367" s="120">
        <v>9.98</v>
      </c>
      <c r="I367" s="131">
        <f t="shared" si="295"/>
        <v>0</v>
      </c>
      <c r="J367" s="132">
        <v>0</v>
      </c>
      <c r="K367" s="132"/>
      <c r="L367" s="120">
        <f>L76</f>
        <v>10.36</v>
      </c>
      <c r="M367" s="131">
        <v>0</v>
      </c>
      <c r="N367" s="131">
        <f t="shared" si="293"/>
        <v>0</v>
      </c>
      <c r="O367" s="132">
        <f t="shared" si="296"/>
        <v>0</v>
      </c>
      <c r="P367" s="132">
        <v>0</v>
      </c>
      <c r="Q367" s="133">
        <f t="shared" si="297"/>
        <v>0</v>
      </c>
      <c r="R367" s="133"/>
      <c r="T367" s="6">
        <f>L367/H367-1</f>
        <v>3.8076152304609145E-2</v>
      </c>
      <c r="W367" s="2" t="str">
        <f>W366</f>
        <v>same as LPB</v>
      </c>
    </row>
    <row r="368" spans="1:23" x14ac:dyDescent="0.25">
      <c r="S368" s="112"/>
    </row>
  </sheetData>
  <mergeCells count="18">
    <mergeCell ref="B7:B8"/>
    <mergeCell ref="B33:B34"/>
    <mergeCell ref="B45:B46"/>
    <mergeCell ref="B128:B129"/>
    <mergeCell ref="B207:B208"/>
    <mergeCell ref="B141:B142"/>
    <mergeCell ref="B19:B20"/>
    <mergeCell ref="B58:B59"/>
    <mergeCell ref="B154:B155"/>
    <mergeCell ref="B167:B168"/>
    <mergeCell ref="B180:B181"/>
    <mergeCell ref="B193:B194"/>
    <mergeCell ref="B356:B357"/>
    <mergeCell ref="B362:B363"/>
    <mergeCell ref="B220:B221"/>
    <mergeCell ref="B235:B236"/>
    <mergeCell ref="B344:B345"/>
    <mergeCell ref="B350:B351"/>
  </mergeCells>
  <phoneticPr fontId="9" type="noConversion"/>
  <printOptions horizontalCentered="1"/>
  <pageMargins left="0.7" right="0.7" top="0.75" bottom="0.75" header="0.3" footer="0.3"/>
  <pageSetup scale="54" fitToHeight="8" orientation="landscape" r:id="rId1"/>
  <headerFooter>
    <oddHeader>&amp;R&amp;"Arial,Bold"&amp;10Exhibit 3
Page &amp;P of &amp;N</oddHeader>
  </headerFooter>
  <rowBreaks count="6" manualBreakCount="6">
    <brk id="57" max="17" man="1"/>
    <brk id="111" max="17" man="1"/>
    <brk id="166" max="17" man="1"/>
    <brk id="219" max="17" man="1"/>
    <brk id="261" max="17" man="1"/>
    <brk id="311" max="17" man="1"/>
  </rowBreaks>
  <ignoredErrors>
    <ignoredError sqref="M10 N77 N10:N76 N78:N261 O10:O261 N331:N338 O331:O341 N262:N311 O262:O3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9F6A-0C00-45DF-9E95-0B4131F0E938}">
  <dimension ref="A1:J180"/>
  <sheetViews>
    <sheetView tabSelected="1" topLeftCell="A109" zoomScaleNormal="100" workbookViewId="0">
      <selection activeCell="D125" sqref="D125"/>
    </sheetView>
  </sheetViews>
  <sheetFormatPr defaultRowHeight="13.2" x14ac:dyDescent="0.25"/>
  <cols>
    <col min="1" max="1" width="2.33203125" style="2" customWidth="1"/>
    <col min="2" max="2" width="2.44140625" style="2" customWidth="1"/>
    <col min="3" max="3" width="7" style="4" customWidth="1"/>
    <col min="4" max="4" width="39.77734375" style="43" customWidth="1"/>
    <col min="5" max="5" width="51.44140625" style="2" bestFit="1" customWidth="1"/>
    <col min="6" max="6" width="14.109375" style="81" bestFit="1" customWidth="1"/>
    <col min="7" max="7" width="13.6640625" style="81" customWidth="1"/>
    <col min="8" max="16384" width="8.88671875" style="2"/>
  </cols>
  <sheetData>
    <row r="1" spans="1:10" ht="14.4" x14ac:dyDescent="0.3">
      <c r="A1" s="1" t="str">
        <f>Summary!A1</f>
        <v>Owen Electric Cooperative</v>
      </c>
      <c r="F1" s="92"/>
    </row>
    <row r="2" spans="1:10" x14ac:dyDescent="0.25">
      <c r="A2" s="1" t="s">
        <v>151</v>
      </c>
    </row>
    <row r="4" spans="1:10" x14ac:dyDescent="0.25">
      <c r="C4" s="103" t="s">
        <v>51</v>
      </c>
      <c r="D4" s="106"/>
      <c r="E4" s="80" t="s">
        <v>2</v>
      </c>
      <c r="F4" s="93" t="s">
        <v>50</v>
      </c>
      <c r="G4" s="93" t="s">
        <v>52</v>
      </c>
    </row>
    <row r="5" spans="1:10" x14ac:dyDescent="0.25">
      <c r="C5" s="4">
        <f>'Billing Detail'!C7</f>
        <v>1</v>
      </c>
      <c r="D5" s="110" t="str">
        <f>'Billing Detail'!B7</f>
        <v>Schedule I-Farm and Home</v>
      </c>
    </row>
    <row r="6" spans="1:10" x14ac:dyDescent="0.25">
      <c r="E6" s="2" t="str">
        <f>'Billing Detail'!D8</f>
        <v>Customer Charge</v>
      </c>
      <c r="F6" s="81">
        <f>'Billing Detail'!H8</f>
        <v>20</v>
      </c>
      <c r="G6" s="81">
        <f>'Billing Detail'!L8</f>
        <v>20.76</v>
      </c>
      <c r="J6" s="6">
        <f>G6/F6-1</f>
        <v>3.8000000000000034E-2</v>
      </c>
    </row>
    <row r="7" spans="1:10" x14ac:dyDescent="0.25">
      <c r="E7" s="2" t="str">
        <f>'Billing Detail'!D9</f>
        <v>Energy Charge per kWh</v>
      </c>
      <c r="F7" s="82">
        <f>'Billing Detail'!H9</f>
        <v>8.0890000000000004E-2</v>
      </c>
      <c r="G7" s="82">
        <f>'Billing Detail'!L9</f>
        <v>8.3956000000000003E-2</v>
      </c>
      <c r="J7" s="6">
        <f t="shared" ref="J7:J62" si="0">G7/F7-1</f>
        <v>3.7903325503770624E-2</v>
      </c>
    </row>
    <row r="8" spans="1:10" x14ac:dyDescent="0.25">
      <c r="C8" s="4">
        <f>'Billing Detail'!C19</f>
        <v>2</v>
      </c>
      <c r="D8" s="110" t="str">
        <f>'Billing Detail'!B19</f>
        <v>Schedule 1-D Farm &amp; Home Inclining Block</v>
      </c>
      <c r="J8" s="6"/>
    </row>
    <row r="9" spans="1:10" x14ac:dyDescent="0.25">
      <c r="E9" s="2" t="str">
        <f>'Billing Detail'!D20</f>
        <v>Customer Charge</v>
      </c>
      <c r="F9" s="81">
        <f>'Billing Detail'!H20</f>
        <v>15.78</v>
      </c>
      <c r="G9" s="81">
        <f>'Billing Detail'!L20</f>
        <v>16.38</v>
      </c>
      <c r="J9" s="6">
        <f t="shared" si="0"/>
        <v>3.8022813688212809E-2</v>
      </c>
    </row>
    <row r="10" spans="1:10" x14ac:dyDescent="0.25">
      <c r="E10" s="2" t="str">
        <f>'Billing Detail'!D21</f>
        <v>Energy Charge per kWh (0-300 kWh)</v>
      </c>
      <c r="F10" s="82">
        <f>'Billing Detail'!H21</f>
        <v>6.3930000000000001E-2</v>
      </c>
      <c r="G10" s="82">
        <f>'Billing Detail'!L21</f>
        <v>6.6350000000000006E-2</v>
      </c>
      <c r="J10" s="6">
        <f t="shared" si="0"/>
        <v>3.7853902706084908E-2</v>
      </c>
    </row>
    <row r="11" spans="1:10" x14ac:dyDescent="0.25">
      <c r="E11" s="2" t="str">
        <f>'Billing Detail'!D22</f>
        <v>Energy Charge per kWh (301-500 kWh)</v>
      </c>
      <c r="F11" s="82">
        <f>'Billing Detail'!H22</f>
        <v>8.6430000000000007E-2</v>
      </c>
      <c r="G11" s="82">
        <f>'Billing Detail'!L22</f>
        <v>8.9709999999999998E-2</v>
      </c>
      <c r="J11" s="6">
        <f t="shared" si="0"/>
        <v>3.7949785953951043E-2</v>
      </c>
    </row>
    <row r="12" spans="1:10" x14ac:dyDescent="0.25">
      <c r="E12" s="2" t="str">
        <f>'Billing Detail'!D23</f>
        <v>Energy Charge per kWh (over 500 kWh)</v>
      </c>
      <c r="F12" s="82">
        <f>'Billing Detail'!H23</f>
        <v>0.11643000000000001</v>
      </c>
      <c r="G12" s="82">
        <f>'Billing Detail'!L23</f>
        <v>0.12084</v>
      </c>
      <c r="J12" s="6">
        <f t="shared" si="0"/>
        <v>3.7876835867044489E-2</v>
      </c>
    </row>
    <row r="13" spans="1:10" x14ac:dyDescent="0.25">
      <c r="C13" s="4">
        <f>'Billing Detail'!C33</f>
        <v>3</v>
      </c>
      <c r="D13" s="110" t="str">
        <f>'Billing Detail'!B33</f>
        <v>Schedule 1-Small Commercial</v>
      </c>
      <c r="J13" s="6"/>
    </row>
    <row r="14" spans="1:10" x14ac:dyDescent="0.25">
      <c r="E14" s="2" t="str">
        <f>'Billing Detail'!D34</f>
        <v>Customer Charge</v>
      </c>
      <c r="F14" s="81">
        <f>'Billing Detail'!H34</f>
        <v>25</v>
      </c>
      <c r="G14" s="81">
        <f>'Billing Detail'!L34</f>
        <v>25.95</v>
      </c>
      <c r="J14" s="6">
        <f t="shared" si="0"/>
        <v>3.8000000000000034E-2</v>
      </c>
    </row>
    <row r="15" spans="1:10" x14ac:dyDescent="0.25">
      <c r="E15" s="2" t="str">
        <f>'Billing Detail'!D35</f>
        <v>Energy Charge per kWh</v>
      </c>
      <c r="F15" s="82">
        <f>'Billing Detail'!H35</f>
        <v>8.2320000000000004E-2</v>
      </c>
      <c r="G15" s="82">
        <f>'Billing Detail'!L35</f>
        <v>8.5440000000000002E-2</v>
      </c>
      <c r="J15" s="6">
        <f t="shared" si="0"/>
        <v>3.790087463556846E-2</v>
      </c>
    </row>
    <row r="16" spans="1:10" x14ac:dyDescent="0.25">
      <c r="C16" s="4">
        <f>'Billing Detail'!C45</f>
        <v>4</v>
      </c>
      <c r="D16" s="110" t="str">
        <f>'Billing Detail'!B45</f>
        <v>Schedule II-Large Power</v>
      </c>
      <c r="J16" s="6"/>
    </row>
    <row r="17" spans="3:10" x14ac:dyDescent="0.25">
      <c r="E17" s="2" t="str">
        <f>'Billing Detail'!D46</f>
        <v>Customer Charge</v>
      </c>
      <c r="F17" s="81">
        <f>'Billing Detail'!H46</f>
        <v>21.31</v>
      </c>
      <c r="G17" s="81">
        <f>'Billing Detail'!L46</f>
        <v>22.12</v>
      </c>
      <c r="J17" s="6">
        <f t="shared" si="0"/>
        <v>3.8010323791647149E-2</v>
      </c>
    </row>
    <row r="18" spans="3:10" x14ac:dyDescent="0.25">
      <c r="E18" s="2" t="str">
        <f>'Billing Detail'!D47</f>
        <v>Energy Charge per kWh</v>
      </c>
      <c r="F18" s="82">
        <f>'Billing Detail'!H47</f>
        <v>6.096E-2</v>
      </c>
      <c r="G18" s="82">
        <f>'Billing Detail'!L47</f>
        <v>6.3270000000000007E-2</v>
      </c>
      <c r="J18" s="6">
        <f t="shared" si="0"/>
        <v>3.7893700787401619E-2</v>
      </c>
    </row>
    <row r="19" spans="3:10" x14ac:dyDescent="0.25">
      <c r="E19" s="2" t="str">
        <f>'Billing Detail'!D48</f>
        <v>Demand Charge per kW</v>
      </c>
      <c r="F19" s="81">
        <f>'Billing Detail'!H48</f>
        <v>6.13</v>
      </c>
      <c r="G19" s="81">
        <f>'Billing Detail'!L48</f>
        <v>6.36</v>
      </c>
      <c r="J19" s="6">
        <f t="shared" si="0"/>
        <v>3.7520391517128937E-2</v>
      </c>
    </row>
    <row r="20" spans="3:10" x14ac:dyDescent="0.25">
      <c r="C20" s="4">
        <f>'Billing Detail'!C71</f>
        <v>9</v>
      </c>
      <c r="D20" s="110" t="str">
        <f>'Billing Detail'!B71</f>
        <v>Schedule XI- LPB1</v>
      </c>
      <c r="J20" s="6"/>
    </row>
    <row r="21" spans="3:10" x14ac:dyDescent="0.25">
      <c r="E21" s="2" t="str">
        <f>'Billing Detail'!D72</f>
        <v>Customer Charge</v>
      </c>
      <c r="F21" s="81">
        <f>'Billing Detail'!H72</f>
        <v>1521.83</v>
      </c>
      <c r="G21" s="81">
        <f>'Billing Detail'!L72</f>
        <v>1579.51</v>
      </c>
      <c r="J21" s="6">
        <f t="shared" si="0"/>
        <v>3.7901736724864188E-2</v>
      </c>
    </row>
    <row r="22" spans="3:10" x14ac:dyDescent="0.25">
      <c r="E22" s="2" t="str">
        <f>'Billing Detail'!D73</f>
        <v>Energy Charge per kWh first 425</v>
      </c>
      <c r="F22" s="82">
        <f>'Billing Detail'!H73</f>
        <v>4.548E-2</v>
      </c>
      <c r="G22" s="82">
        <f>'Billing Detail'!L73</f>
        <v>4.7199999999999999E-2</v>
      </c>
      <c r="J22" s="6">
        <f t="shared" si="0"/>
        <v>3.7818821459982388E-2</v>
      </c>
    </row>
    <row r="23" spans="3:10" x14ac:dyDescent="0.25">
      <c r="E23" s="2" t="str">
        <f>'Billing Detail'!D74</f>
        <v>Energy Charge per kWh over 425</v>
      </c>
      <c r="F23" s="82">
        <f>'Billing Detail'!H74</f>
        <v>4.1829999999999999E-2</v>
      </c>
      <c r="G23" s="82">
        <f>'Billing Detail'!L74</f>
        <v>4.342E-2</v>
      </c>
      <c r="J23" s="6">
        <f t="shared" si="0"/>
        <v>3.801099689218268E-2</v>
      </c>
    </row>
    <row r="24" spans="3:10" x14ac:dyDescent="0.25">
      <c r="E24" s="2" t="str">
        <f>'Billing Detail'!D75</f>
        <v>Demand Charge per kW</v>
      </c>
      <c r="F24" s="81">
        <f>'Billing Detail'!H75</f>
        <v>7.25</v>
      </c>
      <c r="G24" s="81">
        <f>'Billing Detail'!L75</f>
        <v>7.52</v>
      </c>
      <c r="J24" s="6">
        <f t="shared" si="0"/>
        <v>3.7241379310344769E-2</v>
      </c>
    </row>
    <row r="25" spans="3:10" x14ac:dyDescent="0.25">
      <c r="E25" s="2" t="str">
        <f>'Billing Detail'!D76</f>
        <v>Demand Charge Excess per kW</v>
      </c>
      <c r="F25" s="81">
        <f>'Billing Detail'!H76</f>
        <v>9.98</v>
      </c>
      <c r="G25" s="81">
        <f>'Billing Detail'!L76</f>
        <v>10.36</v>
      </c>
      <c r="J25" s="6">
        <f t="shared" si="0"/>
        <v>3.8076152304609145E-2</v>
      </c>
    </row>
    <row r="26" spans="3:10" x14ac:dyDescent="0.25">
      <c r="C26" s="4">
        <f>'Billing Detail'!C86</f>
        <v>10</v>
      </c>
      <c r="D26" s="110" t="str">
        <f>'Billing Detail'!B86</f>
        <v>ETS Off-Peak</v>
      </c>
      <c r="I26" s="82"/>
      <c r="J26" s="6"/>
    </row>
    <row r="27" spans="3:10" x14ac:dyDescent="0.25">
      <c r="E27" s="2" t="str">
        <f>'Billing Detail'!D88</f>
        <v>Energy Charge per kWh</v>
      </c>
      <c r="F27" s="82">
        <f>'Billing Detail'!H88</f>
        <v>4.8529999999999997E-2</v>
      </c>
      <c r="G27" s="82">
        <f>'Billing Detail'!L88</f>
        <v>5.0374000000000002E-2</v>
      </c>
      <c r="J27" s="6">
        <f t="shared" si="0"/>
        <v>3.7997115186482633E-2</v>
      </c>
    </row>
    <row r="28" spans="3:10" x14ac:dyDescent="0.25">
      <c r="C28" s="4">
        <f>'Billing Detail'!C98</f>
        <v>12</v>
      </c>
      <c r="D28" s="110" t="str">
        <f>'Billing Detail'!B98</f>
        <v>Schedule XIV LPB</v>
      </c>
      <c r="J28" s="6"/>
    </row>
    <row r="29" spans="3:10" x14ac:dyDescent="0.25">
      <c r="E29" s="2" t="str">
        <f>'Billing Detail'!D99</f>
        <v>Customer Charge</v>
      </c>
      <c r="F29" s="81">
        <f>'Billing Detail'!H99</f>
        <v>1521.83</v>
      </c>
      <c r="G29" s="81">
        <f>'Billing Detail'!L99</f>
        <v>1579.51</v>
      </c>
      <c r="J29" s="6">
        <f t="shared" si="0"/>
        <v>3.7901736724864188E-2</v>
      </c>
    </row>
    <row r="30" spans="3:10" x14ac:dyDescent="0.25">
      <c r="E30" s="2" t="str">
        <f>'Billing Detail'!D100</f>
        <v>Energy Charge per kWh</v>
      </c>
      <c r="F30" s="82">
        <f>'Billing Detail'!H100</f>
        <v>4.7039999999999998E-2</v>
      </c>
      <c r="G30" s="82">
        <f>'Billing Detail'!L100</f>
        <v>4.8820000000000002E-2</v>
      </c>
      <c r="J30" s="6">
        <f t="shared" si="0"/>
        <v>3.7840136054421825E-2</v>
      </c>
    </row>
    <row r="31" spans="3:10" x14ac:dyDescent="0.25">
      <c r="E31" s="2" t="str">
        <f>'Billing Detail'!D101</f>
        <v>Demand Charge per kW</v>
      </c>
      <c r="F31" s="81">
        <f>'Billing Detail'!H101</f>
        <v>7.25</v>
      </c>
      <c r="G31" s="81">
        <f>'Billing Detail'!L101</f>
        <v>7.52</v>
      </c>
      <c r="J31" s="6">
        <f t="shared" si="0"/>
        <v>3.7241379310344769E-2</v>
      </c>
    </row>
    <row r="32" spans="3:10" x14ac:dyDescent="0.25">
      <c r="E32" s="2" t="str">
        <f>'Billing Detail'!D102</f>
        <v>Demand Charge Excess per kW</v>
      </c>
      <c r="F32" s="81">
        <f>'Billing Detail'!H102</f>
        <v>9.98</v>
      </c>
      <c r="G32" s="81">
        <f>'Billing Detail'!L102</f>
        <v>10.36</v>
      </c>
      <c r="J32" s="6">
        <f t="shared" si="0"/>
        <v>3.8076152304609145E-2</v>
      </c>
    </row>
    <row r="33" spans="3:10" x14ac:dyDescent="0.25">
      <c r="C33" s="4">
        <f>'Billing Detail'!C112</f>
        <v>13</v>
      </c>
      <c r="D33" s="110" t="str">
        <f>'Billing Detail'!B112</f>
        <v>Schedule XIII-LPB2</v>
      </c>
      <c r="J33" s="6"/>
    </row>
    <row r="34" spans="3:10" x14ac:dyDescent="0.25">
      <c r="E34" s="2" t="str">
        <f>'Billing Detail'!D113</f>
        <v>Customer Charge</v>
      </c>
      <c r="F34" s="81">
        <f>'Billing Detail'!H113</f>
        <v>3042.58</v>
      </c>
      <c r="G34" s="81">
        <f>'Billing Detail'!L113</f>
        <v>3157.89</v>
      </c>
      <c r="J34" s="6">
        <f t="shared" si="0"/>
        <v>3.7898756975987435E-2</v>
      </c>
    </row>
    <row r="35" spans="3:10" x14ac:dyDescent="0.25">
      <c r="E35" s="2" t="str">
        <f>'Billing Detail'!D114</f>
        <v>Energy Charge per kWh first 425</v>
      </c>
      <c r="F35" s="82">
        <f>'Billing Detail'!H114</f>
        <v>4.0480000000000002E-2</v>
      </c>
      <c r="G35" s="82">
        <f>'Billing Detail'!L114</f>
        <v>4.2009999999999999E-2</v>
      </c>
      <c r="J35" s="6">
        <f t="shared" si="0"/>
        <v>3.7796442687746845E-2</v>
      </c>
    </row>
    <row r="36" spans="3:10" x14ac:dyDescent="0.25">
      <c r="E36" s="2" t="str">
        <f>'Billing Detail'!D115</f>
        <v>Energy Charge per kWh over 425</v>
      </c>
      <c r="F36" s="82">
        <f>'Billing Detail'!H115</f>
        <v>3.9609999999999999E-2</v>
      </c>
      <c r="G36" s="82">
        <f>'Billing Detail'!L115</f>
        <v>4.1110000000000001E-2</v>
      </c>
      <c r="J36" s="6">
        <f t="shared" si="0"/>
        <v>3.7869224943196222E-2</v>
      </c>
    </row>
    <row r="37" spans="3:10" x14ac:dyDescent="0.25">
      <c r="E37" s="2" t="str">
        <f>'Billing Detail'!D116</f>
        <v>Demand Charge per kW</v>
      </c>
      <c r="F37" s="81">
        <f>'Billing Detail'!H116</f>
        <v>7.25</v>
      </c>
      <c r="G37" s="81">
        <f>'Billing Detail'!L116</f>
        <v>7.52</v>
      </c>
      <c r="J37" s="6">
        <f t="shared" si="0"/>
        <v>3.7241379310344769E-2</v>
      </c>
    </row>
    <row r="38" spans="3:10" x14ac:dyDescent="0.25">
      <c r="E38" s="2" t="str">
        <f>'Billing Detail'!D117</f>
        <v>Demand Charge Excess per kW</v>
      </c>
      <c r="F38" s="81">
        <f>'Billing Detail'!H117</f>
        <v>9.98</v>
      </c>
      <c r="G38" s="81">
        <f>'Billing Detail'!L117</f>
        <v>10.36</v>
      </c>
      <c r="J38" s="6">
        <f t="shared" si="0"/>
        <v>3.8076152304609145E-2</v>
      </c>
    </row>
    <row r="39" spans="3:10" x14ac:dyDescent="0.25">
      <c r="C39" s="4">
        <f>'Billing Detail'!C128</f>
        <v>20</v>
      </c>
      <c r="D39" s="110" t="str">
        <f>'Billing Detail'!B128</f>
        <v xml:space="preserve">Sched. 2-A Large Power TOD  </v>
      </c>
      <c r="J39" s="6"/>
    </row>
    <row r="40" spans="3:10" x14ac:dyDescent="0.25">
      <c r="E40" s="2" t="str">
        <f>'Billing Detail'!D129</f>
        <v>Customer Charge</v>
      </c>
      <c r="F40" s="81">
        <f>'Billing Detail'!H129</f>
        <v>61.33</v>
      </c>
      <c r="G40" s="81">
        <f>'Billing Detail'!L129</f>
        <v>63.65</v>
      </c>
      <c r="J40" s="6">
        <f t="shared" si="0"/>
        <v>3.782814283384961E-2</v>
      </c>
    </row>
    <row r="41" spans="3:10" x14ac:dyDescent="0.25">
      <c r="E41" s="2" t="str">
        <f>'Billing Detail'!D130</f>
        <v>Energy Charge per kWh On Peak</v>
      </c>
      <c r="F41" s="82">
        <f>'Billing Detail'!H130</f>
        <v>9.9430000000000004E-2</v>
      </c>
      <c r="G41" s="82">
        <f>'Billing Detail'!L130</f>
        <v>0.1032</v>
      </c>
      <c r="J41" s="6">
        <f t="shared" si="0"/>
        <v>3.7916121894800314E-2</v>
      </c>
    </row>
    <row r="42" spans="3:10" x14ac:dyDescent="0.25">
      <c r="E42" s="2" t="str">
        <f>'Billing Detail'!D131</f>
        <v>Energy Charge per kWh Off Peak</v>
      </c>
      <c r="F42" s="82">
        <f>'Billing Detail'!H131</f>
        <v>5.6000000000000001E-2</v>
      </c>
      <c r="G42" s="82">
        <f>'Billing Detail'!L131</f>
        <v>5.8119999999999998E-2</v>
      </c>
      <c r="J42" s="6">
        <f t="shared" si="0"/>
        <v>3.7857142857142811E-2</v>
      </c>
    </row>
    <row r="43" spans="3:10" x14ac:dyDescent="0.25">
      <c r="C43" s="4">
        <f>'Billing Detail'!C141</f>
        <v>22</v>
      </c>
      <c r="D43" s="110" t="str">
        <f>'Billing Detail'!B141</f>
        <v>Sched. 1-C Small Commercial TOD</v>
      </c>
      <c r="J43" s="6"/>
    </row>
    <row r="44" spans="3:10" x14ac:dyDescent="0.25">
      <c r="E44" s="2" t="str">
        <f>'Billing Detail'!D142</f>
        <v>Customer Charge</v>
      </c>
      <c r="F44" s="81">
        <f>'Billing Detail'!H142</f>
        <v>24.51</v>
      </c>
      <c r="G44" s="81">
        <f>'Billing Detail'!L142</f>
        <v>25.44</v>
      </c>
      <c r="J44" s="6">
        <f t="shared" si="0"/>
        <v>3.7943696450428277E-2</v>
      </c>
    </row>
    <row r="45" spans="3:10" x14ac:dyDescent="0.25">
      <c r="E45" s="2" t="str">
        <f>'Billing Detail'!D143</f>
        <v>Energy Charge per kWh On Peak</v>
      </c>
      <c r="F45" s="82">
        <f>'Billing Detail'!H143</f>
        <v>0.10011</v>
      </c>
      <c r="G45" s="82">
        <f>'Billing Detail'!L143</f>
        <v>0.10390000000000001</v>
      </c>
      <c r="J45" s="6">
        <f t="shared" si="0"/>
        <v>3.7858355808610522E-2</v>
      </c>
    </row>
    <row r="46" spans="3:10" x14ac:dyDescent="0.25">
      <c r="E46" s="2" t="str">
        <f>'Billing Detail'!D144</f>
        <v>Energy Charge per kWh Off Peak</v>
      </c>
      <c r="F46" s="82">
        <f>'Billing Detail'!H144</f>
        <v>5.6239999999999998E-2</v>
      </c>
      <c r="G46" s="82">
        <f>'Billing Detail'!L144</f>
        <v>5.8369999999999998E-2</v>
      </c>
      <c r="J46" s="6">
        <f t="shared" si="0"/>
        <v>3.7873399715504963E-2</v>
      </c>
    </row>
    <row r="47" spans="3:10" x14ac:dyDescent="0.25">
      <c r="C47" s="4">
        <f>'Billing Detail'!C167</f>
        <v>31</v>
      </c>
      <c r="D47" s="110" t="str">
        <f>'Billing Detail'!B167</f>
        <v>Sched. 1-B1 Farm &amp; Home Time-of-Day</v>
      </c>
      <c r="J47" s="6"/>
    </row>
    <row r="48" spans="3:10" x14ac:dyDescent="0.25">
      <c r="E48" s="2" t="str">
        <f>'Billing Detail'!D168</f>
        <v>Customer Charge</v>
      </c>
      <c r="F48" s="81">
        <f>'Billing Detail'!H168</f>
        <v>20</v>
      </c>
      <c r="G48" s="81">
        <f>'Billing Detail'!L168</f>
        <v>20.76</v>
      </c>
      <c r="J48" s="6">
        <f t="shared" si="0"/>
        <v>3.8000000000000034E-2</v>
      </c>
    </row>
    <row r="49" spans="3:10" x14ac:dyDescent="0.25">
      <c r="E49" s="2" t="str">
        <f>'Billing Detail'!D169</f>
        <v>Energy Charge per kWh On Peak</v>
      </c>
      <c r="F49" s="82">
        <f>'Billing Detail'!H169</f>
        <v>0.11942999999999999</v>
      </c>
      <c r="G49" s="82">
        <f>'Billing Detail'!L169</f>
        <v>0.12396</v>
      </c>
      <c r="J49" s="6">
        <f t="shared" si="0"/>
        <v>3.7930168299422418E-2</v>
      </c>
    </row>
    <row r="50" spans="3:10" x14ac:dyDescent="0.25">
      <c r="E50" s="2" t="str">
        <f>'Billing Detail'!D170</f>
        <v>Energy Charge per kWh Off Peak</v>
      </c>
      <c r="F50" s="82">
        <f>'Billing Detail'!H170</f>
        <v>5.8729999999999997E-2</v>
      </c>
      <c r="G50" s="82">
        <f>'Billing Detail'!L170</f>
        <v>6.096E-2</v>
      </c>
      <c r="J50" s="6">
        <f t="shared" si="0"/>
        <v>3.7970372892899729E-2</v>
      </c>
    </row>
    <row r="51" spans="3:10" x14ac:dyDescent="0.25">
      <c r="C51" s="4">
        <f>'Billing Detail'!C180</f>
        <v>33</v>
      </c>
      <c r="D51" s="110" t="str">
        <f>'Billing Detail'!B180</f>
        <v>Sched. 1-B2 Farm &amp; Home Time-of-Day</v>
      </c>
      <c r="J51" s="6"/>
    </row>
    <row r="52" spans="3:10" x14ac:dyDescent="0.25">
      <c r="E52" s="2" t="str">
        <f>'Billing Detail'!D181</f>
        <v>Customer Charge</v>
      </c>
      <c r="F52" s="81">
        <f>'Billing Detail'!H181</f>
        <v>20</v>
      </c>
      <c r="G52" s="81">
        <f>'Billing Detail'!L181</f>
        <v>20.76</v>
      </c>
      <c r="J52" s="6">
        <f t="shared" si="0"/>
        <v>3.8000000000000034E-2</v>
      </c>
    </row>
    <row r="53" spans="3:10" x14ac:dyDescent="0.25">
      <c r="E53" s="2" t="str">
        <f>'Billing Detail'!D182</f>
        <v>Energy Charge per kWh On Peak</v>
      </c>
      <c r="F53" s="82">
        <f>'Billing Detail'!H182</f>
        <v>0.10185</v>
      </c>
      <c r="G53" s="82">
        <f>'Billing Detail'!L182</f>
        <v>0.10571</v>
      </c>
      <c r="J53" s="6">
        <f t="shared" si="0"/>
        <v>3.7898870888561698E-2</v>
      </c>
    </row>
    <row r="54" spans="3:10" x14ac:dyDescent="0.25">
      <c r="E54" s="2" t="str">
        <f>'Billing Detail'!D183</f>
        <v>Energy Charge per kWh Off Peak</v>
      </c>
      <c r="F54" s="82">
        <f>'Billing Detail'!H183</f>
        <v>5.8729999999999997E-2</v>
      </c>
      <c r="G54" s="82">
        <f>'Billing Detail'!L183</f>
        <v>6.096E-2</v>
      </c>
      <c r="J54" s="6">
        <f t="shared" si="0"/>
        <v>3.7970372892899729E-2</v>
      </c>
    </row>
    <row r="55" spans="3:10" x14ac:dyDescent="0.25">
      <c r="C55" s="4">
        <f>'Billing Detail'!C193</f>
        <v>35</v>
      </c>
      <c r="D55" s="110" t="str">
        <f>'Billing Detail'!B193</f>
        <v>Sched. 1-B3 Farm &amp; Home Time-of-Day</v>
      </c>
      <c r="F55" s="82"/>
      <c r="G55" s="82"/>
      <c r="J55" s="6"/>
    </row>
    <row r="56" spans="3:10" x14ac:dyDescent="0.25">
      <c r="E56" s="2" t="str">
        <f>'Billing Detail'!D194</f>
        <v>Customer Charge</v>
      </c>
      <c r="F56" s="81">
        <f>'Billing Detail'!H194</f>
        <v>20</v>
      </c>
      <c r="G56" s="81">
        <f>'Billing Detail'!L194</f>
        <v>20.76</v>
      </c>
      <c r="J56" s="6">
        <f t="shared" si="0"/>
        <v>3.8000000000000034E-2</v>
      </c>
    </row>
    <row r="57" spans="3:10" x14ac:dyDescent="0.25">
      <c r="E57" s="2" t="str">
        <f>'Billing Detail'!D195</f>
        <v>Energy On-Peak per kWh</v>
      </c>
      <c r="F57" s="82">
        <f>'Billing Detail'!H195</f>
        <v>0.10086000000000001</v>
      </c>
      <c r="G57" s="82">
        <f>'Billing Detail'!L195</f>
        <v>0.10468</v>
      </c>
      <c r="J57" s="6">
        <f t="shared" si="0"/>
        <v>3.7874281181836E-2</v>
      </c>
    </row>
    <row r="58" spans="3:10" x14ac:dyDescent="0.25">
      <c r="E58" s="2" t="str">
        <f>'Billing Detail'!D196</f>
        <v>Energy Off-Peak per kWh</v>
      </c>
      <c r="F58" s="82">
        <f>'Billing Detail'!H196</f>
        <v>5.8729999999999997E-2</v>
      </c>
      <c r="G58" s="82">
        <f>'Billing Detail'!L196</f>
        <v>6.096E-2</v>
      </c>
      <c r="J58" s="6">
        <f t="shared" si="0"/>
        <v>3.7970372892899729E-2</v>
      </c>
    </row>
    <row r="59" spans="3:10" x14ac:dyDescent="0.25">
      <c r="E59" s="2" t="str">
        <f>'Billing Detail'!D197</f>
        <v>Energy Shoulder per kWh</v>
      </c>
      <c r="F59" s="82">
        <f>'Billing Detail'!H197</f>
        <v>7.6230000000000006E-2</v>
      </c>
      <c r="G59" s="82">
        <f>'Billing Detail'!L197</f>
        <v>7.9119999999999996E-2</v>
      </c>
      <c r="J59" s="6">
        <f t="shared" si="0"/>
        <v>3.7911583366128765E-2</v>
      </c>
    </row>
    <row r="60" spans="3:10" x14ac:dyDescent="0.25">
      <c r="C60" s="4" t="s">
        <v>44</v>
      </c>
      <c r="D60" s="110" t="s">
        <v>147</v>
      </c>
      <c r="J60" s="6"/>
    </row>
    <row r="61" spans="3:10" x14ac:dyDescent="0.25">
      <c r="E61" s="2" t="str">
        <f>'Billing Detail'!D313</f>
        <v xml:space="preserve">Demand Charge per kW  </v>
      </c>
      <c r="F61" s="81">
        <f>'Billing Detail'!H313</f>
        <v>6.92</v>
      </c>
      <c r="G61" s="81">
        <f>'Billing Detail'!L313</f>
        <v>7.64</v>
      </c>
      <c r="J61" s="6">
        <f t="shared" si="0"/>
        <v>0.10404624277456653</v>
      </c>
    </row>
    <row r="62" spans="3:10" x14ac:dyDescent="0.25">
      <c r="E62" s="2" t="str">
        <f>'Billing Detail'!D314</f>
        <v>Energy Charge per kWh On Peak</v>
      </c>
      <c r="F62" s="94">
        <f>'Billing Detail'!H314</f>
        <v>3.8905000000000002E-2</v>
      </c>
      <c r="G62" s="94">
        <f>'Billing Detail'!L314</f>
        <v>4.0929E-2</v>
      </c>
      <c r="J62" s="6">
        <f t="shared" si="0"/>
        <v>5.2024161418840809E-2</v>
      </c>
    </row>
    <row r="63" spans="3:10" x14ac:dyDescent="0.25">
      <c r="E63" s="2" t="str">
        <f>'Billing Detail'!D315</f>
        <v>Energy Charge per kWh Off Peak</v>
      </c>
      <c r="F63" s="94">
        <f>'Billing Detail'!H315</f>
        <v>3.5477000000000002E-2</v>
      </c>
      <c r="G63" s="94">
        <f>'Billing Detail'!L315</f>
        <v>3.7501E-2</v>
      </c>
      <c r="J63" s="6">
        <f t="shared" ref="J63:J126" si="1">G63/F63-1</f>
        <v>5.7051047157313128E-2</v>
      </c>
    </row>
    <row r="64" spans="3:10" x14ac:dyDescent="0.25">
      <c r="E64" s="2" t="str">
        <f>'Billing Detail'!D316</f>
        <v>Demand Credit Interruptible 10 Min</v>
      </c>
      <c r="F64" s="81">
        <f>'Billing Detail'!H316</f>
        <v>-6.22</v>
      </c>
      <c r="G64" s="81">
        <f>'Billing Detail'!L316</f>
        <v>-6.22</v>
      </c>
      <c r="J64" s="6">
        <f t="shared" si="1"/>
        <v>0</v>
      </c>
    </row>
    <row r="65" spans="3:10" x14ac:dyDescent="0.25">
      <c r="E65" s="2" t="str">
        <f>'Billing Detail'!D317</f>
        <v>Demand Credit Interruptible 90 Min</v>
      </c>
      <c r="F65" s="81">
        <f>'Billing Detail'!H317</f>
        <v>-4.2</v>
      </c>
      <c r="G65" s="81">
        <f>'Billing Detail'!L317</f>
        <v>-4.2</v>
      </c>
      <c r="J65" s="6">
        <f t="shared" si="1"/>
        <v>0</v>
      </c>
    </row>
    <row r="66" spans="3:10" x14ac:dyDescent="0.25">
      <c r="E66" s="2" t="str">
        <f>'Billing Detail'!D319</f>
        <v>Distribution Demand per kW</v>
      </c>
      <c r="F66" s="94">
        <f>'Billing Detail'!H319</f>
        <v>3.7499999999999999E-2</v>
      </c>
      <c r="G66" s="94">
        <f>'Billing Detail'!L319</f>
        <v>3.7499999999999999E-2</v>
      </c>
      <c r="J66" s="6">
        <f t="shared" si="1"/>
        <v>0</v>
      </c>
    </row>
    <row r="67" spans="3:10" x14ac:dyDescent="0.25">
      <c r="E67" s="2" t="str">
        <f>'Billing Detail'!D320</f>
        <v>Distribution Energy per kWh</v>
      </c>
      <c r="F67" s="94">
        <f>'Billing Detail'!H320</f>
        <v>2.8499999999999999E-4</v>
      </c>
      <c r="G67" s="94">
        <f>'Billing Detail'!L320</f>
        <v>2.8499999999999999E-4</v>
      </c>
      <c r="J67" s="6">
        <f t="shared" si="1"/>
        <v>0</v>
      </c>
    </row>
    <row r="68" spans="3:10" x14ac:dyDescent="0.25">
      <c r="C68" s="4" t="str">
        <f>'Billing Detail'!C262</f>
        <v>OLS</v>
      </c>
      <c r="D68" s="110" t="str">
        <f>'Billing Detail'!B262</f>
        <v>Lighting</v>
      </c>
      <c r="J68" s="6"/>
    </row>
    <row r="69" spans="3:10" x14ac:dyDescent="0.25">
      <c r="E69" s="95" t="str">
        <f>'Billing Detail'!C263</f>
        <v>Schedule I OLS - Outdoor Lighting Service</v>
      </c>
      <c r="J69" s="6"/>
    </row>
    <row r="70" spans="3:10" x14ac:dyDescent="0.25">
      <c r="E70" s="95" t="str">
        <f>'Billing Detail'!C264</f>
        <v>Rate 2</v>
      </c>
      <c r="J70" s="6"/>
    </row>
    <row r="71" spans="3:10" x14ac:dyDescent="0.25">
      <c r="D71" s="43">
        <f>'Billing Detail'!B265</f>
        <v>11</v>
      </c>
      <c r="E71" s="2" t="str">
        <f>'Billing Detail'!C265</f>
        <v>LED Outdoor Light on existing pole</v>
      </c>
      <c r="F71" s="81">
        <f>'Billing Detail'!H265</f>
        <v>10.93</v>
      </c>
      <c r="G71" s="81">
        <f>'Billing Detail'!L265</f>
        <v>11.34</v>
      </c>
      <c r="J71" s="6">
        <f t="shared" si="1"/>
        <v>3.7511436413540711E-2</v>
      </c>
    </row>
    <row r="72" spans="3:10" x14ac:dyDescent="0.25">
      <c r="D72" s="43">
        <f>'Billing Detail'!B266</f>
        <v>12</v>
      </c>
      <c r="E72" s="2" t="str">
        <f>'Billing Detail'!C266</f>
        <v>LED Outdoor Light one pole added</v>
      </c>
      <c r="F72" s="81">
        <f>'Billing Detail'!H266</f>
        <v>15.93</v>
      </c>
      <c r="G72" s="81">
        <f>'Billing Detail'!L266</f>
        <v>16.53</v>
      </c>
      <c r="J72" s="6">
        <f t="shared" si="1"/>
        <v>3.7664783427495463E-2</v>
      </c>
    </row>
    <row r="73" spans="3:10" x14ac:dyDescent="0.25">
      <c r="D73" s="43">
        <f>'Billing Detail'!B267</f>
        <v>21</v>
      </c>
      <c r="E73" s="2" t="str">
        <f>'Billing Detail'!C267</f>
        <v>100 Watt, S/L on existing pole</v>
      </c>
      <c r="F73" s="81">
        <f>'Billing Detail'!H267</f>
        <v>10.93</v>
      </c>
      <c r="G73" s="81">
        <f>'Billing Detail'!L267</f>
        <v>11.34</v>
      </c>
      <c r="J73" s="6">
        <f t="shared" si="1"/>
        <v>3.7511436413540711E-2</v>
      </c>
    </row>
    <row r="74" spans="3:10" x14ac:dyDescent="0.25">
      <c r="D74" s="43">
        <f>'Billing Detail'!B268</f>
        <v>22</v>
      </c>
      <c r="E74" s="2" t="str">
        <f>'Billing Detail'!C268</f>
        <v>100 Watt, S/L one pole added</v>
      </c>
      <c r="F74" s="81">
        <f>'Billing Detail'!H268</f>
        <v>15.93</v>
      </c>
      <c r="G74" s="81">
        <f>'Billing Detail'!L268</f>
        <v>16.53</v>
      </c>
      <c r="J74" s="6">
        <f t="shared" si="1"/>
        <v>3.7664783427495463E-2</v>
      </c>
    </row>
    <row r="75" spans="3:10" x14ac:dyDescent="0.25">
      <c r="E75" s="95" t="str">
        <f>'Billing Detail'!C269</f>
        <v>Rate 3</v>
      </c>
      <c r="J75" s="6"/>
    </row>
    <row r="76" spans="3:10" x14ac:dyDescent="0.25">
      <c r="D76" s="43">
        <f>'Billing Detail'!B270</f>
        <v>31</v>
      </c>
      <c r="E76" s="2" t="str">
        <f>'Billing Detail'!C270</f>
        <v>Cobrahead 100 Watt on existing pole</v>
      </c>
      <c r="F76" s="81">
        <f>'Billing Detail'!H270</f>
        <v>16.3</v>
      </c>
      <c r="G76" s="81">
        <f>'Billing Detail'!L270</f>
        <v>16.920000000000002</v>
      </c>
      <c r="J76" s="6">
        <f t="shared" si="1"/>
        <v>3.8036809815950923E-2</v>
      </c>
    </row>
    <row r="77" spans="3:10" x14ac:dyDescent="0.25">
      <c r="D77" s="43">
        <f>'Billing Detail'!B271</f>
        <v>32</v>
      </c>
      <c r="E77" s="2" t="str">
        <f>'Billing Detail'!C271</f>
        <v>Cobrahead 100 Watt, 1 pole added</v>
      </c>
      <c r="F77" s="81">
        <f>'Billing Detail'!H271</f>
        <v>22.34</v>
      </c>
      <c r="G77" s="81">
        <f>'Billing Detail'!L271</f>
        <v>23.19</v>
      </c>
      <c r="J77" s="6">
        <f t="shared" si="1"/>
        <v>3.8048343777976834E-2</v>
      </c>
    </row>
    <row r="78" spans="3:10" x14ac:dyDescent="0.25">
      <c r="D78" s="43">
        <f>'Billing Detail'!B272</f>
        <v>33</v>
      </c>
      <c r="E78" s="2" t="str">
        <f>'Billing Detail'!C272</f>
        <v>Cobrahead 250 Watt on existing pole</v>
      </c>
      <c r="F78" s="81">
        <f>'Billing Detail'!H272</f>
        <v>22.02</v>
      </c>
      <c r="G78" s="81">
        <f>'Billing Detail'!L272</f>
        <v>22.85</v>
      </c>
      <c r="J78" s="6">
        <f t="shared" si="1"/>
        <v>3.7693006357856662E-2</v>
      </c>
    </row>
    <row r="79" spans="3:10" x14ac:dyDescent="0.25">
      <c r="D79" s="43">
        <f>'Billing Detail'!B273</f>
        <v>34</v>
      </c>
      <c r="E79" s="2" t="str">
        <f>'Billing Detail'!C273</f>
        <v>Cobrahead 250 Watt, 1 pole added</v>
      </c>
      <c r="F79" s="81">
        <f>'Billing Detail'!H273</f>
        <v>28.06</v>
      </c>
      <c r="G79" s="81">
        <f>'Billing Detail'!L273</f>
        <v>29.12</v>
      </c>
      <c r="J79" s="6">
        <f t="shared" si="1"/>
        <v>3.7776193870278085E-2</v>
      </c>
    </row>
    <row r="80" spans="3:10" x14ac:dyDescent="0.25">
      <c r="D80" s="43">
        <f>'Billing Detail'!B274</f>
        <v>35</v>
      </c>
      <c r="E80" s="2" t="str">
        <f>'Billing Detail'!C274</f>
        <v>Cobrahead 400 Watt on existing pole</v>
      </c>
      <c r="F80" s="81">
        <f>'Billing Detail'!H274</f>
        <v>27.21</v>
      </c>
      <c r="G80" s="81">
        <f>'Billing Detail'!L274</f>
        <v>28.24</v>
      </c>
      <c r="J80" s="6">
        <f t="shared" si="1"/>
        <v>3.7853730246232953E-2</v>
      </c>
    </row>
    <row r="81" spans="4:10" x14ac:dyDescent="0.25">
      <c r="D81" s="43">
        <f>'Billing Detail'!B275</f>
        <v>36</v>
      </c>
      <c r="E81" s="2" t="str">
        <f>'Billing Detail'!C275</f>
        <v>Cobrahead 400 Watt, 1 pole added</v>
      </c>
      <c r="F81" s="81">
        <f>'Billing Detail'!H275</f>
        <v>33.25</v>
      </c>
      <c r="G81" s="81">
        <f>'Billing Detail'!L275</f>
        <v>34.51</v>
      </c>
      <c r="J81" s="6">
        <f t="shared" si="1"/>
        <v>3.7894736842105203E-2</v>
      </c>
    </row>
    <row r="82" spans="4:10" x14ac:dyDescent="0.25">
      <c r="D82" s="43">
        <f>'Billing Detail'!B276</f>
        <v>61</v>
      </c>
      <c r="E82" s="2" t="str">
        <f>'Billing Detail'!C276</f>
        <v>Cobrahead - LED on existing pole (59 watt or equiv)</v>
      </c>
      <c r="F82" s="81">
        <f>'Billing Detail'!H276</f>
        <v>16.170000000000002</v>
      </c>
      <c r="G82" s="81">
        <f>'Billing Detail'!L276</f>
        <v>16.78</v>
      </c>
      <c r="J82" s="6">
        <f t="shared" si="1"/>
        <v>3.7724180581323319E-2</v>
      </c>
    </row>
    <row r="83" spans="4:10" x14ac:dyDescent="0.25">
      <c r="D83" s="43">
        <f>'Billing Detail'!B277</f>
        <v>62</v>
      </c>
      <c r="E83" s="2" t="str">
        <f>'Billing Detail'!C277</f>
        <v>Cobrahead - LED one pole added (59 watt or equiv)</v>
      </c>
      <c r="F83" s="81">
        <f>'Billing Detail'!H277</f>
        <v>21.17</v>
      </c>
      <c r="G83" s="81">
        <f>'Billing Detail'!L277</f>
        <v>21.97</v>
      </c>
      <c r="J83" s="6">
        <f t="shared" si="1"/>
        <v>3.7789324515824063E-2</v>
      </c>
    </row>
    <row r="84" spans="4:10" x14ac:dyDescent="0.25">
      <c r="D84" s="43">
        <f>'Billing Detail'!B278</f>
        <v>63</v>
      </c>
      <c r="E84" s="2" t="str">
        <f>'Billing Detail'!C278</f>
        <v>Cobrahead - LED on existing pole (113 watt or equiv)</v>
      </c>
      <c r="F84" s="81">
        <f>'Billing Detail'!H278</f>
        <v>19.22</v>
      </c>
      <c r="G84" s="81">
        <f>'Billing Detail'!L278</f>
        <v>19.95</v>
      </c>
      <c r="J84" s="6">
        <f t="shared" si="1"/>
        <v>3.7981269510926063E-2</v>
      </c>
    </row>
    <row r="85" spans="4:10" x14ac:dyDescent="0.25">
      <c r="D85" s="43">
        <f>'Billing Detail'!B279</f>
        <v>64</v>
      </c>
      <c r="E85" s="2" t="str">
        <f>'Billing Detail'!C279</f>
        <v>Cobrahead - LED one pole added (113 watt or equiv)</v>
      </c>
      <c r="F85" s="81">
        <f>'Billing Detail'!H279</f>
        <v>24.22</v>
      </c>
      <c r="G85" s="81">
        <f>'Billing Detail'!L279</f>
        <v>25.14</v>
      </c>
      <c r="J85" s="6">
        <f t="shared" si="1"/>
        <v>3.798513625103217E-2</v>
      </c>
    </row>
    <row r="86" spans="4:10" x14ac:dyDescent="0.25">
      <c r="D86" s="43">
        <f>'Billing Detail'!B280</f>
        <v>65</v>
      </c>
      <c r="E86" s="2" t="str">
        <f>'Billing Detail'!C280</f>
        <v>Cobrahead - LED on existing pole (225 watt or equiv)</v>
      </c>
      <c r="F86" s="81">
        <f>'Billing Detail'!H280</f>
        <v>25.67</v>
      </c>
      <c r="G86" s="81">
        <f>'Billing Detail'!L280</f>
        <v>26.64</v>
      </c>
      <c r="J86" s="6">
        <f t="shared" si="1"/>
        <v>3.7787300350603736E-2</v>
      </c>
    </row>
    <row r="87" spans="4:10" x14ac:dyDescent="0.25">
      <c r="D87" s="43">
        <f>'Billing Detail'!B281</f>
        <v>66</v>
      </c>
      <c r="E87" s="2" t="str">
        <f>'Billing Detail'!C281</f>
        <v>Cobrahead - LED one pole added (225 watt or equiv)</v>
      </c>
      <c r="F87" s="81">
        <f>'Billing Detail'!H281</f>
        <v>30.67</v>
      </c>
      <c r="G87" s="81">
        <f>'Billing Detail'!L281</f>
        <v>31.83</v>
      </c>
      <c r="J87" s="6">
        <f t="shared" si="1"/>
        <v>3.7821975872187608E-2</v>
      </c>
    </row>
    <row r="88" spans="4:10" x14ac:dyDescent="0.25">
      <c r="E88" s="95" t="str">
        <f>'Billing Detail'!C282</f>
        <v>Rate 4</v>
      </c>
      <c r="J88" s="6"/>
    </row>
    <row r="89" spans="4:10" x14ac:dyDescent="0.25">
      <c r="D89" s="43">
        <f>'Billing Detail'!B283</f>
        <v>41</v>
      </c>
      <c r="E89" s="2" t="str">
        <f>'Billing Detail'!C283</f>
        <v>Directional 100 Watt on existing pole</v>
      </c>
      <c r="F89" s="81">
        <f>'Billing Detail'!H283</f>
        <v>15.25</v>
      </c>
      <c r="G89" s="81">
        <f>'Billing Detail'!L283</f>
        <v>15.83</v>
      </c>
      <c r="J89" s="6">
        <f t="shared" si="1"/>
        <v>3.8032786885245917E-2</v>
      </c>
    </row>
    <row r="90" spans="4:10" x14ac:dyDescent="0.25">
      <c r="D90" s="43">
        <f>'Billing Detail'!B284</f>
        <v>42</v>
      </c>
      <c r="E90" s="2" t="str">
        <f>'Billing Detail'!C284</f>
        <v>Directional 100 Watt, 1 pole added</v>
      </c>
      <c r="F90" s="81">
        <f>'Billing Detail'!H284</f>
        <v>21.29</v>
      </c>
      <c r="G90" s="81">
        <f>'Billing Detail'!L284</f>
        <v>22.1</v>
      </c>
      <c r="J90" s="6">
        <f t="shared" si="1"/>
        <v>3.8046031000469771E-2</v>
      </c>
    </row>
    <row r="91" spans="4:10" x14ac:dyDescent="0.25">
      <c r="D91" s="43">
        <f>'Billing Detail'!B285</f>
        <v>43</v>
      </c>
      <c r="E91" s="2" t="str">
        <f>'Billing Detail'!C285</f>
        <v>Directional 250 Watt on existing pole</v>
      </c>
      <c r="F91" s="81">
        <f>'Billing Detail'!H285</f>
        <v>18.600000000000001</v>
      </c>
      <c r="G91" s="81">
        <f>'Billing Detail'!L285</f>
        <v>19.3</v>
      </c>
      <c r="J91" s="6">
        <f t="shared" si="1"/>
        <v>3.7634408602150504E-2</v>
      </c>
    </row>
    <row r="92" spans="4:10" x14ac:dyDescent="0.25">
      <c r="D92" s="43">
        <f>'Billing Detail'!B286</f>
        <v>44</v>
      </c>
      <c r="E92" s="2" t="str">
        <f>'Billing Detail'!C286</f>
        <v>Directional 250 Watt, 1 pole added</v>
      </c>
      <c r="F92" s="81">
        <f>'Billing Detail'!H286</f>
        <v>24.64</v>
      </c>
      <c r="G92" s="81">
        <f>'Billing Detail'!L286</f>
        <v>25.57</v>
      </c>
      <c r="J92" s="6">
        <f t="shared" si="1"/>
        <v>3.7743506493506551E-2</v>
      </c>
    </row>
    <row r="93" spans="4:10" x14ac:dyDescent="0.25">
      <c r="D93" s="43">
        <f>'Billing Detail'!B287</f>
        <v>45</v>
      </c>
      <c r="E93" s="2" t="str">
        <f>'Billing Detail'!C287</f>
        <v>Directional 400 Watt on existing pole</v>
      </c>
      <c r="F93" s="81">
        <f>'Billing Detail'!H287</f>
        <v>23.49</v>
      </c>
      <c r="G93" s="81">
        <f>'Billing Detail'!L287</f>
        <v>24.38</v>
      </c>
      <c r="J93" s="6">
        <f t="shared" si="1"/>
        <v>3.788846317581962E-2</v>
      </c>
    </row>
    <row r="94" spans="4:10" x14ac:dyDescent="0.25">
      <c r="D94" s="43">
        <f>'Billing Detail'!B288</f>
        <v>46</v>
      </c>
      <c r="E94" s="2" t="str">
        <f>'Billing Detail'!C288</f>
        <v>Directional 400 Watt, 1 pole added</v>
      </c>
      <c r="F94" s="81">
        <f>'Billing Detail'!H288</f>
        <v>29.53</v>
      </c>
      <c r="G94" s="81">
        <f>'Billing Detail'!L288</f>
        <v>30.65</v>
      </c>
      <c r="J94" s="6">
        <f t="shared" si="1"/>
        <v>3.7927531324077224E-2</v>
      </c>
    </row>
    <row r="95" spans="4:10" x14ac:dyDescent="0.25">
      <c r="D95" s="43">
        <f>'Billing Detail'!B289</f>
        <v>71</v>
      </c>
      <c r="E95" s="2" t="str">
        <f>'Billing Detail'!C289</f>
        <v>Directional - LED on existing pole (51 watt or equivalent)</v>
      </c>
      <c r="F95" s="81">
        <f>'Billing Detail'!H289</f>
        <v>14.25</v>
      </c>
      <c r="G95" s="81">
        <f>'Billing Detail'!L289</f>
        <v>14.79</v>
      </c>
      <c r="J95" s="6">
        <f t="shared" si="1"/>
        <v>3.7894736842105203E-2</v>
      </c>
    </row>
    <row r="96" spans="4:10" x14ac:dyDescent="0.25">
      <c r="D96" s="43">
        <f>'Billing Detail'!B290</f>
        <v>72</v>
      </c>
      <c r="E96" s="2" t="str">
        <f>'Billing Detail'!C290</f>
        <v>Directional - LED one pole added (51 watt or equivalent)</v>
      </c>
      <c r="F96" s="81">
        <f>'Billing Detail'!H290</f>
        <v>19.25</v>
      </c>
      <c r="G96" s="81">
        <f>'Billing Detail'!L290</f>
        <v>19.98</v>
      </c>
      <c r="J96" s="6">
        <f t="shared" si="1"/>
        <v>3.7922077922077913E-2</v>
      </c>
    </row>
    <row r="97" spans="3:10" x14ac:dyDescent="0.25">
      <c r="D97" s="43">
        <f>'Billing Detail'!B291</f>
        <v>73</v>
      </c>
      <c r="E97" s="2" t="str">
        <f>'Billing Detail'!C291</f>
        <v>Directional- LED on existing pole (85 watt or equivalent)</v>
      </c>
      <c r="F97" s="81">
        <f>'Billing Detail'!H291</f>
        <v>16.75</v>
      </c>
      <c r="G97" s="81">
        <f>'Billing Detail'!L291</f>
        <v>17.38</v>
      </c>
      <c r="J97" s="6">
        <f t="shared" si="1"/>
        <v>3.761194029850734E-2</v>
      </c>
    </row>
    <row r="98" spans="3:10" x14ac:dyDescent="0.25">
      <c r="D98" s="43">
        <f>'Billing Detail'!B292</f>
        <v>74</v>
      </c>
      <c r="E98" s="2" t="str">
        <f>'Billing Detail'!C292</f>
        <v>Directional - LED one pole added (85 watt or equivalent)</v>
      </c>
      <c r="F98" s="81">
        <f>'Billing Detail'!H292</f>
        <v>21.75</v>
      </c>
      <c r="G98" s="81">
        <f>'Billing Detail'!L292</f>
        <v>22.57</v>
      </c>
      <c r="J98" s="6">
        <f t="shared" si="1"/>
        <v>3.7701149425287461E-2</v>
      </c>
    </row>
    <row r="99" spans="3:10" x14ac:dyDescent="0.25">
      <c r="D99" s="43">
        <f>'Billing Detail'!B293</f>
        <v>75</v>
      </c>
      <c r="E99" s="2" t="str">
        <f>'Billing Detail'!C293</f>
        <v>Directional - LED on existing pole (129 watt or equivalent)</v>
      </c>
      <c r="F99" s="81">
        <f>'Billing Detail'!H293</f>
        <v>18.82</v>
      </c>
      <c r="G99" s="81">
        <f>'Billing Detail'!L293</f>
        <v>19.53</v>
      </c>
      <c r="J99" s="6">
        <f t="shared" si="1"/>
        <v>3.7725823591923557E-2</v>
      </c>
    </row>
    <row r="100" spans="3:10" x14ac:dyDescent="0.25">
      <c r="D100" s="43">
        <f>'Billing Detail'!B294</f>
        <v>76</v>
      </c>
      <c r="E100" s="2" t="str">
        <f>'Billing Detail'!C294</f>
        <v>Directional - LED one pole added (129 watt or equivalent)</v>
      </c>
      <c r="F100" s="81">
        <f>'Billing Detail'!H294</f>
        <v>23.82</v>
      </c>
      <c r="G100" s="81">
        <f>'Billing Detail'!L294</f>
        <v>24.72</v>
      </c>
      <c r="J100" s="6">
        <f t="shared" si="1"/>
        <v>3.7783375314861312E-2</v>
      </c>
    </row>
    <row r="101" spans="3:10" x14ac:dyDescent="0.25">
      <c r="E101" s="95" t="str">
        <f>'Billing Detail'!C295</f>
        <v>Schedule II SOLS - Special Outdoor Lighting Service</v>
      </c>
      <c r="J101" s="6"/>
    </row>
    <row r="102" spans="3:10" x14ac:dyDescent="0.25">
      <c r="D102" s="43">
        <f>'Billing Detail'!B296</f>
        <v>51</v>
      </c>
      <c r="E102" s="2" t="str">
        <f>'Billing Detail'!C296</f>
        <v>Traditional light, w/ fiberglass pole</v>
      </c>
      <c r="F102" s="81">
        <f>'Billing Detail'!H296</f>
        <v>16.100000000000001</v>
      </c>
      <c r="G102" s="81">
        <f>'Billing Detail'!L296</f>
        <v>16.71</v>
      </c>
      <c r="J102" s="6">
        <f t="shared" si="1"/>
        <v>3.7888198757763947E-2</v>
      </c>
    </row>
    <row r="103" spans="3:10" x14ac:dyDescent="0.25">
      <c r="D103" s="43">
        <f>'Billing Detail'!B297</f>
        <v>52</v>
      </c>
      <c r="E103" s="2" t="str">
        <f>'Billing Detail'!C297</f>
        <v>Holophane light, w/ fiberglass pole</v>
      </c>
      <c r="F103" s="81">
        <f>'Billing Detail'!H297</f>
        <v>19.149999999999999</v>
      </c>
      <c r="G103" s="81">
        <f>'Billing Detail'!L297</f>
        <v>19.88</v>
      </c>
      <c r="J103" s="6">
        <f t="shared" si="1"/>
        <v>3.8120104438642333E-2</v>
      </c>
    </row>
    <row r="104" spans="3:10" x14ac:dyDescent="0.25">
      <c r="D104" s="43">
        <f>'Billing Detail'!B298</f>
        <v>53</v>
      </c>
      <c r="E104" s="2" t="str">
        <f>'Billing Detail'!C298</f>
        <v>Acorn - LED w/ fiberglass pole</v>
      </c>
      <c r="F104" s="81">
        <f>'Billing Detail'!H298</f>
        <v>24.98</v>
      </c>
      <c r="G104" s="81">
        <f>'Billing Detail'!L298</f>
        <v>25.93</v>
      </c>
      <c r="J104" s="6">
        <f t="shared" si="1"/>
        <v>3.8030424339471569E-2</v>
      </c>
    </row>
    <row r="105" spans="3:10" x14ac:dyDescent="0.25">
      <c r="D105" s="43">
        <f>'Billing Detail'!B299</f>
        <v>54</v>
      </c>
      <c r="E105" s="2" t="str">
        <f>'Billing Detail'!C299</f>
        <v>Holophane LED, w/ fiberglass pole</v>
      </c>
      <c r="F105" s="81">
        <f>'Billing Detail'!H299</f>
        <v>31.19</v>
      </c>
      <c r="G105" s="81">
        <f>'Billing Detail'!L299</f>
        <v>32.369999999999997</v>
      </c>
      <c r="J105" s="6">
        <f t="shared" si="1"/>
        <v>3.7832638666239093E-2</v>
      </c>
    </row>
    <row r="106" spans="3:10" x14ac:dyDescent="0.25">
      <c r="D106" s="43">
        <f>'Billing Detail'!B300</f>
        <v>55</v>
      </c>
      <c r="E106" s="2" t="str">
        <f>'Billing Detail'!C300</f>
        <v>Traditionaire LED, w/ fiberglass pole</v>
      </c>
      <c r="F106" s="81">
        <f>'Billing Detail'!H300</f>
        <v>26.23</v>
      </c>
      <c r="G106" s="81">
        <f>'Billing Detail'!L300</f>
        <v>27.22</v>
      </c>
      <c r="J106" s="6">
        <f t="shared" si="1"/>
        <v>3.7743042317956554E-2</v>
      </c>
    </row>
    <row r="107" spans="3:10" x14ac:dyDescent="0.25">
      <c r="D107" s="43">
        <f>'Billing Detail'!B301</f>
        <v>56</v>
      </c>
      <c r="E107" s="2" t="str">
        <f>'Billing Detail'!C301</f>
        <v>Holophane LED, w/ aluminum pole</v>
      </c>
      <c r="F107" s="81">
        <f>'Billing Detail'!H301</f>
        <v>43.78</v>
      </c>
      <c r="G107" s="81">
        <f>'Billing Detail'!L301</f>
        <v>45.44</v>
      </c>
      <c r="J107" s="6">
        <f t="shared" si="1"/>
        <v>3.7916857012334271E-2</v>
      </c>
    </row>
    <row r="108" spans="3:10" x14ac:dyDescent="0.25">
      <c r="E108" s="95" t="str">
        <f>'Billing Detail'!C302</f>
        <v>Schedule III SOLS - Special Outdoor Lighting Service (none)</v>
      </c>
      <c r="J108" s="6"/>
    </row>
    <row r="109" spans="3:10" x14ac:dyDescent="0.25">
      <c r="E109" s="2" t="str">
        <f>'Billing Detail'!C303</f>
        <v>Energy</v>
      </c>
      <c r="F109" s="82">
        <f>'Billing Detail'!H303</f>
        <v>5.5719999999999999E-2</v>
      </c>
      <c r="G109" s="82">
        <f>'Billing Detail'!L303</f>
        <v>5.7831798815384423E-2</v>
      </c>
      <c r="H109" s="114"/>
      <c r="J109" s="6">
        <f t="shared" ref="J109" si="2">G109/F109-1</f>
        <v>3.7900194102376661E-2</v>
      </c>
    </row>
    <row r="110" spans="3:10" x14ac:dyDescent="0.25">
      <c r="C110" s="4">
        <f>'Billing Detail'!C344</f>
        <v>7</v>
      </c>
      <c r="D110" s="110" t="str">
        <f>'Billing Detail'!B344</f>
        <v>Schedule VIII- Large Industrial Rate LPC1</v>
      </c>
      <c r="J110" s="6"/>
    </row>
    <row r="111" spans="3:10" x14ac:dyDescent="0.25">
      <c r="E111" s="2" t="str">
        <f>'Billing Detail'!D345</f>
        <v>Customer Charge</v>
      </c>
      <c r="F111" s="81">
        <f>'Billing Detail'!H345</f>
        <v>1521.83</v>
      </c>
      <c r="G111" s="81">
        <f>'Billing Detail'!L345</f>
        <v>1579.51</v>
      </c>
      <c r="J111" s="6">
        <f t="shared" si="1"/>
        <v>3.7901736724864188E-2</v>
      </c>
    </row>
    <row r="112" spans="3:10" x14ac:dyDescent="0.25">
      <c r="E112" s="2" t="str">
        <f>'Billing Detail'!D346</f>
        <v>Energy Charge per kWh first 425</v>
      </c>
      <c r="F112" s="82">
        <f>'Billing Detail'!H346</f>
        <v>4.548E-2</v>
      </c>
      <c r="G112" s="82">
        <f>'Billing Detail'!L346</f>
        <v>4.7199999999999999E-2</v>
      </c>
      <c r="J112" s="6">
        <f t="shared" si="1"/>
        <v>3.7818821459982388E-2</v>
      </c>
    </row>
    <row r="113" spans="3:10" x14ac:dyDescent="0.25">
      <c r="E113" s="2" t="str">
        <f>'Billing Detail'!D347</f>
        <v>Energy Charge per kWh over 425</v>
      </c>
      <c r="F113" s="82">
        <f>'Billing Detail'!H347</f>
        <v>4.1829999999999999E-2</v>
      </c>
      <c r="G113" s="82">
        <f>'Billing Detail'!L347</f>
        <v>4.342E-2</v>
      </c>
      <c r="J113" s="6">
        <f t="shared" si="1"/>
        <v>3.801099689218268E-2</v>
      </c>
    </row>
    <row r="114" spans="3:10" x14ac:dyDescent="0.25">
      <c r="E114" s="2" t="str">
        <f>'Billing Detail'!D348</f>
        <v>Demand Charge per kW</v>
      </c>
      <c r="F114" s="81">
        <f>'Billing Detail'!H348</f>
        <v>7.25</v>
      </c>
      <c r="G114" s="81">
        <f>'Billing Detail'!L348</f>
        <v>7.52</v>
      </c>
      <c r="J114" s="6">
        <f t="shared" si="1"/>
        <v>3.7241379310344769E-2</v>
      </c>
    </row>
    <row r="115" spans="3:10" x14ac:dyDescent="0.25">
      <c r="C115" s="4">
        <f>'Billing Detail'!C350</f>
        <v>8</v>
      </c>
      <c r="D115" s="110" t="str">
        <f>'Billing Detail'!B350</f>
        <v>Schedule X - Large Industrial Rate LPC1A</v>
      </c>
      <c r="J115" s="6"/>
    </row>
    <row r="116" spans="3:10" x14ac:dyDescent="0.25">
      <c r="E116" s="2" t="str">
        <f>'Billing Detail'!D351</f>
        <v>Customer Charge</v>
      </c>
      <c r="F116" s="81">
        <f>'Billing Detail'!H351</f>
        <v>1521.83</v>
      </c>
      <c r="G116" s="81">
        <f>'Billing Detail'!L351</f>
        <v>1579.51</v>
      </c>
      <c r="J116" s="6">
        <f t="shared" si="1"/>
        <v>3.7901736724864188E-2</v>
      </c>
    </row>
    <row r="117" spans="3:10" x14ac:dyDescent="0.25">
      <c r="E117" s="2" t="str">
        <f>'Billing Detail'!D352</f>
        <v>Energy Charge per kWh first 425</v>
      </c>
      <c r="F117" s="82">
        <f>'Billing Detail'!H352</f>
        <v>4.0980000000000003E-2</v>
      </c>
      <c r="G117" s="82">
        <f>'Billing Detail'!L352</f>
        <v>4.3038134135885232E-2</v>
      </c>
      <c r="J117" s="6">
        <f t="shared" si="1"/>
        <v>5.0222892530142227E-2</v>
      </c>
    </row>
    <row r="118" spans="3:10" x14ac:dyDescent="0.25">
      <c r="E118" s="2" t="str">
        <f>'Billing Detail'!D353</f>
        <v>Energy Charge per kWh over 425</v>
      </c>
      <c r="F118" s="82">
        <f>'Billing Detail'!H353</f>
        <v>3.968E-2</v>
      </c>
      <c r="G118" s="82">
        <f>'Billing Detail'!L353</f>
        <v>4.1672844375596041E-2</v>
      </c>
      <c r="J118" s="6">
        <f t="shared" si="1"/>
        <v>5.0222892530142227E-2</v>
      </c>
    </row>
    <row r="119" spans="3:10" x14ac:dyDescent="0.25">
      <c r="E119" s="2" t="str">
        <f>'Billing Detail'!D354</f>
        <v>Demand Charge per kW</v>
      </c>
      <c r="F119" s="81">
        <f>'Billing Detail'!H354</f>
        <v>7.25</v>
      </c>
      <c r="G119" s="81">
        <f>'Billing Detail'!L354</f>
        <v>7.52</v>
      </c>
      <c r="J119" s="6">
        <f t="shared" si="1"/>
        <v>3.7241379310344769E-2</v>
      </c>
    </row>
    <row r="120" spans="3:10" x14ac:dyDescent="0.25">
      <c r="C120" s="4">
        <f>'Billing Detail'!C356</f>
        <v>14</v>
      </c>
      <c r="D120" s="110" t="str">
        <f>'Billing Detail'!B356</f>
        <v>Schedule IX - Large Industrial Rate LPC2</v>
      </c>
      <c r="J120" s="6"/>
    </row>
    <row r="121" spans="3:10" x14ac:dyDescent="0.25">
      <c r="E121" s="2" t="str">
        <f>'Billing Detail'!D357</f>
        <v>Customer Charge</v>
      </c>
      <c r="F121" s="81">
        <f>'Billing Detail'!H357</f>
        <v>3042.58</v>
      </c>
      <c r="G121" s="81">
        <f>'Billing Detail'!L357</f>
        <v>3157.89</v>
      </c>
      <c r="J121" s="6">
        <f t="shared" si="1"/>
        <v>3.7898756975987435E-2</v>
      </c>
    </row>
    <row r="122" spans="3:10" x14ac:dyDescent="0.25">
      <c r="E122" s="2" t="str">
        <f>'Billing Detail'!D358</f>
        <v>Energy Charge per kWh first 425</v>
      </c>
      <c r="F122" s="82">
        <f>'Billing Detail'!H358</f>
        <v>4.0480000000000002E-2</v>
      </c>
      <c r="G122" s="82">
        <f>'Billing Detail'!L358</f>
        <v>4.2009999999999999E-2</v>
      </c>
      <c r="J122" s="6">
        <f t="shared" si="1"/>
        <v>3.7796442687746845E-2</v>
      </c>
    </row>
    <row r="123" spans="3:10" x14ac:dyDescent="0.25">
      <c r="E123" s="2" t="str">
        <f>'Billing Detail'!D359</f>
        <v>Energy Charge per kWh over 425</v>
      </c>
      <c r="F123" s="82">
        <f>'Billing Detail'!H359</f>
        <v>3.9609999999999999E-2</v>
      </c>
      <c r="G123" s="82">
        <f>'Billing Detail'!L359</f>
        <v>4.1110000000000001E-2</v>
      </c>
      <c r="J123" s="6">
        <f t="shared" si="1"/>
        <v>3.7869224943196222E-2</v>
      </c>
    </row>
    <row r="124" spans="3:10" x14ac:dyDescent="0.25">
      <c r="E124" s="2" t="str">
        <f>'Billing Detail'!D360</f>
        <v>Demand Charge per kW</v>
      </c>
      <c r="F124" s="81">
        <f>'Billing Detail'!H360</f>
        <v>7.25</v>
      </c>
      <c r="G124" s="81">
        <f>'Billing Detail'!L360</f>
        <v>7.52</v>
      </c>
      <c r="J124" s="6">
        <f t="shared" si="1"/>
        <v>3.7241379310344769E-2</v>
      </c>
    </row>
    <row r="125" spans="3:10" x14ac:dyDescent="0.25">
      <c r="C125" s="4">
        <f>'Billing Detail'!C362</f>
        <v>15</v>
      </c>
      <c r="D125" s="110" t="str">
        <f>'Billing Detail'!B362</f>
        <v>Schedule XII- Large Industrial Rate LPB1A</v>
      </c>
      <c r="J125" s="6"/>
    </row>
    <row r="126" spans="3:10" x14ac:dyDescent="0.25">
      <c r="E126" s="2" t="str">
        <f>'Billing Detail'!D363</f>
        <v>Customer Charge</v>
      </c>
      <c r="F126" s="81">
        <f>'Billing Detail'!H363</f>
        <v>1521.83</v>
      </c>
      <c r="G126" s="81">
        <f>'Billing Detail'!L363</f>
        <v>1579.51</v>
      </c>
      <c r="J126" s="6">
        <f t="shared" si="1"/>
        <v>3.7901736724864188E-2</v>
      </c>
    </row>
    <row r="127" spans="3:10" x14ac:dyDescent="0.25">
      <c r="E127" s="2" t="str">
        <f>'Billing Detail'!D364</f>
        <v>Energy Charge per kWh first 425</v>
      </c>
      <c r="F127" s="82">
        <f>'Billing Detail'!H364</f>
        <v>4.0980000000000003E-2</v>
      </c>
      <c r="G127" s="82">
        <f>'Billing Detail'!L364</f>
        <v>4.3038134135885232E-2</v>
      </c>
      <c r="J127" s="6">
        <f t="shared" ref="J127:J130" si="3">G127/F127-1</f>
        <v>5.0222892530142227E-2</v>
      </c>
    </row>
    <row r="128" spans="3:10" x14ac:dyDescent="0.25">
      <c r="E128" s="2" t="str">
        <f>'Billing Detail'!D365</f>
        <v>Energy Charge per kWh over 425</v>
      </c>
      <c r="F128" s="82">
        <f>'Billing Detail'!H365</f>
        <v>3.968E-2</v>
      </c>
      <c r="G128" s="82">
        <f>'Billing Detail'!L365</f>
        <v>4.1672844375596041E-2</v>
      </c>
      <c r="J128" s="6">
        <f t="shared" si="3"/>
        <v>5.0222892530142227E-2</v>
      </c>
    </row>
    <row r="129" spans="3:10" x14ac:dyDescent="0.25">
      <c r="E129" s="2" t="str">
        <f>'Billing Detail'!D366</f>
        <v>Demand Charge per kW</v>
      </c>
      <c r="F129" s="81">
        <f>'Billing Detail'!H366</f>
        <v>7.25</v>
      </c>
      <c r="G129" s="81">
        <f>'Billing Detail'!L366</f>
        <v>7.52</v>
      </c>
      <c r="J129" s="6">
        <f t="shared" si="3"/>
        <v>3.7241379310344769E-2</v>
      </c>
    </row>
    <row r="130" spans="3:10" x14ac:dyDescent="0.25">
      <c r="E130" s="2" t="str">
        <f>'Billing Detail'!D367</f>
        <v>Demand Charge Excess per kW</v>
      </c>
      <c r="F130" s="81">
        <f>'Billing Detail'!H367</f>
        <v>9.98</v>
      </c>
      <c r="G130" s="81">
        <f>'Billing Detail'!L367</f>
        <v>10.36</v>
      </c>
      <c r="J130" s="6">
        <f t="shared" si="3"/>
        <v>3.8076152304609145E-2</v>
      </c>
    </row>
    <row r="131" spans="3:10" x14ac:dyDescent="0.25">
      <c r="J131" s="6"/>
    </row>
    <row r="132" spans="3:10" ht="27.6" customHeight="1" x14ac:dyDescent="0.25">
      <c r="C132" s="160" t="s">
        <v>134</v>
      </c>
      <c r="D132" s="160"/>
      <c r="E132" s="160"/>
      <c r="F132" s="160"/>
      <c r="G132" s="160"/>
      <c r="J132" s="6"/>
    </row>
    <row r="133" spans="3:10" x14ac:dyDescent="0.25">
      <c r="F133" s="161" t="s">
        <v>135</v>
      </c>
      <c r="G133" s="161"/>
      <c r="J133" s="6"/>
    </row>
    <row r="134" spans="3:10" x14ac:dyDescent="0.25">
      <c r="C134" s="104" t="s">
        <v>51</v>
      </c>
      <c r="D134" s="107"/>
      <c r="E134" s="91"/>
      <c r="F134" s="96" t="s">
        <v>136</v>
      </c>
      <c r="G134" s="96" t="s">
        <v>137</v>
      </c>
      <c r="J134" s="6"/>
    </row>
    <row r="135" spans="3:10" x14ac:dyDescent="0.25">
      <c r="C135" s="105">
        <f>Summary!C10</f>
        <v>1</v>
      </c>
      <c r="D135" s="43" t="str">
        <f>Summary!B10</f>
        <v>Schedule I-Farm and Home</v>
      </c>
      <c r="F135" s="97">
        <f>Summary!L10</f>
        <v>2899358.8704839982</v>
      </c>
      <c r="G135" s="102">
        <f>Summary!N10</f>
        <v>3.5096647000067378E-2</v>
      </c>
      <c r="J135" s="6"/>
    </row>
    <row r="136" spans="3:10" x14ac:dyDescent="0.25">
      <c r="C136" s="105">
        <f>Summary!C11</f>
        <v>2</v>
      </c>
      <c r="D136" s="43" t="str">
        <f>Summary!B11</f>
        <v>Schedule 1-D Farm &amp; Home Inclining Block</v>
      </c>
      <c r="F136" s="97">
        <f>Summary!L11</f>
        <v>21667.532960000026</v>
      </c>
      <c r="G136" s="102">
        <f>Summary!N11</f>
        <v>3.4802318333332007E-2</v>
      </c>
      <c r="J136" s="6"/>
    </row>
    <row r="137" spans="3:10" x14ac:dyDescent="0.25">
      <c r="C137" s="105">
        <f>Summary!C12</f>
        <v>3</v>
      </c>
      <c r="D137" s="43" t="str">
        <f>Summary!B12</f>
        <v>Schedule 1-Small Commercial</v>
      </c>
      <c r="F137" s="97">
        <f>Summary!L12</f>
        <v>193389.39959999989</v>
      </c>
      <c r="G137" s="102">
        <f>Summary!N12</f>
        <v>3.5078081402665169E-2</v>
      </c>
      <c r="J137" s="6"/>
    </row>
    <row r="138" spans="3:10" x14ac:dyDescent="0.25">
      <c r="C138" s="105">
        <f>Summary!C13</f>
        <v>4</v>
      </c>
      <c r="D138" s="43" t="str">
        <f>Summary!B13</f>
        <v>Schedule II-Large Power</v>
      </c>
      <c r="F138" s="97">
        <f>Summary!L13</f>
        <v>604649.67257000273</v>
      </c>
      <c r="G138" s="102">
        <f>Summary!N13</f>
        <v>3.5290054099874305E-2</v>
      </c>
      <c r="J138" s="6"/>
    </row>
    <row r="139" spans="3:10" x14ac:dyDescent="0.25">
      <c r="C139" s="105">
        <f>Summary!C14</f>
        <v>5</v>
      </c>
      <c r="D139" s="43" t="str">
        <f>Summary!B14</f>
        <v>Schedule II-Large Power - Primary Metered</v>
      </c>
      <c r="F139" s="97">
        <f>Summary!L14</f>
        <v>51644.479999999887</v>
      </c>
      <c r="G139" s="102">
        <f>Summary!N14</f>
        <v>3.5471569535451004E-2</v>
      </c>
      <c r="J139" s="6"/>
    </row>
    <row r="140" spans="3:10" x14ac:dyDescent="0.25">
      <c r="C140" s="105">
        <f>Summary!C15</f>
        <v>9</v>
      </c>
      <c r="D140" s="43" t="str">
        <f>Summary!B15</f>
        <v>Schedule XI- LPB1</v>
      </c>
      <c r="F140" s="97">
        <f>Summary!L15</f>
        <v>285514.83022999973</v>
      </c>
      <c r="G140" s="102">
        <f>Summary!N15</f>
        <v>3.4831309588636859E-2</v>
      </c>
      <c r="J140" s="6"/>
    </row>
    <row r="141" spans="3:10" x14ac:dyDescent="0.25">
      <c r="C141" s="105">
        <f>Summary!C16</f>
        <v>10</v>
      </c>
      <c r="D141" s="43" t="str">
        <f>Summary!B16</f>
        <v>ETS Off-Peak</v>
      </c>
      <c r="F141" s="97">
        <f>Summary!L16</f>
        <v>27.907096000000138</v>
      </c>
      <c r="G141" s="102">
        <f>Summary!N16</f>
        <v>3.6346259005100988E-2</v>
      </c>
      <c r="J141" s="6"/>
    </row>
    <row r="142" spans="3:10" x14ac:dyDescent="0.25">
      <c r="C142" s="105">
        <f>Summary!C17</f>
        <v>12</v>
      </c>
      <c r="D142" s="43" t="str">
        <f>Summary!B17</f>
        <v>Schedule XIV LPB</v>
      </c>
      <c r="F142" s="97">
        <f>Summary!L17</f>
        <v>34449.132319999968</v>
      </c>
      <c r="G142" s="102">
        <f>Summary!N17</f>
        <v>3.4790713515380413E-2</v>
      </c>
      <c r="J142" s="6"/>
    </row>
    <row r="143" spans="3:10" x14ac:dyDescent="0.25">
      <c r="C143" s="105">
        <f>Summary!C18</f>
        <v>13</v>
      </c>
      <c r="D143" s="43" t="str">
        <f>Summary!B18</f>
        <v>Schedule XIII-LPB2</v>
      </c>
      <c r="F143" s="97">
        <f>Summary!L18</f>
        <v>348326.88950000016</v>
      </c>
      <c r="G143" s="102">
        <f>Summary!N18</f>
        <v>4.0390100131689269E-2</v>
      </c>
      <c r="J143" s="6"/>
    </row>
    <row r="144" spans="3:10" x14ac:dyDescent="0.25">
      <c r="C144" s="105">
        <f>Summary!C19</f>
        <v>20</v>
      </c>
      <c r="D144" s="43" t="str">
        <f>Summary!B19</f>
        <v xml:space="preserve">Sched. 2-A Large Power TOD  </v>
      </c>
      <c r="F144" s="97">
        <f>Summary!L19</f>
        <v>6307.9191999999866</v>
      </c>
      <c r="G144" s="102">
        <f>Summary!N19</f>
        <v>3.5659526610125211E-2</v>
      </c>
      <c r="J144" s="6"/>
    </row>
    <row r="145" spans="3:10" x14ac:dyDescent="0.25">
      <c r="C145" s="105">
        <f>Summary!C20</f>
        <v>22</v>
      </c>
      <c r="D145" s="43" t="str">
        <f>Summary!B20</f>
        <v>Sched. 1-C Small Commercial TOD</v>
      </c>
      <c r="F145" s="97">
        <f>Summary!L20</f>
        <v>5285.7566599999991</v>
      </c>
      <c r="G145" s="102">
        <f>Summary!N20</f>
        <v>3.5626614086125205E-2</v>
      </c>
      <c r="J145" s="6"/>
    </row>
    <row r="146" spans="3:10" x14ac:dyDescent="0.25">
      <c r="C146" s="105">
        <f>Summary!C21</f>
        <v>24</v>
      </c>
      <c r="D146" s="43" t="str">
        <f>Summary!B21</f>
        <v>Sched. 2-A Large Power TOD Primary Mtrd</v>
      </c>
      <c r="F146" s="97">
        <f>Summary!L21</f>
        <v>8022.7175999999818</v>
      </c>
      <c r="G146" s="102">
        <f>Summary!N21</f>
        <v>3.5669450480355407E-2</v>
      </c>
      <c r="J146" s="6"/>
    </row>
    <row r="147" spans="3:10" x14ac:dyDescent="0.25">
      <c r="C147" s="105">
        <f>Summary!C22</f>
        <v>31</v>
      </c>
      <c r="D147" s="43" t="str">
        <f>Summary!B22</f>
        <v>Sched. 1-B1 Farm &amp; Home Time-of-Day</v>
      </c>
      <c r="F147" s="97">
        <f>Summary!L22</f>
        <v>239.21056999999996</v>
      </c>
      <c r="G147" s="102">
        <f>Summary!N22</f>
        <v>3.5500118883784168E-2</v>
      </c>
      <c r="J147" s="6"/>
    </row>
    <row r="148" spans="3:10" x14ac:dyDescent="0.25">
      <c r="C148" s="105">
        <f>Summary!C23</f>
        <v>33</v>
      </c>
      <c r="D148" s="43" t="str">
        <f>Summary!B23</f>
        <v>Sched. 1-B2 Farm &amp; Home Time-of-Day</v>
      </c>
      <c r="F148" s="97">
        <f>Summary!L23</f>
        <v>105.08924999999999</v>
      </c>
      <c r="G148" s="102">
        <f>Summary!N23</f>
        <v>3.5652788419766823E-2</v>
      </c>
      <c r="J148" s="6"/>
    </row>
    <row r="149" spans="3:10" x14ac:dyDescent="0.25">
      <c r="C149" s="105">
        <f>Summary!C24</f>
        <v>35</v>
      </c>
      <c r="D149" s="43" t="str">
        <f>Summary!B24</f>
        <v>Sched. 1-B3 Farm &amp; Home Time-of-Day</v>
      </c>
      <c r="F149" s="97">
        <f>Summary!L24</f>
        <v>500.78031999999848</v>
      </c>
      <c r="G149" s="102">
        <f>Summary!N24</f>
        <v>3.5480284568279299E-2</v>
      </c>
      <c r="J149" s="6"/>
    </row>
    <row r="150" spans="3:10" x14ac:dyDescent="0.25">
      <c r="C150" s="105">
        <f>Summary!C25</f>
        <v>40</v>
      </c>
      <c r="D150" s="43" t="str">
        <f>Summary!B25</f>
        <v>Sched NM - Net Metering - Residential</v>
      </c>
      <c r="F150" s="97">
        <f>Summary!L25</f>
        <v>860.80228599999828</v>
      </c>
      <c r="G150" s="102">
        <f>Summary!N25</f>
        <v>3.5629204271414444E-2</v>
      </c>
      <c r="J150" s="6"/>
    </row>
    <row r="151" spans="3:10" x14ac:dyDescent="0.25">
      <c r="C151" s="105">
        <f>Summary!C26</f>
        <v>46</v>
      </c>
      <c r="D151" s="43" t="str">
        <f>Summary!B26</f>
        <v>Sched NM - Net Metering - Small Commercial</v>
      </c>
      <c r="F151" s="97">
        <f>Summary!L26</f>
        <v>49.966320000000451</v>
      </c>
      <c r="G151" s="102">
        <f>Summary!N26</f>
        <v>3.8076479356928809E-2</v>
      </c>
      <c r="J151" s="6"/>
    </row>
    <row r="152" spans="3:10" x14ac:dyDescent="0.25">
      <c r="C152" s="105">
        <f>Summary!C27</f>
        <v>50</v>
      </c>
      <c r="D152" s="43" t="str">
        <f>Summary!B27</f>
        <v>Sched NM - Net Metering - Large Commercial</v>
      </c>
      <c r="F152" s="97">
        <f>Summary!L27</f>
        <v>1488.5388000000021</v>
      </c>
      <c r="G152" s="102">
        <f>Summary!N27</f>
        <v>3.5286780720304396E-2</v>
      </c>
      <c r="H152" s="1"/>
      <c r="J152" s="6"/>
    </row>
    <row r="153" spans="3:10" x14ac:dyDescent="0.25">
      <c r="C153" s="105">
        <f>Summary!C28</f>
        <v>60</v>
      </c>
      <c r="D153" s="43" t="str">
        <f>Summary!B28</f>
        <v>Prepay Metering Program</v>
      </c>
      <c r="F153" s="97">
        <f>Summary!L28</f>
        <v>27419.892793999985</v>
      </c>
      <c r="G153" s="102">
        <f>Summary!N28</f>
        <v>3.3221590738006866E-2</v>
      </c>
      <c r="H153" s="1"/>
      <c r="J153" s="6"/>
    </row>
    <row r="154" spans="3:10" x14ac:dyDescent="0.25">
      <c r="C154" s="105" t="str">
        <f>Summary!C29</f>
        <v>OLS</v>
      </c>
      <c r="D154" s="43" t="str">
        <f>Summary!B29</f>
        <v>Lighting</v>
      </c>
      <c r="F154" s="97">
        <f>Summary!L29</f>
        <v>76190.789999999804</v>
      </c>
      <c r="G154" s="102">
        <f>Summary!N29</f>
        <v>3.7661042290445312E-2</v>
      </c>
      <c r="H154" s="1"/>
      <c r="J154" s="6"/>
    </row>
    <row r="155" spans="3:10" x14ac:dyDescent="0.25">
      <c r="C155" s="105" t="str">
        <f>Summary!C32</f>
        <v>Special</v>
      </c>
      <c r="D155" s="43" t="str">
        <f>Summary!B32</f>
        <v xml:space="preserve">Special Contract </v>
      </c>
      <c r="F155" s="97">
        <f>Summary!L32</f>
        <v>3411576.9102079943</v>
      </c>
      <c r="G155" s="102">
        <f>Summary!N32</f>
        <v>7.9297317464137027E-2</v>
      </c>
      <c r="H155" s="1"/>
      <c r="J155" s="6"/>
    </row>
    <row r="156" spans="3:10" x14ac:dyDescent="0.25">
      <c r="C156" s="105"/>
      <c r="F156" s="97"/>
      <c r="G156" s="102"/>
      <c r="H156" s="1"/>
      <c r="J156" s="6"/>
    </row>
    <row r="157" spans="3:10" x14ac:dyDescent="0.25">
      <c r="F157" s="13"/>
      <c r="G157" s="2"/>
    </row>
    <row r="158" spans="3:10" ht="30" customHeight="1" x14ac:dyDescent="0.25">
      <c r="C158" s="160" t="s">
        <v>138</v>
      </c>
      <c r="D158" s="160"/>
      <c r="E158" s="160"/>
      <c r="F158" s="160"/>
      <c r="G158" s="160"/>
      <c r="H158" s="160"/>
    </row>
    <row r="159" spans="3:10" x14ac:dyDescent="0.25">
      <c r="E159" s="98" t="s">
        <v>19</v>
      </c>
      <c r="F159" s="161" t="s">
        <v>135</v>
      </c>
      <c r="G159" s="161"/>
    </row>
    <row r="160" spans="3:10" x14ac:dyDescent="0.25">
      <c r="C160" s="104" t="s">
        <v>51</v>
      </c>
      <c r="D160" s="106"/>
      <c r="E160" s="99" t="s">
        <v>139</v>
      </c>
      <c r="F160" s="96" t="s">
        <v>136</v>
      </c>
      <c r="G160" s="96" t="s">
        <v>137</v>
      </c>
    </row>
    <row r="161" spans="3:7" x14ac:dyDescent="0.25">
      <c r="C161" s="4">
        <f>Summary!C10</f>
        <v>1</v>
      </c>
      <c r="D161" s="108" t="str">
        <f>Summary!B10</f>
        <v>Schedule I-Farm and Home</v>
      </c>
      <c r="E161" s="111">
        <f>'Billing Detail'!E17</f>
        <v>1136.9006497414653</v>
      </c>
      <c r="F161" s="100">
        <f>'Billing Detail'!N17</f>
        <v>4.2457373921073298</v>
      </c>
      <c r="G161" s="6">
        <f>Summary!N10</f>
        <v>3.5096647000067378E-2</v>
      </c>
    </row>
    <row r="162" spans="3:7" x14ac:dyDescent="0.25">
      <c r="C162" s="4">
        <f>Summary!C11</f>
        <v>2</v>
      </c>
      <c r="D162" s="108" t="str">
        <f>Summary!B11</f>
        <v>Schedule 1-D Farm &amp; Home Inclining Block</v>
      </c>
      <c r="E162" s="111">
        <f>'Billing Detail'!E31</f>
        <v>204.81665461422929</v>
      </c>
      <c r="F162" s="100">
        <f>'Billing Detail'!N31</f>
        <v>1.2052919263503341</v>
      </c>
      <c r="G162" s="6">
        <f>Summary!N11</f>
        <v>3.4802318333332007E-2</v>
      </c>
    </row>
    <row r="163" spans="3:7" x14ac:dyDescent="0.25">
      <c r="C163" s="4">
        <f>Summary!C12</f>
        <v>3</v>
      </c>
      <c r="D163" s="108" t="str">
        <f>Summary!B12</f>
        <v>Schedule 1-Small Commercial</v>
      </c>
      <c r="E163" s="111">
        <f>'Billing Detail'!E43</f>
        <v>1621.6115098971443</v>
      </c>
      <c r="F163" s="100">
        <f>'Billing Detail'!N43</f>
        <v>6.0094279108791113</v>
      </c>
      <c r="G163" s="6">
        <f>Summary!N12</f>
        <v>3.5078081402665169E-2</v>
      </c>
    </row>
    <row r="164" spans="3:7" x14ac:dyDescent="0.25">
      <c r="C164" s="4">
        <f>Summary!C13</f>
        <v>4</v>
      </c>
      <c r="D164" s="108" t="str">
        <f>Summary!B13</f>
        <v>Schedule II-Large Power</v>
      </c>
      <c r="E164" s="111">
        <f>'Billing Detail'!E56</f>
        <v>55187.901643835619</v>
      </c>
      <c r="F164" s="100">
        <f>'Billing Detail'!N56</f>
        <v>165.65744453972729</v>
      </c>
      <c r="G164" s="6">
        <f>Summary!N13</f>
        <v>3.5290054099874305E-2</v>
      </c>
    </row>
    <row r="165" spans="3:7" x14ac:dyDescent="0.25">
      <c r="C165" s="4">
        <f>Summary!C14</f>
        <v>5</v>
      </c>
      <c r="D165" s="108" t="str">
        <f>Summary!B14</f>
        <v>Schedule II-Large Power - Primary Metered</v>
      </c>
      <c r="E165" s="111">
        <f>'Billing Detail'!E69</f>
        <v>164100</v>
      </c>
      <c r="F165" s="100">
        <f>'Billing Detail'!N69</f>
        <v>478.1896296296236</v>
      </c>
      <c r="G165" s="6">
        <f>Summary!N14</f>
        <v>3.5471569535451004E-2</v>
      </c>
    </row>
    <row r="166" spans="3:7" x14ac:dyDescent="0.25">
      <c r="C166" s="4">
        <f>Summary!C15</f>
        <v>9</v>
      </c>
      <c r="D166" s="108" t="str">
        <f>Summary!B15</f>
        <v>Schedule XI- LPB1</v>
      </c>
      <c r="E166" s="111">
        <f>'Billing Detail'!E84</f>
        <v>894863.16788321163</v>
      </c>
      <c r="F166" s="100">
        <f>'Billing Detail'!N84</f>
        <v>2084.0498556934253</v>
      </c>
      <c r="G166" s="6">
        <f>Summary!N15</f>
        <v>3.4831309588636859E-2</v>
      </c>
    </row>
    <row r="167" spans="3:7" x14ac:dyDescent="0.25">
      <c r="C167" s="4">
        <f>Summary!C16</f>
        <v>10</v>
      </c>
      <c r="D167" s="108" t="str">
        <f>Summary!B16</f>
        <v>ETS Off-Peak</v>
      </c>
      <c r="E167" s="111">
        <f>'Billing Detail'!E96</f>
        <v>360.33333333333331</v>
      </c>
      <c r="F167" s="100">
        <f>'Billing Detail'!N96</f>
        <v>0.66445466666666775</v>
      </c>
      <c r="G167" s="6">
        <f>Summary!N16</f>
        <v>3.6346259005100988E-2</v>
      </c>
    </row>
    <row r="168" spans="3:7" x14ac:dyDescent="0.25">
      <c r="C168" s="4">
        <f>Summary!C17</f>
        <v>12</v>
      </c>
      <c r="D168" s="108" t="str">
        <f>Summary!B17</f>
        <v>Schedule XIV LPB</v>
      </c>
      <c r="E168" s="111">
        <f>'Billing Detail'!E110</f>
        <v>464878.13333333336</v>
      </c>
      <c r="F168" s="100">
        <f>'Billing Detail'!N110</f>
        <v>1148.3044106666639</v>
      </c>
      <c r="G168" s="6">
        <f>Summary!N17</f>
        <v>3.4790713515380413E-2</v>
      </c>
    </row>
    <row r="169" spans="3:7" x14ac:dyDescent="0.25">
      <c r="C169" s="4">
        <f>Summary!C18</f>
        <v>13</v>
      </c>
      <c r="D169" s="108" t="str">
        <f>Summary!B18</f>
        <v>Schedule XIII-LPB2</v>
      </c>
      <c r="E169" s="111">
        <f>'Billing Detail'!E126</f>
        <v>7163219.458333333</v>
      </c>
      <c r="F169" s="100">
        <f>'Billing Detail'!N126</f>
        <v>14513.620395833335</v>
      </c>
      <c r="G169" s="6">
        <f>Summary!N18</f>
        <v>4.0390100131689269E-2</v>
      </c>
    </row>
    <row r="170" spans="3:7" x14ac:dyDescent="0.25">
      <c r="C170" s="4">
        <f>Summary!C19</f>
        <v>20</v>
      </c>
      <c r="D170" s="108" t="str">
        <f>Summary!B19</f>
        <v xml:space="preserve">Sched. 2-A Large Power TOD  </v>
      </c>
      <c r="E170" s="111">
        <f>'Billing Detail'!E139</f>
        <v>17259.652173913044</v>
      </c>
      <c r="F170" s="100">
        <f>'Billing Detail'!N139</f>
        <v>54.851471304347797</v>
      </c>
      <c r="G170" s="6">
        <f>Summary!N19</f>
        <v>3.5659526610125211E-2</v>
      </c>
    </row>
    <row r="171" spans="3:7" x14ac:dyDescent="0.25">
      <c r="C171" s="4">
        <f>Summary!C20</f>
        <v>22</v>
      </c>
      <c r="D171" s="108" t="str">
        <f>Summary!B20</f>
        <v>Sched. 1-C Small Commercial TOD</v>
      </c>
      <c r="E171" s="111">
        <f>'Billing Detail'!E152</f>
        <v>3933.4258823529412</v>
      </c>
      <c r="F171" s="100">
        <f>'Billing Detail'!N152</f>
        <v>12.437074494117667</v>
      </c>
      <c r="G171" s="6">
        <f>Summary!N20</f>
        <v>3.5626614086125205E-2</v>
      </c>
    </row>
    <row r="172" spans="3:7" x14ac:dyDescent="0.25">
      <c r="C172" s="4">
        <f>Summary!C21</f>
        <v>24</v>
      </c>
      <c r="D172" s="108" t="str">
        <f>Summary!B21</f>
        <v>Sched. 2-A Large Power TOD Primary Mtrd</v>
      </c>
      <c r="E172" s="111">
        <f>'Billing Detail'!E165</f>
        <v>119900</v>
      </c>
      <c r="F172" s="100">
        <f>'Billing Detail'!N165</f>
        <v>334.27989999999772</v>
      </c>
      <c r="G172" s="6">
        <f>Summary!N21</f>
        <v>3.5669450480355407E-2</v>
      </c>
    </row>
    <row r="173" spans="3:7" x14ac:dyDescent="0.25">
      <c r="C173" s="4">
        <f>Summary!C22</f>
        <v>31</v>
      </c>
      <c r="D173" s="108" t="str">
        <f>Summary!B22</f>
        <v>Sched. 1-B1 Farm &amp; Home Time-of-Day</v>
      </c>
      <c r="E173" s="111">
        <f>'Billing Detail'!E178</f>
        <v>1317.2352941176471</v>
      </c>
      <c r="F173" s="100">
        <f>'Billing Detail'!N178</f>
        <v>4.6904033333333643</v>
      </c>
      <c r="G173" s="6">
        <f>Summary!N22</f>
        <v>3.5500118883784168E-2</v>
      </c>
    </row>
    <row r="174" spans="3:7" x14ac:dyDescent="0.25">
      <c r="C174" s="4">
        <f>Summary!C23</f>
        <v>33</v>
      </c>
      <c r="D174" s="108" t="str">
        <f>Summary!B23</f>
        <v>Sched. 1-B2 Farm &amp; Home Time-of-Day</v>
      </c>
      <c r="E174" s="111">
        <f>'Billing Detail'!E191</f>
        <v>1125.7692307692307</v>
      </c>
      <c r="F174" s="100">
        <f>'Billing Detail'!N191</f>
        <v>4.0418942307692305</v>
      </c>
      <c r="G174" s="6">
        <f>Summary!N23</f>
        <v>3.5652788419766823E-2</v>
      </c>
    </row>
    <row r="175" spans="3:7" x14ac:dyDescent="0.25">
      <c r="C175" s="4">
        <f>Summary!C24</f>
        <v>35</v>
      </c>
      <c r="D175" s="108" t="str">
        <f>Summary!B24</f>
        <v>Sched. 1-B3 Farm &amp; Home Time-of-Day</v>
      </c>
      <c r="E175" s="111">
        <f>'Billing Detail'!E205</f>
        <v>1731.8333333333333</v>
      </c>
      <c r="F175" s="100">
        <f>'Billing Detail'!N205</f>
        <v>5.9616704761904771</v>
      </c>
      <c r="G175" s="6">
        <f>Summary!N24</f>
        <v>3.5480284568279299E-2</v>
      </c>
    </row>
    <row r="176" spans="3:7" x14ac:dyDescent="0.25">
      <c r="C176" s="4">
        <f>Summary!C25</f>
        <v>40</v>
      </c>
      <c r="D176" s="108" t="str">
        <f>Summary!B25</f>
        <v>Sched NM - Net Metering - Residential</v>
      </c>
      <c r="E176" s="111">
        <f>'Billing Detail'!E218</f>
        <v>1540.3226837060704</v>
      </c>
      <c r="F176" s="100">
        <f>'Billing Detail'!N218</f>
        <v>2.7501670479233127</v>
      </c>
      <c r="G176" s="6">
        <f>Summary!N25</f>
        <v>3.5629204271414444E-2</v>
      </c>
    </row>
    <row r="177" spans="3:7" x14ac:dyDescent="0.25">
      <c r="C177" s="4">
        <f>Summary!C26</f>
        <v>46</v>
      </c>
      <c r="D177" s="108" t="str">
        <f>Summary!B26</f>
        <v>Sched NM - Net Metering - Small Commercial</v>
      </c>
      <c r="E177" s="111">
        <f>'Billing Detail'!E233</f>
        <v>2237</v>
      </c>
      <c r="F177" s="100">
        <f>'Billing Detail'!N233</f>
        <v>4.1638600000000423</v>
      </c>
      <c r="G177" s="6">
        <f>Summary!N26</f>
        <v>3.8076479356928809E-2</v>
      </c>
    </row>
    <row r="178" spans="3:7" x14ac:dyDescent="0.25">
      <c r="C178" s="4">
        <f>Summary!C27</f>
        <v>50</v>
      </c>
      <c r="D178" s="108" t="str">
        <f>Summary!B27</f>
        <v>Sched NM - Net Metering - Large Commercial</v>
      </c>
      <c r="E178" s="111">
        <f>'Billing Detail'!E247</f>
        <v>24291.666666666668</v>
      </c>
      <c r="F178" s="100">
        <f>'Billing Detail'!N247</f>
        <v>62.022449999999935</v>
      </c>
      <c r="G178" s="6">
        <f>Summary!N27</f>
        <v>3.5286780720304396E-2</v>
      </c>
    </row>
    <row r="179" spans="3:7" x14ac:dyDescent="0.25">
      <c r="C179" s="4">
        <f>Summary!C28</f>
        <v>60</v>
      </c>
      <c r="D179" s="108" t="str">
        <f>Summary!B28</f>
        <v>Prepay Metering Program</v>
      </c>
      <c r="E179" s="111">
        <f>'Billing Detail'!E260</f>
        <v>1269.4619952494061</v>
      </c>
      <c r="F179" s="100">
        <f>'Billing Detail'!N260</f>
        <v>4.6521704774346802</v>
      </c>
      <c r="G179" s="6">
        <f>Summary!N28</f>
        <v>3.3221590738006866E-2</v>
      </c>
    </row>
    <row r="180" spans="3:7" x14ac:dyDescent="0.25">
      <c r="C180" s="4" t="str">
        <f>Summary!C29</f>
        <v>OLS</v>
      </c>
      <c r="D180" s="108" t="str">
        <f>Summary!B29</f>
        <v>Lighting</v>
      </c>
      <c r="E180" s="101" t="s">
        <v>140</v>
      </c>
      <c r="F180" s="109" t="s">
        <v>140</v>
      </c>
      <c r="G180" s="6">
        <f>Summary!N29</f>
        <v>3.7661042290445312E-2</v>
      </c>
    </row>
  </sheetData>
  <mergeCells count="4">
    <mergeCell ref="C132:G132"/>
    <mergeCell ref="F133:G133"/>
    <mergeCell ref="C158:H158"/>
    <mergeCell ref="F159:G159"/>
  </mergeCells>
  <printOptions horizontalCentered="1"/>
  <pageMargins left="0.7" right="0.7" top="0.75" bottom="0.75" header="0.3" footer="0.3"/>
  <pageSetup paperSize="9" scale="67" fitToHeight="2" orientation="portrait" r:id="rId1"/>
  <headerFooter>
    <oddHeader>&amp;R&amp;"Arial,Bold"&amp;10Exhibit 2
Page &amp;P of &amp;N</oddHeader>
  </headerFooter>
  <rowBreaks count="1" manualBreakCount="1">
    <brk id="6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2021-03-26T13:07:22Z</cp:lastPrinted>
  <dcterms:created xsi:type="dcterms:W3CDTF">2021-02-09T02:13:44Z</dcterms:created>
  <dcterms:modified xsi:type="dcterms:W3CDTF">2021-05-25T16:11:30Z</dcterms:modified>
</cp:coreProperties>
</file>