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Owen\Analysis\"/>
    </mc:Choice>
  </mc:AlternateContent>
  <xr:revisionPtr revIDLastSave="0" documentId="13_ncr:1_{221A3B6D-0EA6-4633-9B76-FBB264664F9B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Billing Detail" sheetId="1" r:id="rId1"/>
    <sheet name="rate class" sheetId="4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'Billing Detail'!$A$1:$F$110</definedName>
    <definedName name="_xlnm.Print_Area" localSheetId="1">'rate class'!$A$1:$G$574</definedName>
    <definedName name="_xlnm.Print_Titles" localSheetId="0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1" i="4" l="1"/>
  <c r="C565" i="4"/>
  <c r="C564" i="4"/>
  <c r="B562" i="4"/>
  <c r="D558" i="4"/>
  <c r="A553" i="4"/>
  <c r="A552" i="4"/>
  <c r="A551" i="4"/>
  <c r="A550" i="4"/>
  <c r="C545" i="4"/>
  <c r="G540" i="4"/>
  <c r="G547" i="4" s="1"/>
  <c r="G548" i="4" s="1"/>
  <c r="E540" i="4"/>
  <c r="E547" i="4" s="1"/>
  <c r="E548" i="4" s="1"/>
  <c r="G537" i="4"/>
  <c r="E537" i="4"/>
  <c r="D533" i="4"/>
  <c r="A528" i="4"/>
  <c r="A527" i="4"/>
  <c r="A526" i="4"/>
  <c r="A525" i="4"/>
  <c r="E514" i="4"/>
  <c r="E521" i="4" s="1"/>
  <c r="E522" i="4" s="1"/>
  <c r="C514" i="4"/>
  <c r="C562" i="4" s="1"/>
  <c r="C571" i="4" s="1"/>
  <c r="G511" i="4"/>
  <c r="G514" i="4" s="1"/>
  <c r="G521" i="4" s="1"/>
  <c r="G522" i="4" s="1"/>
  <c r="E511" i="4"/>
  <c r="D508" i="4"/>
  <c r="A503" i="4"/>
  <c r="A502" i="4"/>
  <c r="A501" i="4"/>
  <c r="A500" i="4"/>
  <c r="E487" i="4"/>
  <c r="G487" i="4" s="1"/>
  <c r="G483" i="4"/>
  <c r="E483" i="4"/>
  <c r="E489" i="4" s="1"/>
  <c r="E496" i="4" s="1"/>
  <c r="E497" i="4" s="1"/>
  <c r="G482" i="4"/>
  <c r="G489" i="4" s="1"/>
  <c r="G496" i="4" s="1"/>
  <c r="G497" i="4" s="1"/>
  <c r="E482" i="4"/>
  <c r="D479" i="4"/>
  <c r="A474" i="4"/>
  <c r="A473" i="4"/>
  <c r="A472" i="4"/>
  <c r="A471" i="4"/>
  <c r="G458" i="4"/>
  <c r="E458" i="4"/>
  <c r="G454" i="4"/>
  <c r="E454" i="4"/>
  <c r="G453" i="4"/>
  <c r="E453" i="4"/>
  <c r="G452" i="4"/>
  <c r="E452" i="4"/>
  <c r="G451" i="4"/>
  <c r="E451" i="4"/>
  <c r="G450" i="4"/>
  <c r="E450" i="4"/>
  <c r="G449" i="4"/>
  <c r="E449" i="4"/>
  <c r="G447" i="4"/>
  <c r="E447" i="4"/>
  <c r="G446" i="4"/>
  <c r="E446" i="4"/>
  <c r="G445" i="4"/>
  <c r="E445" i="4"/>
  <c r="G444" i="4"/>
  <c r="E444" i="4"/>
  <c r="G443" i="4"/>
  <c r="E443" i="4"/>
  <c r="E460" i="4" s="1"/>
  <c r="E467" i="4" s="1"/>
  <c r="E468" i="4" s="1"/>
  <c r="G442" i="4"/>
  <c r="E442" i="4"/>
  <c r="G440" i="4"/>
  <c r="G460" i="4" s="1"/>
  <c r="E440" i="4"/>
  <c r="G439" i="4"/>
  <c r="E439" i="4"/>
  <c r="D436" i="4"/>
  <c r="A431" i="4"/>
  <c r="A430" i="4"/>
  <c r="A429" i="4"/>
  <c r="A428" i="4"/>
  <c r="E415" i="4"/>
  <c r="G415" i="4" s="1"/>
  <c r="G411" i="4"/>
  <c r="E411" i="4"/>
  <c r="G410" i="4"/>
  <c r="E410" i="4"/>
  <c r="G409" i="4"/>
  <c r="E409" i="4"/>
  <c r="G408" i="4"/>
  <c r="E408" i="4"/>
  <c r="G407" i="4"/>
  <c r="E407" i="4"/>
  <c r="G406" i="4"/>
  <c r="E406" i="4"/>
  <c r="G405" i="4"/>
  <c r="G417" i="4" s="1"/>
  <c r="E405" i="4"/>
  <c r="E417" i="4" s="1"/>
  <c r="E424" i="4" s="1"/>
  <c r="E425" i="4" s="1"/>
  <c r="G404" i="4"/>
  <c r="E404" i="4"/>
  <c r="G403" i="4"/>
  <c r="E403" i="4"/>
  <c r="G402" i="4"/>
  <c r="E402" i="4"/>
  <c r="D399" i="4"/>
  <c r="A394" i="4"/>
  <c r="A393" i="4"/>
  <c r="A392" i="4"/>
  <c r="A391" i="4"/>
  <c r="G372" i="4"/>
  <c r="E372" i="4"/>
  <c r="G371" i="4"/>
  <c r="J371" i="4" s="1"/>
  <c r="E371" i="4"/>
  <c r="G370" i="4"/>
  <c r="J370" i="4" s="1"/>
  <c r="E370" i="4"/>
  <c r="E376" i="4" s="1"/>
  <c r="G368" i="4"/>
  <c r="G376" i="4" s="1"/>
  <c r="E368" i="4"/>
  <c r="D365" i="4"/>
  <c r="A360" i="4"/>
  <c r="A359" i="4"/>
  <c r="A358" i="4"/>
  <c r="A357" i="4"/>
  <c r="F338" i="4"/>
  <c r="G338" i="4" s="1"/>
  <c r="E338" i="4"/>
  <c r="G337" i="4"/>
  <c r="F337" i="4"/>
  <c r="E337" i="4"/>
  <c r="G335" i="4"/>
  <c r="G342" i="4" s="1"/>
  <c r="E335" i="4"/>
  <c r="E342" i="4" s="1"/>
  <c r="D332" i="4"/>
  <c r="A327" i="4"/>
  <c r="A326" i="4"/>
  <c r="A325" i="4"/>
  <c r="A324" i="4"/>
  <c r="E309" i="4"/>
  <c r="E319" i="4" s="1"/>
  <c r="E320" i="4" s="1"/>
  <c r="E321" i="4" s="1"/>
  <c r="G305" i="4"/>
  <c r="J305" i="4" s="1"/>
  <c r="E305" i="4"/>
  <c r="G304" i="4"/>
  <c r="E304" i="4"/>
  <c r="G302" i="4"/>
  <c r="G309" i="4" s="1"/>
  <c r="E302" i="4"/>
  <c r="D299" i="4"/>
  <c r="A294" i="4"/>
  <c r="A293" i="4"/>
  <c r="A292" i="4"/>
  <c r="A291" i="4"/>
  <c r="E276" i="4"/>
  <c r="E286" i="4" s="1"/>
  <c r="E287" i="4" s="1"/>
  <c r="E288" i="4" s="1"/>
  <c r="G272" i="4"/>
  <c r="F272" i="4"/>
  <c r="E272" i="4"/>
  <c r="G271" i="4"/>
  <c r="E271" i="4"/>
  <c r="G269" i="4"/>
  <c r="E269" i="4"/>
  <c r="D266" i="4"/>
  <c r="A261" i="4"/>
  <c r="A260" i="4"/>
  <c r="A259" i="4"/>
  <c r="A258" i="4"/>
  <c r="G240" i="4"/>
  <c r="E240" i="4"/>
  <c r="G239" i="4"/>
  <c r="E239" i="4"/>
  <c r="G238" i="4"/>
  <c r="E238" i="4"/>
  <c r="G236" i="4"/>
  <c r="E236" i="4"/>
  <c r="E243" i="4" s="1"/>
  <c r="D233" i="4"/>
  <c r="A228" i="4"/>
  <c r="A227" i="4"/>
  <c r="A226" i="4"/>
  <c r="A225" i="4"/>
  <c r="E210" i="4"/>
  <c r="E220" i="4" s="1"/>
  <c r="E221" i="4" s="1"/>
  <c r="E222" i="4" s="1"/>
  <c r="G207" i="4"/>
  <c r="E207" i="4"/>
  <c r="G206" i="4"/>
  <c r="E206" i="4"/>
  <c r="G204" i="4"/>
  <c r="E204" i="4"/>
  <c r="G203" i="4"/>
  <c r="E203" i="4"/>
  <c r="G202" i="4"/>
  <c r="E202" i="4"/>
  <c r="G201" i="4"/>
  <c r="E201" i="4"/>
  <c r="G199" i="4"/>
  <c r="E199" i="4"/>
  <c r="D196" i="4"/>
  <c r="A191" i="4"/>
  <c r="A190" i="4"/>
  <c r="A189" i="4"/>
  <c r="A188" i="4"/>
  <c r="E183" i="4"/>
  <c r="E184" i="4" s="1"/>
  <c r="E185" i="4" s="1"/>
  <c r="E173" i="4"/>
  <c r="E180" i="4" s="1"/>
  <c r="E181" i="4" s="1"/>
  <c r="G169" i="4"/>
  <c r="E169" i="4"/>
  <c r="G168" i="4"/>
  <c r="E168" i="4"/>
  <c r="G166" i="4"/>
  <c r="E166" i="4"/>
  <c r="G165" i="4"/>
  <c r="E165" i="4"/>
  <c r="G163" i="4"/>
  <c r="E163" i="4"/>
  <c r="D160" i="4"/>
  <c r="A155" i="4"/>
  <c r="A154" i="4"/>
  <c r="A153" i="4"/>
  <c r="A152" i="4"/>
  <c r="E134" i="4"/>
  <c r="E136" i="4" s="1"/>
  <c r="G133" i="4"/>
  <c r="F133" i="4"/>
  <c r="E133" i="4"/>
  <c r="G132" i="4"/>
  <c r="E132" i="4"/>
  <c r="F131" i="4"/>
  <c r="G131" i="4" s="1"/>
  <c r="E131" i="4"/>
  <c r="D128" i="4"/>
  <c r="A123" i="4"/>
  <c r="A122" i="4"/>
  <c r="A121" i="4"/>
  <c r="A120" i="4"/>
  <c r="G102" i="4"/>
  <c r="E102" i="4"/>
  <c r="G101" i="4"/>
  <c r="G105" i="4" s="1"/>
  <c r="E101" i="4"/>
  <c r="E105" i="4" s="1"/>
  <c r="D98" i="4"/>
  <c r="A93" i="4"/>
  <c r="A92" i="4"/>
  <c r="A91" i="4"/>
  <c r="A90" i="4"/>
  <c r="G72" i="4"/>
  <c r="J72" i="4" s="1"/>
  <c r="E72" i="4"/>
  <c r="G71" i="4"/>
  <c r="J71" i="4" s="1"/>
  <c r="E71" i="4"/>
  <c r="G70" i="4"/>
  <c r="E70" i="4"/>
  <c r="G68" i="4"/>
  <c r="G75" i="4" s="1"/>
  <c r="E68" i="4"/>
  <c r="E75" i="4" s="1"/>
  <c r="D65" i="4"/>
  <c r="A60" i="4"/>
  <c r="A59" i="4"/>
  <c r="A58" i="4"/>
  <c r="A57" i="4"/>
  <c r="E44" i="4"/>
  <c r="G44" i="4" s="1"/>
  <c r="F42" i="4"/>
  <c r="G42" i="4" s="1"/>
  <c r="G46" i="4" s="1"/>
  <c r="D42" i="4"/>
  <c r="E42" i="4" s="1"/>
  <c r="E46" i="4" s="1"/>
  <c r="E53" i="4" s="1"/>
  <c r="E54" i="4" s="1"/>
  <c r="D39" i="4"/>
  <c r="A34" i="4"/>
  <c r="A32" i="4"/>
  <c r="A31" i="4"/>
  <c r="E16" i="4"/>
  <c r="G13" i="4"/>
  <c r="E13" i="4"/>
  <c r="G12" i="4"/>
  <c r="E12" i="4"/>
  <c r="E112" i="4" l="1"/>
  <c r="E113" i="4" s="1"/>
  <c r="E115" i="4"/>
  <c r="E116" i="4" s="1"/>
  <c r="E117" i="4" s="1"/>
  <c r="E349" i="4"/>
  <c r="E350" i="4" s="1"/>
  <c r="E352" i="4"/>
  <c r="E353" i="4" s="1"/>
  <c r="E354" i="4" s="1"/>
  <c r="G424" i="4"/>
  <c r="G425" i="4" s="1"/>
  <c r="J12" i="4"/>
  <c r="J102" i="4"/>
  <c r="E250" i="4"/>
  <c r="E251" i="4" s="1"/>
  <c r="E253" i="4"/>
  <c r="E254" i="4" s="1"/>
  <c r="E255" i="4" s="1"/>
  <c r="J132" i="4"/>
  <c r="J207" i="4"/>
  <c r="G112" i="4"/>
  <c r="G113" i="4" s="1"/>
  <c r="G115" i="4"/>
  <c r="J101" i="4"/>
  <c r="J13" i="4"/>
  <c r="J337" i="4"/>
  <c r="E143" i="4"/>
  <c r="E144" i="4" s="1"/>
  <c r="E146" i="4"/>
  <c r="E147" i="4" s="1"/>
  <c r="E148" i="4" s="1"/>
  <c r="G136" i="4"/>
  <c r="J131" i="4"/>
  <c r="G352" i="4"/>
  <c r="G353" i="4" s="1"/>
  <c r="G354" i="4" s="1"/>
  <c r="G349" i="4"/>
  <c r="G350" i="4" s="1"/>
  <c r="E82" i="4"/>
  <c r="E83" i="4" s="1"/>
  <c r="E85" i="4"/>
  <c r="E86" i="4" s="1"/>
  <c r="E87" i="4" s="1"/>
  <c r="J70" i="4"/>
  <c r="G85" i="4"/>
  <c r="G82" i="4"/>
  <c r="G83" i="4" s="1"/>
  <c r="E562" i="4"/>
  <c r="E572" i="4" s="1"/>
  <c r="E573" i="4" s="1"/>
  <c r="J304" i="4"/>
  <c r="G316" i="4"/>
  <c r="G317" i="4" s="1"/>
  <c r="G319" i="4"/>
  <c r="G320" i="4" s="1"/>
  <c r="G321" i="4" s="1"/>
  <c r="G386" i="4"/>
  <c r="G387" i="4" s="1"/>
  <c r="G388" i="4" s="1"/>
  <c r="G383" i="4"/>
  <c r="G384" i="4" s="1"/>
  <c r="J372" i="4"/>
  <c r="G53" i="4"/>
  <c r="G54" i="4" s="1"/>
  <c r="J133" i="4"/>
  <c r="J169" i="4"/>
  <c r="J338" i="4"/>
  <c r="E383" i="4"/>
  <c r="E384" i="4" s="1"/>
  <c r="E386" i="4"/>
  <c r="E387" i="4" s="1"/>
  <c r="E388" i="4" s="1"/>
  <c r="G467" i="4"/>
  <c r="G468" i="4" s="1"/>
  <c r="G16" i="4"/>
  <c r="G134" i="4"/>
  <c r="G210" i="4"/>
  <c r="G276" i="4"/>
  <c r="J368" i="4"/>
  <c r="E217" i="4"/>
  <c r="E218" i="4" s="1"/>
  <c r="J68" i="4"/>
  <c r="G173" i="4"/>
  <c r="J166" i="4" s="1"/>
  <c r="E316" i="4"/>
  <c r="E317" i="4" s="1"/>
  <c r="C519" i="4"/>
  <c r="C567" i="4" s="1"/>
  <c r="E23" i="4"/>
  <c r="E24" i="4" s="1"/>
  <c r="J302" i="4"/>
  <c r="J335" i="4"/>
  <c r="E283" i="4"/>
  <c r="E284" i="4" s="1"/>
  <c r="E26" i="4"/>
  <c r="E27" i="4" s="1"/>
  <c r="E28" i="4" s="1"/>
  <c r="G243" i="4"/>
  <c r="J239" i="4" s="1"/>
  <c r="G220" i="4" l="1"/>
  <c r="G221" i="4" s="1"/>
  <c r="G222" i="4" s="1"/>
  <c r="J203" i="4"/>
  <c r="G217" i="4"/>
  <c r="G218" i="4" s="1"/>
  <c r="J201" i="4"/>
  <c r="J163" i="4"/>
  <c r="J202" i="4"/>
  <c r="J269" i="4"/>
  <c r="G286" i="4"/>
  <c r="G287" i="4" s="1"/>
  <c r="G288" i="4" s="1"/>
  <c r="G283" i="4"/>
  <c r="G284" i="4" s="1"/>
  <c r="G562" i="4"/>
  <c r="G572" i="4" s="1"/>
  <c r="G573" i="4" s="1"/>
  <c r="G26" i="4"/>
  <c r="G27" i="4" s="1"/>
  <c r="G28" i="4" s="1"/>
  <c r="G23" i="4"/>
  <c r="G24" i="4" s="1"/>
  <c r="J206" i="4"/>
  <c r="G250" i="4"/>
  <c r="G251" i="4" s="1"/>
  <c r="J238" i="4"/>
  <c r="G253" i="4"/>
  <c r="G254" i="4" s="1"/>
  <c r="G255" i="4" s="1"/>
  <c r="J168" i="4"/>
  <c r="G180" i="4"/>
  <c r="G181" i="4" s="1"/>
  <c r="J165" i="4"/>
  <c r="G183" i="4"/>
  <c r="G184" i="4" s="1"/>
  <c r="G185" i="4" s="1"/>
  <c r="J240" i="4"/>
  <c r="J272" i="4"/>
  <c r="J271" i="4"/>
  <c r="J199" i="4"/>
  <c r="G116" i="4"/>
  <c r="G117" i="4" s="1"/>
  <c r="J204" i="4"/>
  <c r="G143" i="4"/>
  <c r="G144" i="4" s="1"/>
  <c r="G146" i="4"/>
  <c r="G147" i="4" s="1"/>
  <c r="G148" i="4" s="1"/>
  <c r="G86" i="4"/>
  <c r="G87" i="4" s="1"/>
  <c r="J236" i="4"/>
  <c r="E108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<sst xmlns="http://schemas.openxmlformats.org/spreadsheetml/2006/main" count="622" uniqueCount="154">
  <si>
    <t>#</t>
  </si>
  <si>
    <t>Code</t>
  </si>
  <si>
    <t>Classification</t>
  </si>
  <si>
    <t>Billing Component</t>
  </si>
  <si>
    <t>Billing Units</t>
  </si>
  <si>
    <t>Customer Charge</t>
  </si>
  <si>
    <t>Last Rate Order</t>
  </si>
  <si>
    <t>Proposed</t>
  </si>
  <si>
    <t>Energy Charge per kWh</t>
  </si>
  <si>
    <t>Demand Charge per kW</t>
  </si>
  <si>
    <t>Owen Electric Cooperative</t>
  </si>
  <si>
    <t>Schedule 1-D Farm &amp; Home Inclining Block</t>
  </si>
  <si>
    <t>Schedule 1-Small Commercial</t>
  </si>
  <si>
    <t>Schedule II-Large Power</t>
  </si>
  <si>
    <t>Schedule XI- LPB1</t>
  </si>
  <si>
    <t>ETS Off-Peak</t>
  </si>
  <si>
    <t>Schedule XIV LPB</t>
  </si>
  <si>
    <t>Sched. 2-A Large Power TOD Primary Mtrd</t>
  </si>
  <si>
    <t>Sched. 1-B1 Farm &amp; Home Time-of-Day</t>
  </si>
  <si>
    <t>Sched. 1-B2 Farm &amp; Home Time-of-Day</t>
  </si>
  <si>
    <t>Sched. 1-B3 Farm &amp; Home Time-of-Day</t>
  </si>
  <si>
    <t>Sched NM - Net Metering - Residential</t>
  </si>
  <si>
    <t>Sched NM - Net Metering - Small Commercial</t>
  </si>
  <si>
    <t>Sched NM - Net Metering - Large Commercial</t>
  </si>
  <si>
    <t>Prepay Metering Program</t>
  </si>
  <si>
    <t>Energy Charge per kWh (0-300 kWh)</t>
  </si>
  <si>
    <t>Energy Charge per kWh (301-500 kWh)</t>
  </si>
  <si>
    <t>Energy Charge per kWh (over 500 kWh)</t>
  </si>
  <si>
    <t>Demand Charge Excess per kW</t>
  </si>
  <si>
    <t>Energy Charge per kWh first 425</t>
  </si>
  <si>
    <t>Energy Charge per kWh over 425</t>
  </si>
  <si>
    <t>Energy Charge per kWh On Peak</t>
  </si>
  <si>
    <t>Energy Charge per kWh Off Peak</t>
  </si>
  <si>
    <t>Energy On-Peak per kWh</t>
  </si>
  <si>
    <t>Energy Off-Peak per kWh</t>
  </si>
  <si>
    <t>Energy Shoulder per kWh</t>
  </si>
  <si>
    <t>Energy Delivered per kWh</t>
  </si>
  <si>
    <t>Energy Received per kWh</t>
  </si>
  <si>
    <t>Program Fee</t>
  </si>
  <si>
    <t>Schedule XIII-LPB2</t>
  </si>
  <si>
    <t>Schedule I-Farm and Home</t>
  </si>
  <si>
    <t>Interruptible Credit</t>
  </si>
  <si>
    <t>Adj for kWh paid with Accum Cred</t>
  </si>
  <si>
    <t>Adj for kWh with zero dollar value</t>
  </si>
  <si>
    <t>Increase</t>
  </si>
  <si>
    <t>Percent</t>
  </si>
  <si>
    <t>Schedule II-Large Power - Primary Metered</t>
  </si>
  <si>
    <t xml:space="preserve">Sched. 2-A Large Power TOD  </t>
  </si>
  <si>
    <t>Sched. 1-C Small Commercial TOD</t>
  </si>
  <si>
    <t>BILLING DETERMINANTS</t>
  </si>
  <si>
    <t>OWEN ELECTRIC COOPERATIVE</t>
  </si>
  <si>
    <t>Exhibit J</t>
  </si>
  <si>
    <t>Case No.  2012-00448</t>
  </si>
  <si>
    <t>page  2 of   19</t>
  </si>
  <si>
    <t>Billing Analysis</t>
  </si>
  <si>
    <t>Witness: Alan Zumstein</t>
  </si>
  <si>
    <t>Schedule I - Farm and Home</t>
  </si>
  <si>
    <t>Test</t>
  </si>
  <si>
    <t>Normalized</t>
  </si>
  <si>
    <t>Billing</t>
  </si>
  <si>
    <t>Year</t>
  </si>
  <si>
    <t>Case No. 2010-00507</t>
  </si>
  <si>
    <t>Description</t>
  </si>
  <si>
    <t>Determinants</t>
  </si>
  <si>
    <t>Revenues</t>
  </si>
  <si>
    <t>Rates</t>
  </si>
  <si>
    <t>Energy charge per kWh</t>
  </si>
  <si>
    <t>Total from base rates</t>
  </si>
  <si>
    <t>Fuel adjustment</t>
  </si>
  <si>
    <t>Environmental surcharge</t>
  </si>
  <si>
    <t>Total revenues</t>
  </si>
  <si>
    <t>Amount</t>
  </si>
  <si>
    <t>Average monthly bill</t>
  </si>
  <si>
    <t>page  3 of   19</t>
  </si>
  <si>
    <t>Schedule I-A, Off-Peak Marketing Rate</t>
  </si>
  <si>
    <t>Energy charge</t>
  </si>
  <si>
    <t>page  4 of   19</t>
  </si>
  <si>
    <t>Schedule I-D - Farm and Home - Inclining Block</t>
  </si>
  <si>
    <t xml:space="preserve">    0-300 kwh</t>
  </si>
  <si>
    <t xml:space="preserve">    301-500 kwh</t>
  </si>
  <si>
    <t xml:space="preserve">    Over 500 kwh</t>
  </si>
  <si>
    <t>page  5 of  19</t>
  </si>
  <si>
    <t>Schedule I - Small Commercial</t>
  </si>
  <si>
    <t>page  6 of  19</t>
  </si>
  <si>
    <t>Schedule II - Large Power</t>
  </si>
  <si>
    <t>Demand Charge</t>
  </si>
  <si>
    <t>Primary meter discount</t>
  </si>
  <si>
    <t>page  7 of   19</t>
  </si>
  <si>
    <t>Schedule XI - Large Industrial Rate LPB1</t>
  </si>
  <si>
    <t xml:space="preserve">  Contract demand</t>
  </si>
  <si>
    <t xml:space="preserve">  Excess demand</t>
  </si>
  <si>
    <t xml:space="preserve">  First  425 kwh of billing demand</t>
  </si>
  <si>
    <t xml:space="preserve">  Over 425 kwh of billing demand</t>
  </si>
  <si>
    <t>page  8 of   19</t>
  </si>
  <si>
    <t>Schedule XIII - Large Industrial Rate LPB2</t>
  </si>
  <si>
    <t xml:space="preserve">  Interuptible credit</t>
  </si>
  <si>
    <t>Buy through - net</t>
  </si>
  <si>
    <t>page  9 of  149</t>
  </si>
  <si>
    <t>Schedule XIV - Large industrial Rate LPB</t>
  </si>
  <si>
    <t>page  10  of  19</t>
  </si>
  <si>
    <t>Schedule 2-A - Large Power - Time of Day</t>
  </si>
  <si>
    <t xml:space="preserve">  On-Peak energy</t>
  </si>
  <si>
    <t xml:space="preserve">  Off-Peak energy</t>
  </si>
  <si>
    <t>page  11  of  19</t>
  </si>
  <si>
    <t>Schedule 1-C - Small Commercial - Time of Day</t>
  </si>
  <si>
    <t>page  12  of  19</t>
  </si>
  <si>
    <t>Schedule 2-A - Primary Meter - Time of Day</t>
  </si>
  <si>
    <t>page  13 of  19</t>
  </si>
  <si>
    <t>Schedule 1-B3 - Farm and Home - Time of Day, with Shoulder</t>
  </si>
  <si>
    <t xml:space="preserve">  Shoulder</t>
  </si>
  <si>
    <t>page  14 of  149</t>
  </si>
  <si>
    <t>Schedule III - Security Lights</t>
  </si>
  <si>
    <t>Existing pole, 120V available</t>
  </si>
  <si>
    <t>One pole added</t>
  </si>
  <si>
    <t>Two poles added</t>
  </si>
  <si>
    <t>Three poles added</t>
  </si>
  <si>
    <t>Four poles added</t>
  </si>
  <si>
    <t>Transformer required</t>
  </si>
  <si>
    <t>One pole, transformer required</t>
  </si>
  <si>
    <t>Two poles, transformer required</t>
  </si>
  <si>
    <t>Three poles, transformer required</t>
  </si>
  <si>
    <t>Four poles, transformer required</t>
  </si>
  <si>
    <t xml:space="preserve">  kWh</t>
  </si>
  <si>
    <t>Billing adjustments</t>
  </si>
  <si>
    <t>page  15 of   19</t>
  </si>
  <si>
    <t>Schedule OLS - Outdoor Lighting Service</t>
  </si>
  <si>
    <t>100 Watt, High pressure sodium</t>
  </si>
  <si>
    <t>100 Watt, High pressure sodium, 1 pole</t>
  </si>
  <si>
    <t>Cobrahead Lighting</t>
  </si>
  <si>
    <t xml:space="preserve">    100 Watt HPS</t>
  </si>
  <si>
    <t xml:space="preserve">    100 Watt HPS, 1 pole added</t>
  </si>
  <si>
    <t xml:space="preserve">    250 Watt HPS</t>
  </si>
  <si>
    <t xml:space="preserve">    250 Watt HPS, 1 pole added</t>
  </si>
  <si>
    <t xml:space="preserve">    400 Watt HPS</t>
  </si>
  <si>
    <t xml:space="preserve">    400 Watt HPS, 1 pole added</t>
  </si>
  <si>
    <t>Directional Lighting</t>
  </si>
  <si>
    <t>page  16 of   19</t>
  </si>
  <si>
    <t>Schedule  II SOLS - Special Outdoor Lighting Service</t>
  </si>
  <si>
    <t>Traditional, w/ fiberglass pole</t>
  </si>
  <si>
    <t>Holophane, w/ fiberglass pole</t>
  </si>
  <si>
    <t>page 17  of  19</t>
  </si>
  <si>
    <t>Envirowatts</t>
  </si>
  <si>
    <t>page 18 of  19</t>
  </si>
  <si>
    <t>Net Metering</t>
  </si>
  <si>
    <t>Net metering</t>
  </si>
  <si>
    <t>page 19 of  19</t>
  </si>
  <si>
    <t>Summary</t>
  </si>
  <si>
    <t>Per Form 7</t>
  </si>
  <si>
    <t xml:space="preserve">    Amount</t>
  </si>
  <si>
    <t xml:space="preserve">    Percent</t>
  </si>
  <si>
    <t>Last Rate Order data comes from highlighted tabs from Excel file from last rate case</t>
  </si>
  <si>
    <t>LRO</t>
  </si>
  <si>
    <t>Shares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</si>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</sst>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&quot;$&quot;#,##0.00000_);\(&quot;$&quot;#,##0.00000\)"/>
    <numFmt numFmtId="168" formatCode="#,##0.000_);\(#,##0.000\)"/>
    <numFmt numFmtId="169" formatCode="&quot;$&quot;#,##0.000000_);\(&quot;$&quot;#,##0.00000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u/>
      <sz val="12"/>
      <name val="P-TIMES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43" fontId="3" fillId="0" borderId="0" xfId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3" fillId="0" borderId="0" xfId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4" fillId="0" borderId="2" xfId="0" applyFont="1" applyFill="1" applyBorder="1"/>
    <xf numFmtId="164" fontId="4" fillId="0" borderId="0" xfId="1" applyNumberFormat="1" applyFont="1" applyFill="1"/>
    <xf numFmtId="0" fontId="8" fillId="0" borderId="1" xfId="0" applyFont="1" applyFill="1" applyBorder="1" applyAlignment="1">
      <alignment horizontal="right" wrapText="1"/>
    </xf>
    <xf numFmtId="0" fontId="5" fillId="0" borderId="0" xfId="3" applyAlignment="1">
      <alignment horizontal="centerContinuous"/>
    </xf>
    <xf numFmtId="0" fontId="5" fillId="0" borderId="0" xfId="3" applyAlignment="1">
      <alignment horizontal="right"/>
    </xf>
    <xf numFmtId="0" fontId="5" fillId="0" borderId="0" xfId="3"/>
    <xf numFmtId="0" fontId="5" fillId="2" borderId="0" xfId="3" applyFill="1"/>
    <xf numFmtId="166" fontId="5" fillId="0" borderId="0" xfId="3" applyNumberFormat="1" applyAlignment="1">
      <alignment horizontal="centerContinuous"/>
    </xf>
    <xf numFmtId="0" fontId="5" fillId="0" borderId="3" xfId="3" applyBorder="1"/>
    <xf numFmtId="0" fontId="5" fillId="0" borderId="4" xfId="3" applyBorder="1" applyAlignment="1">
      <alignment horizontal="center"/>
    </xf>
    <xf numFmtId="0" fontId="5" fillId="0" borderId="5" xfId="3" applyBorder="1" applyAlignment="1">
      <alignment horizontal="centerContinuous"/>
    </xf>
    <xf numFmtId="0" fontId="5" fillId="0" borderId="4" xfId="3" applyBorder="1" applyAlignment="1">
      <alignment horizontal="centerContinuous"/>
    </xf>
    <xf numFmtId="0" fontId="5" fillId="0" borderId="5" xfId="3" applyBorder="1"/>
    <xf numFmtId="0" fontId="5" fillId="0" borderId="4" xfId="3" applyBorder="1"/>
    <xf numFmtId="0" fontId="5" fillId="0" borderId="6" xfId="3" applyBorder="1" applyAlignment="1">
      <alignment horizontal="center"/>
    </xf>
    <xf numFmtId="0" fontId="5" fillId="0" borderId="7" xfId="3" applyBorder="1" applyAlignment="1">
      <alignment horizontal="centerContinuous"/>
    </xf>
    <xf numFmtId="0" fontId="5" fillId="0" borderId="8" xfId="3" applyBorder="1" applyAlignment="1">
      <alignment horizontal="centerContinuous"/>
    </xf>
    <xf numFmtId="0" fontId="5" fillId="0" borderId="9" xfId="3" applyBorder="1" applyAlignment="1">
      <alignment horizontal="centerContinuous"/>
    </xf>
    <xf numFmtId="0" fontId="9" fillId="0" borderId="0" xfId="3" applyFont="1" applyAlignment="1">
      <alignment horizontal="center"/>
    </xf>
    <xf numFmtId="0" fontId="5" fillId="0" borderId="10" xfId="3" applyBorder="1" applyAlignment="1">
      <alignment horizontal="center"/>
    </xf>
    <xf numFmtId="0" fontId="5" fillId="0" borderId="8" xfId="3" applyBorder="1" applyAlignment="1">
      <alignment horizontal="center"/>
    </xf>
    <xf numFmtId="0" fontId="5" fillId="0" borderId="11" xfId="3" applyBorder="1" applyAlignment="1">
      <alignment horizontal="center"/>
    </xf>
    <xf numFmtId="0" fontId="5" fillId="2" borderId="8" xfId="3" applyFill="1" applyBorder="1" applyAlignment="1">
      <alignment horizontal="center"/>
    </xf>
    <xf numFmtId="37" fontId="5" fillId="0" borderId="0" xfId="3" applyNumberFormat="1"/>
    <xf numFmtId="5" fontId="5" fillId="0" borderId="0" xfId="3" applyNumberFormat="1"/>
    <xf numFmtId="7" fontId="5" fillId="0" borderId="0" xfId="3" applyNumberFormat="1"/>
    <xf numFmtId="7" fontId="10" fillId="0" borderId="0" xfId="3" applyNumberFormat="1" applyFont="1"/>
    <xf numFmtId="10" fontId="0" fillId="2" borderId="0" xfId="4" applyNumberFormat="1" applyFont="1" applyFill="1"/>
    <xf numFmtId="167" fontId="5" fillId="0" borderId="0" xfId="3" applyNumberFormat="1"/>
    <xf numFmtId="167" fontId="10" fillId="0" borderId="0" xfId="3" applyNumberFormat="1" applyFont="1"/>
    <xf numFmtId="37" fontId="5" fillId="0" borderId="8" xfId="3" applyNumberFormat="1" applyBorder="1"/>
    <xf numFmtId="5" fontId="5" fillId="0" borderId="12" xfId="3" applyNumberFormat="1" applyBorder="1"/>
    <xf numFmtId="165" fontId="5" fillId="0" borderId="0" xfId="3" applyNumberFormat="1"/>
    <xf numFmtId="7" fontId="10" fillId="3" borderId="0" xfId="3" applyNumberFormat="1" applyFont="1" applyFill="1"/>
    <xf numFmtId="168" fontId="5" fillId="0" borderId="0" xfId="3" applyNumberFormat="1"/>
    <xf numFmtId="167" fontId="10" fillId="3" borderId="0" xfId="3" applyNumberFormat="1" applyFont="1" applyFill="1"/>
    <xf numFmtId="37" fontId="5" fillId="0" borderId="12" xfId="3" applyNumberFormat="1" applyBorder="1"/>
    <xf numFmtId="169" fontId="5" fillId="0" borderId="0" xfId="3" applyNumberFormat="1"/>
    <xf numFmtId="169" fontId="10" fillId="3" borderId="0" xfId="3" applyNumberFormat="1" applyFont="1" applyFill="1"/>
    <xf numFmtId="169" fontId="10" fillId="0" borderId="0" xfId="3" applyNumberFormat="1" applyFont="1"/>
    <xf numFmtId="10" fontId="5" fillId="0" borderId="0" xfId="3" applyNumberFormat="1"/>
    <xf numFmtId="10" fontId="5" fillId="0" borderId="0" xfId="3" applyNumberFormat="1" applyAlignment="1">
      <alignment horizontal="right"/>
    </xf>
    <xf numFmtId="166" fontId="5" fillId="0" borderId="0" xfId="3" applyNumberFormat="1"/>
    <xf numFmtId="0" fontId="5" fillId="0" borderId="0" xfId="3" applyAlignment="1">
      <alignment horizontal="center"/>
    </xf>
    <xf numFmtId="38" fontId="5" fillId="0" borderId="0" xfId="3" applyNumberFormat="1"/>
    <xf numFmtId="0" fontId="4" fillId="0" borderId="0" xfId="0" applyFont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3" applyAlignment="1">
      <alignment horizontal="center"/>
    </xf>
    <xf numFmtId="166" fontId="5" fillId="0" borderId="0" xfId="3" applyNumberFormat="1" applyAlignment="1">
      <alignment horizontal="center"/>
    </xf>
    <xf numFmtId="0" fontId="10" fillId="4" borderId="0" xfId="3" applyFont="1" applyFill="1" applyAlignment="1">
      <alignment horizontal="center"/>
    </xf>
    <xf numFmtId="0" fontId="10" fillId="2" borderId="0" xfId="3" applyFont="1" applyFill="1" applyAlignment="1">
      <alignment horizontal="centerContinuous"/>
    </xf>
  </cellXfs>
  <cellStyles count="5">
    <cellStyle name="Comma" xfId="1" builtinId="3"/>
    <cellStyle name="Normal" xfId="0" builtinId="0"/>
    <cellStyle name="Normal 2" xfId="2" xr:uid="{07BB8BC8-C5A2-4D23-8181-BEF9162D0260}"/>
    <cellStyle name="Normal 2 2" xfId="3" xr:uid="{C9D1529C-2A68-4361-964F-3196B242D172}"/>
    <cellStyle name="Percent 2" xfId="4" xr:uid="{2AB08B8B-5BDE-47AB-8FC8-B3F1BB8D4CCD}"/>
  </cellStyles>
  <dxfs count="0"/>
  <tableStyles count="0" defaultTableStyle="TableStyleMedium2" defaultPivotStyle="PivotStyleLight16"/>
  <colors>
    <mruColors>
      <color rgb="FF0000FF"/>
      <color rgb="FFFFFFCC"/>
      <color rgb="FFF76353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sheetPr>
    <tabColor rgb="FFFFFF00"/>
  </sheetPr>
  <dimension ref="A1:F110"/>
  <sheetViews>
    <sheetView tabSelected="1" view="pageBreakPreview" zoomScale="75" zoomScaleNormal="65" zoomScaleSheetLayoutView="75" workbookViewId="0">
      <pane xSplit="4" ySplit="5" topLeftCell="E15" activePane="bottomRight" state="frozen"/>
      <selection activeCell="B17" sqref="B17"/>
      <selection pane="topRight" activeCell="B17" sqref="B17"/>
      <selection pane="bottomLeft" activeCell="B17" sqref="B17"/>
      <selection pane="bottomRight" activeCell="D94" sqref="D94"/>
    </sheetView>
  </sheetViews>
  <sheetFormatPr defaultRowHeight="13.2"/>
  <cols>
    <col min="1" max="1" width="7.44140625" style="2" customWidth="1"/>
    <col min="2" max="2" width="22" style="1" customWidth="1"/>
    <col min="3" max="3" width="8.109375" style="5" customWidth="1"/>
    <col min="4" max="4" width="38.21875" style="1" customWidth="1"/>
    <col min="5" max="6" width="14.44140625" style="17" customWidth="1"/>
    <col min="7" max="16384" width="8.88671875" style="1"/>
  </cols>
  <sheetData>
    <row r="1" spans="1:6">
      <c r="A1" s="13" t="s">
        <v>50</v>
      </c>
    </row>
    <row r="2" spans="1:6" ht="14.4" customHeight="1">
      <c r="A2" s="13" t="s">
        <v>49</v>
      </c>
    </row>
    <row r="4" spans="1:6">
      <c r="D4" s="11"/>
    </row>
    <row r="5" spans="1:6" ht="38.4" customHeight="1">
      <c r="A5" s="6" t="s">
        <v>0</v>
      </c>
      <c r="B5" s="6" t="s">
        <v>2</v>
      </c>
      <c r="C5" s="3" t="s">
        <v>1</v>
      </c>
      <c r="D5" s="6" t="s">
        <v>3</v>
      </c>
      <c r="E5" s="18" t="s">
        <v>4</v>
      </c>
      <c r="F5" s="22" t="s">
        <v>6</v>
      </c>
    </row>
    <row r="6" spans="1:6" ht="30.6" customHeight="1" thickBot="1">
      <c r="A6" s="14"/>
      <c r="B6" s="7"/>
      <c r="C6" s="8"/>
      <c r="D6" s="7"/>
      <c r="E6" s="19"/>
      <c r="F6" s="19"/>
    </row>
    <row r="7" spans="1:6" ht="16.2" customHeight="1">
      <c r="A7" s="15">
        <v>1</v>
      </c>
      <c r="B7" s="69" t="s">
        <v>40</v>
      </c>
      <c r="C7" s="10">
        <v>1</v>
      </c>
      <c r="D7" s="9"/>
      <c r="E7" s="20"/>
      <c r="F7" s="20"/>
    </row>
    <row r="8" spans="1:6">
      <c r="A8" s="15">
        <f>A7+1</f>
        <v>2</v>
      </c>
      <c r="B8" s="70"/>
      <c r="D8" s="1" t="s">
        <v>5</v>
      </c>
      <c r="E8" s="21">
        <v>682887</v>
      </c>
      <c r="F8" s="21">
        <v>652370</v>
      </c>
    </row>
    <row r="9" spans="1:6">
      <c r="A9" s="15">
        <f t="shared" ref="A9:A72" si="0">A8+1</f>
        <v>3</v>
      </c>
      <c r="B9" s="4"/>
      <c r="D9" s="1" t="s">
        <v>8</v>
      </c>
      <c r="E9" s="21">
        <v>776374674</v>
      </c>
      <c r="F9" s="21">
        <v>712659575</v>
      </c>
    </row>
    <row r="10" spans="1:6" ht="13.8" thickBot="1">
      <c r="A10" s="15">
        <f t="shared" si="0"/>
        <v>4</v>
      </c>
    </row>
    <row r="11" spans="1:6">
      <c r="A11" s="15">
        <f t="shared" si="0"/>
        <v>5</v>
      </c>
      <c r="B11" s="69" t="s">
        <v>11</v>
      </c>
      <c r="C11" s="10">
        <v>2</v>
      </c>
      <c r="D11" s="9"/>
      <c r="E11" s="20"/>
      <c r="F11" s="20"/>
    </row>
    <row r="12" spans="1:6">
      <c r="A12" s="15">
        <f t="shared" si="0"/>
        <v>6</v>
      </c>
      <c r="B12" s="70"/>
      <c r="D12" s="1" t="s">
        <v>5</v>
      </c>
      <c r="E12" s="21">
        <v>17977</v>
      </c>
      <c r="F12" s="21">
        <v>53</v>
      </c>
    </row>
    <row r="13" spans="1:6">
      <c r="A13" s="15">
        <f t="shared" si="0"/>
        <v>7</v>
      </c>
      <c r="B13" s="4"/>
      <c r="D13" s="1" t="s">
        <v>25</v>
      </c>
      <c r="E13" s="21">
        <v>2303785</v>
      </c>
      <c r="F13" s="21">
        <v>10153</v>
      </c>
    </row>
    <row r="14" spans="1:6">
      <c r="A14" s="15">
        <f t="shared" si="0"/>
        <v>8</v>
      </c>
      <c r="B14" s="4"/>
      <c r="D14" s="1" t="s">
        <v>26</v>
      </c>
      <c r="E14" s="21">
        <v>682926</v>
      </c>
      <c r="F14" s="21">
        <v>3041</v>
      </c>
    </row>
    <row r="15" spans="1:6">
      <c r="A15" s="15">
        <f t="shared" si="0"/>
        <v>9</v>
      </c>
      <c r="B15" s="4"/>
      <c r="D15" s="1" t="s">
        <v>27</v>
      </c>
      <c r="E15" s="21">
        <v>695278</v>
      </c>
      <c r="F15" s="21">
        <v>266</v>
      </c>
    </row>
    <row r="16" spans="1:6" ht="13.8" thickBot="1">
      <c r="A16" s="15">
        <f t="shared" si="0"/>
        <v>10</v>
      </c>
    </row>
    <row r="17" spans="1:6">
      <c r="A17" s="15">
        <f t="shared" si="0"/>
        <v>11</v>
      </c>
      <c r="B17" s="69" t="s">
        <v>12</v>
      </c>
      <c r="C17" s="10">
        <v>3</v>
      </c>
      <c r="D17" s="9"/>
      <c r="E17" s="20"/>
      <c r="F17" s="20"/>
    </row>
    <row r="18" spans="1:6">
      <c r="A18" s="15">
        <f t="shared" si="0"/>
        <v>12</v>
      </c>
      <c r="B18" s="70"/>
      <c r="D18" s="1" t="s">
        <v>5</v>
      </c>
      <c r="E18" s="21">
        <v>32181</v>
      </c>
      <c r="F18" s="21">
        <v>28830</v>
      </c>
    </row>
    <row r="19" spans="1:6">
      <c r="A19" s="15">
        <f t="shared" si="0"/>
        <v>13</v>
      </c>
      <c r="B19" s="4"/>
      <c r="D19" s="1" t="s">
        <v>8</v>
      </c>
      <c r="E19" s="21">
        <v>52185080</v>
      </c>
      <c r="F19" s="21">
        <v>52757480</v>
      </c>
    </row>
    <row r="20" spans="1:6" ht="13.8" thickBot="1">
      <c r="A20" s="15">
        <f t="shared" si="0"/>
        <v>14</v>
      </c>
    </row>
    <row r="21" spans="1:6">
      <c r="A21" s="15">
        <f t="shared" si="0"/>
        <v>15</v>
      </c>
      <c r="B21" s="69" t="s">
        <v>13</v>
      </c>
      <c r="C21" s="10">
        <v>4</v>
      </c>
      <c r="D21" s="9"/>
      <c r="E21" s="20"/>
      <c r="F21" s="20"/>
    </row>
    <row r="22" spans="1:6">
      <c r="A22" s="15">
        <f t="shared" si="0"/>
        <v>16</v>
      </c>
      <c r="B22" s="70"/>
      <c r="D22" s="1" t="s">
        <v>5</v>
      </c>
      <c r="E22" s="21">
        <v>3650</v>
      </c>
      <c r="F22" s="21">
        <v>3005</v>
      </c>
    </row>
    <row r="23" spans="1:6">
      <c r="A23" s="15">
        <f t="shared" si="0"/>
        <v>17</v>
      </c>
      <c r="B23" s="4"/>
      <c r="D23" s="1" t="s">
        <v>8</v>
      </c>
      <c r="E23" s="21">
        <v>201435841</v>
      </c>
      <c r="F23" s="21">
        <v>194191663</v>
      </c>
    </row>
    <row r="24" spans="1:6">
      <c r="A24" s="15">
        <f t="shared" si="0"/>
        <v>18</v>
      </c>
      <c r="B24" s="4"/>
      <c r="D24" s="1" t="s">
        <v>9</v>
      </c>
      <c r="E24" s="21">
        <v>592940.78200000001</v>
      </c>
      <c r="F24" s="21">
        <v>582414.44200000004</v>
      </c>
    </row>
    <row r="25" spans="1:6" ht="13.8" thickBot="1">
      <c r="A25" s="15">
        <f t="shared" si="0"/>
        <v>19</v>
      </c>
    </row>
    <row r="26" spans="1:6" ht="16.2" customHeight="1">
      <c r="A26" s="15">
        <f t="shared" si="0"/>
        <v>20</v>
      </c>
      <c r="B26" s="69" t="s">
        <v>46</v>
      </c>
      <c r="C26" s="10">
        <v>5</v>
      </c>
      <c r="D26" s="9"/>
      <c r="E26" s="20"/>
      <c r="F26" s="20"/>
    </row>
    <row r="27" spans="1:6">
      <c r="A27" s="15">
        <f t="shared" si="0"/>
        <v>21</v>
      </c>
      <c r="B27" s="70"/>
      <c r="D27" s="1" t="s">
        <v>5</v>
      </c>
      <c r="E27" s="21">
        <v>108</v>
      </c>
      <c r="F27" s="21">
        <v>0</v>
      </c>
    </row>
    <row r="28" spans="1:6">
      <c r="A28" s="15">
        <f t="shared" si="0"/>
        <v>22</v>
      </c>
      <c r="B28" s="4"/>
      <c r="D28" s="1" t="s">
        <v>8</v>
      </c>
      <c r="E28" s="21">
        <v>17722800</v>
      </c>
      <c r="F28" s="21">
        <v>0</v>
      </c>
    </row>
    <row r="29" spans="1:6">
      <c r="A29" s="15">
        <f t="shared" si="0"/>
        <v>23</v>
      </c>
      <c r="B29" s="4"/>
      <c r="D29" s="1" t="s">
        <v>9</v>
      </c>
      <c r="E29" s="21">
        <v>57122</v>
      </c>
      <c r="F29" s="21">
        <v>0</v>
      </c>
    </row>
    <row r="30" spans="1:6" ht="13.8" thickBot="1">
      <c r="A30" s="15">
        <f t="shared" si="0"/>
        <v>24</v>
      </c>
    </row>
    <row r="31" spans="1:6">
      <c r="A31" s="15">
        <f t="shared" si="0"/>
        <v>25</v>
      </c>
      <c r="B31" s="9" t="s">
        <v>14</v>
      </c>
      <c r="C31" s="10">
        <v>9</v>
      </c>
      <c r="D31" s="9"/>
      <c r="E31" s="20"/>
      <c r="F31" s="20"/>
    </row>
    <row r="32" spans="1:6">
      <c r="A32" s="15">
        <f t="shared" si="0"/>
        <v>26</v>
      </c>
      <c r="D32" s="1" t="s">
        <v>5</v>
      </c>
      <c r="E32" s="21">
        <v>137</v>
      </c>
      <c r="F32" s="21">
        <v>132</v>
      </c>
    </row>
    <row r="33" spans="1:6">
      <c r="A33" s="15">
        <f t="shared" si="0"/>
        <v>27</v>
      </c>
      <c r="B33" s="4"/>
      <c r="D33" s="1" t="s">
        <v>29</v>
      </c>
      <c r="E33" s="21">
        <v>104640049</v>
      </c>
      <c r="F33" s="21">
        <v>86390076</v>
      </c>
    </row>
    <row r="34" spans="1:6">
      <c r="A34" s="15">
        <f t="shared" si="0"/>
        <v>28</v>
      </c>
      <c r="B34" s="4"/>
      <c r="D34" s="1" t="s">
        <v>30</v>
      </c>
      <c r="E34" s="21">
        <v>17956205</v>
      </c>
      <c r="F34" s="21">
        <v>16014576</v>
      </c>
    </row>
    <row r="35" spans="1:6">
      <c r="A35" s="15">
        <f t="shared" si="0"/>
        <v>29</v>
      </c>
      <c r="B35" s="4"/>
      <c r="D35" s="1" t="s">
        <v>9</v>
      </c>
      <c r="E35" s="21">
        <v>227830</v>
      </c>
      <c r="F35" s="21">
        <v>187698</v>
      </c>
    </row>
    <row r="36" spans="1:6">
      <c r="A36" s="15">
        <f t="shared" si="0"/>
        <v>30</v>
      </c>
      <c r="B36" s="4"/>
      <c r="D36" s="1" t="s">
        <v>28</v>
      </c>
      <c r="E36" s="21">
        <v>19914</v>
      </c>
      <c r="F36" s="21">
        <v>18950</v>
      </c>
    </row>
    <row r="37" spans="1:6" ht="13.8" thickBot="1">
      <c r="A37" s="15">
        <f t="shared" si="0"/>
        <v>31</v>
      </c>
    </row>
    <row r="38" spans="1:6">
      <c r="A38" s="15">
        <f t="shared" si="0"/>
        <v>32</v>
      </c>
      <c r="B38" s="9" t="s">
        <v>15</v>
      </c>
      <c r="C38" s="10">
        <v>10</v>
      </c>
      <c r="D38" s="9"/>
      <c r="E38" s="20"/>
      <c r="F38" s="20"/>
    </row>
    <row r="39" spans="1:6">
      <c r="A39" s="15">
        <f t="shared" si="0"/>
        <v>33</v>
      </c>
      <c r="D39" s="1" t="s">
        <v>5</v>
      </c>
      <c r="E39" s="21">
        <v>42</v>
      </c>
      <c r="F39" s="21">
        <v>0</v>
      </c>
    </row>
    <row r="40" spans="1:6">
      <c r="A40" s="15">
        <f t="shared" si="0"/>
        <v>34</v>
      </c>
      <c r="B40" s="4"/>
      <c r="D40" s="1" t="s">
        <v>8</v>
      </c>
      <c r="E40" s="21">
        <v>15134</v>
      </c>
      <c r="F40" s="21">
        <v>0</v>
      </c>
    </row>
    <row r="41" spans="1:6" ht="13.8" thickBot="1">
      <c r="A41" s="15">
        <f t="shared" si="0"/>
        <v>35</v>
      </c>
    </row>
    <row r="42" spans="1:6">
      <c r="A42" s="15">
        <f t="shared" si="0"/>
        <v>36</v>
      </c>
      <c r="B42" s="9" t="s">
        <v>16</v>
      </c>
      <c r="C42" s="10">
        <v>12</v>
      </c>
      <c r="D42" s="9"/>
      <c r="E42" s="20"/>
      <c r="F42" s="20"/>
    </row>
    <row r="43" spans="1:6">
      <c r="A43" s="15">
        <f t="shared" si="0"/>
        <v>37</v>
      </c>
      <c r="D43" s="1" t="s">
        <v>5</v>
      </c>
      <c r="E43" s="21">
        <v>30</v>
      </c>
      <c r="F43" s="21">
        <v>12</v>
      </c>
    </row>
    <row r="44" spans="1:6">
      <c r="A44" s="15">
        <f t="shared" si="0"/>
        <v>38</v>
      </c>
      <c r="B44" s="4"/>
      <c r="D44" s="1" t="s">
        <v>8</v>
      </c>
      <c r="E44" s="21">
        <v>13946344</v>
      </c>
      <c r="F44" s="21">
        <v>3186093</v>
      </c>
    </row>
    <row r="45" spans="1:6">
      <c r="A45" s="15">
        <f t="shared" si="0"/>
        <v>39</v>
      </c>
      <c r="B45" s="4"/>
      <c r="D45" s="1" t="s">
        <v>9</v>
      </c>
      <c r="E45" s="21">
        <v>29100</v>
      </c>
      <c r="F45" s="21">
        <v>6551.2</v>
      </c>
    </row>
    <row r="46" spans="1:6">
      <c r="A46" s="15">
        <f t="shared" si="0"/>
        <v>40</v>
      </c>
      <c r="B46" s="4"/>
      <c r="D46" s="1" t="s">
        <v>28</v>
      </c>
      <c r="E46" s="21">
        <v>98</v>
      </c>
      <c r="F46" s="21">
        <v>2783</v>
      </c>
    </row>
    <row r="47" spans="1:6" ht="13.8" thickBot="1">
      <c r="A47" s="15">
        <f t="shared" si="0"/>
        <v>41</v>
      </c>
    </row>
    <row r="48" spans="1:6" ht="16.2" customHeight="1">
      <c r="A48" s="15">
        <f t="shared" si="0"/>
        <v>42</v>
      </c>
      <c r="B48" s="9" t="s">
        <v>39</v>
      </c>
      <c r="C48" s="10">
        <v>13</v>
      </c>
      <c r="D48" s="9"/>
      <c r="E48" s="20"/>
      <c r="F48" s="20"/>
    </row>
    <row r="49" spans="1:6">
      <c r="A49" s="15">
        <f t="shared" si="0"/>
        <v>43</v>
      </c>
      <c r="C49" s="12"/>
      <c r="D49" s="1" t="s">
        <v>5</v>
      </c>
      <c r="E49" s="21">
        <v>24</v>
      </c>
      <c r="F49" s="21">
        <v>24</v>
      </c>
    </row>
    <row r="50" spans="1:6">
      <c r="A50" s="15">
        <f t="shared" si="0"/>
        <v>44</v>
      </c>
      <c r="B50" s="4"/>
      <c r="C50" s="12"/>
      <c r="D50" s="1" t="s">
        <v>29</v>
      </c>
      <c r="E50" s="21">
        <v>127022300</v>
      </c>
      <c r="F50" s="21">
        <v>89451875</v>
      </c>
    </row>
    <row r="51" spans="1:6">
      <c r="A51" s="15">
        <f t="shared" si="0"/>
        <v>45</v>
      </c>
      <c r="B51" s="4"/>
      <c r="C51" s="12"/>
      <c r="D51" s="1" t="s">
        <v>30</v>
      </c>
      <c r="E51" s="21">
        <v>44894967</v>
      </c>
      <c r="F51" s="21">
        <v>28557006</v>
      </c>
    </row>
    <row r="52" spans="1:6">
      <c r="A52" s="15">
        <f t="shared" si="0"/>
        <v>46</v>
      </c>
      <c r="B52" s="4"/>
      <c r="C52" s="12"/>
      <c r="D52" s="1" t="s">
        <v>9</v>
      </c>
      <c r="E52" s="21">
        <v>270000</v>
      </c>
      <c r="F52" s="21">
        <v>210000</v>
      </c>
    </row>
    <row r="53" spans="1:6">
      <c r="A53" s="15">
        <f t="shared" si="0"/>
        <v>47</v>
      </c>
      <c r="B53" s="16"/>
      <c r="C53" s="12"/>
      <c r="D53" s="1" t="s">
        <v>28</v>
      </c>
      <c r="E53" s="21">
        <v>28876</v>
      </c>
      <c r="F53" s="21">
        <v>475</v>
      </c>
    </row>
    <row r="54" spans="1:6">
      <c r="A54" s="15">
        <f t="shared" si="0"/>
        <v>48</v>
      </c>
      <c r="B54" s="4"/>
      <c r="C54" s="12"/>
      <c r="D54" s="1" t="s">
        <v>41</v>
      </c>
      <c r="E54" s="21">
        <v>216813</v>
      </c>
      <c r="F54" s="21">
        <v>127495</v>
      </c>
    </row>
    <row r="55" spans="1:6" ht="13.8" thickBot="1">
      <c r="A55" s="15">
        <f t="shared" si="0"/>
        <v>49</v>
      </c>
    </row>
    <row r="56" spans="1:6">
      <c r="A56" s="15">
        <f t="shared" si="0"/>
        <v>50</v>
      </c>
      <c r="B56" s="69" t="s">
        <v>47</v>
      </c>
      <c r="C56" s="10">
        <v>20</v>
      </c>
      <c r="D56" s="9"/>
      <c r="E56" s="20"/>
      <c r="F56" s="20"/>
    </row>
    <row r="57" spans="1:6">
      <c r="A57" s="15">
        <f t="shared" si="0"/>
        <v>51</v>
      </c>
      <c r="B57" s="70"/>
      <c r="D57" s="1" t="s">
        <v>5</v>
      </c>
      <c r="E57" s="21">
        <v>115</v>
      </c>
      <c r="F57" s="21">
        <v>133</v>
      </c>
    </row>
    <row r="58" spans="1:6">
      <c r="A58" s="15">
        <f t="shared" si="0"/>
        <v>52</v>
      </c>
      <c r="B58" s="4"/>
      <c r="D58" s="1" t="s">
        <v>31</v>
      </c>
      <c r="E58" s="21">
        <v>1111040</v>
      </c>
      <c r="F58" s="21">
        <v>1668352</v>
      </c>
    </row>
    <row r="59" spans="1:6">
      <c r="A59" s="15">
        <f t="shared" si="0"/>
        <v>53</v>
      </c>
      <c r="B59" s="4"/>
      <c r="D59" s="1" t="s">
        <v>32</v>
      </c>
      <c r="E59" s="21">
        <v>873820</v>
      </c>
      <c r="F59" s="21">
        <v>1171284</v>
      </c>
    </row>
    <row r="60" spans="1:6" ht="13.8" thickBot="1">
      <c r="A60" s="15">
        <f t="shared" si="0"/>
        <v>54</v>
      </c>
    </row>
    <row r="61" spans="1:6">
      <c r="A61" s="15">
        <f t="shared" si="0"/>
        <v>55</v>
      </c>
      <c r="B61" s="69" t="s">
        <v>48</v>
      </c>
      <c r="C61" s="10">
        <v>22</v>
      </c>
      <c r="D61" s="9"/>
      <c r="E61" s="20"/>
      <c r="F61" s="20"/>
    </row>
    <row r="62" spans="1:6">
      <c r="A62" s="15">
        <f t="shared" si="0"/>
        <v>56</v>
      </c>
      <c r="B62" s="70"/>
      <c r="D62" s="1" t="s">
        <v>5</v>
      </c>
      <c r="E62" s="21">
        <v>425</v>
      </c>
      <c r="F62" s="21">
        <v>18</v>
      </c>
    </row>
    <row r="63" spans="1:6">
      <c r="A63" s="15">
        <f t="shared" si="0"/>
        <v>57</v>
      </c>
      <c r="B63" s="4"/>
      <c r="D63" s="1" t="s">
        <v>31</v>
      </c>
      <c r="E63" s="21">
        <v>801068</v>
      </c>
      <c r="F63" s="21">
        <v>31872</v>
      </c>
    </row>
    <row r="64" spans="1:6">
      <c r="A64" s="15">
        <f t="shared" si="0"/>
        <v>58</v>
      </c>
      <c r="B64" s="4"/>
      <c r="D64" s="1" t="s">
        <v>32</v>
      </c>
      <c r="E64" s="21">
        <v>870638</v>
      </c>
      <c r="F64" s="21">
        <v>27168</v>
      </c>
    </row>
    <row r="65" spans="1:6" ht="13.8" thickBot="1">
      <c r="A65" s="15">
        <f t="shared" si="0"/>
        <v>59</v>
      </c>
    </row>
    <row r="66" spans="1:6">
      <c r="A66" s="15">
        <f t="shared" si="0"/>
        <v>60</v>
      </c>
      <c r="B66" s="69" t="s">
        <v>17</v>
      </c>
      <c r="C66" s="10">
        <v>24</v>
      </c>
      <c r="D66" s="9"/>
      <c r="E66" s="20"/>
      <c r="F66" s="20"/>
    </row>
    <row r="67" spans="1:6">
      <c r="A67" s="15">
        <f t="shared" si="0"/>
        <v>61</v>
      </c>
      <c r="B67" s="70"/>
      <c r="D67" s="1" t="s">
        <v>5</v>
      </c>
      <c r="E67" s="21">
        <v>24</v>
      </c>
      <c r="F67" s="21">
        <v>18</v>
      </c>
    </row>
    <row r="68" spans="1:6">
      <c r="A68" s="15">
        <f t="shared" si="0"/>
        <v>62</v>
      </c>
      <c r="B68" s="4"/>
      <c r="D68" s="1" t="s">
        <v>31</v>
      </c>
      <c r="E68" s="21">
        <v>1389600</v>
      </c>
      <c r="F68" s="21">
        <v>1230000</v>
      </c>
    </row>
    <row r="69" spans="1:6">
      <c r="A69" s="15">
        <f t="shared" si="0"/>
        <v>63</v>
      </c>
      <c r="B69" s="4"/>
      <c r="D69" s="1" t="s">
        <v>32</v>
      </c>
      <c r="E69" s="21">
        <v>1488000</v>
      </c>
      <c r="F69" s="21">
        <v>500400</v>
      </c>
    </row>
    <row r="70" spans="1:6" ht="13.8" thickBot="1">
      <c r="A70" s="15">
        <f t="shared" si="0"/>
        <v>64</v>
      </c>
    </row>
    <row r="71" spans="1:6" ht="16.2" customHeight="1">
      <c r="A71" s="15">
        <f t="shared" si="0"/>
        <v>65</v>
      </c>
      <c r="B71" s="69" t="s">
        <v>18</v>
      </c>
      <c r="C71" s="10">
        <v>31</v>
      </c>
      <c r="D71" s="9"/>
      <c r="E71" s="20"/>
      <c r="F71" s="20"/>
    </row>
    <row r="72" spans="1:6">
      <c r="A72" s="15">
        <f t="shared" si="0"/>
        <v>66</v>
      </c>
      <c r="B72" s="70"/>
      <c r="D72" s="1" t="s">
        <v>5</v>
      </c>
      <c r="E72" s="21">
        <v>51</v>
      </c>
      <c r="F72" s="21">
        <v>0</v>
      </c>
    </row>
    <row r="73" spans="1:6">
      <c r="A73" s="15">
        <f t="shared" ref="A73:A109" si="1">A72+1</f>
        <v>67</v>
      </c>
      <c r="B73" s="4"/>
      <c r="D73" s="1" t="s">
        <v>31</v>
      </c>
      <c r="E73" s="21">
        <v>22018</v>
      </c>
      <c r="F73" s="21">
        <v>0</v>
      </c>
    </row>
    <row r="74" spans="1:6">
      <c r="A74" s="15">
        <f t="shared" si="1"/>
        <v>68</v>
      </c>
      <c r="B74" s="4"/>
      <c r="D74" s="1" t="s">
        <v>32</v>
      </c>
      <c r="E74" s="21">
        <v>45161</v>
      </c>
      <c r="F74" s="21">
        <v>0</v>
      </c>
    </row>
    <row r="75" spans="1:6" ht="13.8" thickBot="1">
      <c r="A75" s="15">
        <f t="shared" si="1"/>
        <v>69</v>
      </c>
    </row>
    <row r="76" spans="1:6">
      <c r="A76" s="15">
        <f t="shared" si="1"/>
        <v>70</v>
      </c>
      <c r="B76" s="69" t="s">
        <v>19</v>
      </c>
      <c r="C76" s="10">
        <v>33</v>
      </c>
      <c r="D76" s="9"/>
      <c r="E76" s="20"/>
      <c r="F76" s="20"/>
    </row>
    <row r="77" spans="1:6">
      <c r="A77" s="15">
        <f t="shared" si="1"/>
        <v>71</v>
      </c>
      <c r="B77" s="70"/>
      <c r="D77" s="1" t="s">
        <v>5</v>
      </c>
      <c r="E77" s="21">
        <v>26</v>
      </c>
      <c r="F77" s="21">
        <v>0</v>
      </c>
    </row>
    <row r="78" spans="1:6">
      <c r="A78" s="15">
        <f t="shared" si="1"/>
        <v>72</v>
      </c>
      <c r="B78" s="4"/>
      <c r="D78" s="1" t="s">
        <v>31</v>
      </c>
      <c r="E78" s="21">
        <v>12305</v>
      </c>
      <c r="F78" s="21">
        <v>0</v>
      </c>
    </row>
    <row r="79" spans="1:6">
      <c r="A79" s="15">
        <f t="shared" si="1"/>
        <v>73</v>
      </c>
      <c r="B79" s="4"/>
      <c r="D79" s="1" t="s">
        <v>32</v>
      </c>
      <c r="E79" s="21">
        <v>16965</v>
      </c>
      <c r="F79" s="21">
        <v>0</v>
      </c>
    </row>
    <row r="80" spans="1:6" ht="13.8" thickBot="1">
      <c r="A80" s="15">
        <f t="shared" si="1"/>
        <v>74</v>
      </c>
    </row>
    <row r="81" spans="1:6">
      <c r="A81" s="15">
        <f t="shared" si="1"/>
        <v>75</v>
      </c>
      <c r="B81" s="69" t="s">
        <v>20</v>
      </c>
      <c r="C81" s="10">
        <v>35</v>
      </c>
      <c r="D81" s="9"/>
      <c r="E81" s="20"/>
      <c r="F81" s="20"/>
    </row>
    <row r="82" spans="1:6">
      <c r="A82" s="15">
        <f t="shared" si="1"/>
        <v>76</v>
      </c>
      <c r="B82" s="70"/>
      <c r="D82" s="1" t="s">
        <v>5</v>
      </c>
      <c r="E82" s="21">
        <v>84</v>
      </c>
      <c r="F82" s="21">
        <v>2</v>
      </c>
    </row>
    <row r="83" spans="1:6">
      <c r="A83" s="15">
        <f t="shared" si="1"/>
        <v>77</v>
      </c>
      <c r="B83" s="4"/>
      <c r="D83" s="1" t="s">
        <v>33</v>
      </c>
      <c r="E83" s="21">
        <v>52734</v>
      </c>
      <c r="F83" s="21">
        <v>1378</v>
      </c>
    </row>
    <row r="84" spans="1:6">
      <c r="A84" s="15">
        <f t="shared" si="1"/>
        <v>78</v>
      </c>
      <c r="B84" s="4"/>
      <c r="D84" s="1" t="s">
        <v>34</v>
      </c>
      <c r="E84" s="21">
        <v>49276</v>
      </c>
      <c r="F84" s="21">
        <v>796</v>
      </c>
    </row>
    <row r="85" spans="1:6">
      <c r="A85" s="15">
        <f t="shared" si="1"/>
        <v>79</v>
      </c>
      <c r="B85" s="4"/>
      <c r="D85" s="1" t="s">
        <v>35</v>
      </c>
      <c r="E85" s="21">
        <v>43464</v>
      </c>
      <c r="F85" s="21">
        <v>980</v>
      </c>
    </row>
    <row r="86" spans="1:6" ht="13.8" thickBot="1">
      <c r="A86" s="15">
        <f t="shared" si="1"/>
        <v>80</v>
      </c>
    </row>
    <row r="87" spans="1:6">
      <c r="A87" s="15">
        <f t="shared" si="1"/>
        <v>81</v>
      </c>
      <c r="B87" s="69" t="s">
        <v>21</v>
      </c>
      <c r="C87" s="10">
        <v>40</v>
      </c>
      <c r="D87" s="9"/>
      <c r="E87" s="20"/>
      <c r="F87" s="20"/>
    </row>
    <row r="88" spans="1:6">
      <c r="A88" s="15">
        <f t="shared" si="1"/>
        <v>82</v>
      </c>
      <c r="B88" s="70"/>
      <c r="D88" s="1" t="s">
        <v>5</v>
      </c>
      <c r="E88" s="21">
        <v>313</v>
      </c>
      <c r="F88" s="21">
        <v>0</v>
      </c>
    </row>
    <row r="89" spans="1:6">
      <c r="A89" s="15">
        <f t="shared" si="1"/>
        <v>83</v>
      </c>
      <c r="B89" s="4"/>
      <c r="D89" s="1" t="s">
        <v>36</v>
      </c>
      <c r="E89" s="21">
        <v>342646</v>
      </c>
      <c r="F89" s="21">
        <v>0</v>
      </c>
    </row>
    <row r="90" spans="1:6">
      <c r="A90" s="15">
        <f t="shared" si="1"/>
        <v>84</v>
      </c>
      <c r="B90" s="4"/>
      <c r="D90" s="1" t="s">
        <v>37</v>
      </c>
      <c r="E90" s="21">
        <v>139475</v>
      </c>
      <c r="F90" s="21">
        <v>0</v>
      </c>
    </row>
    <row r="91" spans="1:6" ht="13.8" thickBot="1">
      <c r="A91" s="15">
        <f t="shared" si="1"/>
        <v>85</v>
      </c>
    </row>
    <row r="92" spans="1:6" ht="16.2" customHeight="1">
      <c r="A92" s="15">
        <f t="shared" si="1"/>
        <v>86</v>
      </c>
      <c r="B92" s="69" t="s">
        <v>22</v>
      </c>
      <c r="C92" s="10">
        <v>46</v>
      </c>
      <c r="D92" s="9"/>
      <c r="E92" s="20"/>
      <c r="F92" s="20"/>
    </row>
    <row r="93" spans="1:6">
      <c r="A93" s="15">
        <f t="shared" si="1"/>
        <v>87</v>
      </c>
      <c r="B93" s="70"/>
      <c r="D93" s="1" t="s">
        <v>5</v>
      </c>
      <c r="E93" s="21">
        <v>12</v>
      </c>
      <c r="F93" s="21">
        <v>0</v>
      </c>
    </row>
    <row r="94" spans="1:6">
      <c r="A94" s="15">
        <f t="shared" si="1"/>
        <v>88</v>
      </c>
      <c r="B94" s="4"/>
      <c r="D94" s="1" t="s">
        <v>36</v>
      </c>
      <c r="E94" s="21">
        <v>18846</v>
      </c>
      <c r="F94" s="21">
        <v>0</v>
      </c>
    </row>
    <row r="95" spans="1:6">
      <c r="A95" s="15">
        <f t="shared" si="1"/>
        <v>89</v>
      </c>
      <c r="B95" s="4"/>
      <c r="D95" s="1" t="s">
        <v>37</v>
      </c>
      <c r="E95" s="21">
        <v>11993</v>
      </c>
      <c r="F95" s="21">
        <v>0</v>
      </c>
    </row>
    <row r="96" spans="1:6">
      <c r="A96" s="15">
        <f t="shared" si="1"/>
        <v>90</v>
      </c>
      <c r="B96" s="4"/>
      <c r="D96" s="1" t="s">
        <v>42</v>
      </c>
      <c r="E96" s="21">
        <v>16176</v>
      </c>
      <c r="F96" s="21">
        <v>0</v>
      </c>
    </row>
    <row r="97" spans="1:6">
      <c r="A97" s="15">
        <f t="shared" si="1"/>
        <v>91</v>
      </c>
      <c r="B97" s="4"/>
      <c r="D97" s="1" t="s">
        <v>43</v>
      </c>
      <c r="E97" s="21">
        <v>10668</v>
      </c>
      <c r="F97" s="21">
        <v>0</v>
      </c>
    </row>
    <row r="98" spans="1:6" ht="13.8" thickBot="1">
      <c r="A98" s="15">
        <f t="shared" si="1"/>
        <v>92</v>
      </c>
    </row>
    <row r="99" spans="1:6">
      <c r="A99" s="15">
        <f t="shared" si="1"/>
        <v>93</v>
      </c>
      <c r="B99" s="69" t="s">
        <v>23</v>
      </c>
      <c r="C99" s="10">
        <v>50</v>
      </c>
      <c r="D99" s="9"/>
      <c r="E99" s="20"/>
      <c r="F99" s="20"/>
    </row>
    <row r="100" spans="1:6">
      <c r="A100" s="15">
        <f t="shared" si="1"/>
        <v>94</v>
      </c>
      <c r="B100" s="70"/>
      <c r="D100" s="1" t="s">
        <v>5</v>
      </c>
      <c r="E100" s="21">
        <v>24</v>
      </c>
      <c r="F100" s="21">
        <v>0</v>
      </c>
    </row>
    <row r="101" spans="1:6">
      <c r="A101" s="15">
        <f t="shared" si="1"/>
        <v>95</v>
      </c>
      <c r="B101" s="4"/>
      <c r="D101" s="1" t="s">
        <v>9</v>
      </c>
      <c r="E101" s="21">
        <v>2094</v>
      </c>
      <c r="F101" s="21">
        <v>0</v>
      </c>
    </row>
    <row r="102" spans="1:6">
      <c r="A102" s="15">
        <f t="shared" si="1"/>
        <v>96</v>
      </c>
      <c r="B102" s="4"/>
      <c r="D102" s="1" t="s">
        <v>36</v>
      </c>
      <c r="E102" s="21">
        <v>505240</v>
      </c>
      <c r="F102" s="21">
        <v>0</v>
      </c>
    </row>
    <row r="103" spans="1:6">
      <c r="A103" s="15">
        <f t="shared" si="1"/>
        <v>97</v>
      </c>
      <c r="B103" s="4"/>
      <c r="D103" s="1" t="s">
        <v>37</v>
      </c>
      <c r="E103" s="21">
        <v>77760</v>
      </c>
      <c r="F103" s="21">
        <v>0</v>
      </c>
    </row>
    <row r="104" spans="1:6" ht="13.8" thickBot="1">
      <c r="A104" s="15">
        <f t="shared" si="1"/>
        <v>98</v>
      </c>
    </row>
    <row r="105" spans="1:6">
      <c r="A105" s="15">
        <f t="shared" si="1"/>
        <v>99</v>
      </c>
      <c r="B105" s="9" t="s">
        <v>24</v>
      </c>
      <c r="C105" s="10">
        <v>60</v>
      </c>
      <c r="D105" s="9"/>
      <c r="E105" s="20"/>
      <c r="F105" s="20"/>
    </row>
    <row r="106" spans="1:6">
      <c r="A106" s="15">
        <f t="shared" si="1"/>
        <v>100</v>
      </c>
      <c r="D106" s="1" t="s">
        <v>5</v>
      </c>
      <c r="E106" s="21">
        <v>5894</v>
      </c>
      <c r="F106" s="21">
        <v>0</v>
      </c>
    </row>
    <row r="107" spans="1:6">
      <c r="A107" s="15">
        <f t="shared" si="1"/>
        <v>101</v>
      </c>
      <c r="B107" s="4"/>
      <c r="D107" s="1" t="s">
        <v>8</v>
      </c>
      <c r="E107" s="21">
        <v>7482209</v>
      </c>
      <c r="F107" s="21">
        <v>0</v>
      </c>
    </row>
    <row r="108" spans="1:6">
      <c r="A108" s="15">
        <f t="shared" si="1"/>
        <v>102</v>
      </c>
      <c r="B108" s="4"/>
      <c r="D108" s="1" t="s">
        <v>38</v>
      </c>
      <c r="E108" s="21">
        <f>E106</f>
        <v>5894</v>
      </c>
      <c r="F108" s="21">
        <v>0</v>
      </c>
    </row>
    <row r="109" spans="1:6">
      <c r="A109" s="15">
        <f t="shared" si="1"/>
        <v>103</v>
      </c>
    </row>
    <row r="110" spans="1:6" s="68" customFormat="1">
      <c r="A110" s="65"/>
      <c r="B110" s="66" t="s">
        <v>150</v>
      </c>
      <c r="C110" s="67"/>
      <c r="D110" s="66"/>
      <c r="E110" s="66"/>
    </row>
  </sheetData>
  <mergeCells count="14">
    <mergeCell ref="B87:B88"/>
    <mergeCell ref="B92:B93"/>
    <mergeCell ref="B99:B100"/>
    <mergeCell ref="B61:B62"/>
    <mergeCell ref="B11:B12"/>
    <mergeCell ref="B26:B27"/>
    <mergeCell ref="B66:B67"/>
    <mergeCell ref="B71:B72"/>
    <mergeCell ref="B76:B77"/>
    <mergeCell ref="B81:B82"/>
    <mergeCell ref="B7:B8"/>
    <mergeCell ref="B17:B18"/>
    <mergeCell ref="B21:B22"/>
    <mergeCell ref="B56:B57"/>
  </mergeCells>
  <phoneticPr fontId="6" type="noConversion"/>
  <printOptions horizontalCentered="1"/>
  <pageMargins left="0.7" right="0.7" top="0.75" bottom="0.75" header="0.3" footer="0.3"/>
  <pageSetup scale="78" fitToHeight="2" orientation="portrait" r:id="rId1"/>
  <headerFooter>
    <oddHeader>&amp;R&amp;"Arial,Bold"&amp;10Exhibit 3
Page &amp;P of &amp;N</oddHeader>
  </headerFooter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A85A3-A28C-41FF-8F25-92862D35DCBB}">
  <sheetPr transitionEvaluation="1">
    <tabColor rgb="FFFFFF00"/>
  </sheetPr>
  <dimension ref="A1:J575"/>
  <sheetViews>
    <sheetView defaultGridColor="0" colorId="22" zoomScale="87" zoomScaleNormal="87" workbookViewId="0">
      <selection activeCell="G4" sqref="G4"/>
    </sheetView>
  </sheetViews>
  <sheetFormatPr defaultColWidth="10.6640625" defaultRowHeight="13.8"/>
  <cols>
    <col min="1" max="1" width="38.5546875" style="25" customWidth="1"/>
    <col min="2" max="2" width="16.21875" style="25" customWidth="1"/>
    <col min="3" max="3" width="14.44140625" style="25" customWidth="1"/>
    <col min="4" max="4" width="11.88671875" style="25" customWidth="1"/>
    <col min="5" max="5" width="14.44140625" style="25" customWidth="1"/>
    <col min="6" max="6" width="11.88671875" style="25" customWidth="1"/>
    <col min="7" max="7" width="16" style="25" customWidth="1"/>
    <col min="8" max="9" width="10.6640625" style="25"/>
    <col min="10" max="10" width="10.6640625" style="26"/>
    <col min="11" max="16384" width="10.6640625" style="25"/>
  </cols>
  <sheetData>
    <row r="1" spans="1:10">
      <c r="A1" s="23" t="s">
        <v>10</v>
      </c>
      <c r="B1" s="23"/>
      <c r="C1" s="23"/>
      <c r="D1" s="23"/>
      <c r="E1" s="23"/>
      <c r="F1" s="23"/>
      <c r="G1" s="24" t="s">
        <v>51</v>
      </c>
    </row>
    <row r="2" spans="1:10">
      <c r="A2" s="23" t="s">
        <v>52</v>
      </c>
      <c r="B2" s="23"/>
      <c r="C2" s="23"/>
      <c r="D2" s="23"/>
      <c r="E2" s="23"/>
      <c r="F2" s="23"/>
      <c r="G2" s="24" t="s">
        <v>53</v>
      </c>
    </row>
    <row r="3" spans="1:10">
      <c r="A3" s="23" t="s">
        <v>54</v>
      </c>
      <c r="B3" s="23"/>
      <c r="C3" s="23"/>
      <c r="D3" s="23"/>
      <c r="E3" s="23"/>
      <c r="F3" s="23"/>
      <c r="G3" s="24" t="s">
        <v>55</v>
      </c>
      <c r="J3" s="73" t="s">
        <v>151</v>
      </c>
    </row>
    <row r="4" spans="1:10">
      <c r="A4" s="27">
        <v>41090</v>
      </c>
      <c r="B4" s="23"/>
      <c r="C4" s="23"/>
      <c r="D4" s="23"/>
      <c r="E4" s="23"/>
      <c r="F4" s="23"/>
      <c r="J4" s="73" t="s">
        <v>152</v>
      </c>
    </row>
    <row r="5" spans="1:10">
      <c r="A5" s="23"/>
      <c r="B5" s="23"/>
      <c r="C5" s="23"/>
      <c r="D5" s="23"/>
      <c r="E5" s="23"/>
      <c r="F5" s="23"/>
    </row>
    <row r="6" spans="1:10">
      <c r="A6" s="23" t="s">
        <v>56</v>
      </c>
      <c r="B6" s="23"/>
      <c r="C6" s="23"/>
      <c r="D6" s="23"/>
      <c r="E6" s="23"/>
      <c r="F6" s="74" t="s">
        <v>153</v>
      </c>
    </row>
    <row r="8" spans="1:10" ht="20.100000000000001" customHeight="1">
      <c r="B8" s="28"/>
      <c r="C8" s="29" t="s">
        <v>57</v>
      </c>
      <c r="D8" s="30" t="s">
        <v>58</v>
      </c>
      <c r="E8" s="31"/>
      <c r="F8" s="32"/>
      <c r="G8" s="33"/>
    </row>
    <row r="9" spans="1:10" ht="20.100000000000001" customHeight="1">
      <c r="B9" s="34" t="s">
        <v>59</v>
      </c>
      <c r="C9" s="35" t="s">
        <v>60</v>
      </c>
      <c r="D9" s="36" t="s">
        <v>61</v>
      </c>
      <c r="E9" s="37"/>
      <c r="F9" s="36" t="s">
        <v>7</v>
      </c>
      <c r="G9" s="37"/>
    </row>
    <row r="10" spans="1:10" ht="20.100000000000001" customHeight="1">
      <c r="A10" s="38" t="s">
        <v>62</v>
      </c>
      <c r="B10" s="39" t="s">
        <v>63</v>
      </c>
      <c r="C10" s="39" t="s">
        <v>64</v>
      </c>
      <c r="D10" s="40" t="s">
        <v>65</v>
      </c>
      <c r="E10" s="41" t="s">
        <v>64</v>
      </c>
      <c r="F10" s="42" t="s">
        <v>65</v>
      </c>
      <c r="G10" s="41" t="s">
        <v>64</v>
      </c>
    </row>
    <row r="11" spans="1:10" ht="20.100000000000001" customHeight="1"/>
    <row r="12" spans="1:10" ht="20.100000000000001" customHeight="1">
      <c r="A12" s="25" t="s">
        <v>5</v>
      </c>
      <c r="B12" s="43">
        <v>652370</v>
      </c>
      <c r="C12" s="44">
        <v>9263650</v>
      </c>
      <c r="D12" s="45">
        <v>14.2</v>
      </c>
      <c r="E12" s="44">
        <f>($B12*D12)</f>
        <v>9263654</v>
      </c>
      <c r="F12" s="46">
        <v>20</v>
      </c>
      <c r="G12" s="44">
        <f>($B12*F12)</f>
        <v>13047400</v>
      </c>
      <c r="J12" s="47">
        <f>G12/G16</f>
        <v>0.1773724825008394</v>
      </c>
    </row>
    <row r="13" spans="1:10" ht="20.100000000000001" customHeight="1">
      <c r="A13" s="25" t="s">
        <v>66</v>
      </c>
      <c r="B13" s="43">
        <v>712659575</v>
      </c>
      <c r="C13" s="43">
        <v>60896760.683749996</v>
      </c>
      <c r="D13" s="48">
        <v>8.5449999999999998E-2</v>
      </c>
      <c r="E13" s="43">
        <f>($B13*D13)</f>
        <v>60896760.683749996</v>
      </c>
      <c r="F13" s="49">
        <v>8.4909999999999999E-2</v>
      </c>
      <c r="G13" s="43">
        <f>($B13*F13)</f>
        <v>60511924.513250001</v>
      </c>
      <c r="J13" s="47">
        <f>G13/G16</f>
        <v>0.82262751749916074</v>
      </c>
    </row>
    <row r="14" spans="1:10" ht="20.100000000000001" customHeight="1">
      <c r="B14" s="43"/>
      <c r="C14" s="50"/>
      <c r="E14" s="50"/>
      <c r="G14" s="50"/>
    </row>
    <row r="15" spans="1:10" ht="20.100000000000001" customHeight="1">
      <c r="E15" s="43"/>
      <c r="G15" s="43"/>
    </row>
    <row r="16" spans="1:10" ht="20.100000000000001" customHeight="1" thickBot="1">
      <c r="A16" s="25" t="s">
        <v>67</v>
      </c>
      <c r="B16" s="43"/>
      <c r="C16" s="43">
        <v>70160410.683750004</v>
      </c>
      <c r="E16" s="51">
        <f>SUM(E12:E14)</f>
        <v>70160414.683750004</v>
      </c>
      <c r="G16" s="51">
        <f>SUM(G11:G14)</f>
        <v>73559324.513249993</v>
      </c>
    </row>
    <row r="17" spans="1:7" ht="14.4" thickTop="1">
      <c r="B17" s="43"/>
      <c r="E17" s="43"/>
      <c r="G17" s="43"/>
    </row>
    <row r="18" spans="1:7">
      <c r="A18" s="25" t="s">
        <v>68</v>
      </c>
      <c r="B18" s="43"/>
      <c r="C18" s="43">
        <v>-930952</v>
      </c>
      <c r="E18" s="43"/>
      <c r="G18" s="43"/>
    </row>
    <row r="19" spans="1:7">
      <c r="A19" s="25" t="s">
        <v>69</v>
      </c>
      <c r="B19" s="43"/>
      <c r="C19" s="50">
        <v>5886258</v>
      </c>
      <c r="E19" s="43"/>
      <c r="G19" s="43"/>
    </row>
    <row r="20" spans="1:7">
      <c r="B20" s="43"/>
      <c r="E20" s="43"/>
      <c r="G20" s="43"/>
    </row>
    <row r="21" spans="1:7" ht="14.4" thickBot="1">
      <c r="A21" s="25" t="s">
        <v>70</v>
      </c>
      <c r="B21" s="43"/>
      <c r="C21" s="51">
        <v>75115716.683750004</v>
      </c>
    </row>
    <row r="22" spans="1:7" ht="14.4" thickTop="1">
      <c r="E22" s="43"/>
      <c r="G22" s="43"/>
    </row>
    <row r="23" spans="1:7">
      <c r="A23" s="25" t="s">
        <v>71</v>
      </c>
      <c r="B23" s="43"/>
      <c r="E23" s="44">
        <f>(E16-C16)</f>
        <v>4</v>
      </c>
      <c r="G23" s="44">
        <f>G16-E16</f>
        <v>3398909.8294999897</v>
      </c>
    </row>
    <row r="24" spans="1:7">
      <c r="A24" s="25" t="s">
        <v>45</v>
      </c>
      <c r="E24" s="52">
        <f>(E23/C16)</f>
        <v>5.7012209036661867E-8</v>
      </c>
      <c r="F24" s="52"/>
      <c r="G24" s="52">
        <f>(G23/E16)</f>
        <v>4.8444836662107388E-2</v>
      </c>
    </row>
    <row r="26" spans="1:7">
      <c r="A26" s="25" t="s">
        <v>72</v>
      </c>
      <c r="C26" s="45">
        <v>107.5469605955976</v>
      </c>
      <c r="D26" s="45"/>
      <c r="E26" s="45">
        <f>E16/$B12</f>
        <v>107.54696672708739</v>
      </c>
      <c r="F26" s="45"/>
      <c r="G26" s="45">
        <f>G16/$B12</f>
        <v>112.75706196368624</v>
      </c>
    </row>
    <row r="27" spans="1:7">
      <c r="A27" s="25" t="s">
        <v>71</v>
      </c>
      <c r="E27" s="45">
        <f>E26-C26</f>
        <v>6.1314897976672E-6</v>
      </c>
      <c r="G27" s="45">
        <f>G26-E26</f>
        <v>5.2100952365988462</v>
      </c>
    </row>
    <row r="28" spans="1:7">
      <c r="A28" s="25" t="s">
        <v>45</v>
      </c>
      <c r="E28" s="52">
        <f>E27/C26</f>
        <v>5.7012209026743899E-8</v>
      </c>
      <c r="G28" s="52">
        <f>G27/E26</f>
        <v>4.8444836662107381E-2</v>
      </c>
    </row>
    <row r="31" spans="1:7">
      <c r="A31" s="23" t="str">
        <f>A1</f>
        <v>Owen Electric Cooperative</v>
      </c>
      <c r="B31" s="23"/>
      <c r="C31" s="23"/>
      <c r="D31" s="23"/>
      <c r="E31" s="23"/>
      <c r="F31" s="23"/>
      <c r="G31" s="24" t="s">
        <v>51</v>
      </c>
    </row>
    <row r="32" spans="1:7">
      <c r="A32" s="23" t="str">
        <f>A2</f>
        <v>Case No.  2012-00448</v>
      </c>
      <c r="B32" s="23"/>
      <c r="C32" s="23"/>
      <c r="D32" s="23"/>
      <c r="E32" s="23"/>
      <c r="F32" s="23"/>
      <c r="G32" s="24" t="s">
        <v>73</v>
      </c>
    </row>
    <row r="33" spans="1:7">
      <c r="A33" s="23" t="s">
        <v>54</v>
      </c>
      <c r="B33" s="23"/>
      <c r="C33" s="23"/>
      <c r="D33" s="23"/>
      <c r="E33" s="23"/>
      <c r="F33" s="23"/>
      <c r="G33" s="24" t="s">
        <v>55</v>
      </c>
    </row>
    <row r="34" spans="1:7">
      <c r="A34" s="27">
        <f>A4</f>
        <v>41090</v>
      </c>
      <c r="B34" s="23"/>
      <c r="C34" s="23"/>
      <c r="D34" s="23"/>
      <c r="E34" s="23"/>
      <c r="F34" s="23"/>
    </row>
    <row r="35" spans="1:7">
      <c r="A35" s="23"/>
      <c r="B35" s="23"/>
      <c r="C35" s="23"/>
      <c r="D35" s="23"/>
      <c r="E35" s="23"/>
      <c r="F35" s="23"/>
      <c r="G35" s="43"/>
    </row>
    <row r="36" spans="1:7">
      <c r="A36" s="23" t="s">
        <v>74</v>
      </c>
      <c r="B36" s="23"/>
      <c r="C36" s="23"/>
      <c r="D36" s="23"/>
      <c r="E36" s="23"/>
      <c r="F36" s="23"/>
    </row>
    <row r="38" spans="1:7">
      <c r="B38" s="28"/>
      <c r="C38" s="29" t="s">
        <v>57</v>
      </c>
      <c r="D38" s="30" t="s">
        <v>58</v>
      </c>
      <c r="E38" s="31"/>
      <c r="F38" s="32"/>
      <c r="G38" s="33"/>
    </row>
    <row r="39" spans="1:7" ht="20.100000000000001" customHeight="1">
      <c r="B39" s="34" t="s">
        <v>59</v>
      </c>
      <c r="C39" s="35" t="s">
        <v>60</v>
      </c>
      <c r="D39" s="36" t="str">
        <f>+D9</f>
        <v>Case No. 2010-00507</v>
      </c>
      <c r="E39" s="37"/>
      <c r="F39" s="36" t="s">
        <v>7</v>
      </c>
      <c r="G39" s="37"/>
    </row>
    <row r="40" spans="1:7" ht="20.100000000000001" customHeight="1">
      <c r="A40" s="38" t="s">
        <v>62</v>
      </c>
      <c r="B40" s="39" t="s">
        <v>63</v>
      </c>
      <c r="C40" s="39" t="s">
        <v>64</v>
      </c>
      <c r="D40" s="40" t="s">
        <v>65</v>
      </c>
      <c r="E40" s="41" t="s">
        <v>64</v>
      </c>
      <c r="F40" s="40" t="s">
        <v>65</v>
      </c>
      <c r="G40" s="41" t="s">
        <v>64</v>
      </c>
    </row>
    <row r="41" spans="1:7" ht="20.100000000000001" customHeight="1"/>
    <row r="42" spans="1:7" ht="20.100000000000001" customHeight="1">
      <c r="A42" s="25" t="s">
        <v>75</v>
      </c>
      <c r="B42" s="43">
        <v>17062</v>
      </c>
      <c r="C42" s="43">
        <v>874.76873999999998</v>
      </c>
      <c r="D42" s="48">
        <f>(+D13-(+D13*0.4))</f>
        <v>5.1269999999999996E-2</v>
      </c>
      <c r="E42" s="43">
        <f>($B42*D42)</f>
        <v>874.76873999999998</v>
      </c>
      <c r="F42" s="49">
        <f>ROUND((+F13*0.6),5)</f>
        <v>5.0950000000000002E-2</v>
      </c>
      <c r="G42" s="43">
        <f>($B42*F42)</f>
        <v>869.30889999999999</v>
      </c>
    </row>
    <row r="43" spans="1:7" ht="20.100000000000001" customHeight="1">
      <c r="B43" s="43"/>
      <c r="D43" s="45"/>
      <c r="G43" s="43"/>
    </row>
    <row r="44" spans="1:7" ht="20.100000000000001" customHeight="1">
      <c r="B44" s="43"/>
      <c r="C44" s="50"/>
      <c r="E44" s="50">
        <f>C44</f>
        <v>0</v>
      </c>
      <c r="G44" s="50">
        <f>E44</f>
        <v>0</v>
      </c>
    </row>
    <row r="45" spans="1:7" ht="20.100000000000001" customHeight="1">
      <c r="E45" s="43"/>
      <c r="G45" s="43"/>
    </row>
    <row r="46" spans="1:7" ht="20.100000000000001" customHeight="1" thickBot="1">
      <c r="A46" s="25" t="s">
        <v>67</v>
      </c>
      <c r="B46" s="43"/>
      <c r="C46" s="43">
        <v>874.76873999999998</v>
      </c>
      <c r="E46" s="51">
        <f>SUM(E42:E44)</f>
        <v>874.76873999999998</v>
      </c>
      <c r="G46" s="51">
        <f>SUM(G41:G44)</f>
        <v>869.30889999999999</v>
      </c>
    </row>
    <row r="47" spans="1:7" ht="14.4" thickTop="1">
      <c r="B47" s="43"/>
      <c r="E47" s="43"/>
      <c r="G47" s="43"/>
    </row>
    <row r="48" spans="1:7">
      <c r="A48" s="25" t="s">
        <v>68</v>
      </c>
      <c r="B48" s="43"/>
      <c r="C48" s="43">
        <v>8</v>
      </c>
      <c r="E48" s="43"/>
      <c r="G48" s="43"/>
    </row>
    <row r="49" spans="1:7">
      <c r="A49" s="25" t="s">
        <v>69</v>
      </c>
      <c r="B49" s="43"/>
      <c r="C49" s="50">
        <v>71</v>
      </c>
      <c r="E49" s="43"/>
      <c r="G49" s="43"/>
    </row>
    <row r="50" spans="1:7">
      <c r="B50" s="43"/>
      <c r="E50" s="43"/>
      <c r="G50" s="43"/>
    </row>
    <row r="51" spans="1:7" ht="14.4" thickBot="1">
      <c r="A51" s="25" t="s">
        <v>70</v>
      </c>
      <c r="B51" s="43"/>
      <c r="C51" s="51">
        <v>953.76873999999998</v>
      </c>
    </row>
    <row r="52" spans="1:7" ht="14.4" thickTop="1">
      <c r="E52" s="43"/>
      <c r="G52" s="43"/>
    </row>
    <row r="53" spans="1:7">
      <c r="A53" s="25" t="s">
        <v>71</v>
      </c>
      <c r="B53" s="43"/>
      <c r="E53" s="44">
        <f>(E46-C46)</f>
        <v>0</v>
      </c>
      <c r="G53" s="44">
        <f>G46-E46</f>
        <v>-5.4598399999999856</v>
      </c>
    </row>
    <row r="54" spans="1:7">
      <c r="A54" s="25" t="s">
        <v>45</v>
      </c>
      <c r="E54" s="52">
        <f>(E53/C46)</f>
        <v>0</v>
      </c>
      <c r="F54" s="52"/>
      <c r="G54" s="52">
        <f>(G53/E46)</f>
        <v>-6.2414667446849849E-3</v>
      </c>
    </row>
    <row r="57" spans="1:7">
      <c r="A57" s="23" t="str">
        <f>+A1</f>
        <v>Owen Electric Cooperative</v>
      </c>
      <c r="B57" s="23"/>
      <c r="C57" s="23"/>
      <c r="D57" s="23"/>
      <c r="E57" s="23"/>
      <c r="F57" s="23"/>
      <c r="G57" s="24" t="s">
        <v>51</v>
      </c>
    </row>
    <row r="58" spans="1:7">
      <c r="A58" s="23" t="str">
        <f>+A2</f>
        <v>Case No.  2012-00448</v>
      </c>
      <c r="B58" s="23"/>
      <c r="C58" s="23"/>
      <c r="D58" s="23"/>
      <c r="E58" s="23"/>
      <c r="F58" s="23"/>
      <c r="G58" s="24" t="s">
        <v>76</v>
      </c>
    </row>
    <row r="59" spans="1:7">
      <c r="A59" s="23" t="str">
        <f>+A3</f>
        <v>Billing Analysis</v>
      </c>
      <c r="B59" s="23"/>
      <c r="C59" s="23"/>
      <c r="D59" s="23"/>
      <c r="E59" s="23"/>
      <c r="F59" s="23"/>
      <c r="G59" s="24" t="s">
        <v>55</v>
      </c>
    </row>
    <row r="60" spans="1:7">
      <c r="A60" s="27">
        <f>+A4</f>
        <v>41090</v>
      </c>
      <c r="B60" s="23"/>
      <c r="C60" s="23"/>
      <c r="D60" s="23"/>
      <c r="E60" s="23"/>
      <c r="F60" s="23"/>
    </row>
    <row r="61" spans="1:7">
      <c r="A61" s="23"/>
      <c r="B61" s="23"/>
      <c r="C61" s="23"/>
      <c r="D61" s="23"/>
      <c r="E61" s="23"/>
      <c r="F61" s="23"/>
    </row>
    <row r="62" spans="1:7">
      <c r="A62" s="23" t="s">
        <v>77</v>
      </c>
      <c r="B62" s="23"/>
      <c r="C62" s="23"/>
      <c r="D62" s="23"/>
      <c r="E62" s="23"/>
      <c r="F62" s="23"/>
    </row>
    <row r="64" spans="1:7">
      <c r="B64" s="28"/>
      <c r="C64" s="29" t="s">
        <v>57</v>
      </c>
      <c r="D64" s="30" t="s">
        <v>58</v>
      </c>
      <c r="E64" s="31"/>
      <c r="F64" s="32"/>
      <c r="G64" s="33"/>
    </row>
    <row r="65" spans="1:10">
      <c r="B65" s="34" t="s">
        <v>59</v>
      </c>
      <c r="C65" s="35" t="s">
        <v>60</v>
      </c>
      <c r="D65" s="36" t="str">
        <f>+D9</f>
        <v>Case No. 2010-00507</v>
      </c>
      <c r="E65" s="37"/>
      <c r="F65" s="36" t="s">
        <v>7</v>
      </c>
      <c r="G65" s="37"/>
    </row>
    <row r="66" spans="1:10" ht="15">
      <c r="A66" s="38" t="s">
        <v>62</v>
      </c>
      <c r="B66" s="39" t="s">
        <v>63</v>
      </c>
      <c r="C66" s="39" t="s">
        <v>64</v>
      </c>
      <c r="D66" s="40" t="s">
        <v>65</v>
      </c>
      <c r="E66" s="41" t="s">
        <v>64</v>
      </c>
      <c r="F66" s="40" t="s">
        <v>65</v>
      </c>
      <c r="G66" s="41" t="s">
        <v>64</v>
      </c>
    </row>
    <row r="68" spans="1:10" ht="14.4">
      <c r="A68" s="25" t="s">
        <v>5</v>
      </c>
      <c r="B68" s="43">
        <v>53</v>
      </c>
      <c r="C68" s="44">
        <v>836.33999999999992</v>
      </c>
      <c r="D68" s="45">
        <v>15.78</v>
      </c>
      <c r="E68" s="44">
        <f>($B68*D68)</f>
        <v>836.33999999999992</v>
      </c>
      <c r="F68" s="46">
        <v>15.78</v>
      </c>
      <c r="G68" s="44">
        <f>($B68*F68)</f>
        <v>836.33999999999992</v>
      </c>
      <c r="J68" s="47">
        <f>G68/G75</f>
        <v>0.45618516424580452</v>
      </c>
    </row>
    <row r="69" spans="1:10" ht="14.4">
      <c r="A69" s="25" t="s">
        <v>66</v>
      </c>
      <c r="B69" s="43"/>
      <c r="C69" s="44"/>
      <c r="D69" s="45"/>
      <c r="E69" s="44"/>
      <c r="F69" s="45"/>
      <c r="G69" s="44"/>
      <c r="J69" s="47"/>
    </row>
    <row r="70" spans="1:10" ht="14.4">
      <c r="A70" s="25" t="s">
        <v>78</v>
      </c>
      <c r="B70" s="43">
        <v>10153</v>
      </c>
      <c r="C70" s="43">
        <v>640.5527699999999</v>
      </c>
      <c r="D70" s="48">
        <v>6.3089999999999993E-2</v>
      </c>
      <c r="E70" s="43">
        <f>($B70*D70)</f>
        <v>640.5527699999999</v>
      </c>
      <c r="F70" s="49">
        <v>6.7949999999999997E-2</v>
      </c>
      <c r="G70" s="43">
        <f>($B70*F70)</f>
        <v>689.89634999999998</v>
      </c>
      <c r="J70" s="47">
        <f>G70/G75</f>
        <v>0.37630686053199786</v>
      </c>
    </row>
    <row r="71" spans="1:10" ht="14.4">
      <c r="A71" s="25" t="s">
        <v>79</v>
      </c>
      <c r="B71" s="43">
        <v>3041</v>
      </c>
      <c r="C71" s="43">
        <v>260.27918999999997</v>
      </c>
      <c r="D71" s="48">
        <v>8.5589999999999999E-2</v>
      </c>
      <c r="E71" s="43">
        <f>($B71*D71)</f>
        <v>260.27918999999997</v>
      </c>
      <c r="F71" s="49">
        <v>9.0450000000000003E-2</v>
      </c>
      <c r="G71" s="43">
        <f>($B71*F71)</f>
        <v>275.05844999999999</v>
      </c>
      <c r="J71" s="47">
        <f>G71/G75</f>
        <v>0.15003178634340869</v>
      </c>
    </row>
    <row r="72" spans="1:10" ht="14.4">
      <c r="A72" s="25" t="s">
        <v>80</v>
      </c>
      <c r="B72" s="43">
        <v>266</v>
      </c>
      <c r="C72" s="43">
        <v>30.746939999999999</v>
      </c>
      <c r="D72" s="48">
        <v>0.11559</v>
      </c>
      <c r="E72" s="43">
        <f>($B72*D72)</f>
        <v>30.746939999999999</v>
      </c>
      <c r="F72" s="49">
        <v>0.12045</v>
      </c>
      <c r="G72" s="43">
        <f>($B72*F72)</f>
        <v>32.039700000000003</v>
      </c>
      <c r="J72" s="47">
        <f>G72/G75</f>
        <v>1.7476188878788899E-2</v>
      </c>
    </row>
    <row r="73" spans="1:10">
      <c r="B73" s="43"/>
      <c r="C73" s="50"/>
      <c r="E73" s="50"/>
      <c r="G73" s="50"/>
    </row>
    <row r="74" spans="1:10">
      <c r="B74" s="43">
        <v>13460</v>
      </c>
      <c r="E74" s="43"/>
      <c r="G74" s="43"/>
    </row>
    <row r="75" spans="1:10" ht="14.4" thickBot="1">
      <c r="A75" s="25" t="s">
        <v>67</v>
      </c>
      <c r="B75" s="43"/>
      <c r="C75" s="43">
        <v>1767.9188999999999</v>
      </c>
      <c r="E75" s="51">
        <f>SUM(E68:E73)</f>
        <v>1767.9188999999999</v>
      </c>
      <c r="G75" s="51">
        <f>SUM(G67:G73)</f>
        <v>1833.3344999999999</v>
      </c>
    </row>
    <row r="76" spans="1:10" ht="14.4" thickTop="1">
      <c r="B76" s="43"/>
      <c r="E76" s="43"/>
      <c r="G76" s="43"/>
    </row>
    <row r="77" spans="1:10">
      <c r="A77" s="25" t="s">
        <v>68</v>
      </c>
      <c r="B77" s="43"/>
      <c r="C77" s="43">
        <v>-32</v>
      </c>
      <c r="E77" s="43"/>
      <c r="G77" s="43"/>
    </row>
    <row r="78" spans="1:10">
      <c r="A78" s="25" t="s">
        <v>69</v>
      </c>
      <c r="B78" s="43"/>
      <c r="C78" s="50">
        <v>193</v>
      </c>
      <c r="E78" s="43"/>
      <c r="G78" s="43"/>
    </row>
    <row r="79" spans="1:10">
      <c r="B79" s="43"/>
      <c r="E79" s="43"/>
      <c r="G79" s="43"/>
    </row>
    <row r="80" spans="1:10" ht="14.4" thickBot="1">
      <c r="A80" s="25" t="s">
        <v>70</v>
      </c>
      <c r="B80" s="43"/>
      <c r="C80" s="51">
        <v>1928.9188999999999</v>
      </c>
    </row>
    <row r="81" spans="1:7" ht="14.4" thickTop="1">
      <c r="E81" s="43"/>
      <c r="G81" s="43"/>
    </row>
    <row r="82" spans="1:7">
      <c r="A82" s="25" t="s">
        <v>71</v>
      </c>
      <c r="B82" s="43"/>
      <c r="E82" s="44">
        <f>(E75-C75)</f>
        <v>0</v>
      </c>
      <c r="G82" s="44">
        <f>G75-E75</f>
        <v>65.41560000000004</v>
      </c>
    </row>
    <row r="83" spans="1:7">
      <c r="A83" s="25" t="s">
        <v>45</v>
      </c>
      <c r="E83" s="52">
        <f>(E82/C75)</f>
        <v>0</v>
      </c>
      <c r="F83" s="52"/>
      <c r="G83" s="52">
        <f>(G82/E75)</f>
        <v>3.7001471051641588E-2</v>
      </c>
    </row>
    <row r="85" spans="1:7">
      <c r="A85" s="25" t="s">
        <v>72</v>
      </c>
      <c r="C85" s="45">
        <v>33.35696037735849</v>
      </c>
      <c r="D85" s="45"/>
      <c r="E85" s="45">
        <f>E75/$B68</f>
        <v>33.35696037735849</v>
      </c>
      <c r="F85" s="45"/>
      <c r="G85" s="45">
        <f>G75/$B68</f>
        <v>34.591216981132071</v>
      </c>
    </row>
    <row r="86" spans="1:7">
      <c r="A86" s="25" t="s">
        <v>71</v>
      </c>
      <c r="E86" s="45">
        <f>E85-C85</f>
        <v>0</v>
      </c>
      <c r="G86" s="45">
        <f>G85-E85</f>
        <v>1.2342566037735807</v>
      </c>
    </row>
    <row r="87" spans="1:7">
      <c r="A87" s="25" t="s">
        <v>45</v>
      </c>
      <c r="E87" s="52">
        <f>E86/C85</f>
        <v>0</v>
      </c>
      <c r="G87" s="52">
        <f>G86/E85</f>
        <v>3.7001471051641442E-2</v>
      </c>
    </row>
    <row r="90" spans="1:7">
      <c r="A90" s="23" t="str">
        <f>A1</f>
        <v>Owen Electric Cooperative</v>
      </c>
      <c r="B90" s="23"/>
      <c r="C90" s="23"/>
      <c r="D90" s="23"/>
      <c r="E90" s="23"/>
      <c r="F90" s="23"/>
      <c r="G90" s="24" t="s">
        <v>51</v>
      </c>
    </row>
    <row r="91" spans="1:7">
      <c r="A91" s="23" t="str">
        <f>A2</f>
        <v>Case No.  2012-00448</v>
      </c>
      <c r="B91" s="23"/>
      <c r="C91" s="23"/>
      <c r="D91" s="23"/>
      <c r="E91" s="23"/>
      <c r="F91" s="23"/>
      <c r="G91" s="24" t="s">
        <v>81</v>
      </c>
    </row>
    <row r="92" spans="1:7">
      <c r="A92" s="23" t="str">
        <f>A3</f>
        <v>Billing Analysis</v>
      </c>
      <c r="B92" s="23"/>
      <c r="C92" s="23"/>
      <c r="D92" s="23"/>
      <c r="E92" s="23"/>
      <c r="F92" s="23"/>
      <c r="G92" s="24" t="s">
        <v>55</v>
      </c>
    </row>
    <row r="93" spans="1:7">
      <c r="A93" s="27">
        <f>A4</f>
        <v>41090</v>
      </c>
      <c r="B93" s="23"/>
      <c r="C93" s="23"/>
      <c r="D93" s="23"/>
      <c r="E93" s="23"/>
      <c r="F93" s="23"/>
      <c r="G93" s="43"/>
    </row>
    <row r="94" spans="1:7">
      <c r="A94" s="23"/>
      <c r="B94" s="23"/>
      <c r="C94" s="23"/>
      <c r="D94" s="23"/>
      <c r="E94" s="23"/>
      <c r="F94" s="23"/>
    </row>
    <row r="95" spans="1:7">
      <c r="A95" s="23" t="s">
        <v>82</v>
      </c>
      <c r="B95" s="23"/>
      <c r="C95" s="23"/>
      <c r="D95" s="23"/>
      <c r="E95" s="23"/>
      <c r="F95" s="23"/>
      <c r="G95" s="43"/>
    </row>
    <row r="97" spans="1:10" ht="20.100000000000001" customHeight="1">
      <c r="B97" s="28"/>
      <c r="C97" s="29" t="s">
        <v>57</v>
      </c>
      <c r="D97" s="30" t="s">
        <v>58</v>
      </c>
      <c r="E97" s="31"/>
      <c r="F97" s="32"/>
      <c r="G97" s="33"/>
    </row>
    <row r="98" spans="1:10" ht="20.100000000000001" customHeight="1">
      <c r="B98" s="34" t="s">
        <v>59</v>
      </c>
      <c r="C98" s="35" t="s">
        <v>60</v>
      </c>
      <c r="D98" s="36" t="str">
        <f>+D9</f>
        <v>Case No. 2010-00507</v>
      </c>
      <c r="E98" s="37"/>
      <c r="F98" s="36" t="s">
        <v>7</v>
      </c>
      <c r="G98" s="37"/>
    </row>
    <row r="99" spans="1:10" ht="20.100000000000001" customHeight="1">
      <c r="A99" s="38" t="s">
        <v>62</v>
      </c>
      <c r="B99" s="39" t="s">
        <v>63</v>
      </c>
      <c r="C99" s="39" t="s">
        <v>64</v>
      </c>
      <c r="D99" s="40" t="s">
        <v>65</v>
      </c>
      <c r="E99" s="41" t="s">
        <v>64</v>
      </c>
      <c r="F99" s="40" t="s">
        <v>65</v>
      </c>
      <c r="G99" s="41" t="s">
        <v>64</v>
      </c>
    </row>
    <row r="100" spans="1:10" ht="20.100000000000001" customHeight="1">
      <c r="G100" s="43"/>
    </row>
    <row r="101" spans="1:10" ht="20.100000000000001" customHeight="1">
      <c r="A101" s="25" t="s">
        <v>5</v>
      </c>
      <c r="B101" s="43">
        <v>28830</v>
      </c>
      <c r="C101" s="44">
        <v>496740.9</v>
      </c>
      <c r="D101" s="45">
        <v>17.23</v>
      </c>
      <c r="E101" s="44">
        <f>(D101*B101)</f>
        <v>496740.9</v>
      </c>
      <c r="F101" s="46">
        <v>25</v>
      </c>
      <c r="G101" s="44">
        <f>($B101*F101)</f>
        <v>720750</v>
      </c>
      <c r="J101" s="47">
        <f>G101/G105</f>
        <v>0.13661355417815246</v>
      </c>
    </row>
    <row r="102" spans="1:10" ht="20.100000000000001" customHeight="1">
      <c r="A102" s="25" t="s">
        <v>75</v>
      </c>
      <c r="B102" s="43">
        <v>52757480</v>
      </c>
      <c r="C102" s="43">
        <v>4536088.1304000001</v>
      </c>
      <c r="D102" s="48">
        <v>8.5980000000000001E-2</v>
      </c>
      <c r="E102" s="43">
        <f>(D102*B102)</f>
        <v>4536088.1304000001</v>
      </c>
      <c r="F102" s="49">
        <v>8.634E-2</v>
      </c>
      <c r="G102" s="43">
        <f>($B102*F102)</f>
        <v>4555080.8232000005</v>
      </c>
      <c r="J102" s="47">
        <f>G102/G105</f>
        <v>0.86338644582184754</v>
      </c>
    </row>
    <row r="103" spans="1:10" ht="20.100000000000001" customHeight="1">
      <c r="B103" s="43"/>
      <c r="C103" s="50"/>
      <c r="D103" s="45"/>
      <c r="E103" s="50"/>
      <c r="G103" s="50"/>
    </row>
    <row r="104" spans="1:10" ht="20.100000000000001" customHeight="1">
      <c r="B104" s="43"/>
      <c r="C104" s="43"/>
      <c r="D104" s="43"/>
      <c r="E104" s="43"/>
      <c r="G104" s="43"/>
    </row>
    <row r="105" spans="1:10" ht="20.100000000000001" customHeight="1" thickBot="1">
      <c r="A105" s="25" t="s">
        <v>67</v>
      </c>
      <c r="B105" s="43"/>
      <c r="C105" s="43">
        <v>5032829.0304000005</v>
      </c>
      <c r="D105" s="43"/>
      <c r="E105" s="51">
        <f>SUM(E101:E104)</f>
        <v>5032829.0304000005</v>
      </c>
      <c r="G105" s="51">
        <f>SUM(G101:G104)</f>
        <v>5275830.8232000005</v>
      </c>
    </row>
    <row r="106" spans="1:10" ht="14.4" thickTop="1">
      <c r="B106" s="43"/>
      <c r="C106" s="43"/>
      <c r="D106" s="43"/>
      <c r="E106" s="43"/>
      <c r="G106" s="43"/>
    </row>
    <row r="107" spans="1:10">
      <c r="A107" s="25" t="s">
        <v>68</v>
      </c>
      <c r="B107" s="43"/>
      <c r="C107" s="43">
        <v>-71932</v>
      </c>
      <c r="D107" s="43"/>
      <c r="E107" s="43"/>
      <c r="G107" s="43"/>
    </row>
    <row r="108" spans="1:10">
      <c r="A108" s="25" t="s">
        <v>69</v>
      </c>
      <c r="B108" s="43"/>
      <c r="C108" s="50">
        <v>418975</v>
      </c>
      <c r="D108" s="43"/>
      <c r="E108" s="43"/>
      <c r="G108" s="43"/>
    </row>
    <row r="109" spans="1:10">
      <c r="B109" s="43"/>
      <c r="C109" s="43"/>
      <c r="D109" s="43"/>
      <c r="E109" s="43"/>
      <c r="G109" s="43"/>
    </row>
    <row r="110" spans="1:10" ht="14.4" thickBot="1">
      <c r="A110" s="25" t="s">
        <v>70</v>
      </c>
      <c r="B110" s="43"/>
      <c r="C110" s="51">
        <v>5379872.0304000005</v>
      </c>
      <c r="D110" s="43"/>
    </row>
    <row r="111" spans="1:10" ht="14.4" thickTop="1">
      <c r="B111" s="43"/>
      <c r="C111" s="43"/>
      <c r="D111" s="43"/>
      <c r="E111" s="43"/>
      <c r="G111" s="43"/>
    </row>
    <row r="112" spans="1:10">
      <c r="A112" s="25" t="s">
        <v>71</v>
      </c>
      <c r="B112" s="43"/>
      <c r="C112" s="43"/>
      <c r="D112" s="43"/>
      <c r="E112" s="44">
        <f>(E105-C105)</f>
        <v>0</v>
      </c>
      <c r="G112" s="44">
        <f>(G105-E105)</f>
        <v>243001.79279999994</v>
      </c>
    </row>
    <row r="113" spans="1:7">
      <c r="A113" s="25" t="s">
        <v>45</v>
      </c>
      <c r="E113" s="52">
        <f>(E112/C105)</f>
        <v>0</v>
      </c>
      <c r="F113" s="52"/>
      <c r="G113" s="52">
        <f>(G112/E105)</f>
        <v>4.8283339515844147E-2</v>
      </c>
    </row>
    <row r="115" spans="1:7">
      <c r="A115" s="25" t="s">
        <v>72</v>
      </c>
      <c r="C115" s="45">
        <v>174.56916511966702</v>
      </c>
      <c r="D115" s="45"/>
      <c r="E115" s="45">
        <f>E105/$B101</f>
        <v>174.56916511966702</v>
      </c>
      <c r="F115" s="45"/>
      <c r="G115" s="45">
        <f>G105/$B101</f>
        <v>182.99794738813736</v>
      </c>
    </row>
    <row r="116" spans="1:7">
      <c r="A116" s="25" t="s">
        <v>71</v>
      </c>
      <c r="E116" s="45">
        <f>E115-C115</f>
        <v>0</v>
      </c>
      <c r="G116" s="45">
        <f>G115-E115</f>
        <v>8.4287822684703428</v>
      </c>
    </row>
    <row r="117" spans="1:7">
      <c r="A117" s="25" t="s">
        <v>45</v>
      </c>
      <c r="E117" s="52">
        <f>E116/C115</f>
        <v>0</v>
      </c>
      <c r="G117" s="52">
        <f>G116/E115</f>
        <v>4.8283339515844161E-2</v>
      </c>
    </row>
    <row r="120" spans="1:7">
      <c r="A120" s="23" t="str">
        <f>A1</f>
        <v>Owen Electric Cooperative</v>
      </c>
      <c r="B120" s="23"/>
      <c r="C120" s="23"/>
      <c r="D120" s="23"/>
      <c r="E120" s="23"/>
      <c r="F120" s="23"/>
      <c r="G120" s="24" t="s">
        <v>51</v>
      </c>
    </row>
    <row r="121" spans="1:7">
      <c r="A121" s="23" t="str">
        <f>A2</f>
        <v>Case No.  2012-00448</v>
      </c>
      <c r="B121" s="23"/>
      <c r="C121" s="23"/>
      <c r="D121" s="23"/>
      <c r="E121" s="23"/>
      <c r="F121" s="23"/>
      <c r="G121" s="24" t="s">
        <v>83</v>
      </c>
    </row>
    <row r="122" spans="1:7">
      <c r="A122" s="23" t="str">
        <f>A3</f>
        <v>Billing Analysis</v>
      </c>
      <c r="B122" s="23"/>
      <c r="C122" s="23"/>
      <c r="D122" s="23"/>
      <c r="E122" s="23"/>
      <c r="F122" s="23"/>
      <c r="G122" s="24" t="s">
        <v>55</v>
      </c>
    </row>
    <row r="123" spans="1:7">
      <c r="A123" s="27">
        <f>A4</f>
        <v>41090</v>
      </c>
      <c r="B123" s="23"/>
      <c r="C123" s="23"/>
      <c r="D123" s="23"/>
      <c r="E123" s="23"/>
      <c r="F123" s="23"/>
      <c r="G123" s="43"/>
    </row>
    <row r="124" spans="1:7">
      <c r="A124" s="23"/>
      <c r="B124" s="23"/>
      <c r="C124" s="23"/>
      <c r="D124" s="23"/>
      <c r="E124" s="23"/>
      <c r="F124" s="23"/>
    </row>
    <row r="125" spans="1:7">
      <c r="A125" s="23" t="s">
        <v>84</v>
      </c>
      <c r="B125" s="23"/>
      <c r="C125" s="23"/>
      <c r="D125" s="23"/>
      <c r="E125" s="23"/>
      <c r="F125" s="23"/>
      <c r="G125" s="43"/>
    </row>
    <row r="127" spans="1:7" ht="21.9" customHeight="1">
      <c r="B127" s="28"/>
      <c r="C127" s="29" t="s">
        <v>57</v>
      </c>
      <c r="D127" s="30" t="s">
        <v>58</v>
      </c>
      <c r="E127" s="31"/>
      <c r="F127" s="32"/>
      <c r="G127" s="33"/>
    </row>
    <row r="128" spans="1:7" ht="21.9" customHeight="1">
      <c r="B128" s="34" t="s">
        <v>59</v>
      </c>
      <c r="C128" s="35" t="s">
        <v>60</v>
      </c>
      <c r="D128" s="36" t="str">
        <f>D9</f>
        <v>Case No. 2010-00507</v>
      </c>
      <c r="E128" s="37"/>
      <c r="F128" s="36" t="s">
        <v>7</v>
      </c>
      <c r="G128" s="37"/>
    </row>
    <row r="129" spans="1:10" ht="21.9" customHeight="1">
      <c r="A129" s="38" t="s">
        <v>62</v>
      </c>
      <c r="B129" s="39" t="s">
        <v>63</v>
      </c>
      <c r="C129" s="39" t="s">
        <v>64</v>
      </c>
      <c r="D129" s="40" t="s">
        <v>65</v>
      </c>
      <c r="E129" s="41" t="s">
        <v>64</v>
      </c>
      <c r="F129" s="40" t="s">
        <v>65</v>
      </c>
      <c r="G129" s="41" t="s">
        <v>64</v>
      </c>
    </row>
    <row r="130" spans="1:10" ht="21.9" customHeight="1">
      <c r="G130" s="43"/>
    </row>
    <row r="131" spans="1:10" ht="21.9" customHeight="1">
      <c r="A131" s="25" t="s">
        <v>5</v>
      </c>
      <c r="B131" s="43">
        <v>3005</v>
      </c>
      <c r="C131" s="43">
        <v>64036.549999999996</v>
      </c>
      <c r="D131" s="45">
        <v>21.31</v>
      </c>
      <c r="E131" s="44">
        <f>(D131*B131)</f>
        <v>64036.549999999996</v>
      </c>
      <c r="F131" s="53">
        <f>+D131</f>
        <v>21.31</v>
      </c>
      <c r="G131" s="44">
        <f>($B131*F131)</f>
        <v>64036.549999999996</v>
      </c>
      <c r="J131" s="47">
        <f>G131/SUM(G131:G133)</f>
        <v>3.9400291220799931E-3</v>
      </c>
    </row>
    <row r="132" spans="1:10" ht="21.9" customHeight="1">
      <c r="A132" s="25" t="s">
        <v>85</v>
      </c>
      <c r="B132" s="54">
        <v>582414.44200000004</v>
      </c>
      <c r="C132" s="43">
        <v>3570200.5294600003</v>
      </c>
      <c r="D132" s="45">
        <v>6.13</v>
      </c>
      <c r="E132" s="43">
        <f>($B132*D132)</f>
        <v>3570200.5294600003</v>
      </c>
      <c r="F132" s="53">
        <v>6.13</v>
      </c>
      <c r="G132" s="43">
        <f>($B132*F132)</f>
        <v>3570200.5294600003</v>
      </c>
      <c r="J132" s="47">
        <f>G132/SUM(G131:G133)</f>
        <v>0.2196666444044505</v>
      </c>
    </row>
    <row r="133" spans="1:10" ht="21.9" customHeight="1">
      <c r="A133" s="25" t="s">
        <v>75</v>
      </c>
      <c r="B133" s="43">
        <v>194191663</v>
      </c>
      <c r="C133" s="43">
        <v>12618574.261739999</v>
      </c>
      <c r="D133" s="48">
        <v>6.4979999999999996E-2</v>
      </c>
      <c r="E133" s="43">
        <f>($B133*D133)</f>
        <v>12618574.261739999</v>
      </c>
      <c r="F133" s="55">
        <f>+D133</f>
        <v>6.4979999999999996E-2</v>
      </c>
      <c r="G133" s="43">
        <f>+B133*F133</f>
        <v>12618574.261739999</v>
      </c>
      <c r="J133" s="47">
        <f>G133/SUM(G131:G133)</f>
        <v>0.77639332647346948</v>
      </c>
    </row>
    <row r="134" spans="1:10" ht="21.9" customHeight="1">
      <c r="A134" s="25" t="s">
        <v>86</v>
      </c>
      <c r="B134" s="43"/>
      <c r="C134" s="50">
        <v>-66535.700000000041</v>
      </c>
      <c r="D134" s="45"/>
      <c r="E134" s="50">
        <f>C134</f>
        <v>-66535.700000000041</v>
      </c>
      <c r="G134" s="50">
        <f>E134</f>
        <v>-66535.700000000041</v>
      </c>
      <c r="J134" s="47"/>
    </row>
    <row r="135" spans="1:10" ht="21.9" customHeight="1">
      <c r="B135" s="43"/>
      <c r="C135" s="43"/>
      <c r="D135" s="43"/>
      <c r="E135" s="43"/>
      <c r="G135" s="43"/>
    </row>
    <row r="136" spans="1:10" ht="21.9" customHeight="1" thickBot="1">
      <c r="A136" s="25" t="s">
        <v>67</v>
      </c>
      <c r="B136" s="43"/>
      <c r="C136" s="43">
        <v>16186275.6412</v>
      </c>
      <c r="D136" s="43"/>
      <c r="E136" s="51">
        <f>SUM(E131:E135)</f>
        <v>16186275.6412</v>
      </c>
      <c r="G136" s="51">
        <f>SUM(G131:G135)</f>
        <v>16186275.6412</v>
      </c>
    </row>
    <row r="137" spans="1:10" ht="14.4" thickTop="1">
      <c r="B137" s="43"/>
      <c r="C137" s="43"/>
      <c r="D137" s="43"/>
      <c r="E137" s="43"/>
      <c r="G137" s="43"/>
    </row>
    <row r="138" spans="1:10">
      <c r="A138" s="25" t="s">
        <v>68</v>
      </c>
      <c r="B138" s="43"/>
      <c r="C138" s="43">
        <v>-246695</v>
      </c>
      <c r="D138" s="43"/>
      <c r="E138" s="43"/>
      <c r="G138" s="43"/>
    </row>
    <row r="139" spans="1:10">
      <c r="A139" s="25" t="s">
        <v>69</v>
      </c>
      <c r="B139" s="43"/>
      <c r="C139" s="50">
        <v>1314188</v>
      </c>
      <c r="D139" s="43"/>
      <c r="E139" s="43"/>
      <c r="G139" s="43"/>
    </row>
    <row r="140" spans="1:10">
      <c r="B140" s="43"/>
      <c r="C140" s="43"/>
      <c r="D140" s="43"/>
      <c r="E140" s="43"/>
      <c r="G140" s="43"/>
    </row>
    <row r="141" spans="1:10" ht="14.4" thickBot="1">
      <c r="A141" s="25" t="s">
        <v>70</v>
      </c>
      <c r="B141" s="43"/>
      <c r="C141" s="51">
        <v>17253768.641199999</v>
      </c>
      <c r="D141" s="43"/>
    </row>
    <row r="142" spans="1:10" ht="14.4" thickTop="1">
      <c r="B142" s="43"/>
      <c r="C142" s="43"/>
      <c r="D142" s="43"/>
      <c r="E142" s="43"/>
      <c r="G142" s="43"/>
    </row>
    <row r="143" spans="1:10">
      <c r="A143" s="25" t="s">
        <v>71</v>
      </c>
      <c r="B143" s="43"/>
      <c r="C143" s="43"/>
      <c r="D143" s="43"/>
      <c r="E143" s="44">
        <f>(E136-C136)</f>
        <v>0</v>
      </c>
      <c r="G143" s="44">
        <f>(G136-E136)</f>
        <v>0</v>
      </c>
    </row>
    <row r="144" spans="1:10">
      <c r="A144" s="25" t="s">
        <v>45</v>
      </c>
      <c r="E144" s="52">
        <f>(E143/C136)</f>
        <v>0</v>
      </c>
      <c r="F144" s="52"/>
      <c r="G144" s="52">
        <f>(G143/E136)</f>
        <v>0</v>
      </c>
    </row>
    <row r="146" spans="1:7">
      <c r="A146" s="25" t="s">
        <v>72</v>
      </c>
      <c r="C146" s="45">
        <v>5386.4478007321131</v>
      </c>
      <c r="D146" s="45"/>
      <c r="E146" s="45">
        <f>E136/$B131</f>
        <v>5386.4478007321131</v>
      </c>
      <c r="F146" s="45"/>
      <c r="G146" s="45">
        <f>G136/$B131</f>
        <v>5386.4478007321131</v>
      </c>
    </row>
    <row r="147" spans="1:7">
      <c r="A147" s="25" t="s">
        <v>71</v>
      </c>
      <c r="E147" s="45">
        <f>E146-C146</f>
        <v>0</v>
      </c>
      <c r="G147" s="45">
        <f>G146-E146</f>
        <v>0</v>
      </c>
    </row>
    <row r="148" spans="1:7">
      <c r="A148" s="25" t="s">
        <v>45</v>
      </c>
      <c r="E148" s="52">
        <f>E147/C146</f>
        <v>0</v>
      </c>
      <c r="G148" s="52">
        <f>G147/E146</f>
        <v>0</v>
      </c>
    </row>
    <row r="152" spans="1:7">
      <c r="A152" s="23" t="str">
        <f>A1</f>
        <v>Owen Electric Cooperative</v>
      </c>
      <c r="B152" s="23"/>
      <c r="C152" s="23"/>
      <c r="D152" s="23"/>
      <c r="E152" s="23"/>
      <c r="F152" s="23"/>
      <c r="G152" s="24" t="s">
        <v>51</v>
      </c>
    </row>
    <row r="153" spans="1:7">
      <c r="A153" s="23" t="str">
        <f>A2</f>
        <v>Case No.  2012-00448</v>
      </c>
      <c r="B153" s="23"/>
      <c r="C153" s="23"/>
      <c r="D153" s="23"/>
      <c r="E153" s="23"/>
      <c r="F153" s="23"/>
      <c r="G153" s="24" t="s">
        <v>87</v>
      </c>
    </row>
    <row r="154" spans="1:7">
      <c r="A154" s="23" t="str">
        <f>A3</f>
        <v>Billing Analysis</v>
      </c>
      <c r="B154" s="23"/>
      <c r="C154" s="23"/>
      <c r="D154" s="23"/>
      <c r="E154" s="23"/>
      <c r="F154" s="23"/>
      <c r="G154" s="24" t="s">
        <v>55</v>
      </c>
    </row>
    <row r="155" spans="1:7">
      <c r="A155" s="27">
        <f>A4</f>
        <v>41090</v>
      </c>
      <c r="B155" s="23"/>
      <c r="C155" s="23"/>
      <c r="D155" s="23"/>
      <c r="E155" s="23"/>
      <c r="F155" s="23"/>
      <c r="G155" s="43"/>
    </row>
    <row r="156" spans="1:7">
      <c r="A156" s="23"/>
      <c r="B156" s="23"/>
      <c r="C156" s="23"/>
      <c r="D156" s="23"/>
      <c r="E156" s="23"/>
      <c r="F156" s="23"/>
    </row>
    <row r="157" spans="1:7">
      <c r="A157" s="23" t="s">
        <v>88</v>
      </c>
      <c r="B157" s="23"/>
      <c r="C157" s="23"/>
      <c r="D157" s="23"/>
      <c r="E157" s="23"/>
      <c r="F157" s="23"/>
      <c r="G157" s="43"/>
    </row>
    <row r="159" spans="1:7" ht="20.100000000000001" customHeight="1">
      <c r="B159" s="28"/>
      <c r="C159" s="29" t="s">
        <v>57</v>
      </c>
      <c r="D159" s="30" t="s">
        <v>58</v>
      </c>
      <c r="E159" s="31"/>
      <c r="F159" s="32"/>
      <c r="G159" s="33"/>
    </row>
    <row r="160" spans="1:7" ht="20.100000000000001" customHeight="1">
      <c r="B160" s="34" t="s">
        <v>59</v>
      </c>
      <c r="C160" s="35" t="s">
        <v>60</v>
      </c>
      <c r="D160" s="36" t="str">
        <f>D9</f>
        <v>Case No. 2010-00507</v>
      </c>
      <c r="E160" s="37"/>
      <c r="F160" s="36" t="s">
        <v>7</v>
      </c>
      <c r="G160" s="37"/>
    </row>
    <row r="161" spans="1:10" ht="20.100000000000001" customHeight="1">
      <c r="A161" s="38" t="s">
        <v>62</v>
      </c>
      <c r="B161" s="39" t="s">
        <v>63</v>
      </c>
      <c r="C161" s="39" t="s">
        <v>64</v>
      </c>
      <c r="D161" s="40" t="s">
        <v>65</v>
      </c>
      <c r="E161" s="41" t="s">
        <v>64</v>
      </c>
      <c r="F161" s="40" t="s">
        <v>65</v>
      </c>
      <c r="G161" s="41" t="s">
        <v>64</v>
      </c>
    </row>
    <row r="162" spans="1:10" ht="20.100000000000001" customHeight="1">
      <c r="G162" s="43"/>
    </row>
    <row r="163" spans="1:10" ht="20.100000000000001" customHeight="1">
      <c r="A163" s="25" t="s">
        <v>5</v>
      </c>
      <c r="B163" s="43">
        <v>132</v>
      </c>
      <c r="C163" s="43">
        <v>200881.56</v>
      </c>
      <c r="D163" s="45">
        <v>1521.83</v>
      </c>
      <c r="E163" s="44">
        <f>(D163*B163)</f>
        <v>200881.56</v>
      </c>
      <c r="F163" s="46">
        <v>1521.83</v>
      </c>
      <c r="G163" s="44">
        <f>($B163*F163)</f>
        <v>200881.56</v>
      </c>
      <c r="J163" s="47">
        <f>G163/G173</f>
        <v>3.1693769622047625E-2</v>
      </c>
    </row>
    <row r="164" spans="1:10" ht="20.100000000000001" customHeight="1">
      <c r="A164" s="25" t="s">
        <v>85</v>
      </c>
      <c r="B164" s="43"/>
      <c r="C164" s="43"/>
      <c r="D164" s="45"/>
      <c r="E164" s="43"/>
      <c r="F164" s="45"/>
      <c r="G164" s="43"/>
      <c r="J164" s="47"/>
    </row>
    <row r="165" spans="1:10" ht="20.100000000000001" customHeight="1">
      <c r="A165" s="25" t="s">
        <v>89</v>
      </c>
      <c r="B165" s="43">
        <v>187698</v>
      </c>
      <c r="C165" s="43">
        <v>1328901.8400000001</v>
      </c>
      <c r="D165" s="45">
        <v>7.08</v>
      </c>
      <c r="E165" s="43">
        <f>($B165*D165)</f>
        <v>1328901.8400000001</v>
      </c>
      <c r="F165" s="46">
        <v>7.25</v>
      </c>
      <c r="G165" s="43">
        <f>($B165*F165)</f>
        <v>1360810.5</v>
      </c>
      <c r="J165" s="47">
        <f>G165/G173</f>
        <v>0.21469971900986551</v>
      </c>
    </row>
    <row r="166" spans="1:10" ht="20.100000000000001" customHeight="1">
      <c r="A166" s="25" t="s">
        <v>90</v>
      </c>
      <c r="B166" s="43">
        <v>18950</v>
      </c>
      <c r="C166" s="43">
        <v>186468</v>
      </c>
      <c r="D166" s="45">
        <v>9.84</v>
      </c>
      <c r="E166" s="43">
        <f>($B166*D166)</f>
        <v>186468</v>
      </c>
      <c r="F166" s="46">
        <v>9.98</v>
      </c>
      <c r="G166" s="43">
        <f>($B166*F166)</f>
        <v>189121</v>
      </c>
      <c r="J166" s="47">
        <f>G166/G173</f>
        <v>2.9838265914956398E-2</v>
      </c>
    </row>
    <row r="167" spans="1:10" ht="20.100000000000001" customHeight="1">
      <c r="A167" s="25" t="s">
        <v>75</v>
      </c>
      <c r="B167" s="43"/>
      <c r="C167" s="43"/>
      <c r="D167" s="45"/>
      <c r="E167" s="43"/>
      <c r="F167" s="45"/>
      <c r="G167" s="43"/>
      <c r="J167" s="47"/>
    </row>
    <row r="168" spans="1:10" ht="20.100000000000001" customHeight="1">
      <c r="A168" s="25" t="s">
        <v>91</v>
      </c>
      <c r="B168" s="43">
        <v>86390076</v>
      </c>
      <c r="C168" s="43">
        <v>4313456.4946800005</v>
      </c>
      <c r="D168" s="48">
        <v>4.9930000000000002E-2</v>
      </c>
      <c r="E168" s="43">
        <f>($B168*D168)</f>
        <v>4313456.4946800005</v>
      </c>
      <c r="F168" s="49">
        <v>4.4999999999999998E-2</v>
      </c>
      <c r="G168" s="43">
        <f>($B168*F168)</f>
        <v>3887553.42</v>
      </c>
      <c r="J168" s="47">
        <f>G168/G173</f>
        <v>0.61335257694575518</v>
      </c>
    </row>
    <row r="169" spans="1:10" ht="20.100000000000001" customHeight="1">
      <c r="A169" s="25" t="s">
        <v>92</v>
      </c>
      <c r="B169" s="50">
        <v>16014576</v>
      </c>
      <c r="C169" s="43">
        <v>731705.97744000005</v>
      </c>
      <c r="D169" s="48">
        <v>4.5690000000000001E-2</v>
      </c>
      <c r="E169" s="43">
        <f>($B169*D169)</f>
        <v>731705.97744000005</v>
      </c>
      <c r="F169" s="49">
        <v>4.3700000000000003E-2</v>
      </c>
      <c r="G169" s="43">
        <f>($B169*F169)</f>
        <v>699836.97120000003</v>
      </c>
      <c r="J169" s="47">
        <f>G169/G173</f>
        <v>0.11041566850737508</v>
      </c>
    </row>
    <row r="170" spans="1:10" ht="20.100000000000001" customHeight="1" thickBot="1">
      <c r="B170" s="56">
        <v>102404652</v>
      </c>
      <c r="C170" s="43"/>
      <c r="D170" s="48"/>
      <c r="E170" s="43"/>
      <c r="F170" s="48"/>
      <c r="G170" s="43"/>
    </row>
    <row r="171" spans="1:10" ht="15.9" customHeight="1" thickTop="1">
      <c r="B171" s="43"/>
      <c r="C171" s="50"/>
      <c r="D171" s="45"/>
      <c r="E171" s="50"/>
      <c r="G171" s="50"/>
    </row>
    <row r="172" spans="1:10" ht="15.9" customHeight="1">
      <c r="B172" s="43"/>
      <c r="C172" s="43"/>
      <c r="D172" s="43"/>
      <c r="E172" s="43"/>
      <c r="G172" s="43"/>
    </row>
    <row r="173" spans="1:10" ht="15.9" customHeight="1" thickBot="1">
      <c r="A173" s="25" t="s">
        <v>67</v>
      </c>
      <c r="B173" s="43"/>
      <c r="C173" s="43">
        <v>6761413.8721200004</v>
      </c>
      <c r="D173" s="43"/>
      <c r="E173" s="51">
        <f>SUM(E163:E172)</f>
        <v>6761413.8721200004</v>
      </c>
      <c r="G173" s="51">
        <f>SUM(G163:G172)</f>
        <v>6338203.4512000009</v>
      </c>
    </row>
    <row r="174" spans="1:10" ht="14.4" thickTop="1">
      <c r="B174" s="43"/>
      <c r="C174" s="43"/>
      <c r="D174" s="43"/>
      <c r="E174" s="43"/>
      <c r="G174" s="43"/>
    </row>
    <row r="175" spans="1:10">
      <c r="A175" s="25" t="s">
        <v>68</v>
      </c>
      <c r="B175" s="43"/>
      <c r="C175" s="43">
        <v>-129115</v>
      </c>
      <c r="D175" s="43"/>
      <c r="E175" s="43"/>
      <c r="G175" s="43"/>
    </row>
    <row r="176" spans="1:10">
      <c r="A176" s="25" t="s">
        <v>69</v>
      </c>
      <c r="B176" s="43"/>
      <c r="C176" s="50">
        <v>741606</v>
      </c>
      <c r="D176" s="43"/>
      <c r="E176" s="43"/>
      <c r="G176" s="43"/>
    </row>
    <row r="177" spans="1:7">
      <c r="B177" s="43"/>
      <c r="C177" s="43"/>
      <c r="D177" s="43"/>
      <c r="E177" s="43"/>
      <c r="G177" s="43"/>
    </row>
    <row r="178" spans="1:7" ht="14.4" thickBot="1">
      <c r="A178" s="25" t="s">
        <v>70</v>
      </c>
      <c r="B178" s="43"/>
      <c r="C178" s="51">
        <v>7373904.8721200004</v>
      </c>
      <c r="D178" s="43"/>
    </row>
    <row r="179" spans="1:7" ht="14.4" thickTop="1">
      <c r="B179" s="43"/>
      <c r="C179" s="43"/>
      <c r="D179" s="43"/>
      <c r="E179" s="43"/>
      <c r="G179" s="43"/>
    </row>
    <row r="180" spans="1:7">
      <c r="A180" s="25" t="s">
        <v>71</v>
      </c>
      <c r="B180" s="43"/>
      <c r="C180" s="43"/>
      <c r="D180" s="43"/>
      <c r="E180" s="44">
        <f>(E173-C173)</f>
        <v>0</v>
      </c>
      <c r="G180" s="44">
        <f>(G173-E173)</f>
        <v>-423210.42091999948</v>
      </c>
    </row>
    <row r="181" spans="1:7">
      <c r="A181" s="25" t="s">
        <v>45</v>
      </c>
      <c r="E181" s="52">
        <f>(E180/C173)</f>
        <v>0</v>
      </c>
      <c r="F181" s="52"/>
      <c r="G181" s="52">
        <f>(G180/E173)</f>
        <v>-6.2592000567376072E-2</v>
      </c>
    </row>
    <row r="183" spans="1:7">
      <c r="A183" s="25" t="s">
        <v>72</v>
      </c>
      <c r="C183" s="45">
        <v>51222.832364545458</v>
      </c>
      <c r="D183" s="45"/>
      <c r="E183" s="45">
        <f>E173/$B163</f>
        <v>51222.832364545458</v>
      </c>
      <c r="F183" s="45"/>
      <c r="G183" s="45">
        <f>G173/$B163</f>
        <v>48016.692812121219</v>
      </c>
    </row>
    <row r="184" spans="1:7">
      <c r="A184" s="25" t="s">
        <v>71</v>
      </c>
      <c r="E184" s="45">
        <f>E183-C183</f>
        <v>0</v>
      </c>
      <c r="G184" s="45">
        <f>G183-E183</f>
        <v>-3206.1395524242398</v>
      </c>
    </row>
    <row r="185" spans="1:7">
      <c r="A185" s="25" t="s">
        <v>45</v>
      </c>
      <c r="E185" s="52">
        <f>E184/C183</f>
        <v>0</v>
      </c>
      <c r="G185" s="52">
        <f>G184/E183</f>
        <v>-6.2592000567376099E-2</v>
      </c>
    </row>
    <row r="188" spans="1:7">
      <c r="A188" s="23" t="str">
        <f>+A1</f>
        <v>Owen Electric Cooperative</v>
      </c>
      <c r="B188" s="23"/>
      <c r="C188" s="23"/>
      <c r="D188" s="23"/>
      <c r="E188" s="23"/>
      <c r="F188" s="23"/>
      <c r="G188" s="24" t="s">
        <v>51</v>
      </c>
    </row>
    <row r="189" spans="1:7">
      <c r="A189" s="23" t="str">
        <f>+A2</f>
        <v>Case No.  2012-00448</v>
      </c>
      <c r="B189" s="23"/>
      <c r="C189" s="23"/>
      <c r="D189" s="23"/>
      <c r="E189" s="23"/>
      <c r="F189" s="23"/>
      <c r="G189" s="24" t="s">
        <v>93</v>
      </c>
    </row>
    <row r="190" spans="1:7">
      <c r="A190" s="23" t="str">
        <f>+A3</f>
        <v>Billing Analysis</v>
      </c>
      <c r="B190" s="23"/>
      <c r="C190" s="23"/>
      <c r="D190" s="23"/>
      <c r="E190" s="23"/>
      <c r="F190" s="23"/>
      <c r="G190" s="24" t="s">
        <v>55</v>
      </c>
    </row>
    <row r="191" spans="1:7">
      <c r="A191" s="27">
        <f>+A4</f>
        <v>41090</v>
      </c>
      <c r="B191" s="23"/>
      <c r="C191" s="23"/>
      <c r="D191" s="23"/>
      <c r="E191" s="23"/>
      <c r="F191" s="23"/>
      <c r="G191" s="43"/>
    </row>
    <row r="192" spans="1:7">
      <c r="A192" s="23"/>
      <c r="B192" s="23"/>
      <c r="C192" s="23"/>
      <c r="D192" s="23"/>
      <c r="E192" s="23"/>
      <c r="F192" s="23"/>
    </row>
    <row r="193" spans="1:10">
      <c r="A193" s="23" t="s">
        <v>94</v>
      </c>
      <c r="B193" s="23"/>
      <c r="C193" s="23"/>
      <c r="D193" s="23"/>
      <c r="E193" s="23"/>
      <c r="F193" s="23"/>
      <c r="G193" s="43"/>
    </row>
    <row r="195" spans="1:10" ht="18" customHeight="1">
      <c r="B195" s="28"/>
      <c r="C195" s="29" t="s">
        <v>57</v>
      </c>
      <c r="D195" s="30" t="s">
        <v>58</v>
      </c>
      <c r="E195" s="31"/>
      <c r="F195" s="32"/>
      <c r="G195" s="33"/>
    </row>
    <row r="196" spans="1:10" ht="18" customHeight="1">
      <c r="B196" s="34" t="s">
        <v>59</v>
      </c>
      <c r="C196" s="35" t="s">
        <v>60</v>
      </c>
      <c r="D196" s="36" t="str">
        <f>+D9</f>
        <v>Case No. 2010-00507</v>
      </c>
      <c r="E196" s="37"/>
      <c r="F196" s="36" t="s">
        <v>7</v>
      </c>
      <c r="G196" s="37"/>
    </row>
    <row r="197" spans="1:10" ht="18" customHeight="1">
      <c r="A197" s="38" t="s">
        <v>62</v>
      </c>
      <c r="B197" s="39" t="s">
        <v>63</v>
      </c>
      <c r="C197" s="39" t="s">
        <v>64</v>
      </c>
      <c r="D197" s="40" t="s">
        <v>65</v>
      </c>
      <c r="E197" s="41" t="s">
        <v>64</v>
      </c>
      <c r="F197" s="40" t="s">
        <v>65</v>
      </c>
      <c r="G197" s="41" t="s">
        <v>64</v>
      </c>
    </row>
    <row r="198" spans="1:10" ht="18" customHeight="1">
      <c r="G198" s="43"/>
    </row>
    <row r="199" spans="1:10" ht="18" customHeight="1">
      <c r="A199" s="25" t="s">
        <v>5</v>
      </c>
      <c r="B199" s="43">
        <v>24</v>
      </c>
      <c r="C199" s="44">
        <v>73021.919999999998</v>
      </c>
      <c r="D199" s="45">
        <v>3042.58</v>
      </c>
      <c r="E199" s="44">
        <f>(D199*B199)</f>
        <v>73021.919999999998</v>
      </c>
      <c r="F199" s="46">
        <v>3042.58</v>
      </c>
      <c r="G199" s="44">
        <f>($B199*F199)</f>
        <v>73021.919999999998</v>
      </c>
      <c r="J199" s="47">
        <f>G199/G210</f>
        <v>1.1754516650196946E-2</v>
      </c>
    </row>
    <row r="200" spans="1:10" ht="18" customHeight="1">
      <c r="A200" s="25" t="s">
        <v>85</v>
      </c>
      <c r="B200" s="43"/>
      <c r="C200" s="43"/>
      <c r="D200" s="45"/>
      <c r="E200" s="43"/>
      <c r="F200" s="45"/>
      <c r="G200" s="43"/>
      <c r="J200" s="47"/>
    </row>
    <row r="201" spans="1:10" ht="18" customHeight="1">
      <c r="A201" s="25" t="s">
        <v>89</v>
      </c>
      <c r="B201" s="43">
        <v>210000</v>
      </c>
      <c r="C201" s="43">
        <v>1486800</v>
      </c>
      <c r="D201" s="45">
        <v>7.08</v>
      </c>
      <c r="E201" s="43">
        <f>($B201*D201)</f>
        <v>1486800</v>
      </c>
      <c r="F201" s="46">
        <v>7.25</v>
      </c>
      <c r="G201" s="43">
        <f>($B201*F201)</f>
        <v>1522500</v>
      </c>
      <c r="J201" s="47">
        <f>G201/G210</f>
        <v>0.24508054019840689</v>
      </c>
    </row>
    <row r="202" spans="1:10" ht="18" customHeight="1">
      <c r="A202" s="25" t="s">
        <v>90</v>
      </c>
      <c r="B202" s="43">
        <v>475</v>
      </c>
      <c r="C202" s="43">
        <v>4674</v>
      </c>
      <c r="D202" s="45">
        <v>9.84</v>
      </c>
      <c r="E202" s="43">
        <f>($B202*D202)</f>
        <v>4674</v>
      </c>
      <c r="F202" s="46">
        <v>9.98</v>
      </c>
      <c r="G202" s="43">
        <f>($B202*F202)</f>
        <v>4740.5</v>
      </c>
      <c r="J202" s="47">
        <f>G202/G210</f>
        <v>7.6308985274912836E-4</v>
      </c>
    </row>
    <row r="203" spans="1:10" ht="18" customHeight="1">
      <c r="A203" s="25" t="s">
        <v>95</v>
      </c>
      <c r="B203" s="43">
        <v>127495</v>
      </c>
      <c r="C203" s="43">
        <v>-624725.5</v>
      </c>
      <c r="D203" s="45">
        <v>4.9000000000000004</v>
      </c>
      <c r="E203" s="43">
        <f>-D203*B203</f>
        <v>-624725.5</v>
      </c>
      <c r="F203" s="46">
        <v>4.9000000000000004</v>
      </c>
      <c r="G203" s="43">
        <f>($B203*F203)*-1</f>
        <v>-624725.5</v>
      </c>
      <c r="J203" s="47">
        <f>G203/G210</f>
        <v>-0.10056358818766492</v>
      </c>
    </row>
    <row r="204" spans="1:10" ht="18" customHeight="1">
      <c r="A204" s="25" t="s">
        <v>96</v>
      </c>
      <c r="B204" s="43"/>
      <c r="C204" s="43">
        <v>10156</v>
      </c>
      <c r="D204" s="45"/>
      <c r="E204" s="43">
        <f>+C204</f>
        <v>10156</v>
      </c>
      <c r="F204" s="45"/>
      <c r="G204" s="43">
        <f>+E204</f>
        <v>10156</v>
      </c>
      <c r="J204" s="47">
        <f>G204/G210</f>
        <v>1.6348361026305553E-3</v>
      </c>
    </row>
    <row r="205" spans="1:10" ht="18" customHeight="1">
      <c r="A205" s="25" t="s">
        <v>75</v>
      </c>
      <c r="B205" s="43"/>
      <c r="C205" s="43"/>
      <c r="D205" s="45"/>
      <c r="E205" s="43"/>
      <c r="F205" s="45"/>
      <c r="G205" s="43"/>
      <c r="J205" s="47"/>
    </row>
    <row r="206" spans="1:10" ht="18" customHeight="1">
      <c r="A206" s="25" t="s">
        <v>91</v>
      </c>
      <c r="B206" s="43">
        <v>89451875</v>
      </c>
      <c r="C206" s="43">
        <v>4024439.8562500002</v>
      </c>
      <c r="D206" s="48">
        <v>4.4990000000000002E-2</v>
      </c>
      <c r="E206" s="43">
        <f>($B206*D206)</f>
        <v>4024439.8562500002</v>
      </c>
      <c r="F206" s="49">
        <v>4.4499999999999998E-2</v>
      </c>
      <c r="G206" s="43">
        <f>($B206*F206)</f>
        <v>3980608.4375</v>
      </c>
      <c r="J206" s="47">
        <f>G206/G210</f>
        <v>0.64076825364915357</v>
      </c>
    </row>
    <row r="207" spans="1:10" ht="18" customHeight="1">
      <c r="A207" s="25" t="s">
        <v>92</v>
      </c>
      <c r="B207" s="50">
        <v>28557006</v>
      </c>
      <c r="C207" s="43">
        <v>1237946.2101</v>
      </c>
      <c r="D207" s="48">
        <v>4.335E-2</v>
      </c>
      <c r="E207" s="43">
        <f>($B207*D207)</f>
        <v>1237946.2101</v>
      </c>
      <c r="F207" s="49">
        <v>4.3630000000000002E-2</v>
      </c>
      <c r="G207" s="43">
        <f>($B207*F207)</f>
        <v>1245942.17178</v>
      </c>
      <c r="J207" s="47">
        <f>G207/G210</f>
        <v>0.20056235173452786</v>
      </c>
    </row>
    <row r="208" spans="1:10" ht="18" customHeight="1" thickBot="1">
      <c r="B208" s="56">
        <v>118008881</v>
      </c>
      <c r="C208" s="50"/>
      <c r="D208" s="45"/>
      <c r="E208" s="50"/>
      <c r="G208" s="50"/>
    </row>
    <row r="209" spans="1:7" ht="18" customHeight="1" thickTop="1">
      <c r="B209" s="43"/>
      <c r="C209" s="43"/>
      <c r="D209" s="43"/>
      <c r="E209" s="43"/>
      <c r="G209" s="43"/>
    </row>
    <row r="210" spans="1:7" ht="18" customHeight="1" thickBot="1">
      <c r="A210" s="25" t="s">
        <v>67</v>
      </c>
      <c r="B210" s="43"/>
      <c r="C210" s="43">
        <v>6212312.4863499999</v>
      </c>
      <c r="D210" s="43"/>
      <c r="E210" s="51">
        <f>SUM(E199:E209)</f>
        <v>6212312.4863499999</v>
      </c>
      <c r="G210" s="51">
        <f>SUM(G199:G209)</f>
        <v>6212243.5292799994</v>
      </c>
    </row>
    <row r="211" spans="1:7" ht="14.4" thickTop="1">
      <c r="B211" s="43"/>
      <c r="C211" s="43"/>
      <c r="D211" s="43"/>
      <c r="E211" s="43"/>
      <c r="G211" s="43"/>
    </row>
    <row r="212" spans="1:7">
      <c r="A212" s="25" t="s">
        <v>68</v>
      </c>
      <c r="B212" s="43"/>
      <c r="C212" s="43">
        <v>-144511</v>
      </c>
      <c r="D212" s="43"/>
      <c r="E212" s="43"/>
      <c r="G212" s="43"/>
    </row>
    <row r="213" spans="1:7">
      <c r="A213" s="25" t="s">
        <v>69</v>
      </c>
      <c r="B213" s="43"/>
      <c r="C213" s="50">
        <v>760490</v>
      </c>
      <c r="D213" s="43"/>
      <c r="E213" s="43"/>
      <c r="G213" s="43"/>
    </row>
    <row r="214" spans="1:7">
      <c r="B214" s="43"/>
      <c r="C214" s="43"/>
      <c r="D214" s="43"/>
      <c r="E214" s="43"/>
      <c r="G214" s="43"/>
    </row>
    <row r="215" spans="1:7" ht="14.4" thickBot="1">
      <c r="A215" s="25" t="s">
        <v>70</v>
      </c>
      <c r="B215" s="43"/>
      <c r="C215" s="51">
        <v>6828291.4863499999</v>
      </c>
      <c r="D215" s="43"/>
    </row>
    <row r="216" spans="1:7" ht="14.4" thickTop="1">
      <c r="B216" s="43"/>
      <c r="C216" s="43"/>
      <c r="D216" s="43"/>
      <c r="E216" s="43"/>
      <c r="G216" s="43"/>
    </row>
    <row r="217" spans="1:7">
      <c r="A217" s="25" t="s">
        <v>71</v>
      </c>
      <c r="B217" s="43"/>
      <c r="C217" s="43"/>
      <c r="D217" s="43"/>
      <c r="E217" s="44">
        <f>(E210-C210)</f>
        <v>0</v>
      </c>
      <c r="G217" s="44">
        <f>(G210-E210)</f>
        <v>-68.957070000469685</v>
      </c>
    </row>
    <row r="218" spans="1:7">
      <c r="A218" s="25" t="s">
        <v>45</v>
      </c>
      <c r="E218" s="52">
        <f>(E217/C210)</f>
        <v>0</v>
      </c>
      <c r="F218" s="52"/>
      <c r="G218" s="52">
        <f>(G217/E210)</f>
        <v>-1.1100064613939747E-5</v>
      </c>
    </row>
    <row r="220" spans="1:7">
      <c r="A220" s="25" t="s">
        <v>72</v>
      </c>
      <c r="C220" s="45">
        <v>258846.35359791666</v>
      </c>
      <c r="D220" s="45"/>
      <c r="E220" s="45">
        <f>E210/$B199</f>
        <v>258846.35359791666</v>
      </c>
      <c r="F220" s="45"/>
      <c r="G220" s="45">
        <f>G210/$B199</f>
        <v>258843.48038666663</v>
      </c>
    </row>
    <row r="221" spans="1:7">
      <c r="A221" s="25" t="s">
        <v>71</v>
      </c>
      <c r="E221" s="45">
        <f>E220-C220</f>
        <v>0</v>
      </c>
      <c r="G221" s="45">
        <f>G220-E220</f>
        <v>-2.8732112500292715</v>
      </c>
    </row>
    <row r="222" spans="1:7">
      <c r="A222" s="25" t="s">
        <v>45</v>
      </c>
      <c r="E222" s="52">
        <f>E221/C220</f>
        <v>0</v>
      </c>
      <c r="G222" s="52">
        <f>G221/E220</f>
        <v>-1.1100064613977226E-5</v>
      </c>
    </row>
    <row r="225" spans="1:10">
      <c r="A225" s="23" t="str">
        <f>A1</f>
        <v>Owen Electric Cooperative</v>
      </c>
      <c r="B225" s="23"/>
      <c r="C225" s="23"/>
      <c r="D225" s="23"/>
      <c r="E225" s="23"/>
      <c r="F225" s="23"/>
      <c r="G225" s="24" t="s">
        <v>51</v>
      </c>
    </row>
    <row r="226" spans="1:10">
      <c r="A226" s="23" t="str">
        <f>A2</f>
        <v>Case No.  2012-00448</v>
      </c>
      <c r="B226" s="23"/>
      <c r="C226" s="23"/>
      <c r="D226" s="23"/>
      <c r="E226" s="23"/>
      <c r="F226" s="23"/>
      <c r="G226" s="24" t="s">
        <v>97</v>
      </c>
    </row>
    <row r="227" spans="1:10">
      <c r="A227" s="23" t="str">
        <f>A3</f>
        <v>Billing Analysis</v>
      </c>
      <c r="B227" s="23"/>
      <c r="C227" s="23"/>
      <c r="D227" s="23"/>
      <c r="E227" s="23"/>
      <c r="F227" s="23"/>
      <c r="G227" s="24" t="s">
        <v>55</v>
      </c>
    </row>
    <row r="228" spans="1:10">
      <c r="A228" s="27">
        <f>A4</f>
        <v>41090</v>
      </c>
      <c r="B228" s="23"/>
      <c r="C228" s="23"/>
      <c r="D228" s="23"/>
      <c r="E228" s="23"/>
      <c r="F228" s="23"/>
      <c r="G228" s="43"/>
    </row>
    <row r="229" spans="1:10">
      <c r="A229" s="23"/>
      <c r="B229" s="23"/>
      <c r="C229" s="23"/>
      <c r="D229" s="23"/>
      <c r="E229" s="23"/>
      <c r="F229" s="23"/>
    </row>
    <row r="230" spans="1:10">
      <c r="A230" s="23" t="s">
        <v>98</v>
      </c>
      <c r="B230" s="23"/>
      <c r="C230" s="23"/>
      <c r="D230" s="23"/>
      <c r="E230" s="23"/>
      <c r="F230" s="23"/>
      <c r="G230" s="43"/>
    </row>
    <row r="232" spans="1:10" ht="20.100000000000001" customHeight="1">
      <c r="B232" s="28"/>
      <c r="C232" s="29" t="s">
        <v>57</v>
      </c>
      <c r="D232" s="30" t="s">
        <v>58</v>
      </c>
      <c r="E232" s="31"/>
      <c r="F232" s="32"/>
      <c r="G232" s="33"/>
    </row>
    <row r="233" spans="1:10" ht="20.100000000000001" customHeight="1">
      <c r="B233" s="34" t="s">
        <v>59</v>
      </c>
      <c r="C233" s="35" t="s">
        <v>60</v>
      </c>
      <c r="D233" s="36" t="str">
        <f>D9</f>
        <v>Case No. 2010-00507</v>
      </c>
      <c r="E233" s="37"/>
      <c r="F233" s="36" t="s">
        <v>7</v>
      </c>
      <c r="G233" s="37"/>
    </row>
    <row r="234" spans="1:10" ht="20.100000000000001" customHeight="1">
      <c r="A234" s="38" t="s">
        <v>62</v>
      </c>
      <c r="B234" s="39" t="s">
        <v>63</v>
      </c>
      <c r="C234" s="39" t="s">
        <v>64</v>
      </c>
      <c r="D234" s="40" t="s">
        <v>65</v>
      </c>
      <c r="E234" s="41" t="s">
        <v>64</v>
      </c>
      <c r="F234" s="40" t="s">
        <v>65</v>
      </c>
      <c r="G234" s="41" t="s">
        <v>64</v>
      </c>
    </row>
    <row r="235" spans="1:10" ht="20.100000000000001" customHeight="1">
      <c r="G235" s="43"/>
    </row>
    <row r="236" spans="1:10" ht="20.100000000000001" customHeight="1">
      <c r="A236" s="25" t="s">
        <v>5</v>
      </c>
      <c r="B236" s="43">
        <v>12</v>
      </c>
      <c r="C236" s="43">
        <v>18261.96</v>
      </c>
      <c r="D236" s="45">
        <v>1521.83</v>
      </c>
      <c r="E236" s="44">
        <f>($B236*D236)</f>
        <v>18261.96</v>
      </c>
      <c r="F236" s="46">
        <v>1521.83</v>
      </c>
      <c r="G236" s="44">
        <f>($B236*F236)</f>
        <v>18261.96</v>
      </c>
      <c r="J236" s="47">
        <f>G236/G243</f>
        <v>7.1276085139832843E-2</v>
      </c>
    </row>
    <row r="237" spans="1:10" ht="20.100000000000001" customHeight="1">
      <c r="A237" s="25" t="s">
        <v>85</v>
      </c>
      <c r="B237" s="43"/>
      <c r="C237" s="43"/>
      <c r="D237" s="45"/>
      <c r="E237" s="43"/>
      <c r="F237" s="45"/>
      <c r="G237" s="43"/>
      <c r="J237" s="47"/>
    </row>
    <row r="238" spans="1:10" ht="20.100000000000001" customHeight="1">
      <c r="A238" s="25" t="s">
        <v>89</v>
      </c>
      <c r="B238" s="54">
        <v>6551.2</v>
      </c>
      <c r="C238" s="43">
        <v>46382.495999999999</v>
      </c>
      <c r="D238" s="45">
        <v>7.08</v>
      </c>
      <c r="E238" s="43">
        <f>($B238*D238)</f>
        <v>46382.495999999999</v>
      </c>
      <c r="F238" s="46">
        <v>7.25</v>
      </c>
      <c r="G238" s="43">
        <f>($B238*F238)</f>
        <v>47496.2</v>
      </c>
      <c r="J238" s="47">
        <f>G238/G243</f>
        <v>0.18537677199043961</v>
      </c>
    </row>
    <row r="239" spans="1:10" ht="20.100000000000001" customHeight="1">
      <c r="A239" s="25" t="s">
        <v>90</v>
      </c>
      <c r="B239" s="54">
        <v>2783</v>
      </c>
      <c r="C239" s="43">
        <v>27384.720000000001</v>
      </c>
      <c r="D239" s="45">
        <v>9.84</v>
      </c>
      <c r="E239" s="43">
        <f>($B239*D239)</f>
        <v>27384.720000000001</v>
      </c>
      <c r="F239" s="46">
        <v>9.98</v>
      </c>
      <c r="G239" s="43">
        <f>($B239*F239)</f>
        <v>27774.34</v>
      </c>
      <c r="J239" s="47">
        <f>G239/G243</f>
        <v>0.1084027247098704</v>
      </c>
    </row>
    <row r="240" spans="1:10" ht="20.100000000000001" customHeight="1">
      <c r="A240" s="25" t="s">
        <v>75</v>
      </c>
      <c r="B240" s="43">
        <v>3186093</v>
      </c>
      <c r="C240" s="43">
        <v>164179.37229</v>
      </c>
      <c r="D240" s="48">
        <v>5.1529999999999999E-2</v>
      </c>
      <c r="E240" s="43">
        <f>($B240*D240)</f>
        <v>164179.37229</v>
      </c>
      <c r="F240" s="49">
        <v>5.1060000000000001E-2</v>
      </c>
      <c r="G240" s="43">
        <f>($B240*F240)</f>
        <v>162681.90858000002</v>
      </c>
      <c r="J240" s="47">
        <f>G240/G243</f>
        <v>0.63494441815985714</v>
      </c>
    </row>
    <row r="241" spans="1:10" ht="20.100000000000001" customHeight="1">
      <c r="B241" s="43"/>
      <c r="C241" s="50"/>
      <c r="D241" s="45"/>
      <c r="E241" s="50"/>
      <c r="G241" s="50"/>
      <c r="J241" s="47"/>
    </row>
    <row r="242" spans="1:10" ht="20.100000000000001" customHeight="1">
      <c r="B242" s="43"/>
      <c r="C242" s="43"/>
      <c r="D242" s="43"/>
      <c r="E242" s="43"/>
      <c r="G242" s="43"/>
    </row>
    <row r="243" spans="1:10" ht="20.100000000000001" customHeight="1" thickBot="1">
      <c r="A243" s="25" t="s">
        <v>67</v>
      </c>
      <c r="B243" s="43"/>
      <c r="C243" s="43">
        <v>256208.54829000001</v>
      </c>
      <c r="D243" s="43"/>
      <c r="E243" s="51">
        <f>SUM(E236:E242)</f>
        <v>256208.54829000001</v>
      </c>
      <c r="G243" s="51">
        <f>SUM(G236:G242)</f>
        <v>256214.40858000002</v>
      </c>
    </row>
    <row r="244" spans="1:10" ht="14.4" thickTop="1">
      <c r="B244" s="43"/>
      <c r="C244" s="43"/>
      <c r="D244" s="43"/>
      <c r="E244" s="43"/>
      <c r="G244" s="43"/>
    </row>
    <row r="245" spans="1:10">
      <c r="A245" s="25" t="s">
        <v>68</v>
      </c>
      <c r="B245" s="43"/>
      <c r="C245" s="43">
        <v>-2952</v>
      </c>
      <c r="D245" s="43"/>
      <c r="E245" s="43"/>
      <c r="G245" s="43"/>
    </row>
    <row r="246" spans="1:10">
      <c r="A246" s="25" t="s">
        <v>69</v>
      </c>
      <c r="B246" s="43"/>
      <c r="C246" s="50">
        <v>25033</v>
      </c>
      <c r="D246" s="43"/>
      <c r="E246" s="43"/>
      <c r="G246" s="43"/>
    </row>
    <row r="247" spans="1:10">
      <c r="B247" s="43"/>
      <c r="C247" s="43"/>
      <c r="D247" s="43"/>
      <c r="E247" s="43"/>
      <c r="G247" s="43"/>
    </row>
    <row r="248" spans="1:10" ht="14.4" thickBot="1">
      <c r="A248" s="25" t="s">
        <v>70</v>
      </c>
      <c r="B248" s="43"/>
      <c r="C248" s="51">
        <v>278289.54829000001</v>
      </c>
      <c r="D248" s="43"/>
    </row>
    <row r="249" spans="1:10" ht="14.4" thickTop="1">
      <c r="B249" s="43"/>
      <c r="C249" s="43"/>
      <c r="D249" s="43"/>
      <c r="E249" s="43"/>
      <c r="G249" s="43"/>
    </row>
    <row r="250" spans="1:10">
      <c r="A250" s="25" t="s">
        <v>71</v>
      </c>
      <c r="B250" s="43"/>
      <c r="C250" s="43"/>
      <c r="D250" s="43"/>
      <c r="E250" s="44">
        <f>(E243-C243)</f>
        <v>0</v>
      </c>
      <c r="G250" s="44">
        <f>(G243-E243)</f>
        <v>5.860290000011446</v>
      </c>
    </row>
    <row r="251" spans="1:10">
      <c r="A251" s="25" t="s">
        <v>45</v>
      </c>
      <c r="E251" s="52">
        <f>(E250/C243)</f>
        <v>0</v>
      </c>
      <c r="F251" s="52"/>
      <c r="G251" s="52">
        <f>(G250/E243)</f>
        <v>2.2873124410268464E-5</v>
      </c>
    </row>
    <row r="253" spans="1:10">
      <c r="A253" s="25" t="s">
        <v>72</v>
      </c>
      <c r="C253" s="45">
        <v>21350.712357500001</v>
      </c>
      <c r="D253" s="45"/>
      <c r="E253" s="45">
        <f>E243/$B236</f>
        <v>21350.712357500001</v>
      </c>
      <c r="F253" s="45"/>
      <c r="G253" s="45">
        <f>G243/$B236</f>
        <v>21351.200715000003</v>
      </c>
    </row>
    <row r="254" spans="1:10">
      <c r="A254" s="25" t="s">
        <v>71</v>
      </c>
      <c r="E254" s="45">
        <f>E253-C253</f>
        <v>0</v>
      </c>
      <c r="G254" s="45">
        <f>G253-E253</f>
        <v>0.48835750000216649</v>
      </c>
    </row>
    <row r="255" spans="1:10">
      <c r="A255" s="25" t="s">
        <v>45</v>
      </c>
      <c r="E255" s="52">
        <f>E254/C253</f>
        <v>0</v>
      </c>
      <c r="G255" s="52">
        <f>G254/E253</f>
        <v>2.2873124410325262E-5</v>
      </c>
    </row>
    <row r="258" spans="1:10">
      <c r="A258" s="23" t="str">
        <f>A1</f>
        <v>Owen Electric Cooperative</v>
      </c>
      <c r="B258" s="23"/>
      <c r="C258" s="23"/>
      <c r="D258" s="23"/>
      <c r="E258" s="23"/>
      <c r="F258" s="23"/>
      <c r="G258" s="24" t="s">
        <v>51</v>
      </c>
    </row>
    <row r="259" spans="1:10">
      <c r="A259" s="23" t="str">
        <f>A2</f>
        <v>Case No.  2012-00448</v>
      </c>
      <c r="B259" s="23"/>
      <c r="C259" s="23"/>
      <c r="D259" s="23"/>
      <c r="E259" s="23"/>
      <c r="F259" s="23"/>
      <c r="G259" s="24" t="s">
        <v>99</v>
      </c>
    </row>
    <row r="260" spans="1:10">
      <c r="A260" s="23" t="str">
        <f>A3</f>
        <v>Billing Analysis</v>
      </c>
      <c r="B260" s="23"/>
      <c r="C260" s="23"/>
      <c r="D260" s="23"/>
      <c r="E260" s="23"/>
      <c r="F260" s="23"/>
      <c r="G260" s="24" t="s">
        <v>55</v>
      </c>
    </row>
    <row r="261" spans="1:10">
      <c r="A261" s="27">
        <f>A4</f>
        <v>41090</v>
      </c>
      <c r="B261" s="23"/>
      <c r="C261" s="23"/>
      <c r="D261" s="23"/>
      <c r="E261" s="23"/>
      <c r="F261" s="23"/>
      <c r="G261" s="43"/>
    </row>
    <row r="262" spans="1:10">
      <c r="A262" s="23"/>
      <c r="B262" s="23"/>
      <c r="C262" s="23"/>
      <c r="D262" s="23"/>
      <c r="E262" s="23"/>
      <c r="F262" s="23"/>
    </row>
    <row r="263" spans="1:10">
      <c r="A263" s="23" t="s">
        <v>100</v>
      </c>
      <c r="B263" s="23"/>
      <c r="C263" s="23"/>
      <c r="D263" s="23"/>
      <c r="E263" s="23"/>
      <c r="F263" s="23"/>
      <c r="G263" s="43"/>
    </row>
    <row r="265" spans="1:10" ht="20.100000000000001" customHeight="1">
      <c r="B265" s="28"/>
      <c r="C265" s="29" t="s">
        <v>57</v>
      </c>
      <c r="D265" s="30" t="s">
        <v>58</v>
      </c>
      <c r="E265" s="31"/>
      <c r="F265" s="32"/>
      <c r="G265" s="33"/>
    </row>
    <row r="266" spans="1:10" ht="20.100000000000001" customHeight="1">
      <c r="B266" s="34" t="s">
        <v>59</v>
      </c>
      <c r="C266" s="35" t="s">
        <v>60</v>
      </c>
      <c r="D266" s="36" t="str">
        <f>+D9</f>
        <v>Case No. 2010-00507</v>
      </c>
      <c r="E266" s="37"/>
      <c r="F266" s="36" t="s">
        <v>7</v>
      </c>
      <c r="G266" s="37"/>
    </row>
    <row r="267" spans="1:10" ht="20.100000000000001" customHeight="1">
      <c r="A267" s="38" t="s">
        <v>62</v>
      </c>
      <c r="B267" s="39" t="s">
        <v>63</v>
      </c>
      <c r="C267" s="39" t="s">
        <v>64</v>
      </c>
      <c r="D267" s="40" t="s">
        <v>65</v>
      </c>
      <c r="E267" s="41" t="s">
        <v>64</v>
      </c>
      <c r="F267" s="40" t="s">
        <v>65</v>
      </c>
      <c r="G267" s="41" t="s">
        <v>64</v>
      </c>
    </row>
    <row r="268" spans="1:10" ht="20.100000000000001" customHeight="1">
      <c r="G268" s="43"/>
    </row>
    <row r="269" spans="1:10" ht="20.100000000000001" customHeight="1">
      <c r="A269" s="25" t="s">
        <v>5</v>
      </c>
      <c r="B269" s="43">
        <v>133</v>
      </c>
      <c r="C269" s="43">
        <v>8156.8899999999994</v>
      </c>
      <c r="D269" s="45">
        <v>61.33</v>
      </c>
      <c r="E269" s="44">
        <f>($B269*D269)</f>
        <v>8156.8899999999994</v>
      </c>
      <c r="F269" s="53">
        <v>61.33</v>
      </c>
      <c r="G269" s="44">
        <f>($B269*F269)</f>
        <v>8156.8899999999994</v>
      </c>
      <c r="J269" s="47">
        <f>G269/G276</f>
        <v>3.2491308337913902E-2</v>
      </c>
    </row>
    <row r="270" spans="1:10" ht="20.100000000000001" customHeight="1">
      <c r="A270" s="25" t="s">
        <v>75</v>
      </c>
      <c r="B270" s="43"/>
      <c r="C270" s="43"/>
      <c r="D270" s="45"/>
      <c r="E270" s="44"/>
      <c r="F270" s="53"/>
      <c r="G270" s="44"/>
      <c r="J270" s="47"/>
    </row>
    <row r="271" spans="1:10" ht="20.100000000000001" customHeight="1">
      <c r="A271" s="25" t="s">
        <v>101</v>
      </c>
      <c r="B271" s="43">
        <v>1668352</v>
      </c>
      <c r="C271" s="43">
        <v>172591.01440000001</v>
      </c>
      <c r="D271" s="57">
        <v>0.10345</v>
      </c>
      <c r="E271" s="43">
        <f>($B271*D271)</f>
        <v>172591.01440000001</v>
      </c>
      <c r="F271" s="58">
        <v>0.10345</v>
      </c>
      <c r="G271" s="43">
        <f>($B271*F271)</f>
        <v>172591.01440000001</v>
      </c>
      <c r="J271" s="47">
        <f>G271/G276</f>
        <v>0.68748111905686349</v>
      </c>
    </row>
    <row r="272" spans="1:10" ht="20.100000000000001" customHeight="1">
      <c r="A272" s="25" t="s">
        <v>102</v>
      </c>
      <c r="B272" s="50">
        <v>1171284</v>
      </c>
      <c r="C272" s="43">
        <v>70300.465679999994</v>
      </c>
      <c r="D272" s="57">
        <v>6.0019999999999997E-2</v>
      </c>
      <c r="E272" s="43">
        <f>($B272*D272)</f>
        <v>70300.465679999994</v>
      </c>
      <c r="F272" s="58">
        <f>+D272</f>
        <v>6.0019999999999997E-2</v>
      </c>
      <c r="G272" s="43">
        <f>($B272*F272)</f>
        <v>70300.465679999994</v>
      </c>
      <c r="J272" s="47">
        <f>G272/G276</f>
        <v>0.2800275726052226</v>
      </c>
    </row>
    <row r="273" spans="1:7" ht="20.100000000000001" customHeight="1" thickBot="1">
      <c r="B273" s="56">
        <v>2839636</v>
      </c>
      <c r="C273" s="43"/>
      <c r="D273" s="48"/>
      <c r="E273" s="43"/>
      <c r="F273" s="48"/>
      <c r="G273" s="43"/>
    </row>
    <row r="274" spans="1:7" ht="20.100000000000001" customHeight="1" thickTop="1">
      <c r="B274" s="43"/>
      <c r="C274" s="50"/>
      <c r="D274" s="45"/>
      <c r="E274" s="50"/>
      <c r="G274" s="50"/>
    </row>
    <row r="275" spans="1:7" ht="20.100000000000001" customHeight="1">
      <c r="B275" s="43"/>
      <c r="C275" s="43"/>
      <c r="D275" s="43"/>
      <c r="E275" s="43"/>
      <c r="G275" s="43"/>
    </row>
    <row r="276" spans="1:7" ht="20.100000000000001" customHeight="1" thickBot="1">
      <c r="A276" s="25" t="s">
        <v>67</v>
      </c>
      <c r="B276" s="43"/>
      <c r="C276" s="43">
        <v>251048.37007999999</v>
      </c>
      <c r="D276" s="43"/>
      <c r="E276" s="51">
        <f>SUM(E269:E275)</f>
        <v>251048.37007999999</v>
      </c>
      <c r="G276" s="51">
        <f>SUM(G269:G275)</f>
        <v>251048.37007999999</v>
      </c>
    </row>
    <row r="277" spans="1:7" ht="14.4" thickTop="1">
      <c r="B277" s="43"/>
      <c r="C277" s="43"/>
      <c r="D277" s="43"/>
      <c r="E277" s="43"/>
      <c r="G277" s="43"/>
    </row>
    <row r="278" spans="1:7">
      <c r="A278" s="25" t="s">
        <v>68</v>
      </c>
      <c r="B278" s="43"/>
      <c r="C278" s="43">
        <v>-5699</v>
      </c>
      <c r="D278" s="43"/>
      <c r="E278" s="43"/>
      <c r="G278" s="43"/>
    </row>
    <row r="279" spans="1:7">
      <c r="A279" s="25" t="s">
        <v>69</v>
      </c>
      <c r="B279" s="43"/>
      <c r="C279" s="50">
        <v>20868</v>
      </c>
      <c r="D279" s="43"/>
      <c r="E279" s="43"/>
      <c r="G279" s="43"/>
    </row>
    <row r="280" spans="1:7">
      <c r="B280" s="43"/>
      <c r="C280" s="43"/>
      <c r="D280" s="43"/>
      <c r="E280" s="43"/>
      <c r="G280" s="43"/>
    </row>
    <row r="281" spans="1:7" ht="14.4" thickBot="1">
      <c r="A281" s="25" t="s">
        <v>70</v>
      </c>
      <c r="B281" s="43"/>
      <c r="C281" s="51">
        <v>266217.37008000002</v>
      </c>
      <c r="D281" s="43"/>
    </row>
    <row r="282" spans="1:7" ht="14.4" thickTop="1">
      <c r="B282" s="43"/>
      <c r="C282" s="43"/>
      <c r="D282" s="43"/>
      <c r="E282" s="43"/>
      <c r="G282" s="43"/>
    </row>
    <row r="283" spans="1:7">
      <c r="A283" s="25" t="s">
        <v>71</v>
      </c>
      <c r="B283" s="43"/>
      <c r="C283" s="43"/>
      <c r="D283" s="43"/>
      <c r="E283" s="44">
        <f>(E276-C276)</f>
        <v>0</v>
      </c>
      <c r="G283" s="44">
        <f>(G276-E276)</f>
        <v>0</v>
      </c>
    </row>
    <row r="284" spans="1:7">
      <c r="A284" s="25" t="s">
        <v>45</v>
      </c>
      <c r="E284" s="52">
        <f>(E283/C276)</f>
        <v>0</v>
      </c>
      <c r="F284" s="52"/>
      <c r="G284" s="52">
        <f>(G283/E276)</f>
        <v>0</v>
      </c>
    </row>
    <row r="286" spans="1:7">
      <c r="A286" s="25" t="s">
        <v>72</v>
      </c>
      <c r="C286" s="45">
        <v>1887.581729924812</v>
      </c>
      <c r="D286" s="45"/>
      <c r="E286" s="45">
        <f>E276/$B269</f>
        <v>1887.581729924812</v>
      </c>
      <c r="F286" s="45"/>
      <c r="G286" s="45">
        <f>G276/$B269</f>
        <v>1887.581729924812</v>
      </c>
    </row>
    <row r="287" spans="1:7">
      <c r="A287" s="25" t="s">
        <v>71</v>
      </c>
      <c r="E287" s="45">
        <f>E286-C286</f>
        <v>0</v>
      </c>
      <c r="G287" s="45">
        <f>G286-E286</f>
        <v>0</v>
      </c>
    </row>
    <row r="288" spans="1:7">
      <c r="A288" s="25" t="s">
        <v>45</v>
      </c>
      <c r="E288" s="52">
        <f>E287/C286</f>
        <v>0</v>
      </c>
      <c r="G288" s="52">
        <f>G287/E286</f>
        <v>0</v>
      </c>
    </row>
    <row r="289" spans="1:10">
      <c r="B289" s="43"/>
      <c r="C289" s="43"/>
      <c r="D289" s="43"/>
    </row>
    <row r="290" spans="1:10">
      <c r="B290" s="43"/>
      <c r="C290" s="43"/>
      <c r="D290" s="43"/>
    </row>
    <row r="291" spans="1:10">
      <c r="A291" s="23" t="str">
        <f>+A1</f>
        <v>Owen Electric Cooperative</v>
      </c>
      <c r="B291" s="23"/>
      <c r="C291" s="23"/>
      <c r="D291" s="23"/>
      <c r="E291" s="23"/>
      <c r="F291" s="23"/>
      <c r="G291" s="24" t="s">
        <v>51</v>
      </c>
    </row>
    <row r="292" spans="1:10">
      <c r="A292" s="23" t="str">
        <f>+A2</f>
        <v>Case No.  2012-00448</v>
      </c>
      <c r="B292" s="23"/>
      <c r="C292" s="23"/>
      <c r="D292" s="23"/>
      <c r="E292" s="23"/>
      <c r="F292" s="23"/>
      <c r="G292" s="24" t="s">
        <v>103</v>
      </c>
    </row>
    <row r="293" spans="1:10">
      <c r="A293" s="23" t="str">
        <f>+A3</f>
        <v>Billing Analysis</v>
      </c>
      <c r="B293" s="23"/>
      <c r="C293" s="23"/>
      <c r="D293" s="23"/>
      <c r="E293" s="23"/>
      <c r="F293" s="23"/>
      <c r="G293" s="24" t="s">
        <v>55</v>
      </c>
    </row>
    <row r="294" spans="1:10">
      <c r="A294" s="27">
        <f>+A4</f>
        <v>41090</v>
      </c>
      <c r="B294" s="23"/>
      <c r="C294" s="23"/>
      <c r="D294" s="23"/>
      <c r="E294" s="23"/>
      <c r="F294" s="23"/>
      <c r="G294" s="43"/>
    </row>
    <row r="295" spans="1:10">
      <c r="A295" s="23"/>
      <c r="B295" s="23"/>
      <c r="C295" s="23"/>
      <c r="D295" s="23"/>
      <c r="E295" s="23"/>
      <c r="F295" s="23"/>
    </row>
    <row r="296" spans="1:10">
      <c r="A296" s="23" t="s">
        <v>104</v>
      </c>
      <c r="B296" s="23"/>
      <c r="C296" s="23"/>
      <c r="D296" s="23"/>
      <c r="E296" s="23"/>
      <c r="F296" s="23"/>
      <c r="G296" s="43"/>
    </row>
    <row r="298" spans="1:10">
      <c r="B298" s="28"/>
      <c r="C298" s="29" t="s">
        <v>57</v>
      </c>
      <c r="D298" s="30" t="s">
        <v>58</v>
      </c>
      <c r="E298" s="31"/>
      <c r="F298" s="32"/>
      <c r="G298" s="33"/>
    </row>
    <row r="299" spans="1:10">
      <c r="B299" s="34" t="s">
        <v>59</v>
      </c>
      <c r="C299" s="35" t="s">
        <v>60</v>
      </c>
      <c r="D299" s="36" t="str">
        <f>+D9</f>
        <v>Case No. 2010-00507</v>
      </c>
      <c r="E299" s="37"/>
      <c r="F299" s="36" t="s">
        <v>7</v>
      </c>
      <c r="G299" s="37"/>
    </row>
    <row r="300" spans="1:10" ht="15">
      <c r="A300" s="38" t="s">
        <v>62</v>
      </c>
      <c r="B300" s="39" t="s">
        <v>63</v>
      </c>
      <c r="C300" s="39" t="s">
        <v>64</v>
      </c>
      <c r="D300" s="40" t="s">
        <v>65</v>
      </c>
      <c r="E300" s="41" t="s">
        <v>64</v>
      </c>
      <c r="F300" s="40" t="s">
        <v>65</v>
      </c>
      <c r="G300" s="41" t="s">
        <v>64</v>
      </c>
    </row>
    <row r="301" spans="1:10">
      <c r="G301" s="43"/>
    </row>
    <row r="302" spans="1:10" ht="14.4">
      <c r="A302" s="25" t="s">
        <v>5</v>
      </c>
      <c r="B302" s="43">
        <v>18</v>
      </c>
      <c r="C302" s="43">
        <v>441.18</v>
      </c>
      <c r="D302" s="45">
        <v>24.51</v>
      </c>
      <c r="E302" s="44">
        <f>($B302*D302)</f>
        <v>441.18</v>
      </c>
      <c r="F302" s="46">
        <v>24.51</v>
      </c>
      <c r="G302" s="44">
        <f>($B302*F302)</f>
        <v>441.18</v>
      </c>
      <c r="J302" s="47">
        <f>G302/G309</f>
        <v>8.1743065880130805E-2</v>
      </c>
    </row>
    <row r="303" spans="1:10" ht="14.4">
      <c r="A303" s="25" t="s">
        <v>75</v>
      </c>
      <c r="B303" s="43"/>
      <c r="C303" s="43"/>
      <c r="D303" s="45"/>
      <c r="E303" s="44"/>
      <c r="F303" s="45"/>
      <c r="G303" s="44"/>
      <c r="J303" s="47"/>
    </row>
    <row r="304" spans="1:10" ht="14.4">
      <c r="A304" s="25" t="s">
        <v>101</v>
      </c>
      <c r="B304" s="43">
        <v>31872</v>
      </c>
      <c r="C304" s="43">
        <v>3169.03296</v>
      </c>
      <c r="D304" s="57">
        <v>9.9430000000000004E-2</v>
      </c>
      <c r="E304" s="43">
        <f>($B304*D304)</f>
        <v>3169.03296</v>
      </c>
      <c r="F304" s="59">
        <v>0.10413</v>
      </c>
      <c r="G304" s="43">
        <f>($B304*F304)</f>
        <v>3318.8313600000001</v>
      </c>
      <c r="J304" s="47">
        <f>G304/G309</f>
        <v>0.61492236843357395</v>
      </c>
    </row>
    <row r="305" spans="1:10" ht="14.4">
      <c r="A305" s="25" t="s">
        <v>102</v>
      </c>
      <c r="B305" s="50">
        <v>27168</v>
      </c>
      <c r="C305" s="43">
        <v>1509.45408</v>
      </c>
      <c r="D305" s="57">
        <v>5.5559999999999998E-2</v>
      </c>
      <c r="E305" s="43">
        <f>($B305*D305)</f>
        <v>1509.45408</v>
      </c>
      <c r="F305" s="59">
        <v>6.0260000000000001E-2</v>
      </c>
      <c r="G305" s="43">
        <f>($B305*F305)</f>
        <v>1637.1436800000001</v>
      </c>
      <c r="J305" s="47">
        <f>G305/G309</f>
        <v>0.30333456568629541</v>
      </c>
    </row>
    <row r="306" spans="1:10" ht="14.4" thickBot="1">
      <c r="B306" s="56">
        <v>59040</v>
      </c>
      <c r="C306" s="43"/>
      <c r="D306" s="48"/>
      <c r="E306" s="43"/>
      <c r="F306" s="48"/>
      <c r="G306" s="43"/>
    </row>
    <row r="307" spans="1:10" ht="14.4" thickTop="1">
      <c r="B307" s="43"/>
      <c r="C307" s="50"/>
      <c r="D307" s="45"/>
      <c r="E307" s="50"/>
      <c r="G307" s="50"/>
    </row>
    <row r="308" spans="1:10">
      <c r="B308" s="43"/>
      <c r="C308" s="43"/>
      <c r="D308" s="43"/>
      <c r="E308" s="43"/>
      <c r="G308" s="43"/>
    </row>
    <row r="309" spans="1:10" ht="14.4" thickBot="1">
      <c r="A309" s="25" t="s">
        <v>67</v>
      </c>
      <c r="B309" s="43"/>
      <c r="C309" s="43">
        <v>5119.6670400000003</v>
      </c>
      <c r="D309" s="43"/>
      <c r="E309" s="51">
        <f>SUM(E302:E308)</f>
        <v>5119.6670400000003</v>
      </c>
      <c r="G309" s="51">
        <f>SUM(G302:G308)</f>
        <v>5397.1550399999996</v>
      </c>
    </row>
    <row r="310" spans="1:10" ht="14.4" thickTop="1">
      <c r="B310" s="43"/>
      <c r="C310" s="43"/>
      <c r="D310" s="43"/>
      <c r="E310" s="43"/>
      <c r="G310" s="43"/>
    </row>
    <row r="311" spans="1:10">
      <c r="A311" s="25" t="s">
        <v>68</v>
      </c>
      <c r="B311" s="43"/>
      <c r="C311" s="43">
        <v>-14</v>
      </c>
      <c r="D311" s="43"/>
      <c r="E311" s="43"/>
      <c r="G311" s="43"/>
    </row>
    <row r="312" spans="1:10">
      <c r="A312" s="25" t="s">
        <v>69</v>
      </c>
      <c r="B312" s="43"/>
      <c r="C312" s="50">
        <v>422</v>
      </c>
      <c r="D312" s="43"/>
      <c r="E312" s="43"/>
      <c r="G312" s="43"/>
    </row>
    <row r="313" spans="1:10">
      <c r="B313" s="43"/>
      <c r="C313" s="43"/>
      <c r="D313" s="43"/>
      <c r="E313" s="43"/>
      <c r="G313" s="43"/>
    </row>
    <row r="314" spans="1:10" ht="14.4" thickBot="1">
      <c r="A314" s="25" t="s">
        <v>70</v>
      </c>
      <c r="B314" s="43"/>
      <c r="C314" s="51">
        <v>5527.6670400000003</v>
      </c>
      <c r="D314" s="43"/>
    </row>
    <row r="315" spans="1:10" ht="14.4" thickTop="1">
      <c r="B315" s="43"/>
      <c r="C315" s="43"/>
      <c r="D315" s="43"/>
      <c r="E315" s="43"/>
      <c r="G315" s="43"/>
    </row>
    <row r="316" spans="1:10">
      <c r="A316" s="25" t="s">
        <v>71</v>
      </c>
      <c r="B316" s="43"/>
      <c r="C316" s="43"/>
      <c r="D316" s="43"/>
      <c r="E316" s="44">
        <f>(E309-C309)</f>
        <v>0</v>
      </c>
      <c r="G316" s="44">
        <f>(G309-E309)</f>
        <v>277.48799999999937</v>
      </c>
    </row>
    <row r="317" spans="1:10">
      <c r="A317" s="25" t="s">
        <v>45</v>
      </c>
      <c r="E317" s="52">
        <f>(E316/C309)</f>
        <v>0</v>
      </c>
      <c r="F317" s="52"/>
      <c r="G317" s="52">
        <f>(G316/E309)</f>
        <v>5.4200399719744149E-2</v>
      </c>
    </row>
    <row r="319" spans="1:10">
      <c r="A319" s="25" t="s">
        <v>72</v>
      </c>
      <c r="C319" s="45">
        <v>284.42594666666668</v>
      </c>
      <c r="D319" s="45"/>
      <c r="E319" s="45">
        <f>E309/$B302</f>
        <v>284.42594666666668</v>
      </c>
      <c r="F319" s="45"/>
      <c r="G319" s="45">
        <f>G309/$B302</f>
        <v>299.84194666666667</v>
      </c>
    </row>
    <row r="320" spans="1:10">
      <c r="A320" s="25" t="s">
        <v>71</v>
      </c>
      <c r="E320" s="45">
        <f>E319-C319</f>
        <v>0</v>
      </c>
      <c r="G320" s="45">
        <f>G319-E319</f>
        <v>15.415999999999997</v>
      </c>
    </row>
    <row r="321" spans="1:10">
      <c r="A321" s="25" t="s">
        <v>45</v>
      </c>
      <c r="E321" s="52">
        <f>E320/C319</f>
        <v>0</v>
      </c>
      <c r="G321" s="52">
        <f>G320/E319</f>
        <v>5.4200399719744261E-2</v>
      </c>
    </row>
    <row r="323" spans="1:10">
      <c r="B323" s="43"/>
      <c r="C323" s="43"/>
      <c r="D323" s="43"/>
    </row>
    <row r="324" spans="1:10">
      <c r="A324" s="23" t="str">
        <f>+A1</f>
        <v>Owen Electric Cooperative</v>
      </c>
      <c r="B324" s="23"/>
      <c r="C324" s="23"/>
      <c r="D324" s="23"/>
      <c r="E324" s="23"/>
      <c r="F324" s="23"/>
      <c r="G324" s="24" t="s">
        <v>51</v>
      </c>
    </row>
    <row r="325" spans="1:10">
      <c r="A325" s="23" t="str">
        <f>+A2</f>
        <v>Case No.  2012-00448</v>
      </c>
      <c r="B325" s="23"/>
      <c r="C325" s="23"/>
      <c r="D325" s="23"/>
      <c r="E325" s="23"/>
      <c r="F325" s="23"/>
      <c r="G325" s="24" t="s">
        <v>105</v>
      </c>
    </row>
    <row r="326" spans="1:10">
      <c r="A326" s="23" t="str">
        <f>+A3</f>
        <v>Billing Analysis</v>
      </c>
      <c r="B326" s="23"/>
      <c r="C326" s="23"/>
      <c r="D326" s="23"/>
      <c r="E326" s="23"/>
      <c r="F326" s="23"/>
      <c r="G326" s="24" t="s">
        <v>55</v>
      </c>
    </row>
    <row r="327" spans="1:10">
      <c r="A327" s="27">
        <f>+A4</f>
        <v>41090</v>
      </c>
      <c r="B327" s="23"/>
      <c r="C327" s="23"/>
      <c r="D327" s="23"/>
      <c r="E327" s="23"/>
      <c r="F327" s="23"/>
      <c r="G327" s="43"/>
    </row>
    <row r="328" spans="1:10">
      <c r="A328" s="23"/>
      <c r="B328" s="23"/>
      <c r="C328" s="23"/>
      <c r="D328" s="23"/>
      <c r="E328" s="23"/>
      <c r="F328" s="23"/>
    </row>
    <row r="329" spans="1:10">
      <c r="A329" s="23" t="s">
        <v>106</v>
      </c>
      <c r="B329" s="23"/>
      <c r="C329" s="23"/>
      <c r="D329" s="23"/>
      <c r="E329" s="23"/>
      <c r="F329" s="23"/>
      <c r="G329" s="43"/>
    </row>
    <row r="331" spans="1:10" ht="18" customHeight="1">
      <c r="B331" s="28"/>
      <c r="C331" s="29" t="s">
        <v>57</v>
      </c>
      <c r="D331" s="30" t="s">
        <v>58</v>
      </c>
      <c r="E331" s="31"/>
      <c r="F331" s="32"/>
      <c r="G331" s="33"/>
    </row>
    <row r="332" spans="1:10" ht="18" customHeight="1">
      <c r="B332" s="34" t="s">
        <v>59</v>
      </c>
      <c r="C332" s="35" t="s">
        <v>60</v>
      </c>
      <c r="D332" s="36" t="str">
        <f>+D9</f>
        <v>Case No. 2010-00507</v>
      </c>
      <c r="E332" s="37"/>
      <c r="F332" s="36" t="s">
        <v>7</v>
      </c>
      <c r="G332" s="37"/>
    </row>
    <row r="333" spans="1:10" ht="18" customHeight="1">
      <c r="A333" s="38" t="s">
        <v>62</v>
      </c>
      <c r="B333" s="39" t="s">
        <v>63</v>
      </c>
      <c r="C333" s="39" t="s">
        <v>64</v>
      </c>
      <c r="D333" s="40" t="s">
        <v>65</v>
      </c>
      <c r="E333" s="41" t="s">
        <v>64</v>
      </c>
      <c r="F333" s="40" t="s">
        <v>65</v>
      </c>
      <c r="G333" s="41" t="s">
        <v>64</v>
      </c>
    </row>
    <row r="334" spans="1:10" ht="18" customHeight="1">
      <c r="G334" s="43"/>
    </row>
    <row r="335" spans="1:10" ht="18" customHeight="1">
      <c r="A335" s="25" t="s">
        <v>5</v>
      </c>
      <c r="B335" s="43">
        <v>18</v>
      </c>
      <c r="C335" s="43">
        <v>1103.94</v>
      </c>
      <c r="D335" s="45">
        <v>61.33</v>
      </c>
      <c r="E335" s="44">
        <f>($B335*D335)</f>
        <v>1103.94</v>
      </c>
      <c r="F335" s="53">
        <v>61.33</v>
      </c>
      <c r="G335" s="44">
        <f>($B335*F335)</f>
        <v>1103.94</v>
      </c>
      <c r="J335" s="47">
        <f>G335/G342</f>
        <v>6.9701345324232672E-3</v>
      </c>
    </row>
    <row r="336" spans="1:10" ht="18" customHeight="1">
      <c r="A336" s="25" t="s">
        <v>75</v>
      </c>
      <c r="B336" s="43"/>
      <c r="C336" s="43"/>
      <c r="D336" s="45"/>
      <c r="E336" s="44"/>
      <c r="F336" s="53"/>
      <c r="G336" s="44"/>
      <c r="J336" s="47"/>
    </row>
    <row r="337" spans="1:10" ht="18" customHeight="1">
      <c r="A337" s="25" t="s">
        <v>101</v>
      </c>
      <c r="B337" s="43">
        <v>1230000</v>
      </c>
      <c r="C337" s="43">
        <v>127243.5</v>
      </c>
      <c r="D337" s="57">
        <v>0.10345</v>
      </c>
      <c r="E337" s="43">
        <f>($B337*D337)</f>
        <v>127243.5</v>
      </c>
      <c r="F337" s="58">
        <f>+D337</f>
        <v>0.10345</v>
      </c>
      <c r="G337" s="43">
        <f>($B337*F337)</f>
        <v>127243.5</v>
      </c>
      <c r="J337" s="47">
        <f>G337/G342</f>
        <v>0.80339901930938273</v>
      </c>
    </row>
    <row r="338" spans="1:10" ht="18" customHeight="1">
      <c r="A338" s="25" t="s">
        <v>102</v>
      </c>
      <c r="B338" s="50">
        <v>500400</v>
      </c>
      <c r="C338" s="43">
        <v>30034.007999999998</v>
      </c>
      <c r="D338" s="57">
        <v>6.0019999999999997E-2</v>
      </c>
      <c r="E338" s="43">
        <f>($B338*D338)</f>
        <v>30034.007999999998</v>
      </c>
      <c r="F338" s="58">
        <f>+D338</f>
        <v>6.0019999999999997E-2</v>
      </c>
      <c r="G338" s="43">
        <f>($B338*F338)</f>
        <v>30034.007999999998</v>
      </c>
      <c r="J338" s="47">
        <f>G338/G342</f>
        <v>0.18963084615819398</v>
      </c>
    </row>
    <row r="339" spans="1:10" ht="18" customHeight="1" thickBot="1">
      <c r="B339" s="56">
        <v>1730400</v>
      </c>
      <c r="C339" s="43"/>
      <c r="D339" s="48"/>
      <c r="E339" s="43"/>
      <c r="F339" s="48"/>
      <c r="G339" s="43"/>
    </row>
    <row r="340" spans="1:10" ht="18" customHeight="1" thickTop="1">
      <c r="B340" s="43"/>
      <c r="C340" s="50"/>
      <c r="D340" s="45"/>
      <c r="E340" s="50"/>
      <c r="G340" s="50"/>
    </row>
    <row r="341" spans="1:10" ht="18" customHeight="1">
      <c r="B341" s="43"/>
      <c r="C341" s="43"/>
      <c r="D341" s="43"/>
      <c r="E341" s="43"/>
      <c r="G341" s="43"/>
    </row>
    <row r="342" spans="1:10" ht="18" customHeight="1" thickBot="1">
      <c r="A342" s="25" t="s">
        <v>67</v>
      </c>
      <c r="B342" s="43"/>
      <c r="C342" s="43">
        <v>158381.448</v>
      </c>
      <c r="D342" s="43"/>
      <c r="E342" s="51">
        <f>SUM(E335:E341)</f>
        <v>158381.448</v>
      </c>
      <c r="G342" s="51">
        <f>SUM(G335:G341)</f>
        <v>158381.448</v>
      </c>
    </row>
    <row r="343" spans="1:10" ht="14.4" thickTop="1">
      <c r="B343" s="43"/>
      <c r="C343" s="43"/>
      <c r="D343" s="43"/>
      <c r="E343" s="43"/>
      <c r="G343" s="43"/>
    </row>
    <row r="344" spans="1:10">
      <c r="A344" s="25" t="s">
        <v>68</v>
      </c>
      <c r="B344" s="43"/>
      <c r="C344" s="43">
        <v>-453</v>
      </c>
      <c r="D344" s="43"/>
      <c r="E344" s="43"/>
      <c r="G344" s="43"/>
    </row>
    <row r="345" spans="1:10">
      <c r="A345" s="25" t="s">
        <v>69</v>
      </c>
      <c r="B345" s="43"/>
      <c r="C345" s="50">
        <v>11693</v>
      </c>
      <c r="D345" s="43"/>
      <c r="E345" s="43"/>
      <c r="G345" s="43"/>
    </row>
    <row r="346" spans="1:10">
      <c r="B346" s="43"/>
      <c r="C346" s="43"/>
      <c r="D346" s="43"/>
      <c r="E346" s="43"/>
      <c r="G346" s="43"/>
    </row>
    <row r="347" spans="1:10" ht="14.4" thickBot="1">
      <c r="A347" s="25" t="s">
        <v>70</v>
      </c>
      <c r="B347" s="43"/>
      <c r="C347" s="51">
        <v>169621.448</v>
      </c>
      <c r="D347" s="43"/>
    </row>
    <row r="348" spans="1:10" ht="14.4" thickTop="1">
      <c r="B348" s="43"/>
      <c r="C348" s="43"/>
      <c r="D348" s="43"/>
      <c r="E348" s="43"/>
      <c r="G348" s="43"/>
    </row>
    <row r="349" spans="1:10">
      <c r="A349" s="25" t="s">
        <v>71</v>
      </c>
      <c r="B349" s="43"/>
      <c r="C349" s="43"/>
      <c r="D349" s="43"/>
      <c r="E349" s="44">
        <f>(E342-C342)</f>
        <v>0</v>
      </c>
      <c r="G349" s="44">
        <f>(G342-E342)</f>
        <v>0</v>
      </c>
    </row>
    <row r="350" spans="1:10">
      <c r="A350" s="25" t="s">
        <v>45</v>
      </c>
      <c r="E350" s="52">
        <f>(E349/C342)</f>
        <v>0</v>
      </c>
      <c r="F350" s="52"/>
      <c r="G350" s="52">
        <f>(G349/E342)</f>
        <v>0</v>
      </c>
    </row>
    <row r="352" spans="1:10">
      <c r="A352" s="25" t="s">
        <v>72</v>
      </c>
      <c r="C352" s="45">
        <v>8798.9693333333344</v>
      </c>
      <c r="D352" s="45"/>
      <c r="E352" s="45">
        <f>E342/$B335</f>
        <v>8798.9693333333344</v>
      </c>
      <c r="F352" s="45"/>
      <c r="G352" s="45">
        <f>G342/$B335</f>
        <v>8798.9693333333344</v>
      </c>
    </row>
    <row r="353" spans="1:10">
      <c r="A353" s="25" t="s">
        <v>71</v>
      </c>
      <c r="E353" s="45">
        <f>E352-C352</f>
        <v>0</v>
      </c>
      <c r="G353" s="45">
        <f>G352-E352</f>
        <v>0</v>
      </c>
    </row>
    <row r="354" spans="1:10">
      <c r="A354" s="25" t="s">
        <v>45</v>
      </c>
      <c r="E354" s="52">
        <f>E353/C352</f>
        <v>0</v>
      </c>
      <c r="G354" s="52">
        <f>G353/E352</f>
        <v>0</v>
      </c>
    </row>
    <row r="357" spans="1:10">
      <c r="A357" s="23" t="str">
        <f>+A1</f>
        <v>Owen Electric Cooperative</v>
      </c>
      <c r="B357" s="23"/>
      <c r="C357" s="23"/>
      <c r="D357" s="23"/>
      <c r="E357" s="23"/>
      <c r="F357" s="23"/>
      <c r="G357" s="24" t="s">
        <v>51</v>
      </c>
    </row>
    <row r="358" spans="1:10">
      <c r="A358" s="23" t="str">
        <f>+A2</f>
        <v>Case No.  2012-00448</v>
      </c>
      <c r="B358" s="23"/>
      <c r="C358" s="23"/>
      <c r="D358" s="23"/>
      <c r="E358" s="23"/>
      <c r="F358" s="23"/>
      <c r="G358" s="24" t="s">
        <v>107</v>
      </c>
    </row>
    <row r="359" spans="1:10">
      <c r="A359" s="23" t="str">
        <f>+A3</f>
        <v>Billing Analysis</v>
      </c>
      <c r="B359" s="23"/>
      <c r="C359" s="23"/>
      <c r="D359" s="23"/>
      <c r="E359" s="23"/>
      <c r="F359" s="23"/>
      <c r="G359" s="24" t="s">
        <v>55</v>
      </c>
    </row>
    <row r="360" spans="1:10">
      <c r="A360" s="27">
        <f>+A4</f>
        <v>41090</v>
      </c>
      <c r="B360" s="23"/>
      <c r="C360" s="23"/>
      <c r="D360" s="23"/>
      <c r="E360" s="23"/>
      <c r="F360" s="23"/>
      <c r="G360" s="43"/>
    </row>
    <row r="361" spans="1:10">
      <c r="A361" s="23"/>
      <c r="B361" s="23"/>
      <c r="C361" s="23"/>
      <c r="D361" s="23"/>
      <c r="E361" s="23"/>
      <c r="F361" s="23"/>
    </row>
    <row r="362" spans="1:10">
      <c r="A362" s="23" t="s">
        <v>108</v>
      </c>
      <c r="B362" s="23"/>
      <c r="C362" s="23"/>
      <c r="D362" s="23"/>
      <c r="E362" s="23"/>
      <c r="F362" s="23"/>
      <c r="G362" s="43"/>
    </row>
    <row r="364" spans="1:10">
      <c r="B364" s="28"/>
      <c r="C364" s="29" t="s">
        <v>57</v>
      </c>
      <c r="D364" s="30" t="s">
        <v>58</v>
      </c>
      <c r="E364" s="31"/>
      <c r="F364" s="32"/>
      <c r="G364" s="33"/>
    </row>
    <row r="365" spans="1:10">
      <c r="B365" s="34" t="s">
        <v>59</v>
      </c>
      <c r="C365" s="35" t="s">
        <v>60</v>
      </c>
      <c r="D365" s="36" t="str">
        <f>+D9</f>
        <v>Case No. 2010-00507</v>
      </c>
      <c r="E365" s="37"/>
      <c r="F365" s="36" t="s">
        <v>7</v>
      </c>
      <c r="G365" s="37"/>
    </row>
    <row r="366" spans="1:10" ht="15">
      <c r="A366" s="38" t="s">
        <v>62</v>
      </c>
      <c r="B366" s="39" t="s">
        <v>63</v>
      </c>
      <c r="C366" s="39" t="s">
        <v>64</v>
      </c>
      <c r="D366" s="40" t="s">
        <v>65</v>
      </c>
      <c r="E366" s="41" t="s">
        <v>64</v>
      </c>
      <c r="F366" s="40" t="s">
        <v>65</v>
      </c>
      <c r="G366" s="41" t="s">
        <v>64</v>
      </c>
    </row>
    <row r="367" spans="1:10">
      <c r="G367" s="43"/>
    </row>
    <row r="368" spans="1:10" ht="14.4">
      <c r="A368" s="25" t="s">
        <v>5</v>
      </c>
      <c r="B368" s="43">
        <v>2</v>
      </c>
      <c r="C368" s="43">
        <v>40</v>
      </c>
      <c r="D368" s="45">
        <v>20</v>
      </c>
      <c r="E368" s="44">
        <f>($B368*D368)</f>
        <v>40</v>
      </c>
      <c r="F368" s="46">
        <v>20</v>
      </c>
      <c r="G368" s="44">
        <f>($B368*F368)</f>
        <v>40</v>
      </c>
      <c r="J368" s="47">
        <f>G368/G376</f>
        <v>0.12774710569769976</v>
      </c>
    </row>
    <row r="369" spans="1:10" ht="14.4">
      <c r="A369" s="25" t="s">
        <v>75</v>
      </c>
      <c r="B369" s="43"/>
      <c r="C369" s="43"/>
      <c r="D369" s="45"/>
      <c r="E369" s="44"/>
      <c r="F369" s="45"/>
      <c r="G369" s="44"/>
      <c r="J369" s="47"/>
    </row>
    <row r="370" spans="1:10" ht="14.4">
      <c r="A370" s="25" t="s">
        <v>101</v>
      </c>
      <c r="B370" s="43">
        <v>1378</v>
      </c>
      <c r="C370" s="43">
        <v>137.52439999999999</v>
      </c>
      <c r="D370" s="57">
        <v>9.98E-2</v>
      </c>
      <c r="E370" s="43">
        <f>($B370*D370)</f>
        <v>137.52439999999999</v>
      </c>
      <c r="F370" s="59">
        <v>0.10488</v>
      </c>
      <c r="G370" s="43">
        <f>($B370*F370)</f>
        <v>144.52464000000001</v>
      </c>
      <c r="J370" s="47">
        <f>G370/G376</f>
        <v>0.4615651115500502</v>
      </c>
    </row>
    <row r="371" spans="1:10" ht="14.4">
      <c r="A371" s="25" t="s">
        <v>102</v>
      </c>
      <c r="B371" s="43">
        <v>796</v>
      </c>
      <c r="C371" s="43">
        <v>46.080439999999996</v>
      </c>
      <c r="D371" s="57">
        <v>5.7889999999999997E-2</v>
      </c>
      <c r="E371" s="43">
        <f>($B371*D371)</f>
        <v>46.080439999999996</v>
      </c>
      <c r="F371" s="59">
        <v>6.275E-2</v>
      </c>
      <c r="G371" s="43">
        <f>($B371*F371)</f>
        <v>49.948999999999998</v>
      </c>
      <c r="J371" s="47">
        <f>G371/G376</f>
        <v>0.15952100456236015</v>
      </c>
    </row>
    <row r="372" spans="1:10" ht="14.4">
      <c r="A372" s="25" t="s">
        <v>109</v>
      </c>
      <c r="B372" s="50">
        <v>980</v>
      </c>
      <c r="C372" s="43">
        <v>73.882199999999997</v>
      </c>
      <c r="D372" s="57">
        <v>7.5389999999999999E-2</v>
      </c>
      <c r="E372" s="43">
        <f>($B372*D372)</f>
        <v>73.882199999999997</v>
      </c>
      <c r="F372" s="59">
        <v>8.0250000000000002E-2</v>
      </c>
      <c r="G372" s="43">
        <f>($B372*F372)</f>
        <v>78.644999999999996</v>
      </c>
      <c r="J372" s="47">
        <f>G372/G376</f>
        <v>0.25116677818988997</v>
      </c>
    </row>
    <row r="373" spans="1:10" ht="14.4" thickBot="1">
      <c r="B373" s="56">
        <v>3154</v>
      </c>
      <c r="C373" s="43"/>
      <c r="D373" s="48"/>
      <c r="E373" s="43"/>
      <c r="F373" s="48"/>
      <c r="G373" s="43"/>
    </row>
    <row r="374" spans="1:10" ht="14.4" thickTop="1">
      <c r="B374" s="43"/>
      <c r="C374" s="50"/>
      <c r="D374" s="45"/>
      <c r="E374" s="50"/>
      <c r="G374" s="50"/>
    </row>
    <row r="375" spans="1:10">
      <c r="B375" s="43"/>
      <c r="C375" s="43"/>
      <c r="D375" s="43"/>
      <c r="E375" s="43"/>
      <c r="G375" s="43"/>
    </row>
    <row r="376" spans="1:10" ht="14.4" thickBot="1">
      <c r="A376" s="25" t="s">
        <v>67</v>
      </c>
      <c r="B376" s="43"/>
      <c r="C376" s="43">
        <v>297.48703999999998</v>
      </c>
      <c r="D376" s="43"/>
      <c r="E376" s="51">
        <f>SUM(E368:E375)</f>
        <v>297.48703999999998</v>
      </c>
      <c r="G376" s="51">
        <f>SUM(G368:G375)</f>
        <v>313.11863999999997</v>
      </c>
    </row>
    <row r="377" spans="1:10" ht="14.4" thickTop="1">
      <c r="B377" s="43"/>
      <c r="C377" s="43"/>
      <c r="D377" s="43"/>
      <c r="E377" s="43"/>
      <c r="G377" s="43"/>
    </row>
    <row r="378" spans="1:10">
      <c r="A378" s="25" t="s">
        <v>68</v>
      </c>
      <c r="B378" s="43"/>
      <c r="C378" s="43">
        <v>-9</v>
      </c>
      <c r="D378" s="43"/>
      <c r="E378" s="43"/>
      <c r="G378" s="43"/>
    </row>
    <row r="379" spans="1:10">
      <c r="A379" s="25" t="s">
        <v>69</v>
      </c>
      <c r="B379" s="43"/>
      <c r="C379" s="50">
        <v>31</v>
      </c>
      <c r="D379" s="43"/>
      <c r="E379" s="43"/>
      <c r="G379" s="43"/>
    </row>
    <row r="380" spans="1:10">
      <c r="B380" s="43"/>
      <c r="C380" s="43"/>
      <c r="D380" s="43"/>
      <c r="E380" s="43"/>
      <c r="G380" s="43"/>
    </row>
    <row r="381" spans="1:10" ht="14.4" thickBot="1">
      <c r="A381" s="25" t="s">
        <v>70</v>
      </c>
      <c r="B381" s="43"/>
      <c r="C381" s="51">
        <v>319.48703999999998</v>
      </c>
      <c r="D381" s="43"/>
    </row>
    <row r="382" spans="1:10" ht="14.4" thickTop="1">
      <c r="B382" s="43"/>
      <c r="C382" s="43"/>
      <c r="D382" s="43"/>
      <c r="E382" s="43"/>
      <c r="G382" s="43"/>
    </row>
    <row r="383" spans="1:10">
      <c r="A383" s="25" t="s">
        <v>71</v>
      </c>
      <c r="B383" s="43"/>
      <c r="C383" s="43"/>
      <c r="D383" s="43"/>
      <c r="E383" s="44">
        <f>(E376-C376)</f>
        <v>0</v>
      </c>
      <c r="G383" s="44">
        <f>(G376-E376)</f>
        <v>15.631599999999992</v>
      </c>
    </row>
    <row r="384" spans="1:10">
      <c r="A384" s="25" t="s">
        <v>45</v>
      </c>
      <c r="E384" s="52">
        <f>(E383/C376)</f>
        <v>0</v>
      </c>
      <c r="F384" s="52"/>
      <c r="G384" s="52">
        <f>(G383/E376)</f>
        <v>5.2545482317481775E-2</v>
      </c>
    </row>
    <row r="386" spans="1:7">
      <c r="A386" s="25" t="s">
        <v>72</v>
      </c>
      <c r="C386" s="45">
        <v>148.74351999999999</v>
      </c>
      <c r="D386" s="45"/>
      <c r="E386" s="45">
        <f>E376/$B368</f>
        <v>148.74351999999999</v>
      </c>
      <c r="F386" s="45"/>
      <c r="G386" s="45">
        <f>G376/$B368</f>
        <v>156.55931999999999</v>
      </c>
    </row>
    <row r="387" spans="1:7">
      <c r="A387" s="25" t="s">
        <v>71</v>
      </c>
      <c r="E387" s="45">
        <f>E386-C386</f>
        <v>0</v>
      </c>
      <c r="G387" s="45">
        <f>G386-E386</f>
        <v>7.8157999999999959</v>
      </c>
    </row>
    <row r="388" spans="1:7">
      <c r="A388" s="25" t="s">
        <v>45</v>
      </c>
      <c r="E388" s="52">
        <f>E387/C386</f>
        <v>0</v>
      </c>
      <c r="G388" s="52">
        <f>G387/E386</f>
        <v>5.2545482317481775E-2</v>
      </c>
    </row>
    <row r="391" spans="1:7">
      <c r="A391" s="23" t="str">
        <f>A1</f>
        <v>Owen Electric Cooperative</v>
      </c>
      <c r="B391" s="23"/>
      <c r="C391" s="23"/>
      <c r="D391" s="23"/>
      <c r="E391" s="23"/>
      <c r="F391" s="23"/>
      <c r="G391" s="24" t="s">
        <v>51</v>
      </c>
    </row>
    <row r="392" spans="1:7">
      <c r="A392" s="23" t="str">
        <f>A2</f>
        <v>Case No.  2012-00448</v>
      </c>
      <c r="B392" s="23"/>
      <c r="C392" s="23"/>
      <c r="D392" s="23"/>
      <c r="E392" s="23"/>
      <c r="F392" s="23"/>
      <c r="G392" s="24" t="s">
        <v>110</v>
      </c>
    </row>
    <row r="393" spans="1:7">
      <c r="A393" s="23" t="str">
        <f>A3</f>
        <v>Billing Analysis</v>
      </c>
      <c r="B393" s="23"/>
      <c r="C393" s="23"/>
      <c r="D393" s="23"/>
      <c r="E393" s="23"/>
      <c r="F393" s="23"/>
      <c r="G393" s="24" t="s">
        <v>55</v>
      </c>
    </row>
    <row r="394" spans="1:7">
      <c r="A394" s="27">
        <f>A4</f>
        <v>41090</v>
      </c>
      <c r="B394" s="23"/>
      <c r="C394" s="23"/>
      <c r="D394" s="23"/>
      <c r="E394" s="23"/>
      <c r="F394" s="23"/>
      <c r="G394" s="43"/>
    </row>
    <row r="395" spans="1:7">
      <c r="A395" s="23"/>
      <c r="B395" s="23"/>
      <c r="C395" s="23"/>
      <c r="D395" s="23"/>
      <c r="E395" s="23"/>
      <c r="F395" s="23"/>
    </row>
    <row r="396" spans="1:7">
      <c r="A396" s="23" t="s">
        <v>111</v>
      </c>
      <c r="B396" s="23"/>
      <c r="C396" s="23"/>
      <c r="D396" s="23"/>
      <c r="E396" s="23"/>
      <c r="F396" s="23"/>
      <c r="G396" s="43"/>
    </row>
    <row r="398" spans="1:7" ht="18" customHeight="1">
      <c r="B398" s="28"/>
      <c r="C398" s="29" t="s">
        <v>57</v>
      </c>
      <c r="D398" s="30" t="s">
        <v>58</v>
      </c>
      <c r="E398" s="31"/>
      <c r="F398" s="32"/>
      <c r="G398" s="33"/>
    </row>
    <row r="399" spans="1:7" ht="18" customHeight="1">
      <c r="B399" s="34" t="s">
        <v>59</v>
      </c>
      <c r="C399" s="35" t="s">
        <v>60</v>
      </c>
      <c r="D399" s="36" t="str">
        <f>D9</f>
        <v>Case No. 2010-00507</v>
      </c>
      <c r="E399" s="37"/>
      <c r="F399" s="36" t="s">
        <v>7</v>
      </c>
      <c r="G399" s="37"/>
    </row>
    <row r="400" spans="1:7" ht="18" customHeight="1">
      <c r="A400" s="38" t="s">
        <v>62</v>
      </c>
      <c r="B400" s="39" t="s">
        <v>63</v>
      </c>
      <c r="C400" s="39" t="s">
        <v>64</v>
      </c>
      <c r="D400" s="40" t="s">
        <v>65</v>
      </c>
      <c r="E400" s="41" t="s">
        <v>64</v>
      </c>
      <c r="F400" s="40" t="s">
        <v>65</v>
      </c>
      <c r="G400" s="41" t="s">
        <v>64</v>
      </c>
    </row>
    <row r="401" spans="1:7" ht="18" customHeight="1">
      <c r="G401" s="43"/>
    </row>
    <row r="402" spans="1:7" ht="18" customHeight="1">
      <c r="A402" s="25" t="s">
        <v>112</v>
      </c>
      <c r="B402" s="43">
        <v>74040</v>
      </c>
      <c r="C402" s="43">
        <v>630819</v>
      </c>
      <c r="D402" s="45">
        <v>8.52</v>
      </c>
      <c r="E402" s="43">
        <f t="shared" ref="E402:E411" si="0">($B402*D402)</f>
        <v>630820.79999999993</v>
      </c>
      <c r="F402" s="46">
        <v>11.09</v>
      </c>
      <c r="G402" s="43">
        <f t="shared" ref="G402:G411" si="1">($B402*F402)</f>
        <v>821103.6</v>
      </c>
    </row>
    <row r="403" spans="1:7" ht="18" customHeight="1">
      <c r="A403" s="25" t="s">
        <v>113</v>
      </c>
      <c r="B403" s="43">
        <v>14521</v>
      </c>
      <c r="C403" s="43">
        <v>149999</v>
      </c>
      <c r="D403" s="45">
        <v>10.33</v>
      </c>
      <c r="E403" s="43">
        <f t="shared" si="0"/>
        <v>150001.93</v>
      </c>
      <c r="F403" s="46">
        <v>16.09</v>
      </c>
      <c r="G403" s="43">
        <f t="shared" si="1"/>
        <v>233642.88999999998</v>
      </c>
    </row>
    <row r="404" spans="1:7" ht="18" customHeight="1">
      <c r="A404" s="25" t="s">
        <v>114</v>
      </c>
      <c r="B404" s="43">
        <v>846</v>
      </c>
      <c r="C404" s="43">
        <v>10270</v>
      </c>
      <c r="D404" s="45">
        <v>12.14</v>
      </c>
      <c r="E404" s="43">
        <f t="shared" si="0"/>
        <v>10270.44</v>
      </c>
      <c r="F404" s="46">
        <v>16.09</v>
      </c>
      <c r="G404" s="43">
        <f t="shared" si="1"/>
        <v>13612.14</v>
      </c>
    </row>
    <row r="405" spans="1:7" ht="18" customHeight="1">
      <c r="A405" s="25" t="s">
        <v>115</v>
      </c>
      <c r="B405" s="43">
        <v>84</v>
      </c>
      <c r="C405" s="43">
        <v>1176</v>
      </c>
      <c r="D405" s="45">
        <v>13.95</v>
      </c>
      <c r="E405" s="43">
        <f t="shared" si="0"/>
        <v>1171.8</v>
      </c>
      <c r="F405" s="46">
        <v>16.09</v>
      </c>
      <c r="G405" s="43">
        <f t="shared" si="1"/>
        <v>1351.56</v>
      </c>
    </row>
    <row r="406" spans="1:7" ht="18" customHeight="1">
      <c r="A406" s="25" t="s">
        <v>116</v>
      </c>
      <c r="B406" s="43">
        <v>0</v>
      </c>
      <c r="C406" s="43">
        <v>0</v>
      </c>
      <c r="D406" s="45">
        <v>15.77</v>
      </c>
      <c r="E406" s="43">
        <f t="shared" si="0"/>
        <v>0</v>
      </c>
      <c r="F406" s="46">
        <v>16.09</v>
      </c>
      <c r="G406" s="43">
        <f t="shared" si="1"/>
        <v>0</v>
      </c>
    </row>
    <row r="407" spans="1:7" ht="18" customHeight="1">
      <c r="A407" s="25" t="s">
        <v>117</v>
      </c>
      <c r="B407" s="43">
        <v>1336</v>
      </c>
      <c r="C407" s="43">
        <v>12315</v>
      </c>
      <c r="D407" s="45">
        <v>9.2200000000000006</v>
      </c>
      <c r="E407" s="43">
        <f t="shared" si="0"/>
        <v>12317.92</v>
      </c>
      <c r="F407" s="46">
        <v>11.09</v>
      </c>
      <c r="G407" s="43">
        <f t="shared" si="1"/>
        <v>14816.24</v>
      </c>
    </row>
    <row r="408" spans="1:7" ht="18" customHeight="1">
      <c r="A408" s="25" t="s">
        <v>118</v>
      </c>
      <c r="B408" s="43">
        <v>519</v>
      </c>
      <c r="C408" s="43">
        <v>5724</v>
      </c>
      <c r="D408" s="45">
        <v>11.03</v>
      </c>
      <c r="E408" s="43">
        <f t="shared" si="0"/>
        <v>5724.57</v>
      </c>
      <c r="F408" s="46">
        <v>16.09</v>
      </c>
      <c r="G408" s="43">
        <f t="shared" si="1"/>
        <v>8350.7099999999991</v>
      </c>
    </row>
    <row r="409" spans="1:7" ht="18" customHeight="1">
      <c r="A409" s="25" t="s">
        <v>119</v>
      </c>
      <c r="B409" s="43">
        <v>48</v>
      </c>
      <c r="C409" s="43">
        <v>612</v>
      </c>
      <c r="D409" s="45">
        <v>12.84</v>
      </c>
      <c r="E409" s="43">
        <f t="shared" si="0"/>
        <v>616.31999999999994</v>
      </c>
      <c r="F409" s="46">
        <v>16.09</v>
      </c>
      <c r="G409" s="43">
        <f t="shared" si="1"/>
        <v>772.31999999999994</v>
      </c>
    </row>
    <row r="410" spans="1:7" ht="18" customHeight="1">
      <c r="A410" s="25" t="s">
        <v>120</v>
      </c>
      <c r="B410" s="43">
        <v>0</v>
      </c>
      <c r="C410" s="43">
        <v>0</v>
      </c>
      <c r="D410" s="45">
        <v>14.65</v>
      </c>
      <c r="E410" s="43">
        <f t="shared" si="0"/>
        <v>0</v>
      </c>
      <c r="F410" s="46">
        <v>16.09</v>
      </c>
      <c r="G410" s="43">
        <f t="shared" si="1"/>
        <v>0</v>
      </c>
    </row>
    <row r="411" spans="1:7" ht="18" customHeight="1">
      <c r="A411" s="25" t="s">
        <v>121</v>
      </c>
      <c r="B411" s="43">
        <v>0</v>
      </c>
      <c r="C411" s="43">
        <v>0</v>
      </c>
      <c r="D411" s="45">
        <v>16.47</v>
      </c>
      <c r="E411" s="43">
        <f t="shared" si="0"/>
        <v>0</v>
      </c>
      <c r="F411" s="46">
        <v>16.09</v>
      </c>
      <c r="G411" s="43">
        <f t="shared" si="1"/>
        <v>0</v>
      </c>
    </row>
    <row r="412" spans="1:7">
      <c r="B412" s="43"/>
      <c r="C412" s="43"/>
    </row>
    <row r="413" spans="1:7" ht="14.4" thickBot="1">
      <c r="A413" s="25" t="s">
        <v>122</v>
      </c>
      <c r="B413" s="56">
        <v>3670142</v>
      </c>
    </row>
    <row r="414" spans="1:7" ht="14.4" thickTop="1"/>
    <row r="415" spans="1:7">
      <c r="A415" s="25" t="s">
        <v>123</v>
      </c>
      <c r="B415" s="43"/>
      <c r="C415" s="50"/>
      <c r="D415" s="43"/>
      <c r="E415" s="50">
        <f>C415</f>
        <v>0</v>
      </c>
      <c r="G415" s="50">
        <f>E415</f>
        <v>0</v>
      </c>
    </row>
    <row r="416" spans="1:7">
      <c r="B416" s="43"/>
      <c r="C416" s="43"/>
      <c r="D416" s="43"/>
      <c r="E416" s="43"/>
      <c r="G416" s="43"/>
    </row>
    <row r="417" spans="1:7" ht="14.4" thickBot="1">
      <c r="A417" s="25" t="s">
        <v>67</v>
      </c>
      <c r="B417" s="43"/>
      <c r="C417" s="43">
        <v>810915</v>
      </c>
      <c r="D417" s="43"/>
      <c r="E417" s="51">
        <f>SUM(E402:E415)</f>
        <v>810923.77999999991</v>
      </c>
      <c r="G417" s="51">
        <f>SUM(G402:G415)</f>
        <v>1093649.46</v>
      </c>
    </row>
    <row r="418" spans="1:7" ht="14.4" thickTop="1">
      <c r="B418" s="43"/>
      <c r="C418" s="43"/>
      <c r="D418" s="43"/>
      <c r="E418" s="43"/>
      <c r="G418" s="43"/>
    </row>
    <row r="419" spans="1:7">
      <c r="A419" s="25" t="s">
        <v>68</v>
      </c>
      <c r="B419" s="43"/>
      <c r="C419" s="43">
        <v>0</v>
      </c>
      <c r="D419" s="43"/>
      <c r="E419" s="43"/>
      <c r="G419" s="43"/>
    </row>
    <row r="420" spans="1:7">
      <c r="A420" s="25" t="s">
        <v>69</v>
      </c>
      <c r="B420" s="43"/>
      <c r="C420" s="50">
        <v>29558</v>
      </c>
      <c r="D420" s="43"/>
      <c r="E420" s="43"/>
      <c r="G420" s="43"/>
    </row>
    <row r="421" spans="1:7">
      <c r="B421" s="43"/>
      <c r="C421" s="43"/>
      <c r="D421" s="43"/>
      <c r="E421" s="43"/>
      <c r="G421" s="43"/>
    </row>
    <row r="422" spans="1:7" ht="14.4" thickBot="1">
      <c r="A422" s="25" t="s">
        <v>70</v>
      </c>
      <c r="B422" s="43"/>
      <c r="C422" s="51">
        <v>840473</v>
      </c>
      <c r="D422" s="43"/>
    </row>
    <row r="423" spans="1:7" ht="14.4" thickTop="1">
      <c r="B423" s="43"/>
      <c r="C423" s="43"/>
      <c r="D423" s="43"/>
      <c r="E423" s="43"/>
      <c r="G423" s="43"/>
    </row>
    <row r="424" spans="1:7">
      <c r="A424" s="25" t="s">
        <v>71</v>
      </c>
      <c r="E424" s="44">
        <f>(E417-C417)</f>
        <v>8.7799999999115244</v>
      </c>
      <c r="G424" s="44">
        <f>(G417-E417)</f>
        <v>282725.68000000005</v>
      </c>
    </row>
    <row r="425" spans="1:7">
      <c r="A425" s="25" t="s">
        <v>45</v>
      </c>
      <c r="E425" s="52">
        <f>(E424/C417)</f>
        <v>1.0827275361673572E-5</v>
      </c>
      <c r="F425" s="52"/>
      <c r="G425" s="52">
        <f>(G424/E417)</f>
        <v>0.34864642889125791</v>
      </c>
    </row>
    <row r="426" spans="1:7">
      <c r="E426" s="60"/>
      <c r="F426" s="43"/>
      <c r="G426" s="60"/>
    </row>
    <row r="427" spans="1:7">
      <c r="E427" s="60"/>
      <c r="F427" s="43"/>
      <c r="G427" s="60"/>
    </row>
    <row r="428" spans="1:7">
      <c r="A428" s="23" t="str">
        <f>A1</f>
        <v>Owen Electric Cooperative</v>
      </c>
      <c r="B428" s="23"/>
      <c r="C428" s="23"/>
      <c r="D428" s="23"/>
      <c r="E428" s="23"/>
      <c r="F428" s="23"/>
      <c r="G428" s="24" t="s">
        <v>51</v>
      </c>
    </row>
    <row r="429" spans="1:7">
      <c r="A429" s="23" t="str">
        <f>A2</f>
        <v>Case No.  2012-00448</v>
      </c>
      <c r="B429" s="23"/>
      <c r="C429" s="23"/>
      <c r="D429" s="23"/>
      <c r="E429" s="23"/>
      <c r="F429" s="23"/>
      <c r="G429" s="24" t="s">
        <v>124</v>
      </c>
    </row>
    <row r="430" spans="1:7">
      <c r="A430" s="23" t="str">
        <f>A3</f>
        <v>Billing Analysis</v>
      </c>
      <c r="B430" s="23"/>
      <c r="C430" s="23"/>
      <c r="D430" s="23"/>
      <c r="E430" s="23"/>
      <c r="F430" s="23"/>
      <c r="G430" s="24" t="s">
        <v>55</v>
      </c>
    </row>
    <row r="431" spans="1:7">
      <c r="A431" s="27">
        <f>A4</f>
        <v>41090</v>
      </c>
      <c r="B431" s="23"/>
      <c r="C431" s="23"/>
      <c r="D431" s="23"/>
      <c r="E431" s="23"/>
      <c r="F431" s="23"/>
      <c r="G431" s="43"/>
    </row>
    <row r="432" spans="1:7">
      <c r="A432" s="23"/>
      <c r="B432" s="23"/>
      <c r="C432" s="23"/>
      <c r="D432" s="23"/>
      <c r="E432" s="23"/>
      <c r="F432" s="23"/>
    </row>
    <row r="433" spans="1:7">
      <c r="A433" s="23" t="s">
        <v>125</v>
      </c>
      <c r="B433" s="23"/>
      <c r="C433" s="23"/>
      <c r="D433" s="23"/>
      <c r="E433" s="23"/>
      <c r="F433" s="23"/>
      <c r="G433" s="43"/>
    </row>
    <row r="435" spans="1:7">
      <c r="B435" s="28"/>
      <c r="C435" s="29" t="s">
        <v>57</v>
      </c>
      <c r="D435" s="30" t="s">
        <v>58</v>
      </c>
      <c r="E435" s="31"/>
      <c r="F435" s="32"/>
      <c r="G435" s="33"/>
    </row>
    <row r="436" spans="1:7">
      <c r="B436" s="34" t="s">
        <v>59</v>
      </c>
      <c r="C436" s="35" t="s">
        <v>60</v>
      </c>
      <c r="D436" s="36" t="str">
        <f>D9</f>
        <v>Case No. 2010-00507</v>
      </c>
      <c r="E436" s="37"/>
      <c r="F436" s="36" t="s">
        <v>7</v>
      </c>
      <c r="G436" s="37"/>
    </row>
    <row r="437" spans="1:7" ht="15">
      <c r="A437" s="38" t="s">
        <v>62</v>
      </c>
      <c r="B437" s="39" t="s">
        <v>63</v>
      </c>
      <c r="C437" s="39" t="s">
        <v>64</v>
      </c>
      <c r="D437" s="40" t="s">
        <v>65</v>
      </c>
      <c r="E437" s="41" t="s">
        <v>64</v>
      </c>
      <c r="F437" s="40" t="s">
        <v>65</v>
      </c>
      <c r="G437" s="41" t="s">
        <v>64</v>
      </c>
    </row>
    <row r="438" spans="1:7">
      <c r="G438" s="43"/>
    </row>
    <row r="439" spans="1:7">
      <c r="A439" s="25" t="s">
        <v>126</v>
      </c>
      <c r="B439" s="43">
        <v>45988</v>
      </c>
      <c r="C439" s="43">
        <v>471374</v>
      </c>
      <c r="D439" s="45">
        <v>10.25</v>
      </c>
      <c r="E439" s="43">
        <f>($B439*D439)</f>
        <v>471377</v>
      </c>
      <c r="F439" s="46">
        <v>11.09</v>
      </c>
      <c r="G439" s="43">
        <f>($B439*F439)</f>
        <v>510006.92</v>
      </c>
    </row>
    <row r="440" spans="1:7">
      <c r="A440" s="25" t="s">
        <v>127</v>
      </c>
      <c r="B440" s="43">
        <v>6509</v>
      </c>
      <c r="C440" s="43">
        <v>98480</v>
      </c>
      <c r="D440" s="45">
        <v>15.13</v>
      </c>
      <c r="E440" s="43">
        <f>($B440*D440)</f>
        <v>98481.17</v>
      </c>
      <c r="F440" s="46">
        <v>16.09</v>
      </c>
      <c r="G440" s="43">
        <f>($B440*F440)</f>
        <v>104729.81</v>
      </c>
    </row>
    <row r="441" spans="1:7">
      <c r="A441" s="25" t="s">
        <v>128</v>
      </c>
      <c r="B441" s="43"/>
      <c r="C441" s="43"/>
      <c r="D441" s="45"/>
      <c r="E441" s="43"/>
      <c r="F441" s="46"/>
      <c r="G441" s="43"/>
    </row>
    <row r="442" spans="1:7">
      <c r="A442" s="25" t="s">
        <v>129</v>
      </c>
      <c r="B442" s="43">
        <v>193</v>
      </c>
      <c r="C442" s="43">
        <v>2570</v>
      </c>
      <c r="D442" s="45">
        <v>13.3</v>
      </c>
      <c r="E442" s="43">
        <f t="shared" ref="E442:E447" si="2">($B442*D442)</f>
        <v>2566.9</v>
      </c>
      <c r="F442" s="46">
        <v>16.46</v>
      </c>
      <c r="G442" s="43">
        <f t="shared" ref="G442:G447" si="3">($B442*F442)</f>
        <v>3176.78</v>
      </c>
    </row>
    <row r="443" spans="1:7">
      <c r="A443" s="25" t="s">
        <v>130</v>
      </c>
      <c r="B443" s="43">
        <v>156</v>
      </c>
      <c r="C443" s="43">
        <v>2827</v>
      </c>
      <c r="D443" s="45">
        <v>18.18</v>
      </c>
      <c r="E443" s="43">
        <f t="shared" si="2"/>
        <v>2836.08</v>
      </c>
      <c r="F443" s="46">
        <v>22.5</v>
      </c>
      <c r="G443" s="43">
        <f t="shared" si="3"/>
        <v>3510</v>
      </c>
    </row>
    <row r="444" spans="1:7">
      <c r="A444" s="25" t="s">
        <v>131</v>
      </c>
      <c r="B444" s="43">
        <v>86</v>
      </c>
      <c r="C444" s="43">
        <v>1547</v>
      </c>
      <c r="D444" s="45">
        <v>18.059999999999999</v>
      </c>
      <c r="E444" s="43">
        <f t="shared" si="2"/>
        <v>1553.1599999999999</v>
      </c>
      <c r="F444" s="46">
        <v>22.35</v>
      </c>
      <c r="G444" s="43">
        <f t="shared" si="3"/>
        <v>1922.1000000000001</v>
      </c>
    </row>
    <row r="445" spans="1:7">
      <c r="A445" s="25" t="s">
        <v>132</v>
      </c>
      <c r="B445" s="43">
        <v>50</v>
      </c>
      <c r="C445" s="43">
        <v>1142</v>
      </c>
      <c r="D445" s="45">
        <v>22.94</v>
      </c>
      <c r="E445" s="43">
        <f t="shared" si="2"/>
        <v>1147</v>
      </c>
      <c r="F445" s="46">
        <v>28.39</v>
      </c>
      <c r="G445" s="43">
        <f t="shared" si="3"/>
        <v>1419.5</v>
      </c>
    </row>
    <row r="446" spans="1:7">
      <c r="A446" s="25" t="s">
        <v>133</v>
      </c>
      <c r="B446" s="43">
        <v>195</v>
      </c>
      <c r="C446" s="43">
        <v>4393</v>
      </c>
      <c r="D446" s="45">
        <v>22.49</v>
      </c>
      <c r="E446" s="43">
        <f t="shared" si="2"/>
        <v>4385.5499999999993</v>
      </c>
      <c r="F446" s="46">
        <v>27.83</v>
      </c>
      <c r="G446" s="43">
        <f t="shared" si="3"/>
        <v>5426.8499999999995</v>
      </c>
    </row>
    <row r="447" spans="1:7">
      <c r="A447" s="25" t="s">
        <v>134</v>
      </c>
      <c r="B447" s="43">
        <v>58</v>
      </c>
      <c r="C447" s="43">
        <v>1575</v>
      </c>
      <c r="D447" s="45">
        <v>27.37</v>
      </c>
      <c r="E447" s="43">
        <f t="shared" si="2"/>
        <v>1587.46</v>
      </c>
      <c r="F447" s="46">
        <v>33.869999999999997</v>
      </c>
      <c r="G447" s="43">
        <f t="shared" si="3"/>
        <v>1964.4599999999998</v>
      </c>
    </row>
    <row r="448" spans="1:7">
      <c r="A448" s="25" t="s">
        <v>135</v>
      </c>
      <c r="B448" s="43"/>
      <c r="C448" s="43"/>
      <c r="D448" s="45"/>
      <c r="E448" s="43"/>
      <c r="F448" s="45"/>
      <c r="G448" s="43"/>
    </row>
    <row r="449" spans="1:7">
      <c r="A449" s="25" t="s">
        <v>129</v>
      </c>
      <c r="B449" s="43">
        <v>263</v>
      </c>
      <c r="C449" s="43">
        <v>3270</v>
      </c>
      <c r="D449" s="45">
        <v>12.45</v>
      </c>
      <c r="E449" s="43">
        <f t="shared" ref="E449:E454" si="4">($B449*D449)</f>
        <v>3274.35</v>
      </c>
      <c r="F449" s="46">
        <v>15.41</v>
      </c>
      <c r="G449" s="43">
        <f t="shared" ref="G449:G454" si="5">($B449*F449)</f>
        <v>4052.83</v>
      </c>
    </row>
    <row r="450" spans="1:7">
      <c r="A450" s="25" t="s">
        <v>130</v>
      </c>
      <c r="B450" s="43">
        <v>114</v>
      </c>
      <c r="C450" s="43">
        <v>1984</v>
      </c>
      <c r="D450" s="45">
        <v>17.329999999999998</v>
      </c>
      <c r="E450" s="43">
        <f t="shared" si="4"/>
        <v>1975.62</v>
      </c>
      <c r="F450" s="46">
        <v>21.45</v>
      </c>
      <c r="G450" s="43">
        <f t="shared" si="5"/>
        <v>2445.2999999999997</v>
      </c>
    </row>
    <row r="451" spans="1:7">
      <c r="A451" s="25" t="s">
        <v>131</v>
      </c>
      <c r="B451" s="43">
        <v>369</v>
      </c>
      <c r="C451" s="43">
        <v>5651</v>
      </c>
      <c r="D451" s="45">
        <v>15.3</v>
      </c>
      <c r="E451" s="43">
        <f t="shared" si="4"/>
        <v>5645.7</v>
      </c>
      <c r="F451" s="46">
        <v>18.93</v>
      </c>
      <c r="G451" s="43">
        <f t="shared" si="5"/>
        <v>6985.17</v>
      </c>
    </row>
    <row r="452" spans="1:7">
      <c r="A452" s="25" t="s">
        <v>132</v>
      </c>
      <c r="B452" s="43">
        <v>108</v>
      </c>
      <c r="C452" s="43">
        <v>2177</v>
      </c>
      <c r="D452" s="45">
        <v>20.18</v>
      </c>
      <c r="E452" s="43">
        <f t="shared" si="4"/>
        <v>2179.44</v>
      </c>
      <c r="F452" s="46">
        <v>24.97</v>
      </c>
      <c r="G452" s="43">
        <f t="shared" si="5"/>
        <v>2696.7599999999998</v>
      </c>
    </row>
    <row r="453" spans="1:7">
      <c r="A453" s="25" t="s">
        <v>133</v>
      </c>
      <c r="B453" s="43">
        <v>889</v>
      </c>
      <c r="C453" s="43">
        <v>17322</v>
      </c>
      <c r="D453" s="45">
        <v>19.48</v>
      </c>
      <c r="E453" s="43">
        <f t="shared" si="4"/>
        <v>17317.72</v>
      </c>
      <c r="F453" s="46">
        <v>24.11</v>
      </c>
      <c r="G453" s="43">
        <f t="shared" si="5"/>
        <v>21433.79</v>
      </c>
    </row>
    <row r="454" spans="1:7">
      <c r="A454" s="25" t="s">
        <v>134</v>
      </c>
      <c r="B454" s="43">
        <v>336</v>
      </c>
      <c r="C454" s="43">
        <v>8200</v>
      </c>
      <c r="D454" s="45">
        <v>24.36</v>
      </c>
      <c r="E454" s="43">
        <f t="shared" si="4"/>
        <v>8184.96</v>
      </c>
      <c r="F454" s="46">
        <v>30.15</v>
      </c>
      <c r="G454" s="43">
        <f t="shared" si="5"/>
        <v>10130.4</v>
      </c>
    </row>
    <row r="455" spans="1:7">
      <c r="B455" s="43"/>
      <c r="C455" s="43"/>
      <c r="D455" s="45"/>
      <c r="E455" s="43"/>
      <c r="F455" s="45"/>
      <c r="G455" s="43"/>
    </row>
    <row r="456" spans="1:7" ht="14.4" thickBot="1">
      <c r="A456" s="25" t="s">
        <v>122</v>
      </c>
      <c r="B456" s="56">
        <v>2399587</v>
      </c>
    </row>
    <row r="457" spans="1:7" ht="14.4" thickTop="1">
      <c r="B457" s="43"/>
    </row>
    <row r="458" spans="1:7">
      <c r="A458" s="25" t="s">
        <v>123</v>
      </c>
      <c r="B458" s="43"/>
      <c r="C458" s="50"/>
      <c r="D458" s="43"/>
      <c r="E458" s="50">
        <f>C458</f>
        <v>0</v>
      </c>
      <c r="G458" s="50">
        <f>E458</f>
        <v>0</v>
      </c>
    </row>
    <row r="459" spans="1:7">
      <c r="B459" s="43"/>
      <c r="C459" s="43"/>
      <c r="D459" s="43"/>
      <c r="E459" s="43"/>
      <c r="G459" s="43"/>
    </row>
    <row r="460" spans="1:7" ht="14.4" thickBot="1">
      <c r="A460" s="25" t="s">
        <v>67</v>
      </c>
      <c r="B460" s="43"/>
      <c r="C460" s="43">
        <v>622512</v>
      </c>
      <c r="D460" s="43"/>
      <c r="E460" s="51">
        <f>SUM(E439:E458)</f>
        <v>622512.10999999987</v>
      </c>
      <c r="G460" s="51">
        <f>SUM(G439:G458)</f>
        <v>679900.67</v>
      </c>
    </row>
    <row r="461" spans="1:7" ht="14.4" thickTop="1">
      <c r="B461" s="43"/>
      <c r="C461" s="43"/>
      <c r="D461" s="43"/>
      <c r="E461" s="43"/>
      <c r="G461" s="43"/>
    </row>
    <row r="462" spans="1:7">
      <c r="A462" s="25" t="s">
        <v>68</v>
      </c>
      <c r="B462" s="43"/>
      <c r="C462" s="43"/>
      <c r="D462" s="43"/>
      <c r="E462" s="43"/>
      <c r="G462" s="43"/>
    </row>
    <row r="463" spans="1:7">
      <c r="A463" s="25" t="s">
        <v>69</v>
      </c>
      <c r="B463" s="43"/>
      <c r="C463" s="50"/>
      <c r="D463" s="43"/>
      <c r="E463" s="43"/>
      <c r="G463" s="43"/>
    </row>
    <row r="464" spans="1:7">
      <c r="B464" s="43"/>
      <c r="C464" s="43"/>
      <c r="D464" s="43"/>
      <c r="E464" s="43"/>
      <c r="G464" s="43"/>
    </row>
    <row r="465" spans="1:7" ht="14.4" thickBot="1">
      <c r="A465" s="25" t="s">
        <v>70</v>
      </c>
      <c r="B465" s="43"/>
      <c r="C465" s="51">
        <v>622512</v>
      </c>
      <c r="D465" s="43"/>
    </row>
    <row r="466" spans="1:7" ht="14.4" thickTop="1">
      <c r="B466" s="43"/>
      <c r="C466" s="43"/>
      <c r="D466" s="43"/>
      <c r="E466" s="43"/>
      <c r="G466" s="43"/>
    </row>
    <row r="467" spans="1:7">
      <c r="A467" s="25" t="s">
        <v>71</v>
      </c>
      <c r="E467" s="44">
        <f>(E460-C460)</f>
        <v>0.10999999986961484</v>
      </c>
      <c r="G467" s="44">
        <f>(G460-E460)</f>
        <v>57388.560000000172</v>
      </c>
    </row>
    <row r="468" spans="1:7">
      <c r="A468" s="25" t="s">
        <v>45</v>
      </c>
      <c r="E468" s="60">
        <f>(E467/C460)</f>
        <v>1.7670342076878011E-7</v>
      </c>
      <c r="F468" s="43"/>
      <c r="G468" s="60">
        <f>(G467/E460)</f>
        <v>9.2188664410079002E-2</v>
      </c>
    </row>
    <row r="469" spans="1:7">
      <c r="E469" s="60"/>
      <c r="F469" s="43"/>
      <c r="G469" s="60"/>
    </row>
    <row r="470" spans="1:7">
      <c r="E470" s="60"/>
      <c r="F470" s="43"/>
      <c r="G470" s="60"/>
    </row>
    <row r="471" spans="1:7">
      <c r="A471" s="23" t="str">
        <f>+A1</f>
        <v>Owen Electric Cooperative</v>
      </c>
      <c r="B471" s="23"/>
      <c r="C471" s="23"/>
      <c r="D471" s="23"/>
      <c r="E471" s="23"/>
      <c r="F471" s="23"/>
      <c r="G471" s="24" t="s">
        <v>51</v>
      </c>
    </row>
    <row r="472" spans="1:7">
      <c r="A472" s="23" t="str">
        <f>+A2</f>
        <v>Case No.  2012-00448</v>
      </c>
      <c r="B472" s="23"/>
      <c r="C472" s="23"/>
      <c r="D472" s="23"/>
      <c r="E472" s="23"/>
      <c r="F472" s="23"/>
      <c r="G472" s="24" t="s">
        <v>136</v>
      </c>
    </row>
    <row r="473" spans="1:7">
      <c r="A473" s="23" t="str">
        <f>+A3</f>
        <v>Billing Analysis</v>
      </c>
      <c r="B473" s="23"/>
      <c r="C473" s="23"/>
      <c r="D473" s="23"/>
      <c r="E473" s="23"/>
      <c r="F473" s="23"/>
      <c r="G473" s="24" t="s">
        <v>55</v>
      </c>
    </row>
    <row r="474" spans="1:7">
      <c r="A474" s="27">
        <f>+A4</f>
        <v>41090</v>
      </c>
      <c r="B474" s="23"/>
      <c r="C474" s="23"/>
      <c r="D474" s="23"/>
      <c r="E474" s="23"/>
      <c r="F474" s="23"/>
      <c r="G474" s="43"/>
    </row>
    <row r="475" spans="1:7">
      <c r="A475" s="23"/>
      <c r="B475" s="23"/>
      <c r="C475" s="23"/>
      <c r="D475" s="23"/>
      <c r="E475" s="23"/>
      <c r="F475" s="23"/>
    </row>
    <row r="476" spans="1:7">
      <c r="A476" s="23" t="s">
        <v>137</v>
      </c>
      <c r="B476" s="23"/>
      <c r="C476" s="23"/>
      <c r="D476" s="23"/>
      <c r="E476" s="23"/>
      <c r="F476" s="23"/>
      <c r="G476" s="43"/>
    </row>
    <row r="478" spans="1:7">
      <c r="B478" s="28"/>
      <c r="C478" s="29" t="s">
        <v>57</v>
      </c>
      <c r="D478" s="30" t="s">
        <v>58</v>
      </c>
      <c r="E478" s="31"/>
      <c r="F478" s="32"/>
      <c r="G478" s="33"/>
    </row>
    <row r="479" spans="1:7">
      <c r="B479" s="34" t="s">
        <v>59</v>
      </c>
      <c r="C479" s="35" t="s">
        <v>60</v>
      </c>
      <c r="D479" s="36" t="str">
        <f>+D9</f>
        <v>Case No. 2010-00507</v>
      </c>
      <c r="E479" s="37"/>
      <c r="F479" s="36" t="s">
        <v>7</v>
      </c>
      <c r="G479" s="37"/>
    </row>
    <row r="480" spans="1:7" ht="15">
      <c r="A480" s="38" t="s">
        <v>62</v>
      </c>
      <c r="B480" s="39" t="s">
        <v>63</v>
      </c>
      <c r="C480" s="39" t="s">
        <v>64</v>
      </c>
      <c r="D480" s="40" t="s">
        <v>65</v>
      </c>
      <c r="E480" s="41" t="s">
        <v>64</v>
      </c>
      <c r="F480" s="40" t="s">
        <v>65</v>
      </c>
      <c r="G480" s="41" t="s">
        <v>64</v>
      </c>
    </row>
    <row r="481" spans="1:7">
      <c r="G481" s="43"/>
    </row>
    <row r="482" spans="1:7">
      <c r="A482" s="25" t="s">
        <v>138</v>
      </c>
      <c r="B482" s="43">
        <v>4309</v>
      </c>
      <c r="C482" s="43">
        <v>56620</v>
      </c>
      <c r="D482" s="45">
        <v>13.14</v>
      </c>
      <c r="E482" s="43">
        <f>($B482*D482)</f>
        <v>56620.26</v>
      </c>
      <c r="F482" s="46">
        <v>16.260000000000002</v>
      </c>
      <c r="G482" s="43">
        <f>($B482*F482)</f>
        <v>70064.340000000011</v>
      </c>
    </row>
    <row r="483" spans="1:7">
      <c r="A483" s="25" t="s">
        <v>139</v>
      </c>
      <c r="B483" s="43">
        <v>2373</v>
      </c>
      <c r="C483" s="43">
        <v>37017</v>
      </c>
      <c r="D483" s="45">
        <v>15.6</v>
      </c>
      <c r="E483" s="43">
        <f>($B483*D483)</f>
        <v>37018.799999999996</v>
      </c>
      <c r="F483" s="46">
        <v>19.309999999999999</v>
      </c>
      <c r="G483" s="43">
        <f>($B483*F483)</f>
        <v>45822.63</v>
      </c>
    </row>
    <row r="484" spans="1:7">
      <c r="B484" s="43"/>
      <c r="C484" s="43"/>
      <c r="D484" s="45"/>
      <c r="E484" s="43"/>
      <c r="F484" s="45"/>
      <c r="G484" s="43"/>
    </row>
    <row r="485" spans="1:7" ht="14.4" thickBot="1">
      <c r="A485" s="25" t="s">
        <v>122</v>
      </c>
      <c r="B485" s="56">
        <v>288455</v>
      </c>
    </row>
    <row r="486" spans="1:7" ht="14.4" thickTop="1">
      <c r="B486" s="43"/>
    </row>
    <row r="487" spans="1:7">
      <c r="A487" s="25" t="s">
        <v>123</v>
      </c>
      <c r="B487" s="43"/>
      <c r="C487" s="50"/>
      <c r="D487" s="43"/>
      <c r="E487" s="50">
        <f>C487</f>
        <v>0</v>
      </c>
      <c r="G487" s="50">
        <f>E487</f>
        <v>0</v>
      </c>
    </row>
    <row r="488" spans="1:7">
      <c r="B488" s="43"/>
      <c r="C488" s="43"/>
      <c r="D488" s="43"/>
      <c r="E488" s="43"/>
      <c r="G488" s="43"/>
    </row>
    <row r="489" spans="1:7" ht="14.4" thickBot="1">
      <c r="A489" s="25" t="s">
        <v>67</v>
      </c>
      <c r="B489" s="43"/>
      <c r="C489" s="43">
        <v>93637</v>
      </c>
      <c r="D489" s="43"/>
      <c r="E489" s="51">
        <f>SUM(E482:E487)</f>
        <v>93639.06</v>
      </c>
      <c r="G489" s="51">
        <f>SUM(G482:G487)</f>
        <v>115886.97</v>
      </c>
    </row>
    <row r="490" spans="1:7" ht="14.4" thickTop="1">
      <c r="B490" s="43"/>
      <c r="C490" s="43"/>
      <c r="D490" s="43"/>
      <c r="E490" s="43"/>
      <c r="G490" s="43"/>
    </row>
    <row r="491" spans="1:7">
      <c r="A491" s="25" t="s">
        <v>68</v>
      </c>
      <c r="B491" s="43"/>
      <c r="C491" s="43"/>
      <c r="D491" s="43"/>
      <c r="E491" s="43"/>
      <c r="G491" s="43"/>
    </row>
    <row r="492" spans="1:7">
      <c r="A492" s="25" t="s">
        <v>69</v>
      </c>
      <c r="B492" s="43"/>
      <c r="C492" s="50"/>
      <c r="D492" s="43"/>
      <c r="E492" s="43"/>
      <c r="G492" s="43"/>
    </row>
    <row r="493" spans="1:7">
      <c r="B493" s="43"/>
      <c r="C493" s="43"/>
      <c r="D493" s="43"/>
      <c r="E493" s="43"/>
      <c r="G493" s="43"/>
    </row>
    <row r="494" spans="1:7" ht="14.4" thickBot="1">
      <c r="A494" s="25" t="s">
        <v>70</v>
      </c>
      <c r="B494" s="43"/>
      <c r="C494" s="51">
        <v>93637</v>
      </c>
      <c r="D494" s="43"/>
    </row>
    <row r="495" spans="1:7" ht="14.4" thickTop="1">
      <c r="B495" s="43"/>
      <c r="C495" s="43"/>
      <c r="D495" s="43"/>
      <c r="E495" s="43"/>
      <c r="G495" s="43"/>
    </row>
    <row r="496" spans="1:7">
      <c r="A496" s="25" t="s">
        <v>71</v>
      </c>
      <c r="E496" s="44">
        <f>(E489-C489)</f>
        <v>2.0599999999976717</v>
      </c>
      <c r="G496" s="44">
        <f>(G489-E489)</f>
        <v>22247.910000000003</v>
      </c>
    </row>
    <row r="497" spans="1:7">
      <c r="A497" s="25" t="s">
        <v>45</v>
      </c>
      <c r="E497" s="52">
        <f>(E496/C489)</f>
        <v>2.1999850486428141E-5</v>
      </c>
      <c r="F497" s="52"/>
      <c r="G497" s="52">
        <f>(G496/E489)</f>
        <v>0.2375921971023631</v>
      </c>
    </row>
    <row r="498" spans="1:7">
      <c r="E498" s="60"/>
      <c r="F498" s="43"/>
      <c r="G498" s="60"/>
    </row>
    <row r="499" spans="1:7">
      <c r="E499" s="60"/>
      <c r="F499" s="43"/>
      <c r="G499" s="60"/>
    </row>
    <row r="500" spans="1:7">
      <c r="A500" s="71" t="str">
        <f>A1</f>
        <v>Owen Electric Cooperative</v>
      </c>
      <c r="B500" s="71"/>
      <c r="C500" s="71"/>
      <c r="D500" s="71"/>
      <c r="E500" s="71"/>
      <c r="F500" s="71"/>
      <c r="G500" s="61" t="s">
        <v>51</v>
      </c>
    </row>
    <row r="501" spans="1:7">
      <c r="A501" s="71" t="str">
        <f>A2</f>
        <v>Case No.  2012-00448</v>
      </c>
      <c r="B501" s="71"/>
      <c r="C501" s="71"/>
      <c r="D501" s="71"/>
      <c r="E501" s="71"/>
      <c r="F501" s="71"/>
      <c r="G501" s="61" t="s">
        <v>140</v>
      </c>
    </row>
    <row r="502" spans="1:7">
      <c r="A502" s="71" t="str">
        <f>A3</f>
        <v>Billing Analysis</v>
      </c>
      <c r="B502" s="71"/>
      <c r="C502" s="71"/>
      <c r="D502" s="71"/>
      <c r="E502" s="71"/>
      <c r="F502" s="71"/>
      <c r="G502" s="61" t="s">
        <v>55</v>
      </c>
    </row>
    <row r="503" spans="1:7">
      <c r="A503" s="72">
        <f>A4</f>
        <v>41090</v>
      </c>
      <c r="B503" s="72"/>
      <c r="C503" s="72"/>
      <c r="D503" s="72"/>
      <c r="E503" s="72"/>
      <c r="F503" s="72"/>
      <c r="G503" s="60"/>
    </row>
    <row r="504" spans="1:7">
      <c r="E504" s="60"/>
      <c r="F504" s="43"/>
      <c r="G504" s="60"/>
    </row>
    <row r="505" spans="1:7">
      <c r="A505" s="23" t="s">
        <v>141</v>
      </c>
      <c r="B505" s="23"/>
      <c r="C505" s="23"/>
      <c r="D505" s="23"/>
      <c r="E505" s="23"/>
      <c r="F505" s="23"/>
      <c r="G505" s="43"/>
    </row>
    <row r="507" spans="1:7">
      <c r="B507" s="28"/>
      <c r="C507" s="29" t="s">
        <v>57</v>
      </c>
      <c r="D507" s="30" t="s">
        <v>58</v>
      </c>
      <c r="E507" s="31"/>
      <c r="F507" s="32"/>
      <c r="G507" s="33"/>
    </row>
    <row r="508" spans="1:7">
      <c r="B508" s="34" t="s">
        <v>59</v>
      </c>
      <c r="C508" s="35" t="s">
        <v>60</v>
      </c>
      <c r="D508" s="36" t="str">
        <f>+D9</f>
        <v>Case No. 2010-00507</v>
      </c>
      <c r="E508" s="37"/>
      <c r="F508" s="36" t="s">
        <v>7</v>
      </c>
      <c r="G508" s="37"/>
    </row>
    <row r="509" spans="1:7" ht="15">
      <c r="A509" s="38" t="s">
        <v>62</v>
      </c>
      <c r="B509" s="39" t="s">
        <v>63</v>
      </c>
      <c r="C509" s="39" t="s">
        <v>64</v>
      </c>
      <c r="D509" s="40" t="s">
        <v>65</v>
      </c>
      <c r="E509" s="41" t="s">
        <v>64</v>
      </c>
      <c r="F509" s="40" t="s">
        <v>65</v>
      </c>
      <c r="G509" s="41" t="s">
        <v>64</v>
      </c>
    </row>
    <row r="510" spans="1:7">
      <c r="G510" s="43"/>
    </row>
    <row r="511" spans="1:7">
      <c r="A511" s="25" t="s">
        <v>141</v>
      </c>
      <c r="B511" s="43">
        <v>2589400</v>
      </c>
      <c r="C511" s="43">
        <v>61304</v>
      </c>
      <c r="D511" s="45"/>
      <c r="E511" s="43">
        <f>+C511</f>
        <v>61304</v>
      </c>
      <c r="F511" s="45"/>
      <c r="G511" s="43">
        <f>+E511</f>
        <v>61304</v>
      </c>
    </row>
    <row r="512" spans="1:7">
      <c r="B512" s="43"/>
      <c r="C512" s="50"/>
      <c r="D512" s="43"/>
      <c r="E512" s="50"/>
      <c r="G512" s="50"/>
    </row>
    <row r="513" spans="1:7">
      <c r="B513" s="43"/>
      <c r="C513" s="43"/>
      <c r="D513" s="43"/>
      <c r="E513" s="43"/>
      <c r="G513" s="43"/>
    </row>
    <row r="514" spans="1:7" ht="14.4" thickBot="1">
      <c r="A514" s="25" t="s">
        <v>67</v>
      </c>
      <c r="B514" s="43"/>
      <c r="C514" s="43">
        <f>SUM(C510:C512)</f>
        <v>61304</v>
      </c>
      <c r="D514" s="43"/>
      <c r="E514" s="51">
        <f>SUM(E511:E512)</f>
        <v>61304</v>
      </c>
      <c r="G514" s="51">
        <f>SUM(G511:G512)</f>
        <v>61304</v>
      </c>
    </row>
    <row r="515" spans="1:7" ht="14.4" thickTop="1">
      <c r="B515" s="43"/>
      <c r="C515" s="43"/>
      <c r="D515" s="43"/>
      <c r="E515" s="43"/>
      <c r="G515" s="43"/>
    </row>
    <row r="516" spans="1:7">
      <c r="A516" s="25" t="s">
        <v>68</v>
      </c>
      <c r="B516" s="43"/>
      <c r="C516" s="43"/>
      <c r="D516" s="43"/>
      <c r="E516" s="43"/>
      <c r="G516" s="43"/>
    </row>
    <row r="517" spans="1:7">
      <c r="A517" s="25" t="s">
        <v>69</v>
      </c>
      <c r="B517" s="43"/>
      <c r="C517" s="50"/>
      <c r="D517" s="43"/>
      <c r="E517" s="43"/>
      <c r="G517" s="43"/>
    </row>
    <row r="518" spans="1:7">
      <c r="B518" s="43"/>
      <c r="C518" s="43"/>
      <c r="D518" s="43"/>
      <c r="E518" s="43"/>
      <c r="G518" s="43"/>
    </row>
    <row r="519" spans="1:7" ht="14.4" thickBot="1">
      <c r="A519" s="25" t="s">
        <v>70</v>
      </c>
      <c r="B519" s="43"/>
      <c r="C519" s="51">
        <f>SUM(C513:C517)</f>
        <v>61304</v>
      </c>
      <c r="D519" s="43"/>
    </row>
    <row r="520" spans="1:7" ht="14.4" thickTop="1">
      <c r="B520" s="43"/>
      <c r="C520" s="43"/>
      <c r="D520" s="43"/>
      <c r="E520" s="43"/>
      <c r="G520" s="43"/>
    </row>
    <row r="521" spans="1:7">
      <c r="A521" s="25" t="s">
        <v>71</v>
      </c>
      <c r="E521" s="44">
        <f>(E514-C514)</f>
        <v>0</v>
      </c>
      <c r="G521" s="44">
        <f>(G514-E514)</f>
        <v>0</v>
      </c>
    </row>
    <row r="522" spans="1:7">
      <c r="A522" s="25" t="s">
        <v>45</v>
      </c>
      <c r="E522" s="52">
        <f>(E521/C514)</f>
        <v>0</v>
      </c>
      <c r="F522" s="52"/>
      <c r="G522" s="52">
        <f>(G521/E514)</f>
        <v>0</v>
      </c>
    </row>
    <row r="523" spans="1:7">
      <c r="E523" s="60"/>
      <c r="F523" s="43"/>
      <c r="G523" s="60"/>
    </row>
    <row r="524" spans="1:7">
      <c r="E524" s="60"/>
      <c r="F524" s="43"/>
      <c r="G524" s="60"/>
    </row>
    <row r="525" spans="1:7">
      <c r="A525" s="71" t="str">
        <f>+A1</f>
        <v>Owen Electric Cooperative</v>
      </c>
      <c r="B525" s="71"/>
      <c r="C525" s="71"/>
      <c r="D525" s="71"/>
      <c r="E525" s="71"/>
      <c r="F525" s="71"/>
      <c r="G525" s="61" t="s">
        <v>51</v>
      </c>
    </row>
    <row r="526" spans="1:7">
      <c r="A526" s="71" t="str">
        <f>+A2</f>
        <v>Case No.  2012-00448</v>
      </c>
      <c r="B526" s="71"/>
      <c r="C526" s="71"/>
      <c r="D526" s="71"/>
      <c r="E526" s="71"/>
      <c r="F526" s="71"/>
      <c r="G526" s="61" t="s">
        <v>142</v>
      </c>
    </row>
    <row r="527" spans="1:7">
      <c r="A527" s="71" t="str">
        <f>+A3</f>
        <v>Billing Analysis</v>
      </c>
      <c r="B527" s="71"/>
      <c r="C527" s="71"/>
      <c r="D527" s="71"/>
      <c r="E527" s="71"/>
      <c r="F527" s="71"/>
      <c r="G527" s="61" t="s">
        <v>55</v>
      </c>
    </row>
    <row r="528" spans="1:7">
      <c r="A528" s="72">
        <f>+A4</f>
        <v>41090</v>
      </c>
      <c r="B528" s="72"/>
      <c r="C528" s="72"/>
      <c r="D528" s="72"/>
      <c r="E528" s="72"/>
      <c r="F528" s="72"/>
      <c r="G528" s="60"/>
    </row>
    <row r="529" spans="1:7">
      <c r="E529" s="60"/>
      <c r="F529" s="43"/>
      <c r="G529" s="60"/>
    </row>
    <row r="530" spans="1:7">
      <c r="A530" s="23" t="s">
        <v>143</v>
      </c>
      <c r="B530" s="23"/>
      <c r="C530" s="23"/>
      <c r="D530" s="23"/>
      <c r="E530" s="23"/>
      <c r="F530" s="23"/>
      <c r="G530" s="43"/>
    </row>
    <row r="532" spans="1:7">
      <c r="B532" s="28"/>
      <c r="C532" s="29" t="s">
        <v>57</v>
      </c>
      <c r="D532" s="30" t="s">
        <v>58</v>
      </c>
      <c r="E532" s="31"/>
      <c r="F532" s="32"/>
      <c r="G532" s="33"/>
    </row>
    <row r="533" spans="1:7">
      <c r="B533" s="34" t="s">
        <v>59</v>
      </c>
      <c r="C533" s="35" t="s">
        <v>60</v>
      </c>
      <c r="D533" s="36" t="str">
        <f>+D9</f>
        <v>Case No. 2010-00507</v>
      </c>
      <c r="E533" s="37"/>
      <c r="F533" s="36" t="s">
        <v>7</v>
      </c>
      <c r="G533" s="37"/>
    </row>
    <row r="534" spans="1:7" ht="15">
      <c r="A534" s="38" t="s">
        <v>62</v>
      </c>
      <c r="B534" s="39" t="s">
        <v>63</v>
      </c>
      <c r="C534" s="39" t="s">
        <v>64</v>
      </c>
      <c r="D534" s="40" t="s">
        <v>65</v>
      </c>
      <c r="E534" s="41" t="s">
        <v>64</v>
      </c>
      <c r="F534" s="40" t="s">
        <v>65</v>
      </c>
      <c r="G534" s="41" t="s">
        <v>64</v>
      </c>
    </row>
    <row r="535" spans="1:7">
      <c r="G535" s="43"/>
    </row>
    <row r="536" spans="1:7">
      <c r="A536" s="25" t="s">
        <v>144</v>
      </c>
      <c r="B536" s="43">
        <v>7</v>
      </c>
      <c r="D536" s="45"/>
    </row>
    <row r="537" spans="1:7">
      <c r="A537" s="25" t="s">
        <v>75</v>
      </c>
      <c r="B537" s="43">
        <v>12169</v>
      </c>
      <c r="C537" s="43">
        <v>522</v>
      </c>
      <c r="D537" s="45"/>
      <c r="E537" s="43">
        <f>+C537</f>
        <v>522</v>
      </c>
      <c r="F537" s="45"/>
      <c r="G537" s="43">
        <f>+E537</f>
        <v>522</v>
      </c>
    </row>
    <row r="538" spans="1:7">
      <c r="B538" s="43"/>
      <c r="C538" s="50"/>
      <c r="D538" s="43"/>
      <c r="E538" s="50"/>
      <c r="G538" s="50"/>
    </row>
    <row r="539" spans="1:7">
      <c r="B539" s="43"/>
      <c r="C539" s="43"/>
      <c r="D539" s="43"/>
      <c r="E539" s="43"/>
      <c r="G539" s="43"/>
    </row>
    <row r="540" spans="1:7" ht="14.4" thickBot="1">
      <c r="A540" s="25" t="s">
        <v>67</v>
      </c>
      <c r="B540" s="43"/>
      <c r="C540" s="43">
        <v>522</v>
      </c>
      <c r="D540" s="43"/>
      <c r="E540" s="51">
        <f>SUM(E537:E538)</f>
        <v>522</v>
      </c>
      <c r="G540" s="51">
        <f>SUM(G537:G538)</f>
        <v>522</v>
      </c>
    </row>
    <row r="541" spans="1:7" ht="14.4" thickTop="1">
      <c r="B541" s="43"/>
      <c r="C541" s="43"/>
      <c r="D541" s="43"/>
      <c r="E541" s="43"/>
      <c r="G541" s="43"/>
    </row>
    <row r="542" spans="1:7">
      <c r="A542" s="25" t="s">
        <v>68</v>
      </c>
      <c r="B542" s="43"/>
      <c r="C542" s="43">
        <v>1</v>
      </c>
      <c r="D542" s="43"/>
      <c r="E542" s="43"/>
      <c r="G542" s="43"/>
    </row>
    <row r="543" spans="1:7">
      <c r="A543" s="25" t="s">
        <v>69</v>
      </c>
      <c r="B543" s="43"/>
      <c r="C543" s="50">
        <v>42</v>
      </c>
      <c r="D543" s="43"/>
      <c r="E543" s="43"/>
      <c r="G543" s="43"/>
    </row>
    <row r="544" spans="1:7">
      <c r="B544" s="43"/>
      <c r="C544" s="43"/>
      <c r="D544" s="43"/>
      <c r="E544" s="43"/>
      <c r="G544" s="43"/>
    </row>
    <row r="545" spans="1:7" ht="14.4" thickBot="1">
      <c r="A545" s="25" t="s">
        <v>70</v>
      </c>
      <c r="B545" s="43"/>
      <c r="C545" s="51">
        <f>SUM(C539:C543)</f>
        <v>565</v>
      </c>
      <c r="D545" s="43"/>
    </row>
    <row r="546" spans="1:7" ht="14.4" thickTop="1">
      <c r="B546" s="43"/>
      <c r="C546" s="43"/>
      <c r="D546" s="43"/>
      <c r="E546" s="43"/>
      <c r="G546" s="43"/>
    </row>
    <row r="547" spans="1:7">
      <c r="A547" s="25" t="s">
        <v>71</v>
      </c>
      <c r="E547" s="44">
        <f>(E540-C540)</f>
        <v>0</v>
      </c>
      <c r="G547" s="44">
        <f>(G540-E540)</f>
        <v>0</v>
      </c>
    </row>
    <row r="548" spans="1:7">
      <c r="A548" s="25" t="s">
        <v>45</v>
      </c>
      <c r="E548" s="52">
        <f>(E547/C540)</f>
        <v>0</v>
      </c>
      <c r="F548" s="52"/>
      <c r="G548" s="52">
        <f>(G547/E540)</f>
        <v>0</v>
      </c>
    </row>
    <row r="549" spans="1:7">
      <c r="E549" s="60"/>
      <c r="F549" s="43"/>
      <c r="G549" s="60"/>
    </row>
    <row r="550" spans="1:7">
      <c r="A550" s="71" t="str">
        <f>A1</f>
        <v>Owen Electric Cooperative</v>
      </c>
      <c r="B550" s="71"/>
      <c r="C550" s="71"/>
      <c r="D550" s="71"/>
      <c r="E550" s="71"/>
      <c r="F550" s="71"/>
      <c r="G550" s="61" t="s">
        <v>51</v>
      </c>
    </row>
    <row r="551" spans="1:7">
      <c r="A551" s="71" t="str">
        <f>A2</f>
        <v>Case No.  2012-00448</v>
      </c>
      <c r="B551" s="71"/>
      <c r="C551" s="71"/>
      <c r="D551" s="71"/>
      <c r="E551" s="71"/>
      <c r="F551" s="71"/>
      <c r="G551" s="61" t="s">
        <v>145</v>
      </c>
    </row>
    <row r="552" spans="1:7">
      <c r="A552" s="71" t="str">
        <f>A3</f>
        <v>Billing Analysis</v>
      </c>
      <c r="B552" s="71"/>
      <c r="C552" s="71"/>
      <c r="D552" s="71"/>
      <c r="E552" s="71"/>
      <c r="F552" s="71"/>
      <c r="G552" s="61" t="s">
        <v>55</v>
      </c>
    </row>
    <row r="553" spans="1:7">
      <c r="A553" s="72">
        <f>A4</f>
        <v>41090</v>
      </c>
      <c r="B553" s="72"/>
      <c r="C553" s="72"/>
      <c r="D553" s="72"/>
      <c r="E553" s="72"/>
      <c r="F553" s="72"/>
      <c r="G553" s="62"/>
    </row>
    <row r="554" spans="1:7">
      <c r="A554" s="71" t="s">
        <v>146</v>
      </c>
      <c r="B554" s="71"/>
      <c r="C554" s="71"/>
      <c r="D554" s="71"/>
      <c r="E554" s="71"/>
      <c r="F554" s="71"/>
    </row>
    <row r="555" spans="1:7">
      <c r="G555" s="43"/>
    </row>
    <row r="557" spans="1:7">
      <c r="B557" s="28"/>
      <c r="C557" s="29" t="s">
        <v>57</v>
      </c>
      <c r="D557" s="30" t="s">
        <v>58</v>
      </c>
      <c r="E557" s="31"/>
      <c r="F557" s="32"/>
      <c r="G557" s="33"/>
    </row>
    <row r="558" spans="1:7">
      <c r="A558" s="63" t="s">
        <v>59</v>
      </c>
      <c r="B558" s="34" t="s">
        <v>59</v>
      </c>
      <c r="C558" s="35" t="s">
        <v>60</v>
      </c>
      <c r="D558" s="36" t="str">
        <f>D9</f>
        <v>Case No. 2010-00507</v>
      </c>
      <c r="E558" s="37"/>
      <c r="F558" s="36" t="s">
        <v>7</v>
      </c>
      <c r="G558" s="37"/>
    </row>
    <row r="559" spans="1:7">
      <c r="A559" s="63" t="s">
        <v>63</v>
      </c>
      <c r="B559" s="39" t="s">
        <v>63</v>
      </c>
      <c r="C559" s="39" t="s">
        <v>64</v>
      </c>
      <c r="D559" s="40" t="s">
        <v>65</v>
      </c>
      <c r="E559" s="41" t="s">
        <v>64</v>
      </c>
      <c r="F559" s="40" t="s">
        <v>65</v>
      </c>
      <c r="G559" s="41" t="s">
        <v>64</v>
      </c>
    </row>
    <row r="562" spans="1:7">
      <c r="A562" s="25" t="s">
        <v>67</v>
      </c>
      <c r="B562" s="43">
        <f>+B13+B42+B74+B102+B133+B170+B208+B240+B273+B306+B339+B373+B413+B456+B485+B537</f>
        <v>1194241449</v>
      </c>
      <c r="C562" s="43">
        <f>+C16+C46+C75+C105+C136+C173+C210+C243+C276+C309+C342+C376+C417+C460+C489+C514+C540</f>
        <v>106615829.92190999</v>
      </c>
      <c r="E562" s="43">
        <f>+E16+E46+E75+E105+E136+E173+E210+E243+E276+E309+E342+E376+E417+E460+E489+E514+E540</f>
        <v>106615844.87190999</v>
      </c>
      <c r="G562" s="43">
        <f>+G16+G46+G75+G105+G136+G173+G210+G243+G276+G309+G342+G376+G417+G460+G489+G514+G540</f>
        <v>110197198.20187001</v>
      </c>
    </row>
    <row r="563" spans="1:7">
      <c r="C563" s="43"/>
      <c r="E563" s="43"/>
    </row>
    <row r="564" spans="1:7">
      <c r="A564" s="25" t="s">
        <v>68</v>
      </c>
      <c r="B564" s="64"/>
      <c r="C564" s="43">
        <f>+C18+C48+C77+C107+C138+C175+C212+C245+C278+C311+C344+C378+C419+C462+C491+C516+C542</f>
        <v>-1532355</v>
      </c>
      <c r="D564" s="64"/>
      <c r="E564" s="43"/>
    </row>
    <row r="565" spans="1:7">
      <c r="A565" s="25" t="s">
        <v>69</v>
      </c>
      <c r="B565" s="43"/>
      <c r="C565" s="43">
        <f>+C19+C49+C78+C108+C139+C176+C213+C246+C279+C312+C345+C379+C420+C463+C492+C517+C543</f>
        <v>9209428</v>
      </c>
      <c r="D565" s="64"/>
      <c r="E565" s="43"/>
    </row>
    <row r="566" spans="1:7">
      <c r="C566" s="43"/>
      <c r="E566" s="43"/>
    </row>
    <row r="567" spans="1:7">
      <c r="A567" s="25" t="s">
        <v>70</v>
      </c>
      <c r="C567" s="43">
        <f>+C21+C51+C110+C141+C178+C215+C248+C281+C422+C465+C494+C519</f>
        <v>114114940.40093</v>
      </c>
      <c r="E567" s="43"/>
    </row>
    <row r="568" spans="1:7">
      <c r="C568" s="43"/>
    </row>
    <row r="569" spans="1:7">
      <c r="A569" s="25" t="s">
        <v>147</v>
      </c>
      <c r="B569" s="43">
        <v>1192752458</v>
      </c>
      <c r="C569" s="43">
        <v>106615830</v>
      </c>
    </row>
    <row r="571" spans="1:7">
      <c r="A571" s="25" t="s">
        <v>44</v>
      </c>
      <c r="B571" s="43">
        <f>+B569-B562</f>
        <v>-1488991</v>
      </c>
      <c r="C571" s="43">
        <f>+C569-C562</f>
        <v>7.8090012073516846E-2</v>
      </c>
    </row>
    <row r="572" spans="1:7">
      <c r="A572" s="25" t="s">
        <v>148</v>
      </c>
      <c r="C572" s="64">
        <v>1</v>
      </c>
      <c r="E572" s="43">
        <f>+E562-C562</f>
        <v>14.950000002980232</v>
      </c>
      <c r="G572" s="43">
        <f>(G562-E562)</f>
        <v>3581353.3299600184</v>
      </c>
    </row>
    <row r="573" spans="1:7">
      <c r="A573" s="25" t="s">
        <v>149</v>
      </c>
      <c r="C573" s="43"/>
      <c r="E573" s="52">
        <f>+E572/C562</f>
        <v>1.4022307957392681E-7</v>
      </c>
      <c r="F573" s="52"/>
      <c r="G573" s="52">
        <f>(G572/E562)</f>
        <v>3.3591192137179184E-2</v>
      </c>
    </row>
    <row r="574" spans="1:7">
      <c r="B574" s="43"/>
      <c r="C574" s="43"/>
    </row>
    <row r="575" spans="1:7">
      <c r="C575" s="43"/>
      <c r="E575" s="60"/>
    </row>
  </sheetData>
  <mergeCells count="13">
    <mergeCell ref="A526:F526"/>
    <mergeCell ref="A500:F500"/>
    <mergeCell ref="A501:F501"/>
    <mergeCell ref="A502:F502"/>
    <mergeCell ref="A503:F503"/>
    <mergeCell ref="A525:F525"/>
    <mergeCell ref="A554:F554"/>
    <mergeCell ref="A527:F527"/>
    <mergeCell ref="A528:F528"/>
    <mergeCell ref="A550:F550"/>
    <mergeCell ref="A551:F551"/>
    <mergeCell ref="A552:F552"/>
    <mergeCell ref="A553:F553"/>
  </mergeCells>
  <pageMargins left="0.5" right="0.5" top="0.5" bottom="0.5" header="0.5" footer="0.5"/>
  <pageSetup scale="88" fitToHeight="14" orientation="landscape" r:id="rId1"/>
  <headerFooter alignWithMargins="0"/>
  <rowBreaks count="17" manualBreakCount="17">
    <brk id="30" max="6" man="1"/>
    <brk id="56" max="6" man="1"/>
    <brk id="89" max="6" man="1"/>
    <brk id="119" max="6" man="1"/>
    <brk id="151" max="6" man="1"/>
    <brk id="187" max="6" man="1"/>
    <brk id="224" max="6" man="1"/>
    <brk id="257" max="6" man="1"/>
    <brk id="290" max="6" man="1"/>
    <brk id="323" max="6" man="1"/>
    <brk id="356" max="6" man="1"/>
    <brk id="390" max="6" man="1"/>
    <brk id="427" max="6" man="1"/>
    <brk id="470" max="6" man="1"/>
    <brk id="499" max="6" man="1"/>
    <brk id="524" max="6" man="1"/>
    <brk id="5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Billing Detail</vt:lpstr>
      <vt:lpstr>rate class</vt:lpstr>
      <vt:lpstr>'Billing Detail'!Print_Area</vt:lpstr>
      <vt:lpstr>'rate class'!Print_Area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2021-05-24T14:45:05Z</cp:lastPrinted>
  <dcterms:created xsi:type="dcterms:W3CDTF">2021-02-09T02:13:44Z</dcterms:created>
  <dcterms:modified xsi:type="dcterms:W3CDTF">2021-05-24T14:46:29Z</dcterms:modified>
</cp:coreProperties>
</file>