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Nolin\Analysis\"/>
    </mc:Choice>
  </mc:AlternateContent>
  <xr:revisionPtr revIDLastSave="0" documentId="13_ncr:1_{9751DEF3-3F52-46CB-8ADA-043D683384C8}" xr6:coauthVersionLast="47" xr6:coauthVersionMax="47" xr10:uidLastSave="{00000000-0000-0000-0000-000000000000}"/>
  <bookViews>
    <workbookView xWindow="-108" yWindow="-108" windowWidth="23256" windowHeight="1257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Detail'!$A$1:$R$167</definedName>
    <definedName name="_xlnm.Print_Area" localSheetId="2">'Notice Table'!$A$1:$G$74</definedName>
    <definedName name="_xlnm.Print_Area" localSheetId="0">Summary!$A$1:$O$32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  <c r="E45" i="3"/>
  <c r="F44" i="3"/>
  <c r="E44" i="3"/>
  <c r="G43" i="3"/>
  <c r="F43" i="3"/>
  <c r="E43" i="3"/>
  <c r="I117" i="1"/>
  <c r="I63" i="1"/>
  <c r="I49" i="1"/>
  <c r="I36" i="1"/>
  <c r="I23" i="1"/>
  <c r="J43" i="3" l="1"/>
  <c r="L115" i="1"/>
  <c r="G45" i="3" s="1"/>
  <c r="J45" i="3" s="1"/>
  <c r="E114" i="1"/>
  <c r="M113" i="1" l="1"/>
  <c r="I114" i="1"/>
  <c r="I113" i="1"/>
  <c r="I115" i="1"/>
  <c r="I112" i="1"/>
  <c r="E21" i="3"/>
  <c r="F21" i="3"/>
  <c r="E22" i="3"/>
  <c r="F22" i="3"/>
  <c r="E23" i="3"/>
  <c r="F23" i="3"/>
  <c r="E48" i="3"/>
  <c r="F48" i="3"/>
  <c r="E50" i="3"/>
  <c r="F50" i="3"/>
  <c r="E51" i="3"/>
  <c r="F51" i="3"/>
  <c r="E53" i="3"/>
  <c r="F53" i="3"/>
  <c r="E54" i="3"/>
  <c r="F54" i="3"/>
  <c r="E55" i="3"/>
  <c r="F55" i="3"/>
  <c r="E56" i="3"/>
  <c r="F56" i="3"/>
  <c r="E58" i="3"/>
  <c r="F58" i="3"/>
  <c r="E59" i="3"/>
  <c r="F59" i="3"/>
  <c r="E60" i="3"/>
  <c r="F60" i="3"/>
  <c r="E61" i="3"/>
  <c r="F61" i="3"/>
  <c r="E63" i="3"/>
  <c r="F63" i="3"/>
  <c r="E64" i="3"/>
  <c r="F64" i="3"/>
  <c r="E65" i="3"/>
  <c r="F65" i="3"/>
  <c r="E66" i="3"/>
  <c r="F66" i="3"/>
  <c r="E68" i="3"/>
  <c r="F68" i="3"/>
  <c r="E69" i="3"/>
  <c r="F69" i="3"/>
  <c r="E70" i="3"/>
  <c r="F70" i="3"/>
  <c r="E72" i="3"/>
  <c r="F72" i="3"/>
  <c r="E73" i="3"/>
  <c r="F73" i="3"/>
  <c r="E74" i="3"/>
  <c r="F74" i="3"/>
  <c r="F47" i="3"/>
  <c r="E47" i="3"/>
  <c r="C49" i="3"/>
  <c r="D49" i="3"/>
  <c r="C52" i="3"/>
  <c r="D52" i="3"/>
  <c r="C57" i="3"/>
  <c r="D57" i="3"/>
  <c r="C62" i="3"/>
  <c r="D62" i="3"/>
  <c r="C67" i="3"/>
  <c r="D67" i="3"/>
  <c r="C71" i="3"/>
  <c r="D71" i="3"/>
  <c r="C46" i="3"/>
  <c r="D46" i="3"/>
  <c r="L114" i="1" l="1"/>
  <c r="T113" i="1"/>
  <c r="M114" i="1" l="1"/>
  <c r="G44" i="3"/>
  <c r="J44" i="3" s="1"/>
  <c r="N113" i="1"/>
  <c r="O113" i="1" s="1"/>
  <c r="E123" i="1"/>
  <c r="E98" i="3" s="1"/>
  <c r="E69" i="1"/>
  <c r="E96" i="3" s="1"/>
  <c r="E55" i="1"/>
  <c r="E95" i="3" s="1"/>
  <c r="E42" i="1"/>
  <c r="E94" i="3" s="1"/>
  <c r="E29" i="1"/>
  <c r="E93" i="3" s="1"/>
  <c r="G12" i="1" l="1"/>
  <c r="G129" i="1" s="1"/>
  <c r="G11" i="1"/>
  <c r="N131" i="1"/>
  <c r="G131" i="1"/>
  <c r="F13" i="1"/>
  <c r="G13" i="1" s="1"/>
  <c r="G130" i="1" s="1"/>
  <c r="E9" i="1"/>
  <c r="E8" i="1"/>
  <c r="G8" i="1" s="1"/>
  <c r="I104" i="1"/>
  <c r="M104" i="1" s="1"/>
  <c r="I105" i="1"/>
  <c r="G85" i="1"/>
  <c r="G83" i="1"/>
  <c r="G80" i="1"/>
  <c r="I59" i="1"/>
  <c r="F46" i="1"/>
  <c r="F45" i="1"/>
  <c r="F34" i="1"/>
  <c r="F33" i="1"/>
  <c r="F9" i="1"/>
  <c r="F21" i="1"/>
  <c r="I89" i="1"/>
  <c r="G89" i="1"/>
  <c r="I88" i="1"/>
  <c r="G88" i="1"/>
  <c r="I87" i="1"/>
  <c r="G87" i="1"/>
  <c r="I86" i="1"/>
  <c r="G86" i="1"/>
  <c r="I85" i="1"/>
  <c r="I84" i="1"/>
  <c r="G84" i="1"/>
  <c r="I83" i="1"/>
  <c r="I82" i="1"/>
  <c r="G82" i="1"/>
  <c r="I81" i="1"/>
  <c r="G81" i="1"/>
  <c r="I80" i="1"/>
  <c r="I79" i="1"/>
  <c r="G79" i="1"/>
  <c r="I78" i="1"/>
  <c r="G78" i="1"/>
  <c r="I77" i="1"/>
  <c r="G77" i="1"/>
  <c r="I76" i="1"/>
  <c r="G76" i="1"/>
  <c r="I75" i="1"/>
  <c r="G75" i="1"/>
  <c r="L112" i="1"/>
  <c r="G128" i="1" l="1"/>
  <c r="I11" i="1"/>
  <c r="I128" i="1" s="1"/>
  <c r="E17" i="1"/>
  <c r="E92" i="3" s="1"/>
  <c r="G42" i="3"/>
  <c r="F42" i="3"/>
  <c r="E42" i="3"/>
  <c r="C41" i="3"/>
  <c r="D41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F25" i="3"/>
  <c r="E25" i="3"/>
  <c r="C24" i="3"/>
  <c r="D24" i="3"/>
  <c r="F20" i="3"/>
  <c r="E20" i="3"/>
  <c r="C19" i="3"/>
  <c r="D19" i="3"/>
  <c r="E17" i="3"/>
  <c r="F17" i="3"/>
  <c r="E18" i="3"/>
  <c r="F18" i="3"/>
  <c r="F16" i="3"/>
  <c r="E16" i="3"/>
  <c r="C15" i="3"/>
  <c r="D15" i="3"/>
  <c r="E13" i="3"/>
  <c r="F13" i="3"/>
  <c r="E14" i="3"/>
  <c r="F14" i="3"/>
  <c r="F12" i="3"/>
  <c r="E12" i="3"/>
  <c r="C11" i="3"/>
  <c r="D11" i="3"/>
  <c r="E10" i="3"/>
  <c r="F10" i="3"/>
  <c r="F9" i="3"/>
  <c r="E9" i="3"/>
  <c r="C8" i="3"/>
  <c r="D8" i="3"/>
  <c r="E7" i="3"/>
  <c r="F7" i="3"/>
  <c r="F6" i="3"/>
  <c r="E6" i="3"/>
  <c r="C5" i="3"/>
  <c r="D5" i="3"/>
  <c r="A1" i="3"/>
  <c r="J42" i="3" l="1"/>
  <c r="L30" i="2"/>
  <c r="G18" i="2"/>
  <c r="I18" i="2" s="1"/>
  <c r="L6" i="2"/>
  <c r="C18" i="2"/>
  <c r="B18" i="2"/>
  <c r="G121" i="1"/>
  <c r="I120" i="1"/>
  <c r="M120" i="1" s="1"/>
  <c r="I119" i="1"/>
  <c r="M119" i="1" s="1"/>
  <c r="N119" i="1" s="1"/>
  <c r="I118" i="1"/>
  <c r="M118" i="1" s="1"/>
  <c r="N118" i="1" s="1"/>
  <c r="M117" i="1"/>
  <c r="D86" i="3" l="1"/>
  <c r="D98" i="3"/>
  <c r="C98" i="3"/>
  <c r="C86" i="3"/>
  <c r="G116" i="1"/>
  <c r="I116" i="1"/>
  <c r="J113" i="1" s="1"/>
  <c r="N117" i="1"/>
  <c r="M121" i="1"/>
  <c r="I121" i="1"/>
  <c r="G122" i="1" l="1"/>
  <c r="G123" i="1" s="1"/>
  <c r="D18" i="2"/>
  <c r="K116" i="1"/>
  <c r="E18" i="2"/>
  <c r="J115" i="1"/>
  <c r="J114" i="1"/>
  <c r="J112" i="1"/>
  <c r="I122" i="1"/>
  <c r="I123" i="1" s="1"/>
  <c r="N121" i="1"/>
  <c r="O121" i="1" s="1"/>
  <c r="S116" i="1" l="1"/>
  <c r="T115" i="1" s="1"/>
  <c r="J116" i="1"/>
  <c r="M115" i="1" l="1"/>
  <c r="N115" i="1" s="1"/>
  <c r="O115" i="1" s="1"/>
  <c r="T112" i="1"/>
  <c r="M112" i="1"/>
  <c r="N112" i="1" l="1"/>
  <c r="O112" i="1" l="1"/>
  <c r="C13" i="2"/>
  <c r="D83" i="3" l="1"/>
  <c r="D95" i="3"/>
  <c r="I60" i="1"/>
  <c r="G60" i="1"/>
  <c r="I21" i="1"/>
  <c r="G21" i="1"/>
  <c r="I46" i="1" l="1"/>
  <c r="G46" i="1"/>
  <c r="I33" i="1"/>
  <c r="G33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13" i="1"/>
  <c r="I66" i="1"/>
  <c r="M66" i="1" s="1"/>
  <c r="I65" i="1"/>
  <c r="M65" i="1" s="1"/>
  <c r="I64" i="1"/>
  <c r="M64" i="1" s="1"/>
  <c r="I52" i="1"/>
  <c r="M52" i="1" s="1"/>
  <c r="I51" i="1"/>
  <c r="M51" i="1" s="1"/>
  <c r="I50" i="1"/>
  <c r="M50" i="1" s="1"/>
  <c r="I39" i="1"/>
  <c r="M39" i="1" s="1"/>
  <c r="I37" i="1"/>
  <c r="I26" i="1"/>
  <c r="M26" i="1" s="1"/>
  <c r="I25" i="1"/>
  <c r="M25" i="1" s="1"/>
  <c r="I24" i="1"/>
  <c r="M24" i="1" s="1"/>
  <c r="I14" i="1"/>
  <c r="I13" i="1"/>
  <c r="I12" i="1"/>
  <c r="B26" i="2"/>
  <c r="I129" i="1" l="1"/>
  <c r="I131" i="1"/>
  <c r="E26" i="2" s="1"/>
  <c r="M13" i="1"/>
  <c r="M12" i="1"/>
  <c r="M14" i="1"/>
  <c r="M131" i="1" s="1"/>
  <c r="I27" i="1"/>
  <c r="I53" i="1"/>
  <c r="M37" i="1"/>
  <c r="G40" i="1"/>
  <c r="I38" i="1"/>
  <c r="M38" i="1" s="1"/>
  <c r="G15" i="1"/>
  <c r="G67" i="1"/>
  <c r="D26" i="2"/>
  <c r="G53" i="1"/>
  <c r="G27" i="1"/>
  <c r="I130" i="1" l="1"/>
  <c r="I132" i="1" s="1"/>
  <c r="J26" i="2"/>
  <c r="I15" i="1"/>
  <c r="I67" i="1"/>
  <c r="I40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74" i="1"/>
  <c r="G74" i="1"/>
  <c r="I73" i="1"/>
  <c r="G73" i="1"/>
  <c r="E25" i="2" l="1"/>
  <c r="E24" i="2"/>
  <c r="D25" i="2"/>
  <c r="D24" i="2"/>
  <c r="C12" i="2"/>
  <c r="C14" i="2"/>
  <c r="C15" i="2"/>
  <c r="B15" i="2"/>
  <c r="B14" i="2"/>
  <c r="B13" i="2"/>
  <c r="B12" i="2"/>
  <c r="C11" i="2"/>
  <c r="C10" i="2"/>
  <c r="B11" i="2"/>
  <c r="B10" i="2"/>
  <c r="N51" i="1"/>
  <c r="N50" i="1"/>
  <c r="M49" i="1"/>
  <c r="I47" i="1"/>
  <c r="G47" i="1"/>
  <c r="I45" i="1"/>
  <c r="G45" i="1"/>
  <c r="N25" i="1"/>
  <c r="N24" i="1"/>
  <c r="M23" i="1"/>
  <c r="I20" i="1"/>
  <c r="G20" i="1"/>
  <c r="N37" i="1"/>
  <c r="M36" i="1"/>
  <c r="I34" i="1"/>
  <c r="G34" i="1"/>
  <c r="I32" i="1"/>
  <c r="G32" i="1"/>
  <c r="N65" i="1"/>
  <c r="N64" i="1"/>
  <c r="M63" i="1"/>
  <c r="I61" i="1"/>
  <c r="J59" i="1" s="1"/>
  <c r="I58" i="1"/>
  <c r="C97" i="3" l="1"/>
  <c r="C85" i="3"/>
  <c r="C80" i="3"/>
  <c r="C92" i="3"/>
  <c r="D85" i="3"/>
  <c r="D97" i="3"/>
  <c r="C93" i="3"/>
  <c r="C81" i="3"/>
  <c r="D96" i="3"/>
  <c r="D84" i="3"/>
  <c r="D92" i="3"/>
  <c r="D80" i="3"/>
  <c r="D94" i="3"/>
  <c r="D82" i="3"/>
  <c r="D81" i="3"/>
  <c r="D93" i="3"/>
  <c r="C94" i="3"/>
  <c r="C82" i="3"/>
  <c r="C83" i="3"/>
  <c r="C95" i="3"/>
  <c r="C84" i="3"/>
  <c r="C96" i="3"/>
  <c r="N23" i="1"/>
  <c r="M27" i="1"/>
  <c r="N63" i="1"/>
  <c r="M67" i="1"/>
  <c r="N49" i="1"/>
  <c r="M53" i="1"/>
  <c r="N36" i="1"/>
  <c r="M40" i="1"/>
  <c r="N40" i="1" s="1"/>
  <c r="O40" i="1" s="1"/>
  <c r="G132" i="1"/>
  <c r="E23" i="2"/>
  <c r="E27" i="2" s="1"/>
  <c r="G48" i="1"/>
  <c r="D13" i="2" s="1"/>
  <c r="D23" i="2"/>
  <c r="D27" i="2" s="1"/>
  <c r="G22" i="1"/>
  <c r="D11" i="2" s="1"/>
  <c r="I48" i="1"/>
  <c r="I22" i="1"/>
  <c r="G35" i="1"/>
  <c r="N38" i="1"/>
  <c r="I35" i="1"/>
  <c r="J34" i="1" s="1"/>
  <c r="I62" i="1"/>
  <c r="G62" i="1"/>
  <c r="G72" i="1"/>
  <c r="I72" i="1"/>
  <c r="G108" i="1"/>
  <c r="M106" i="1"/>
  <c r="M130" i="1" s="1"/>
  <c r="M105" i="1"/>
  <c r="M129" i="1" s="1"/>
  <c r="B24" i="2"/>
  <c r="B25" i="2"/>
  <c r="B23" i="2"/>
  <c r="M11" i="1"/>
  <c r="M128" i="1" s="1"/>
  <c r="I9" i="1"/>
  <c r="I8" i="1"/>
  <c r="G9" i="1"/>
  <c r="A2" i="1"/>
  <c r="A1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M132" i="1" l="1"/>
  <c r="M15" i="1"/>
  <c r="N104" i="1"/>
  <c r="J21" i="1"/>
  <c r="E13" i="2"/>
  <c r="J46" i="1"/>
  <c r="N105" i="1"/>
  <c r="N106" i="1"/>
  <c r="J25" i="2"/>
  <c r="J47" i="1"/>
  <c r="J33" i="1"/>
  <c r="J61" i="1"/>
  <c r="J60" i="1"/>
  <c r="J45" i="1"/>
  <c r="J32" i="1"/>
  <c r="J58" i="1"/>
  <c r="J20" i="1"/>
  <c r="G54" i="1"/>
  <c r="G55" i="1" s="1"/>
  <c r="G28" i="1"/>
  <c r="G29" i="1" s="1"/>
  <c r="N12" i="1"/>
  <c r="J24" i="2"/>
  <c r="N13" i="1"/>
  <c r="G41" i="1"/>
  <c r="G42" i="1" s="1"/>
  <c r="D12" i="2"/>
  <c r="I54" i="1"/>
  <c r="I55" i="1" s="1"/>
  <c r="G68" i="1"/>
  <c r="G69" i="1" s="1"/>
  <c r="D14" i="2"/>
  <c r="I68" i="1"/>
  <c r="I69" i="1" s="1"/>
  <c r="E14" i="2"/>
  <c r="I41" i="1"/>
  <c r="I42" i="1" s="1"/>
  <c r="E12" i="2"/>
  <c r="I28" i="1"/>
  <c r="I29" i="1" s="1"/>
  <c r="E11" i="2"/>
  <c r="N53" i="1"/>
  <c r="O53" i="1" s="1"/>
  <c r="N27" i="1"/>
  <c r="O27" i="1" s="1"/>
  <c r="N67" i="1"/>
  <c r="O67" i="1" s="1"/>
  <c r="G10" i="1"/>
  <c r="I10" i="1"/>
  <c r="I108" i="1"/>
  <c r="I103" i="1"/>
  <c r="G103" i="1"/>
  <c r="N11" i="1"/>
  <c r="N128" i="1" l="1"/>
  <c r="N129" i="1"/>
  <c r="N130" i="1"/>
  <c r="G127" i="1"/>
  <c r="G133" i="1" s="1"/>
  <c r="G11" i="2"/>
  <c r="I127" i="1"/>
  <c r="I133" i="1" s="1"/>
  <c r="G12" i="2"/>
  <c r="G13" i="2"/>
  <c r="G14" i="2"/>
  <c r="D15" i="2"/>
  <c r="J87" i="1"/>
  <c r="J83" i="1"/>
  <c r="J75" i="1"/>
  <c r="J79" i="1"/>
  <c r="J89" i="1"/>
  <c r="J82" i="1"/>
  <c r="J85" i="1"/>
  <c r="J76" i="1"/>
  <c r="J86" i="1"/>
  <c r="J78" i="1"/>
  <c r="J84" i="1"/>
  <c r="J88" i="1"/>
  <c r="J80" i="1"/>
  <c r="J81" i="1"/>
  <c r="J77" i="1"/>
  <c r="J62" i="1"/>
  <c r="J48" i="1"/>
  <c r="J23" i="2"/>
  <c r="J27" i="2" s="1"/>
  <c r="J35" i="1"/>
  <c r="E15" i="2"/>
  <c r="J22" i="1"/>
  <c r="J101" i="1"/>
  <c r="J94" i="1"/>
  <c r="J98" i="1"/>
  <c r="J95" i="1"/>
  <c r="J102" i="1"/>
  <c r="J92" i="1"/>
  <c r="J93" i="1"/>
  <c r="J99" i="1"/>
  <c r="J96" i="1"/>
  <c r="J100" i="1"/>
  <c r="J97" i="1"/>
  <c r="J91" i="1"/>
  <c r="J74" i="1"/>
  <c r="J90" i="1"/>
  <c r="J73" i="1"/>
  <c r="J9" i="1"/>
  <c r="J8" i="1"/>
  <c r="G109" i="1"/>
  <c r="E10" i="2"/>
  <c r="G16" i="1"/>
  <c r="D10" i="2"/>
  <c r="J72" i="1"/>
  <c r="I109" i="1"/>
  <c r="M108" i="1"/>
  <c r="I16" i="1"/>
  <c r="I17" i="1" s="1"/>
  <c r="N15" i="1"/>
  <c r="N132" i="1" l="1"/>
  <c r="G10" i="2"/>
  <c r="G15" i="2"/>
  <c r="D16" i="2"/>
  <c r="D20" i="2" s="1"/>
  <c r="D29" i="2" s="1"/>
  <c r="E16" i="2"/>
  <c r="G17" i="1"/>
  <c r="J103" i="1"/>
  <c r="N108" i="1"/>
  <c r="O108" i="1" s="1"/>
  <c r="J10" i="1"/>
  <c r="G16" i="2" l="1"/>
  <c r="G20" i="2" s="1"/>
  <c r="E20" i="2"/>
  <c r="F10" i="2"/>
  <c r="F13" i="2"/>
  <c r="F11" i="2"/>
  <c r="F15" i="2"/>
  <c r="F16" i="2"/>
  <c r="F12" i="2"/>
  <c r="F14" i="2"/>
  <c r="H12" i="2" l="1"/>
  <c r="I12" i="2" s="1"/>
  <c r="K35" i="1" s="1"/>
  <c r="S35" i="1" s="1"/>
  <c r="L33" i="1" s="1"/>
  <c r="G13" i="3" s="1"/>
  <c r="J13" i="3" s="1"/>
  <c r="H13" i="2"/>
  <c r="I13" i="2" s="1"/>
  <c r="K48" i="1" s="1"/>
  <c r="S48" i="1" s="1"/>
  <c r="L47" i="1" s="1"/>
  <c r="G18" i="3" s="1"/>
  <c r="J18" i="3" s="1"/>
  <c r="H14" i="2"/>
  <c r="I14" i="2" s="1"/>
  <c r="K62" i="1" s="1"/>
  <c r="H11" i="2"/>
  <c r="I11" i="2" s="1"/>
  <c r="K22" i="1" s="1"/>
  <c r="S22" i="1" s="1"/>
  <c r="H10" i="2"/>
  <c r="H15" i="2"/>
  <c r="I15" i="2" s="1"/>
  <c r="K103" i="1" s="1"/>
  <c r="S103" i="1" s="1"/>
  <c r="L79" i="1" s="1"/>
  <c r="I10" i="2"/>
  <c r="K10" i="1" s="1"/>
  <c r="S10" i="1" s="1"/>
  <c r="L9" i="1" s="1"/>
  <c r="E29" i="2"/>
  <c r="S62" i="1" l="1"/>
  <c r="L58" i="1" s="1"/>
  <c r="L8" i="1"/>
  <c r="T8" i="1" s="1"/>
  <c r="L101" i="1"/>
  <c r="G39" i="3" s="1"/>
  <c r="J39" i="3" s="1"/>
  <c r="L83" i="1"/>
  <c r="L99" i="1"/>
  <c r="G37" i="3" s="1"/>
  <c r="J37" i="3" s="1"/>
  <c r="L82" i="1"/>
  <c r="M82" i="1" s="1"/>
  <c r="L96" i="1"/>
  <c r="G34" i="3" s="1"/>
  <c r="J34" i="3" s="1"/>
  <c r="L77" i="1"/>
  <c r="T77" i="1" s="1"/>
  <c r="L45" i="1"/>
  <c r="G16" i="3" s="1"/>
  <c r="J16" i="3" s="1"/>
  <c r="L100" i="1"/>
  <c r="G38" i="3" s="1"/>
  <c r="J38" i="3" s="1"/>
  <c r="L102" i="1"/>
  <c r="M102" i="1" s="1"/>
  <c r="N102" i="1" s="1"/>
  <c r="O102" i="1" s="1"/>
  <c r="L74" i="1"/>
  <c r="G27" i="3" s="1"/>
  <c r="J27" i="3" s="1"/>
  <c r="L91" i="1"/>
  <c r="G29" i="3" s="1"/>
  <c r="J29" i="3" s="1"/>
  <c r="L81" i="1"/>
  <c r="M81" i="1" s="1"/>
  <c r="L92" i="1"/>
  <c r="M92" i="1" s="1"/>
  <c r="N92" i="1" s="1"/>
  <c r="O92" i="1" s="1"/>
  <c r="L87" i="1"/>
  <c r="M87" i="1" s="1"/>
  <c r="L46" i="1"/>
  <c r="G17" i="3" s="1"/>
  <c r="J17" i="3" s="1"/>
  <c r="L90" i="1"/>
  <c r="G28" i="3" s="1"/>
  <c r="J28" i="3" s="1"/>
  <c r="L34" i="1"/>
  <c r="G14" i="3" s="1"/>
  <c r="J14" i="3" s="1"/>
  <c r="L98" i="1"/>
  <c r="M98" i="1" s="1"/>
  <c r="N98" i="1" s="1"/>
  <c r="O98" i="1" s="1"/>
  <c r="L88" i="1"/>
  <c r="T88" i="1" s="1"/>
  <c r="L32" i="1"/>
  <c r="G12" i="3" s="1"/>
  <c r="J12" i="3" s="1"/>
  <c r="L73" i="1"/>
  <c r="G26" i="3" s="1"/>
  <c r="J26" i="3" s="1"/>
  <c r="L75" i="1"/>
  <c r="M75" i="1" s="1"/>
  <c r="L78" i="1"/>
  <c r="M78" i="1" s="1"/>
  <c r="L76" i="1"/>
  <c r="T76" i="1" s="1"/>
  <c r="I16" i="2"/>
  <c r="I20" i="2" s="1"/>
  <c r="L93" i="1"/>
  <c r="G31" i="3" s="1"/>
  <c r="J31" i="3" s="1"/>
  <c r="L86" i="1"/>
  <c r="M86" i="1" s="1"/>
  <c r="L85" i="1"/>
  <c r="M85" i="1" s="1"/>
  <c r="L97" i="1"/>
  <c r="G35" i="3" s="1"/>
  <c r="J35" i="3" s="1"/>
  <c r="L94" i="1"/>
  <c r="G32" i="3" s="1"/>
  <c r="J32" i="3" s="1"/>
  <c r="L84" i="1"/>
  <c r="M84" i="1" s="1"/>
  <c r="L89" i="1"/>
  <c r="M89" i="1" s="1"/>
  <c r="L72" i="1"/>
  <c r="M72" i="1" s="1"/>
  <c r="N72" i="1" s="1"/>
  <c r="O72" i="1" s="1"/>
  <c r="L95" i="1"/>
  <c r="G33" i="3" s="1"/>
  <c r="J33" i="3" s="1"/>
  <c r="L80" i="1"/>
  <c r="T80" i="1" s="1"/>
  <c r="G7" i="3"/>
  <c r="J7" i="3" s="1"/>
  <c r="M79" i="1"/>
  <c r="T79" i="1"/>
  <c r="T74" i="1"/>
  <c r="T83" i="1"/>
  <c r="M83" i="1"/>
  <c r="T98" i="1"/>
  <c r="M101" i="1"/>
  <c r="N101" i="1" s="1"/>
  <c r="O101" i="1" s="1"/>
  <c r="T114" i="1"/>
  <c r="M33" i="1"/>
  <c r="T33" i="1"/>
  <c r="T9" i="1"/>
  <c r="M9" i="1"/>
  <c r="N9" i="1" s="1"/>
  <c r="O9" i="1" s="1"/>
  <c r="M47" i="1"/>
  <c r="T47" i="1"/>
  <c r="L61" i="1" l="1"/>
  <c r="G23" i="3" s="1"/>
  <c r="J23" i="3" s="1"/>
  <c r="M77" i="1"/>
  <c r="T34" i="1"/>
  <c r="M99" i="1"/>
  <c r="N99" i="1" s="1"/>
  <c r="O99" i="1" s="1"/>
  <c r="T99" i="1"/>
  <c r="M88" i="1"/>
  <c r="N88" i="1" s="1"/>
  <c r="O88" i="1" s="1"/>
  <c r="T91" i="1"/>
  <c r="G6" i="3"/>
  <c r="J6" i="3" s="1"/>
  <c r="M34" i="1"/>
  <c r="N34" i="1" s="1"/>
  <c r="O34" i="1" s="1"/>
  <c r="G36" i="3"/>
  <c r="J36" i="3" s="1"/>
  <c r="T92" i="1"/>
  <c r="G30" i="3"/>
  <c r="J30" i="3" s="1"/>
  <c r="G20" i="3"/>
  <c r="J20" i="3" s="1"/>
  <c r="T58" i="1"/>
  <c r="M58" i="1"/>
  <c r="N58" i="1" s="1"/>
  <c r="T93" i="1"/>
  <c r="G25" i="3"/>
  <c r="J25" i="3" s="1"/>
  <c r="T72" i="1"/>
  <c r="L60" i="1"/>
  <c r="G22" i="3" s="1"/>
  <c r="J22" i="3" s="1"/>
  <c r="L59" i="1"/>
  <c r="M91" i="1"/>
  <c r="N91" i="1" s="1"/>
  <c r="O91" i="1" s="1"/>
  <c r="T82" i="1"/>
  <c r="M100" i="1"/>
  <c r="N100" i="1" s="1"/>
  <c r="O100" i="1" s="1"/>
  <c r="M74" i="1"/>
  <c r="N74" i="1" s="1"/>
  <c r="O74" i="1" s="1"/>
  <c r="M76" i="1"/>
  <c r="N76" i="1" s="1"/>
  <c r="O76" i="1" s="1"/>
  <c r="M32" i="1"/>
  <c r="T102" i="1"/>
  <c r="M8" i="1"/>
  <c r="N8" i="1" s="1"/>
  <c r="T96" i="1"/>
  <c r="T101" i="1"/>
  <c r="M93" i="1"/>
  <c r="N93" i="1" s="1"/>
  <c r="O93" i="1" s="1"/>
  <c r="M45" i="1"/>
  <c r="N45" i="1" s="1"/>
  <c r="O45" i="1" s="1"/>
  <c r="T32" i="1"/>
  <c r="M90" i="1"/>
  <c r="N90" i="1" s="1"/>
  <c r="O90" i="1" s="1"/>
  <c r="T81" i="1"/>
  <c r="T90" i="1"/>
  <c r="T75" i="1"/>
  <c r="G40" i="3"/>
  <c r="J40" i="3" s="1"/>
  <c r="T87" i="1"/>
  <c r="M96" i="1"/>
  <c r="N96" i="1" s="1"/>
  <c r="O96" i="1" s="1"/>
  <c r="T94" i="1"/>
  <c r="T46" i="1"/>
  <c r="T78" i="1"/>
  <c r="M94" i="1"/>
  <c r="N94" i="1" s="1"/>
  <c r="O94" i="1" s="1"/>
  <c r="T73" i="1"/>
  <c r="M73" i="1"/>
  <c r="N73" i="1" s="1"/>
  <c r="O73" i="1" s="1"/>
  <c r="M46" i="1"/>
  <c r="N46" i="1" s="1"/>
  <c r="O46" i="1" s="1"/>
  <c r="T100" i="1"/>
  <c r="T85" i="1"/>
  <c r="T86" i="1"/>
  <c r="M80" i="1"/>
  <c r="N80" i="1" s="1"/>
  <c r="O80" i="1" s="1"/>
  <c r="M97" i="1"/>
  <c r="N97" i="1" s="1"/>
  <c r="O97" i="1" s="1"/>
  <c r="T95" i="1"/>
  <c r="T97" i="1"/>
  <c r="M95" i="1"/>
  <c r="N95" i="1" s="1"/>
  <c r="O95" i="1" s="1"/>
  <c r="T89" i="1"/>
  <c r="T84" i="1"/>
  <c r="N85" i="1"/>
  <c r="O85" i="1" s="1"/>
  <c r="N78" i="1"/>
  <c r="O78" i="1" s="1"/>
  <c r="N81" i="1"/>
  <c r="O81" i="1" s="1"/>
  <c r="N79" i="1"/>
  <c r="O79" i="1" s="1"/>
  <c r="N87" i="1"/>
  <c r="O87" i="1" s="1"/>
  <c r="N82" i="1"/>
  <c r="O82" i="1" s="1"/>
  <c r="N86" i="1"/>
  <c r="O86" i="1" s="1"/>
  <c r="N83" i="1"/>
  <c r="O83" i="1" s="1"/>
  <c r="N75" i="1"/>
  <c r="O75" i="1" s="1"/>
  <c r="N77" i="1"/>
  <c r="O77" i="1" s="1"/>
  <c r="N89" i="1"/>
  <c r="O89" i="1" s="1"/>
  <c r="N84" i="1"/>
  <c r="O84" i="1" s="1"/>
  <c r="N114" i="1"/>
  <c r="M116" i="1"/>
  <c r="P113" i="1" s="1"/>
  <c r="Q113" i="1" s="1"/>
  <c r="N33" i="1"/>
  <c r="O33" i="1" s="1"/>
  <c r="N47" i="1"/>
  <c r="O47" i="1" s="1"/>
  <c r="M61" i="1" l="1"/>
  <c r="N61" i="1" s="1"/>
  <c r="O61" i="1" s="1"/>
  <c r="T61" i="1"/>
  <c r="M35" i="1"/>
  <c r="P34" i="1" s="1"/>
  <c r="Q34" i="1" s="1"/>
  <c r="G21" i="3"/>
  <c r="J21" i="3" s="1"/>
  <c r="L152" i="1"/>
  <c r="M10" i="1"/>
  <c r="M16" i="1" s="1"/>
  <c r="O114" i="1"/>
  <c r="N116" i="1"/>
  <c r="T59" i="1"/>
  <c r="M59" i="1"/>
  <c r="N59" i="1" s="1"/>
  <c r="O59" i="1" s="1"/>
  <c r="T60" i="1"/>
  <c r="M60" i="1"/>
  <c r="N60" i="1" s="1"/>
  <c r="O60" i="1" s="1"/>
  <c r="N32" i="1"/>
  <c r="O32" i="1" s="1"/>
  <c r="M48" i="1"/>
  <c r="J13" i="2" s="1"/>
  <c r="O13" i="2" s="1"/>
  <c r="O58" i="1"/>
  <c r="O8" i="1"/>
  <c r="N10" i="1"/>
  <c r="N48" i="1"/>
  <c r="O48" i="1" s="1"/>
  <c r="M103" i="1"/>
  <c r="P85" i="1" s="1"/>
  <c r="Q85" i="1" s="1"/>
  <c r="P112" i="1"/>
  <c r="P115" i="1"/>
  <c r="Q115" i="1" s="1"/>
  <c r="P114" i="1"/>
  <c r="Q114" i="1" s="1"/>
  <c r="J18" i="2"/>
  <c r="O18" i="2" s="1"/>
  <c r="R116" i="1"/>
  <c r="M122" i="1"/>
  <c r="M123" i="1" s="1"/>
  <c r="N123" i="1" s="1"/>
  <c r="F98" i="3" s="1"/>
  <c r="P8" i="1" l="1"/>
  <c r="R10" i="1"/>
  <c r="P33" i="1"/>
  <c r="Q33" i="1" s="1"/>
  <c r="P32" i="1"/>
  <c r="Q32" i="1" s="1"/>
  <c r="M41" i="1"/>
  <c r="J12" i="2"/>
  <c r="O12" i="2" s="1"/>
  <c r="R35" i="1"/>
  <c r="P9" i="1"/>
  <c r="Q9" i="1" s="1"/>
  <c r="J10" i="2"/>
  <c r="L166" i="1"/>
  <c r="G73" i="3" s="1"/>
  <c r="J73" i="3" s="1"/>
  <c r="L158" i="1"/>
  <c r="G65" i="3" s="1"/>
  <c r="J65" i="3" s="1"/>
  <c r="L162" i="1"/>
  <c r="G69" i="3" s="1"/>
  <c r="J69" i="3" s="1"/>
  <c r="G59" i="3"/>
  <c r="J59" i="3" s="1"/>
  <c r="P46" i="1"/>
  <c r="Q46" i="1" s="1"/>
  <c r="P99" i="1"/>
  <c r="Q99" i="1" s="1"/>
  <c r="P100" i="1"/>
  <c r="Q100" i="1" s="1"/>
  <c r="P72" i="1"/>
  <c r="Q72" i="1" s="1"/>
  <c r="R103" i="1"/>
  <c r="P80" i="1"/>
  <c r="Q80" i="1" s="1"/>
  <c r="P77" i="1"/>
  <c r="Q77" i="1" s="1"/>
  <c r="J15" i="2"/>
  <c r="L15" i="2" s="1"/>
  <c r="P92" i="1"/>
  <c r="Q92" i="1" s="1"/>
  <c r="M109" i="1"/>
  <c r="N109" i="1" s="1"/>
  <c r="O109" i="1" s="1"/>
  <c r="N15" i="2" s="1"/>
  <c r="G85" i="3" s="1"/>
  <c r="M62" i="1"/>
  <c r="P60" i="1" s="1"/>
  <c r="Q60" i="1" s="1"/>
  <c r="P73" i="1"/>
  <c r="Q73" i="1" s="1"/>
  <c r="N103" i="1"/>
  <c r="O103" i="1" s="1"/>
  <c r="P98" i="1"/>
  <c r="Q98" i="1" s="1"/>
  <c r="P79" i="1"/>
  <c r="Q79" i="1" s="1"/>
  <c r="P83" i="1"/>
  <c r="Q83" i="1" s="1"/>
  <c r="N35" i="1"/>
  <c r="L12" i="2" s="1"/>
  <c r="P90" i="1"/>
  <c r="Q90" i="1" s="1"/>
  <c r="P93" i="1"/>
  <c r="Q93" i="1" s="1"/>
  <c r="P97" i="1"/>
  <c r="Q97" i="1" s="1"/>
  <c r="P78" i="1"/>
  <c r="Q78" i="1" s="1"/>
  <c r="P87" i="1"/>
  <c r="Q87" i="1" s="1"/>
  <c r="P91" i="1"/>
  <c r="Q91" i="1" s="1"/>
  <c r="P74" i="1"/>
  <c r="Q74" i="1" s="1"/>
  <c r="P76" i="1"/>
  <c r="Q76" i="1" s="1"/>
  <c r="P84" i="1"/>
  <c r="Q84" i="1" s="1"/>
  <c r="P96" i="1"/>
  <c r="Q96" i="1" s="1"/>
  <c r="P94" i="1"/>
  <c r="Q94" i="1" s="1"/>
  <c r="M54" i="1"/>
  <c r="M55" i="1" s="1"/>
  <c r="N55" i="1" s="1"/>
  <c r="F95" i="3" s="1"/>
  <c r="P81" i="1"/>
  <c r="Q81" i="1" s="1"/>
  <c r="P75" i="1"/>
  <c r="Q75" i="1" s="1"/>
  <c r="P95" i="1"/>
  <c r="Q95" i="1" s="1"/>
  <c r="P101" i="1"/>
  <c r="Q101" i="1" s="1"/>
  <c r="P88" i="1"/>
  <c r="Q88" i="1" s="1"/>
  <c r="P89" i="1"/>
  <c r="Q89" i="1" s="1"/>
  <c r="N62" i="1"/>
  <c r="O62" i="1" s="1"/>
  <c r="P45" i="1"/>
  <c r="Q45" i="1" s="1"/>
  <c r="P47" i="1"/>
  <c r="Q47" i="1" s="1"/>
  <c r="R48" i="1"/>
  <c r="P102" i="1"/>
  <c r="Q102" i="1" s="1"/>
  <c r="P82" i="1"/>
  <c r="Q82" i="1" s="1"/>
  <c r="P86" i="1"/>
  <c r="Q86" i="1" s="1"/>
  <c r="L13" i="2"/>
  <c r="K18" i="2"/>
  <c r="O116" i="1"/>
  <c r="L18" i="2"/>
  <c r="F86" i="3" s="1"/>
  <c r="P116" i="1"/>
  <c r="Q116" i="1" s="1"/>
  <c r="Q112" i="1"/>
  <c r="N122" i="1"/>
  <c r="O122" i="1" s="1"/>
  <c r="N18" i="2" s="1"/>
  <c r="O10" i="2"/>
  <c r="Q8" i="1"/>
  <c r="M42" i="1"/>
  <c r="N42" i="1" s="1"/>
  <c r="N41" i="1"/>
  <c r="O41" i="1" s="1"/>
  <c r="N12" i="2" s="1"/>
  <c r="O10" i="1"/>
  <c r="L10" i="2"/>
  <c r="M17" i="1"/>
  <c r="N17" i="1" s="1"/>
  <c r="N16" i="1"/>
  <c r="O16" i="1" s="1"/>
  <c r="N10" i="2" s="1"/>
  <c r="P10" i="1" l="1"/>
  <c r="Q10" i="1" s="1"/>
  <c r="P35" i="1"/>
  <c r="Q35" i="1" s="1"/>
  <c r="G98" i="3"/>
  <c r="G86" i="3"/>
  <c r="M68" i="1"/>
  <c r="N68" i="1" s="1"/>
  <c r="O68" i="1" s="1"/>
  <c r="N14" i="2" s="1"/>
  <c r="G96" i="3" s="1"/>
  <c r="R62" i="1"/>
  <c r="P59" i="1"/>
  <c r="Q59" i="1" s="1"/>
  <c r="P61" i="1"/>
  <c r="Q61" i="1" s="1"/>
  <c r="J14" i="2"/>
  <c r="O14" i="2" s="1"/>
  <c r="P58" i="1"/>
  <c r="Q58" i="1" s="1"/>
  <c r="O15" i="2"/>
  <c r="O55" i="1"/>
  <c r="O35" i="1"/>
  <c r="N54" i="1"/>
  <c r="O54" i="1" s="1"/>
  <c r="N13" i="2" s="1"/>
  <c r="G83" i="3" s="1"/>
  <c r="G97" i="3"/>
  <c r="P48" i="1"/>
  <c r="Q48" i="1" s="1"/>
  <c r="L14" i="2"/>
  <c r="M14" i="2" s="1"/>
  <c r="M15" i="2"/>
  <c r="F85" i="3"/>
  <c r="M12" i="2"/>
  <c r="F82" i="3"/>
  <c r="G94" i="3"/>
  <c r="G82" i="3"/>
  <c r="G80" i="3"/>
  <c r="G92" i="3"/>
  <c r="M13" i="2"/>
  <c r="F83" i="3"/>
  <c r="O42" i="1"/>
  <c r="F94" i="3"/>
  <c r="O17" i="1"/>
  <c r="F92" i="3"/>
  <c r="M10" i="2"/>
  <c r="F80" i="3"/>
  <c r="P103" i="1"/>
  <c r="Q103" i="1" s="1"/>
  <c r="M18" i="2"/>
  <c r="M69" i="1" l="1"/>
  <c r="N69" i="1" s="1"/>
  <c r="O69" i="1" s="1"/>
  <c r="G84" i="3"/>
  <c r="P62" i="1"/>
  <c r="Q62" i="1" s="1"/>
  <c r="G95" i="3"/>
  <c r="F84" i="3"/>
  <c r="L20" i="1"/>
  <c r="M20" i="1" s="1"/>
  <c r="L21" i="1"/>
  <c r="M21" i="1" s="1"/>
  <c r="F96" i="3" l="1"/>
  <c r="G9" i="3"/>
  <c r="J9" i="3" s="1"/>
  <c r="T21" i="1"/>
  <c r="G10" i="3"/>
  <c r="J10" i="3" s="1"/>
  <c r="N20" i="1"/>
  <c r="N21" i="1"/>
  <c r="O21" i="1" s="1"/>
  <c r="O20" i="1" l="1"/>
  <c r="N22" i="1"/>
  <c r="M22" i="1"/>
  <c r="M127" i="1" s="1"/>
  <c r="M133" i="1" s="1"/>
  <c r="P20" i="1" l="1"/>
  <c r="Q20" i="1" s="1"/>
  <c r="M28" i="1"/>
  <c r="N28" i="1" s="1"/>
  <c r="O28" i="1" s="1"/>
  <c r="N11" i="2" s="1"/>
  <c r="P21" i="1"/>
  <c r="Q21" i="1" s="1"/>
  <c r="J11" i="2"/>
  <c r="O11" i="2" s="1"/>
  <c r="N127" i="1"/>
  <c r="N133" i="1" s="1"/>
  <c r="R22" i="1"/>
  <c r="G93" i="3" l="1"/>
  <c r="G81" i="3"/>
  <c r="O22" i="1"/>
  <c r="J16" i="2"/>
  <c r="J20" i="2" s="1"/>
  <c r="L11" i="2"/>
  <c r="M29" i="1"/>
  <c r="N29" i="1" s="1"/>
  <c r="P22" i="1"/>
  <c r="Q22" i="1" s="1"/>
  <c r="M11" i="2" l="1"/>
  <c r="F81" i="3"/>
  <c r="O29" i="1"/>
  <c r="F93" i="3"/>
  <c r="O127" i="1"/>
  <c r="L16" i="2"/>
  <c r="M16" i="2" s="1"/>
  <c r="K11" i="2"/>
  <c r="O16" i="2"/>
  <c r="K10" i="2"/>
  <c r="K14" i="2"/>
  <c r="K16" i="2"/>
  <c r="K13" i="2"/>
  <c r="K15" i="2"/>
  <c r="K12" i="2"/>
  <c r="N135" i="1"/>
  <c r="O20" i="2"/>
  <c r="J29" i="2"/>
  <c r="L29" i="2" s="1"/>
  <c r="F87" i="3" s="1"/>
  <c r="S159" i="1" l="1"/>
  <c r="S163" i="1"/>
  <c r="S158" i="1"/>
  <c r="S162" i="1"/>
  <c r="S157" i="1"/>
  <c r="S161" i="1"/>
  <c r="S156" i="1"/>
  <c r="S149" i="1"/>
  <c r="L149" i="1" s="1"/>
  <c r="G56" i="3" s="1"/>
  <c r="J56" i="3" s="1"/>
  <c r="S166" i="1"/>
  <c r="S154" i="1"/>
  <c r="S146" i="1"/>
  <c r="S152" i="1"/>
  <c r="S143" i="1"/>
  <c r="S151" i="1"/>
  <c r="L151" i="1" s="1"/>
  <c r="G58" i="3" s="1"/>
  <c r="J58" i="3" s="1"/>
  <c r="S165" i="1"/>
  <c r="S148" i="1"/>
  <c r="S141" i="1"/>
  <c r="S147" i="1"/>
  <c r="S140" i="1"/>
  <c r="L140" i="1" s="1"/>
  <c r="S153" i="1"/>
  <c r="L153" i="1" s="1"/>
  <c r="G60" i="3" s="1"/>
  <c r="J60" i="3" s="1"/>
  <c r="S144" i="1"/>
  <c r="S167" i="1"/>
  <c r="L20" i="2"/>
  <c r="O133" i="1"/>
  <c r="L31" i="2"/>
  <c r="L32" i="2" s="1"/>
  <c r="N29" i="2"/>
  <c r="G87" i="3" s="1"/>
  <c r="T140" i="1" l="1"/>
  <c r="G47" i="3"/>
  <c r="J47" i="3" s="1"/>
  <c r="L167" i="1"/>
  <c r="L144" i="1"/>
  <c r="L156" i="1"/>
  <c r="L143" i="1"/>
  <c r="L157" i="1"/>
  <c r="L161" i="1"/>
  <c r="L147" i="1"/>
  <c r="T152" i="1"/>
  <c r="T162" i="1"/>
  <c r="L165" i="1"/>
  <c r="L141" i="1"/>
  <c r="L146" i="1"/>
  <c r="T158" i="1"/>
  <c r="L148" i="1"/>
  <c r="L154" i="1"/>
  <c r="G61" i="3" s="1"/>
  <c r="J61" i="3" s="1"/>
  <c r="L163" i="1"/>
  <c r="T166" i="1"/>
  <c r="L159" i="1"/>
  <c r="G66" i="3" s="1"/>
  <c r="J66" i="3" s="1"/>
  <c r="T151" i="1"/>
  <c r="T153" i="1"/>
  <c r="T149" i="1"/>
  <c r="M20" i="2"/>
  <c r="T159" i="1" l="1"/>
  <c r="T141" i="1"/>
  <c r="G48" i="3"/>
  <c r="J48" i="3" s="1"/>
  <c r="T156" i="1"/>
  <c r="G63" i="3"/>
  <c r="J63" i="3" s="1"/>
  <c r="T148" i="1"/>
  <c r="G55" i="3"/>
  <c r="J55" i="3" s="1"/>
  <c r="T163" i="1"/>
  <c r="G70" i="3"/>
  <c r="J70" i="3" s="1"/>
  <c r="T167" i="1"/>
  <c r="G74" i="3"/>
  <c r="J74" i="3" s="1"/>
  <c r="T157" i="1"/>
  <c r="G64" i="3"/>
  <c r="J64" i="3" s="1"/>
  <c r="T143" i="1"/>
  <c r="G50" i="3"/>
  <c r="J50" i="3" s="1"/>
  <c r="T144" i="1"/>
  <c r="G51" i="3"/>
  <c r="J51" i="3" s="1"/>
  <c r="T161" i="1"/>
  <c r="G68" i="3"/>
  <c r="J68" i="3" s="1"/>
  <c r="T146" i="1"/>
  <c r="G53" i="3"/>
  <c r="J53" i="3" s="1"/>
  <c r="T165" i="1"/>
  <c r="G72" i="3"/>
  <c r="J72" i="3" s="1"/>
  <c r="T154" i="1"/>
  <c r="T147" i="1"/>
  <c r="G54" i="3"/>
  <c r="J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tc={26F0D61B-02F6-4EC9-AF3A-CA1B21ADFC5F}</author>
  </authors>
  <commentList>
    <comment ref="E114" authorId="0" shapeId="0" xr:uid="{26F0D61B-02F6-4EC9-AF3A-CA1B21ADFC5F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10,000 kW contract demand until Feb 2021, now 7,000 kW contract demand, and IC was (4.20) now (5.60)</t>
      </text>
    </comment>
  </commentList>
</comments>
</file>

<file path=xl/sharedStrings.xml><?xml version="1.0" encoding="utf-8"?>
<sst xmlns="http://schemas.openxmlformats.org/spreadsheetml/2006/main" count="232" uniqueCount="127">
  <si>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</si>
  <si>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</si>
  <si>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</si>
  <si>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</si>
  <si>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</si>
  <si>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</si>
  <si>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</si>
  <si>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</si>
  <si>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</si>
  <si>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</si>
  <si>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</si>
  <si>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</si>
  <si>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</si>
  <si>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</si>
  <si>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</si>
  <si>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</si>
  <si>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</si>
  <si>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</si>
  <si>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</si>
  <si>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</si>
  <si>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</si>
  <si>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</si>
  <si>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</si>
  <si>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</si>
  <si>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</si>
  <si>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</si>
  <si>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</si>
  <si>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</si>
  <si>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</si>
  <si>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</si>
  <si>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</si>
  <si>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</si>
  <si>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</si>
  <si>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</si>
  <si>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</si>
  <si>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</si>
  <si>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</si>
  <si>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</si>
  <si>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</si>
  <si>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</si>
  <si>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</si>
  <si>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</si>
  <si>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</si>
  <si>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</si>
  <si>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Special</t>
  </si>
  <si>
    <t>TOTAL Base Rates</t>
  </si>
  <si>
    <t>SubTotal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</si>
  <si>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</si>
  <si>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</si>
  <si>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Base %</t>
  </si>
  <si>
    <t>Total %</t>
  </si>
  <si>
    <t>Base Rate Increase</t>
  </si>
  <si>
    <t>Present</t>
  </si>
  <si>
    <t>Proposed</t>
  </si>
  <si>
    <t>Energy Charge per kWh</t>
  </si>
  <si>
    <t>Demand Charge over 10 KW per kW</t>
  </si>
  <si>
    <t>Demand Charge per kW</t>
  </si>
  <si>
    <t>&lt; Set to match system % increase</t>
  </si>
  <si>
    <t>NOLIN RECC</t>
  </si>
  <si>
    <t>AGC Automotive</t>
  </si>
  <si>
    <t>1 - SL 100W HPS</t>
  </si>
  <si>
    <t>1A - SL 70W LED</t>
  </si>
  <si>
    <t>1B - SL 55W  LED</t>
  </si>
  <si>
    <t>4 - SL CITY WE 100 W</t>
  </si>
  <si>
    <t>4A - SL CITY 7O W LED</t>
  </si>
  <si>
    <t>4B - SL CITY 55 W LED</t>
  </si>
  <si>
    <t>5 - SL CITY WP 250 W</t>
  </si>
  <si>
    <t>5A - WP 108 W LED</t>
  </si>
  <si>
    <t>5B - WE 109 W LED</t>
  </si>
  <si>
    <t>6 - SL 400 W HPS</t>
  </si>
  <si>
    <t>6A - SL 208 W LED</t>
  </si>
  <si>
    <t>6B - 202 W LED</t>
  </si>
  <si>
    <t>7 - LT COLONIAL 100 W UG</t>
  </si>
  <si>
    <t>7A - LANT COLONIAL
100 W LED</t>
  </si>
  <si>
    <t>8 - SL ORN UG 400 W</t>
  </si>
  <si>
    <t>10 - SL ORN A-POLE
27,500 HPS</t>
  </si>
  <si>
    <t>11 - SL ORNMENATL A-POLE
50,000 HPS</t>
  </si>
  <si>
    <t>12 - DFL 100 W HPS EP</t>
  </si>
  <si>
    <t>12A - DFL 70 W LED EP</t>
  </si>
  <si>
    <t>13 - DFL 250 W HPS EP</t>
  </si>
  <si>
    <t>13A - DFL 108 W LED EP</t>
  </si>
  <si>
    <t>13B - DFL 109 W LED EP</t>
  </si>
  <si>
    <t>14 - DFL 400 W HPS EP</t>
  </si>
  <si>
    <t>14A - DFL 208 W LED EP</t>
  </si>
  <si>
    <t>14B - DFL 202 W LED EP</t>
  </si>
  <si>
    <t>15 - DEL 400 W 
CONTEMPARY UG</t>
  </si>
  <si>
    <t>21 - COLONIAL 20' 
FLUTED POLE</t>
  </si>
  <si>
    <t>21 A- COLONIAL 20' 
FLUTED POLE 35-70 W LED</t>
  </si>
  <si>
    <t>22 - SL ORN UG 400W
20' FLUTED POLE</t>
  </si>
  <si>
    <t>23 - 20 FT FP COLONIAL</t>
  </si>
  <si>
    <t>25 - COLONIAL CONSTPD
HPS FIXTURE</t>
  </si>
  <si>
    <t>Residential</t>
  </si>
  <si>
    <t>Commercial</t>
  </si>
  <si>
    <t>Large Power</t>
  </si>
  <si>
    <t>Industrial</t>
  </si>
  <si>
    <t>Demand Charge -Contract per kW</t>
  </si>
  <si>
    <t>Demand Charge - Excess per kW</t>
  </si>
  <si>
    <t>5,6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</si>
  <si>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</si>
  <si>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</si>
  <si>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</si>
  <si>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</si>
  <si>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</si>
  <si>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</si>
  <si>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</si>
  <si>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</si>
  <si>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</si>
  <si>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</si>
  <si>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RATES WITH NO CURRENT MEMBERS</t>
  </si>
  <si>
    <t>Interruptible Credit per kW</t>
  </si>
  <si>
    <t>Seasonal TOD</t>
  </si>
  <si>
    <t>Consumer Charge New Substation</t>
  </si>
  <si>
    <t>Demand - Contract per kW</t>
  </si>
  <si>
    <t>Member Cost of Service Charge</t>
  </si>
  <si>
    <t>Consumer Charge Existing Sub</t>
  </si>
  <si>
    <t>Industrial C</t>
  </si>
  <si>
    <t>Consumer Charge</t>
  </si>
  <si>
    <t>Demand - Excess per kW</t>
  </si>
  <si>
    <t>Same as 9</t>
  </si>
  <si>
    <t>Present &amp; Proposed Rates</t>
  </si>
  <si>
    <t>Rate switch from Rate 10</t>
  </si>
  <si>
    <t>to Rate 9 on 7/1/2019</t>
  </si>
  <si>
    <t>Note</t>
  </si>
  <si>
    <t>Note:</t>
  </si>
  <si>
    <t>Reduced Contract Demand</t>
  </si>
  <si>
    <t>from 10,000 to 7,000 kW</t>
  </si>
  <si>
    <t>Needed to solve for rate to get Target Incr for Rate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</si>
</sst>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_(&quot;$&quot;* #,##0.00000_);_(&quot;$&quot;* \(#,##0.00000\);_(&quot;$&quot;* &quot;-&quot;??_);_(@_)"/>
    <numFmt numFmtId="172" formatCode="&quot;$&quot;#,##0.00"/>
    <numFmt numFmtId="173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8" fontId="3" fillId="0" borderId="0" xfId="1" applyNumberFormat="1" applyFont="1"/>
    <xf numFmtId="6" fontId="7" fillId="0" borderId="1" xfId="0" applyNumberFormat="1" applyFont="1" applyFill="1" applyBorder="1"/>
    <xf numFmtId="0" fontId="3" fillId="0" borderId="6" xfId="0" applyFont="1" applyBorder="1" applyAlignment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0" fontId="3" fillId="2" borderId="0" xfId="0" applyFont="1" applyFill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3" fillId="0" borderId="2" xfId="0" applyFont="1" applyBorder="1"/>
    <xf numFmtId="165" fontId="3" fillId="0" borderId="2" xfId="2" applyNumberFormat="1" applyFont="1" applyBorder="1"/>
    <xf numFmtId="10" fontId="3" fillId="0" borderId="2" xfId="3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Alignment="1">
      <alignment horizontal="center"/>
    </xf>
    <xf numFmtId="172" fontId="3" fillId="0" borderId="0" xfId="0" applyNumberFormat="1" applyFont="1"/>
    <xf numFmtId="164" fontId="7" fillId="0" borderId="0" xfId="1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/>
    </xf>
    <xf numFmtId="10" fontId="3" fillId="0" borderId="0" xfId="3" applyNumberFormat="1" applyFont="1" applyAlignment="1">
      <alignment horizontal="right"/>
    </xf>
    <xf numFmtId="169" fontId="3" fillId="0" borderId="0" xfId="1" applyNumberFormat="1" applyFont="1" applyAlignment="1">
      <alignment vertical="center"/>
    </xf>
    <xf numFmtId="0" fontId="9" fillId="0" borderId="0" xfId="0" applyFont="1"/>
    <xf numFmtId="173" fontId="7" fillId="0" borderId="0" xfId="1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3" fillId="5" borderId="0" xfId="0" applyFont="1" applyFill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2" xfId="2" applyNumberFormat="1" applyFont="1" applyFill="1" applyBorder="1" applyAlignment="1"/>
    <xf numFmtId="10" fontId="7" fillId="0" borderId="2" xfId="3" applyNumberFormat="1" applyFont="1" applyFill="1" applyBorder="1" applyAlignment="1"/>
    <xf numFmtId="165" fontId="7" fillId="0" borderId="0" xfId="2" applyNumberFormat="1" applyFont="1" applyFill="1" applyBorder="1" applyAlignment="1"/>
    <xf numFmtId="10" fontId="7" fillId="0" borderId="0" xfId="3" applyNumberFormat="1" applyFont="1" applyFill="1" applyBorder="1" applyAlignment="1"/>
    <xf numFmtId="0" fontId="10" fillId="0" borderId="0" xfId="0" applyFont="1" applyFill="1" applyAlignment="1">
      <alignment horizontal="left"/>
    </xf>
    <xf numFmtId="17" fontId="10" fillId="0" borderId="0" xfId="0" applyNumberFormat="1" applyFont="1" applyFill="1" applyAlignment="1">
      <alignment horizontal="left"/>
    </xf>
    <xf numFmtId="0" fontId="6" fillId="0" borderId="0" xfId="0" applyFont="1"/>
    <xf numFmtId="43" fontId="7" fillId="0" borderId="0" xfId="1" applyFont="1"/>
    <xf numFmtId="0" fontId="7" fillId="0" borderId="0" xfId="0" applyFont="1" applyFill="1"/>
    <xf numFmtId="169" fontId="7" fillId="0" borderId="0" xfId="1" applyNumberFormat="1" applyFont="1"/>
    <xf numFmtId="0" fontId="7" fillId="0" borderId="0" xfId="0" applyFont="1" applyAlignment="1"/>
    <xf numFmtId="165" fontId="7" fillId="0" borderId="0" xfId="0" applyNumberFormat="1" applyFont="1" applyFill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right" wrapText="1"/>
    </xf>
    <xf numFmtId="0" fontId="8" fillId="0" borderId="4" xfId="0" applyFont="1" applyFill="1" applyBorder="1" applyAlignment="1">
      <alignment horizontal="right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7" fillId="0" borderId="6" xfId="0" applyFont="1" applyBorder="1"/>
    <xf numFmtId="0" fontId="7" fillId="0" borderId="6" xfId="0" applyFont="1" applyFill="1" applyBorder="1"/>
    <xf numFmtId="164" fontId="7" fillId="0" borderId="0" xfId="1" applyNumberFormat="1" applyFont="1"/>
    <xf numFmtId="43" fontId="7" fillId="0" borderId="0" xfId="1" applyFont="1" applyFill="1"/>
    <xf numFmtId="165" fontId="7" fillId="0" borderId="0" xfId="2" applyNumberFormat="1" applyFont="1"/>
    <xf numFmtId="10" fontId="7" fillId="0" borderId="0" xfId="3" applyNumberFormat="1" applyFont="1"/>
    <xf numFmtId="10" fontId="7" fillId="0" borderId="0" xfId="3" applyNumberFormat="1" applyFont="1" applyFill="1"/>
    <xf numFmtId="10" fontId="7" fillId="0" borderId="0" xfId="0" applyNumberFormat="1" applyFont="1"/>
    <xf numFmtId="168" fontId="7" fillId="0" borderId="0" xfId="1" applyNumberFormat="1" applyFont="1" applyFill="1"/>
    <xf numFmtId="167" fontId="7" fillId="0" borderId="0" xfId="0" applyNumberFormat="1" applyFont="1"/>
    <xf numFmtId="0" fontId="7" fillId="0" borderId="5" xfId="0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10" fontId="7" fillId="0" borderId="5" xfId="3" applyNumberFormat="1" applyFont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44" fontId="7" fillId="0" borderId="5" xfId="2" applyFont="1" applyBorder="1" applyAlignment="1">
      <alignment vertical="center"/>
    </xf>
    <xf numFmtId="170" fontId="7" fillId="0" borderId="0" xfId="3" applyNumberFormat="1" applyFont="1"/>
    <xf numFmtId="0" fontId="7" fillId="0" borderId="5" xfId="0" applyFont="1" applyBorder="1"/>
    <xf numFmtId="165" fontId="7" fillId="0" borderId="5" xfId="2" applyNumberFormat="1" applyFont="1" applyBorder="1"/>
    <xf numFmtId="0" fontId="7" fillId="0" borderId="5" xfId="0" applyFont="1" applyFill="1" applyBorder="1"/>
    <xf numFmtId="43" fontId="7" fillId="0" borderId="5" xfId="1" applyFont="1" applyBorder="1"/>
    <xf numFmtId="0" fontId="7" fillId="0" borderId="3" xfId="0" applyFont="1" applyBorder="1" applyAlignment="1">
      <alignment vertical="center"/>
    </xf>
    <xf numFmtId="165" fontId="7" fillId="0" borderId="3" xfId="2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0" fontId="7" fillId="0" borderId="3" xfId="3" applyNumberFormat="1" applyFont="1" applyBorder="1" applyAlignment="1">
      <alignment vertical="center"/>
    </xf>
    <xf numFmtId="44" fontId="7" fillId="0" borderId="0" xfId="0" applyNumberFormat="1" applyFont="1"/>
    <xf numFmtId="166" fontId="7" fillId="0" borderId="0" xfId="0" applyNumberFormat="1" applyFont="1"/>
    <xf numFmtId="164" fontId="7" fillId="0" borderId="0" xfId="1" applyNumberFormat="1" applyFont="1" applyFill="1"/>
    <xf numFmtId="166" fontId="7" fillId="0" borderId="0" xfId="0" applyNumberFormat="1" applyFont="1" applyFill="1"/>
    <xf numFmtId="167" fontId="7" fillId="0" borderId="0" xfId="0" applyNumberFormat="1" applyFont="1" applyFill="1"/>
    <xf numFmtId="0" fontId="7" fillId="4" borderId="0" xfId="0" applyFont="1" applyFill="1"/>
    <xf numFmtId="165" fontId="7" fillId="0" borderId="5" xfId="0" applyNumberFormat="1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5" xfId="0" applyNumberFormat="1" applyFont="1" applyBorder="1"/>
    <xf numFmtId="165" fontId="7" fillId="4" borderId="0" xfId="0" applyNumberFormat="1" applyFont="1" applyFill="1"/>
    <xf numFmtId="168" fontId="7" fillId="0" borderId="0" xfId="1" applyNumberFormat="1" applyFont="1"/>
    <xf numFmtId="43" fontId="10" fillId="0" borderId="0" xfId="1" applyFont="1" applyFill="1"/>
    <xf numFmtId="165" fontId="7" fillId="0" borderId="0" xfId="2" applyNumberFormat="1" applyFont="1" applyFill="1"/>
    <xf numFmtId="169" fontId="5" fillId="0" borderId="0" xfId="1" applyNumberFormat="1" applyFont="1"/>
    <xf numFmtId="169" fontId="5" fillId="0" borderId="0" xfId="1" applyNumberFormat="1" applyFont="1" applyBorder="1"/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6" fontId="4" fillId="2" borderId="1" xfId="0" applyNumberFormat="1" applyFont="1" applyFill="1" applyBorder="1"/>
    <xf numFmtId="43" fontId="4" fillId="2" borderId="0" xfId="1" applyFont="1" applyFill="1"/>
    <xf numFmtId="166" fontId="4" fillId="2" borderId="0" xfId="0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Wolfram" id="{D41ECA7F-3D17-491F-B8CC-419ED0907DF3}" userId="John Wolfram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4" dT="2021-03-15T03:22:47.03" personId="{D41ECA7F-3D17-491F-B8CC-419ED0907DF3}" id="{26F0D61B-02F6-4EC9-AF3A-CA1B21ADFC5F}">
    <text>Was 10,000 kW contract demand until Feb 2021, now 7,000 kW contract demand, and IC was (4.20) now (5.60)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5"/>
  <sheetViews>
    <sheetView tabSelected="1" zoomScale="75" zoomScaleNormal="75" workbookViewId="0">
      <selection activeCell="P14" sqref="P14"/>
    </sheetView>
  </sheetViews>
  <sheetFormatPr defaultColWidth="8.88671875" defaultRowHeight="13.2" x14ac:dyDescent="0.25"/>
  <cols>
    <col min="1" max="1" width="7.88671875" style="2" customWidth="1"/>
    <col min="2" max="2" width="22.44140625" style="2" bestFit="1" customWidth="1"/>
    <col min="3" max="3" width="7.33203125" style="2" bestFit="1" customWidth="1"/>
    <col min="4" max="4" width="14.2187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1.6640625" style="2" customWidth="1"/>
    <col min="12" max="12" width="11.6640625" style="2" bestFit="1" customWidth="1"/>
    <col min="13" max="13" width="7.6640625" style="2" bestFit="1" customWidth="1"/>
    <col min="14" max="14" width="7.77734375" style="2" bestFit="1" customWidth="1"/>
    <col min="15" max="15" width="10" style="2" bestFit="1" customWidth="1"/>
    <col min="16" max="16" width="28" style="2" customWidth="1"/>
    <col min="17" max="17" width="13.77734375" style="2" customWidth="1"/>
    <col min="18" max="18" width="19" style="2" customWidth="1"/>
    <col min="19" max="19" width="10.21875" style="2" customWidth="1"/>
    <col min="20" max="20" width="15.5546875" style="2" bestFit="1" customWidth="1"/>
    <col min="21" max="21" width="8.5546875" style="2" bestFit="1" customWidth="1"/>
    <col min="22" max="22" width="9.33203125" style="2" customWidth="1"/>
    <col min="23" max="16384" width="8.88671875" style="2"/>
  </cols>
  <sheetData>
    <row r="1" spans="1:22" x14ac:dyDescent="0.25">
      <c r="A1" s="1" t="s">
        <v>58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E4" s="12"/>
      <c r="K4" s="26" t="s">
        <v>39</v>
      </c>
      <c r="L4" s="170">
        <v>2488281</v>
      </c>
      <c r="M4" s="5"/>
    </row>
    <row r="5" spans="1:22" x14ac:dyDescent="0.25">
      <c r="E5" s="12"/>
      <c r="K5" s="26" t="s">
        <v>47</v>
      </c>
      <c r="L5" s="170">
        <v>174412</v>
      </c>
      <c r="M5" s="5"/>
      <c r="N5" s="5"/>
    </row>
    <row r="6" spans="1:22" x14ac:dyDescent="0.25">
      <c r="B6" s="3"/>
      <c r="C6" s="3"/>
      <c r="K6" s="26" t="s">
        <v>48</v>
      </c>
      <c r="L6" s="36">
        <f>L4-L5</f>
        <v>2313869</v>
      </c>
      <c r="M6" s="5"/>
      <c r="N6" s="5"/>
    </row>
    <row r="7" spans="1:22" x14ac:dyDescent="0.25">
      <c r="M7" s="5"/>
      <c r="N7" s="5"/>
    </row>
    <row r="8" spans="1:22" s="10" customFormat="1" ht="31.95" customHeight="1" x14ac:dyDescent="0.25">
      <c r="A8" s="8" t="s">
        <v>1</v>
      </c>
      <c r="B8" s="8" t="s">
        <v>2</v>
      </c>
      <c r="C8" s="8" t="s">
        <v>11</v>
      </c>
      <c r="D8" s="11" t="s">
        <v>21</v>
      </c>
      <c r="E8" s="11" t="s">
        <v>3</v>
      </c>
      <c r="F8" s="11" t="s">
        <v>22</v>
      </c>
      <c r="G8" s="11" t="s">
        <v>34</v>
      </c>
      <c r="H8" s="11" t="s">
        <v>35</v>
      </c>
      <c r="I8" s="11" t="s">
        <v>36</v>
      </c>
      <c r="J8" s="11" t="s">
        <v>4</v>
      </c>
      <c r="K8" s="11" t="s">
        <v>24</v>
      </c>
      <c r="L8" s="11" t="s">
        <v>51</v>
      </c>
      <c r="M8" s="9" t="s">
        <v>49</v>
      </c>
      <c r="N8" s="9" t="s">
        <v>50</v>
      </c>
      <c r="O8" s="11" t="s">
        <v>38</v>
      </c>
      <c r="Q8" s="2"/>
      <c r="R8" s="2"/>
      <c r="S8" s="2"/>
      <c r="T8" s="2"/>
      <c r="U8" s="2"/>
      <c r="V8" s="2"/>
    </row>
    <row r="9" spans="1:22" s="42" customFormat="1" x14ac:dyDescent="0.25">
      <c r="A9" s="4">
        <v>1</v>
      </c>
      <c r="B9" s="38" t="s">
        <v>5</v>
      </c>
      <c r="C9" s="38"/>
      <c r="D9" s="38"/>
      <c r="E9" s="39"/>
      <c r="F9" s="40"/>
      <c r="G9" s="40"/>
      <c r="H9" s="10"/>
      <c r="I9" s="10"/>
      <c r="J9" s="39"/>
      <c r="K9" s="40"/>
      <c r="L9" s="39"/>
      <c r="M9" s="41"/>
      <c r="N9" s="41"/>
      <c r="Q9" s="2"/>
      <c r="R9" s="2"/>
      <c r="S9" s="2"/>
      <c r="T9" s="2"/>
      <c r="U9" s="2"/>
      <c r="V9" s="2"/>
    </row>
    <row r="10" spans="1:22" s="42" customFormat="1" x14ac:dyDescent="0.25">
      <c r="A10" s="4">
        <f>A9+1</f>
        <v>2</v>
      </c>
      <c r="B10" s="42" t="str">
        <f>'Billing Detail'!B7</f>
        <v>Residential</v>
      </c>
      <c r="C10" s="15">
        <f>'Billing Detail'!C7</f>
        <v>1</v>
      </c>
      <c r="D10" s="43">
        <f>'Billing Detail'!G10</f>
        <v>48417213.236159995</v>
      </c>
      <c r="E10" s="43">
        <f>'Billing Detail'!I10</f>
        <v>47664097.50192</v>
      </c>
      <c r="F10" s="41">
        <f t="shared" ref="F10:F16" si="0">E10/E$16</f>
        <v>0.78762392601078024</v>
      </c>
      <c r="G10" s="104">
        <f>E10</f>
        <v>47664097.50192</v>
      </c>
      <c r="H10" s="105">
        <f t="shared" ref="H10:H15" si="1">G10/G$16</f>
        <v>0.78762392601078024</v>
      </c>
      <c r="I10" s="106">
        <f>ROUND(L$6*H10,2)</f>
        <v>1822458.59</v>
      </c>
      <c r="J10" s="43">
        <f>'Billing Detail'!M10</f>
        <v>49487997.366312005</v>
      </c>
      <c r="K10" s="41">
        <f t="shared" ref="K10:K16" si="2">J10/J$16</f>
        <v>0.78763021174520287</v>
      </c>
      <c r="L10" s="43">
        <f>'Billing Detail'!N10</f>
        <v>1823899.864392004</v>
      </c>
      <c r="M10" s="41">
        <f>IF(E10=0,0,L10/E10)</f>
        <v>3.8265695984667156E-2</v>
      </c>
      <c r="N10" s="41">
        <f>'Billing Detail'!O16</f>
        <v>3.5408953885916798E-2</v>
      </c>
      <c r="O10" s="45">
        <f>J10-I10-E10</f>
        <v>1441.2743920013309</v>
      </c>
      <c r="Q10" s="2"/>
      <c r="R10" s="2"/>
      <c r="S10" s="2"/>
      <c r="T10" s="2"/>
      <c r="U10" s="2"/>
      <c r="V10" s="2"/>
    </row>
    <row r="11" spans="1:22" s="42" customFormat="1" x14ac:dyDescent="0.25">
      <c r="A11" s="4">
        <f t="shared" ref="A11:A32" si="3">A10+1</f>
        <v>3</v>
      </c>
      <c r="B11" s="42" t="str">
        <f>'Billing Detail'!B19</f>
        <v>Commercial</v>
      </c>
      <c r="C11" s="15">
        <f>'Billing Detail'!C19</f>
        <v>2</v>
      </c>
      <c r="D11" s="43">
        <f>'Billing Detail'!G22</f>
        <v>2935564.5165200001</v>
      </c>
      <c r="E11" s="43">
        <f>'Billing Detail'!I22</f>
        <v>2892154.6595800002</v>
      </c>
      <c r="F11" s="41">
        <f t="shared" si="0"/>
        <v>4.7791321497632717E-2</v>
      </c>
      <c r="G11" s="104">
        <f t="shared" ref="G11:G15" si="4">E11</f>
        <v>2892154.6595800002</v>
      </c>
      <c r="H11" s="105">
        <f t="shared" si="1"/>
        <v>4.7791321497632717E-2</v>
      </c>
      <c r="I11" s="106">
        <f t="shared" ref="I11:I15" si="5">ROUND(L$6*H11,2)</f>
        <v>110582.86</v>
      </c>
      <c r="J11" s="43">
        <f>'Billing Detail'!M22</f>
        <v>3002749.1342110001</v>
      </c>
      <c r="K11" s="41">
        <f t="shared" si="2"/>
        <v>4.7790495923488323E-2</v>
      </c>
      <c r="L11" s="43">
        <f>'Billing Detail'!N22</f>
        <v>110594.47463099979</v>
      </c>
      <c r="M11" s="41">
        <f t="shared" ref="M11:M15" si="6">IF(E11=0,0,L11/E11)</f>
        <v>3.8239474595407823E-2</v>
      </c>
      <c r="N11" s="41">
        <f>'Billing Detail'!O28</f>
        <v>3.5407911856551073E-2</v>
      </c>
      <c r="O11" s="45">
        <f t="shared" ref="O11:O16" si="7">J11-I11-E11</f>
        <v>11.614630999974906</v>
      </c>
      <c r="Q11" s="2"/>
      <c r="R11" s="2"/>
      <c r="S11" s="2"/>
      <c r="T11" s="2"/>
      <c r="U11" s="2"/>
      <c r="V11" s="2"/>
    </row>
    <row r="12" spans="1:22" s="42" customFormat="1" x14ac:dyDescent="0.25">
      <c r="A12" s="4">
        <f t="shared" si="3"/>
        <v>4</v>
      </c>
      <c r="B12" s="42" t="str">
        <f>'Billing Detail'!B31</f>
        <v>Large Power</v>
      </c>
      <c r="C12" s="15">
        <f>'Billing Detail'!C31</f>
        <v>3</v>
      </c>
      <c r="D12" s="43">
        <f>'Billing Detail'!G35</f>
        <v>2218903.0504299998</v>
      </c>
      <c r="E12" s="43">
        <f>'Billing Detail'!I35</f>
        <v>2181712.7908100002</v>
      </c>
      <c r="F12" s="41">
        <f t="shared" si="0"/>
        <v>3.6051646496747143E-2</v>
      </c>
      <c r="G12" s="104">
        <f t="shared" si="4"/>
        <v>2181712.7908100002</v>
      </c>
      <c r="H12" s="105">
        <f t="shared" si="1"/>
        <v>3.6051646496747143E-2</v>
      </c>
      <c r="I12" s="106">
        <f t="shared" si="5"/>
        <v>83418.789999999994</v>
      </c>
      <c r="J12" s="43">
        <f>'Billing Detail'!M35</f>
        <v>2265110.6460108371</v>
      </c>
      <c r="K12" s="41">
        <f t="shared" si="2"/>
        <v>3.6050551097028219E-2</v>
      </c>
      <c r="L12" s="43">
        <f>'Billing Detail'!N35</f>
        <v>83397.855200836944</v>
      </c>
      <c r="M12" s="41">
        <f t="shared" si="6"/>
        <v>3.8225863437264807E-2</v>
      </c>
      <c r="N12" s="41">
        <f>'Billing Detail'!O41</f>
        <v>3.5621987509225843E-2</v>
      </c>
      <c r="O12" s="45">
        <f t="shared" si="7"/>
        <v>-20.934799163136631</v>
      </c>
      <c r="Q12" s="2"/>
      <c r="R12" s="2"/>
      <c r="S12" s="2"/>
      <c r="T12" s="2"/>
      <c r="U12" s="2"/>
      <c r="V12" s="2"/>
    </row>
    <row r="13" spans="1:22" s="42" customFormat="1" x14ac:dyDescent="0.25">
      <c r="A13" s="4">
        <f t="shared" si="3"/>
        <v>5</v>
      </c>
      <c r="B13" s="42" t="str">
        <f>'Billing Detail'!B44</f>
        <v>Industrial</v>
      </c>
      <c r="C13" s="15">
        <f>'Billing Detail'!C44</f>
        <v>4</v>
      </c>
      <c r="D13" s="43">
        <f>'Billing Detail'!G48</f>
        <v>5684083.354700001</v>
      </c>
      <c r="E13" s="43">
        <f>'Billing Detail'!I48</f>
        <v>5570139.6085999999</v>
      </c>
      <c r="F13" s="41">
        <f t="shared" si="0"/>
        <v>9.2043602142618114E-2</v>
      </c>
      <c r="G13" s="104">
        <f t="shared" si="4"/>
        <v>5570139.6085999999</v>
      </c>
      <c r="H13" s="105">
        <f t="shared" si="1"/>
        <v>9.2043602142618114E-2</v>
      </c>
      <c r="I13" s="106">
        <f t="shared" si="5"/>
        <v>212976.84</v>
      </c>
      <c r="J13" s="43">
        <f>'Billing Detail'!M48</f>
        <v>5783257.1478088377</v>
      </c>
      <c r="K13" s="41">
        <f t="shared" si="2"/>
        <v>9.2043895375051227E-2</v>
      </c>
      <c r="L13" s="43">
        <f>'Billing Detail'!N48</f>
        <v>213117.53920883784</v>
      </c>
      <c r="M13" s="41">
        <f t="shared" si="6"/>
        <v>3.826071771698427E-2</v>
      </c>
      <c r="N13" s="41">
        <f>'Billing Detail'!O54</f>
        <v>3.5769349441829044E-2</v>
      </c>
      <c r="O13" s="45">
        <f t="shared" si="7"/>
        <v>140.69920883793384</v>
      </c>
      <c r="Q13" s="2"/>
      <c r="R13" s="2"/>
      <c r="S13" s="2"/>
      <c r="T13" s="2"/>
      <c r="U13" s="2"/>
      <c r="V13" s="2"/>
    </row>
    <row r="14" spans="1:22" s="42" customFormat="1" x14ac:dyDescent="0.25">
      <c r="A14" s="4">
        <f t="shared" si="3"/>
        <v>6</v>
      </c>
      <c r="B14" s="42" t="str">
        <f>'Billing Detail'!B57</f>
        <v>Industrial</v>
      </c>
      <c r="C14" s="15">
        <f>'Billing Detail'!C57</f>
        <v>9</v>
      </c>
      <c r="D14" s="43">
        <f>'Billing Detail'!G62</f>
        <v>1861086.58</v>
      </c>
      <c r="E14" s="43">
        <f>'Billing Detail'!I62</f>
        <v>979058.17440000002</v>
      </c>
      <c r="F14" s="41">
        <f t="shared" si="0"/>
        <v>1.6178416953825939E-2</v>
      </c>
      <c r="G14" s="104">
        <f t="shared" si="4"/>
        <v>979058.17440000002</v>
      </c>
      <c r="H14" s="105">
        <f t="shared" si="1"/>
        <v>1.6178416953825939E-2</v>
      </c>
      <c r="I14" s="106">
        <f>ROUND(L$6*H14,2)</f>
        <v>37434.74</v>
      </c>
      <c r="J14" s="43">
        <f>'Billing Detail'!M62</f>
        <v>1016353.3027199999</v>
      </c>
      <c r="K14" s="41">
        <f t="shared" si="2"/>
        <v>1.6175852926597144E-2</v>
      </c>
      <c r="L14" s="43">
        <f>'Billing Detail'!N62</f>
        <v>37295.128319999945</v>
      </c>
      <c r="M14" s="41">
        <f>IF(E14=0,0,L14/E14)</f>
        <v>3.8092862401006622E-2</v>
      </c>
      <c r="N14" s="41">
        <f>'Billing Detail'!O68</f>
        <v>3.4757720657602797E-2</v>
      </c>
      <c r="O14" s="45">
        <f>J14-I14-E14</f>
        <v>-139.61168000008911</v>
      </c>
      <c r="Q14" s="2"/>
      <c r="R14" s="2"/>
      <c r="S14" s="2"/>
      <c r="T14" s="2"/>
      <c r="U14" s="2"/>
      <c r="V14" s="2"/>
    </row>
    <row r="15" spans="1:22" s="42" customFormat="1" x14ac:dyDescent="0.25">
      <c r="A15" s="4">
        <f t="shared" si="3"/>
        <v>7</v>
      </c>
      <c r="B15" s="42" t="str">
        <f>'Billing Detail'!B71</f>
        <v>Lighting</v>
      </c>
      <c r="C15" s="15" t="str">
        <f>'Billing Detail'!C71</f>
        <v>5,6</v>
      </c>
      <c r="D15" s="43">
        <f>'Billing Detail'!G103</f>
        <v>1229152.1300000004</v>
      </c>
      <c r="E15" s="43">
        <f>'Billing Detail'!I103</f>
        <v>1229152.1300000004</v>
      </c>
      <c r="F15" s="41">
        <f t="shared" si="0"/>
        <v>2.0311086898395923E-2</v>
      </c>
      <c r="G15" s="104">
        <f t="shared" si="4"/>
        <v>1229152.1300000004</v>
      </c>
      <c r="H15" s="105">
        <f t="shared" si="1"/>
        <v>2.0311086898395923E-2</v>
      </c>
      <c r="I15" s="106">
        <f t="shared" si="5"/>
        <v>46997.19</v>
      </c>
      <c r="J15" s="43">
        <f>'Billing Detail'!M103</f>
        <v>1276044.7400000002</v>
      </c>
      <c r="K15" s="41">
        <f t="shared" si="2"/>
        <v>2.0308992932632223E-2</v>
      </c>
      <c r="L15" s="43">
        <f t="shared" ref="L15:L16" si="8">J15-E15</f>
        <v>46892.60999999987</v>
      </c>
      <c r="M15" s="41">
        <f t="shared" si="6"/>
        <v>3.8150371183101522E-2</v>
      </c>
      <c r="N15" s="41">
        <f>'Billing Detail'!O109</f>
        <v>3.7881302728819649E-2</v>
      </c>
      <c r="O15" s="45">
        <f t="shared" si="7"/>
        <v>-104.58000000007451</v>
      </c>
      <c r="Q15" s="2"/>
      <c r="R15" s="2"/>
      <c r="S15" s="2"/>
      <c r="T15" s="2"/>
      <c r="U15" s="2"/>
      <c r="V15" s="2"/>
    </row>
    <row r="16" spans="1:22" s="42" customFormat="1" ht="16.2" customHeight="1" x14ac:dyDescent="0.25">
      <c r="A16" s="4">
        <f t="shared" si="3"/>
        <v>8</v>
      </c>
      <c r="B16" s="46" t="s">
        <v>46</v>
      </c>
      <c r="C16" s="46"/>
      <c r="D16" s="47">
        <f>SUM(D10:D15)</f>
        <v>62346002.867809996</v>
      </c>
      <c r="E16" s="47">
        <f>SUM(E10:E15)</f>
        <v>60516314.865309998</v>
      </c>
      <c r="F16" s="48">
        <f t="shared" si="0"/>
        <v>1</v>
      </c>
      <c r="G16" s="107">
        <f>SUM(G10:G15)</f>
        <v>60516314.865309998</v>
      </c>
      <c r="H16" s="108">
        <v>1</v>
      </c>
      <c r="I16" s="107">
        <f>SUM(I10:I15)</f>
        <v>2313869.0100000002</v>
      </c>
      <c r="J16" s="47">
        <f>SUM(J10:J15)</f>
        <v>62831512.337062679</v>
      </c>
      <c r="K16" s="48">
        <f t="shared" si="2"/>
        <v>1</v>
      </c>
      <c r="L16" s="47">
        <f t="shared" si="8"/>
        <v>2315197.4717526808</v>
      </c>
      <c r="M16" s="48">
        <f t="shared" ref="M16" si="9">L16/E16</f>
        <v>3.8257410037368787E-2</v>
      </c>
      <c r="N16" s="48"/>
      <c r="O16" s="49">
        <f t="shared" si="7"/>
        <v>1328.4617526829243</v>
      </c>
      <c r="Q16" s="2"/>
      <c r="R16" s="2"/>
      <c r="S16" s="2"/>
      <c r="T16" s="2"/>
      <c r="U16" s="2"/>
      <c r="V16" s="2"/>
    </row>
    <row r="17" spans="1:22" s="42" customFormat="1" ht="16.2" customHeight="1" x14ac:dyDescent="0.25">
      <c r="A17" s="4">
        <f t="shared" si="3"/>
        <v>9</v>
      </c>
      <c r="B17" s="50"/>
      <c r="C17" s="50"/>
      <c r="D17" s="51"/>
      <c r="E17" s="51"/>
      <c r="F17" s="52"/>
      <c r="G17" s="109"/>
      <c r="H17" s="110"/>
      <c r="I17" s="109"/>
      <c r="J17" s="51"/>
      <c r="K17" s="52"/>
      <c r="L17" s="51"/>
      <c r="M17" s="52"/>
      <c r="N17" s="52"/>
      <c r="O17" s="53"/>
      <c r="Q17" s="2"/>
      <c r="R17" s="2"/>
      <c r="S17" s="2"/>
      <c r="T17" s="2"/>
      <c r="U17" s="2"/>
      <c r="V17" s="2"/>
    </row>
    <row r="18" spans="1:22" s="42" customFormat="1" ht="16.2" customHeight="1" x14ac:dyDescent="0.25">
      <c r="A18" s="4">
        <f t="shared" si="3"/>
        <v>10</v>
      </c>
      <c r="B18" s="50" t="str">
        <f>'Billing Detail'!B111</f>
        <v>AGC Automotive</v>
      </c>
      <c r="C18" s="50" t="str">
        <f>'Billing Detail'!C111</f>
        <v>Special</v>
      </c>
      <c r="D18" s="51">
        <f>'Billing Detail'!G116</f>
        <v>6431036.5759999985</v>
      </c>
      <c r="E18" s="51">
        <f>'Billing Detail'!I116</f>
        <v>5643011.7826899998</v>
      </c>
      <c r="F18" s="52">
        <v>1</v>
      </c>
      <c r="G18" s="106">
        <f>L5</f>
        <v>174412</v>
      </c>
      <c r="H18" s="110">
        <v>1</v>
      </c>
      <c r="I18" s="109">
        <f>H18*G18</f>
        <v>174412</v>
      </c>
      <c r="J18" s="51">
        <f>'Billing Detail'!M116</f>
        <v>5817446.2456189999</v>
      </c>
      <c r="K18" s="52">
        <f>J18/J18</f>
        <v>1</v>
      </c>
      <c r="L18" s="51">
        <f>'Billing Detail'!N116</f>
        <v>174434.462929</v>
      </c>
      <c r="M18" s="41">
        <f t="shared" ref="M18:M20" si="10">IF(E18=0,0,L18/E18)</f>
        <v>3.0911589350934836E-2</v>
      </c>
      <c r="N18" s="41">
        <f>'Billing Detail'!O122</f>
        <v>2.943921079903198E-2</v>
      </c>
      <c r="O18" s="45">
        <f>J18-I18-E18</f>
        <v>22.462929000146687</v>
      </c>
      <c r="Q18" s="2"/>
      <c r="R18" s="2"/>
      <c r="S18" s="2"/>
      <c r="T18" s="2"/>
      <c r="U18" s="2"/>
      <c r="V18" s="2"/>
    </row>
    <row r="19" spans="1:22" s="42" customFormat="1" ht="16.2" customHeight="1" x14ac:dyDescent="0.25">
      <c r="A19" s="4">
        <f t="shared" si="3"/>
        <v>11</v>
      </c>
      <c r="B19" s="50"/>
      <c r="C19" s="50"/>
      <c r="D19" s="51"/>
      <c r="E19" s="51"/>
      <c r="F19" s="52"/>
      <c r="G19" s="44"/>
      <c r="H19" s="52"/>
      <c r="I19" s="51"/>
      <c r="J19" s="51"/>
      <c r="K19" s="52"/>
      <c r="L19" s="51"/>
      <c r="M19" s="41"/>
      <c r="N19" s="41"/>
      <c r="O19" s="45"/>
      <c r="Q19" s="77"/>
    </row>
    <row r="20" spans="1:22" s="42" customFormat="1" ht="16.2" customHeight="1" x14ac:dyDescent="0.25">
      <c r="A20" s="4">
        <f t="shared" si="3"/>
        <v>12</v>
      </c>
      <c r="B20" s="54" t="s">
        <v>45</v>
      </c>
      <c r="C20" s="54"/>
      <c r="D20" s="55">
        <f>D18+D16</f>
        <v>68777039.443810001</v>
      </c>
      <c r="E20" s="55">
        <f t="shared" ref="E20:L20" si="11">E18+E16</f>
        <v>66159326.648000002</v>
      </c>
      <c r="F20" s="55"/>
      <c r="G20" s="55">
        <f t="shared" si="11"/>
        <v>60690726.865309998</v>
      </c>
      <c r="H20" s="55"/>
      <c r="I20" s="55">
        <f t="shared" si="11"/>
        <v>2488281.0100000002</v>
      </c>
      <c r="J20" s="55">
        <f t="shared" si="11"/>
        <v>68648958.582681686</v>
      </c>
      <c r="K20" s="55"/>
      <c r="L20" s="55">
        <f t="shared" si="11"/>
        <v>2489631.934681681</v>
      </c>
      <c r="M20" s="56">
        <f t="shared" si="10"/>
        <v>3.7630853589664559E-2</v>
      </c>
      <c r="N20" s="56"/>
      <c r="O20" s="57">
        <f t="shared" ref="O20" si="12">J20-I20-E20</f>
        <v>1350.9246816858649</v>
      </c>
    </row>
    <row r="21" spans="1:22" s="42" customFormat="1" ht="12.6" customHeight="1" x14ac:dyDescent="0.25">
      <c r="A21" s="4">
        <f t="shared" si="3"/>
        <v>13</v>
      </c>
    </row>
    <row r="22" spans="1:22" s="42" customFormat="1" x14ac:dyDescent="0.25">
      <c r="A22" s="4">
        <f t="shared" si="3"/>
        <v>14</v>
      </c>
      <c r="B22" s="38" t="s">
        <v>7</v>
      </c>
      <c r="C22" s="38"/>
      <c r="D22" s="38"/>
    </row>
    <row r="23" spans="1:22" s="42" customFormat="1" x14ac:dyDescent="0.25">
      <c r="A23" s="4">
        <f t="shared" si="3"/>
        <v>15</v>
      </c>
      <c r="B23" s="42" t="str">
        <f>'Billing Detail'!D11</f>
        <v xml:space="preserve">    FAC</v>
      </c>
      <c r="D23" s="43">
        <f>'Billing Detail'!G128</f>
        <v>-3247192.41</v>
      </c>
      <c r="E23" s="43">
        <f>'Billing Detail'!I128</f>
        <v>-2090947.1179199999</v>
      </c>
      <c r="F23" s="58"/>
      <c r="G23" s="59"/>
      <c r="H23" s="59"/>
      <c r="I23" s="59"/>
      <c r="J23" s="43">
        <f>'Billing Detail'!M128</f>
        <v>-2090947.1179199999</v>
      </c>
      <c r="K23" s="60"/>
      <c r="L23" s="60"/>
      <c r="M23" s="59"/>
      <c r="N23" s="59"/>
    </row>
    <row r="24" spans="1:22" s="42" customFormat="1" x14ac:dyDescent="0.25">
      <c r="A24" s="4">
        <f t="shared" si="3"/>
        <v>16</v>
      </c>
      <c r="B24" s="42" t="str">
        <f>'Billing Detail'!D12</f>
        <v xml:space="preserve">    ES</v>
      </c>
      <c r="D24" s="43">
        <f>'Billing Detail'!G129</f>
        <v>7017701.9900000002</v>
      </c>
      <c r="E24" s="43">
        <f>'Billing Detail'!I129</f>
        <v>7017701.9900000002</v>
      </c>
      <c r="F24" s="59"/>
      <c r="G24" s="59"/>
      <c r="H24" s="59"/>
      <c r="I24" s="59"/>
      <c r="J24" s="43">
        <f>'Billing Detail'!M129</f>
        <v>7017701.9900000002</v>
      </c>
      <c r="K24" s="60"/>
      <c r="L24" s="60"/>
      <c r="M24" s="59"/>
      <c r="N24" s="59"/>
    </row>
    <row r="25" spans="1:22" s="42" customFormat="1" x14ac:dyDescent="0.25">
      <c r="A25" s="4">
        <f t="shared" si="3"/>
        <v>17</v>
      </c>
      <c r="B25" s="42" t="str">
        <f>'Billing Detail'!D13</f>
        <v xml:space="preserve">    Prepay Daily Charges</v>
      </c>
      <c r="D25" s="43">
        <f>'Billing Detail'!G130</f>
        <v>82347.89</v>
      </c>
      <c r="E25" s="43">
        <f>'Billing Detail'!I130</f>
        <v>82347.89</v>
      </c>
      <c r="F25" s="59"/>
      <c r="G25" s="59"/>
      <c r="H25" s="59"/>
      <c r="I25" s="59"/>
      <c r="J25" s="43">
        <f>'Billing Detail'!M130</f>
        <v>82347.89</v>
      </c>
      <c r="K25" s="60"/>
      <c r="L25" s="60"/>
      <c r="M25" s="59"/>
      <c r="N25" s="59"/>
    </row>
    <row r="26" spans="1:22" s="42" customFormat="1" x14ac:dyDescent="0.25">
      <c r="A26" s="4">
        <f t="shared" si="3"/>
        <v>18</v>
      </c>
      <c r="B26" s="42" t="str">
        <f>'Billing Detail'!D14</f>
        <v xml:space="preserve">    Other</v>
      </c>
      <c r="D26" s="43">
        <f>'Billing Detail'!G131</f>
        <v>0</v>
      </c>
      <c r="E26" s="43">
        <f>'Billing Detail'!I131</f>
        <v>0</v>
      </c>
      <c r="F26" s="59"/>
      <c r="G26" s="59"/>
      <c r="H26" s="59"/>
      <c r="I26" s="59"/>
      <c r="J26" s="43">
        <f>'Billing Detail'!M131</f>
        <v>0</v>
      </c>
      <c r="K26" s="60"/>
      <c r="L26" s="60"/>
      <c r="M26" s="59"/>
      <c r="N26" s="69"/>
    </row>
    <row r="27" spans="1:22" s="42" customFormat="1" x14ac:dyDescent="0.25">
      <c r="A27" s="4">
        <f t="shared" si="3"/>
        <v>19</v>
      </c>
      <c r="B27" s="46" t="s">
        <v>8</v>
      </c>
      <c r="C27" s="46"/>
      <c r="D27" s="47">
        <f>SUM(D23:D26)</f>
        <v>3852857.47</v>
      </c>
      <c r="E27" s="47">
        <f>SUM(E23:E26)</f>
        <v>5009102.7620799998</v>
      </c>
      <c r="F27" s="61"/>
      <c r="G27" s="61"/>
      <c r="H27" s="61"/>
      <c r="I27" s="61"/>
      <c r="J27" s="47">
        <f>SUM(J23:J26)</f>
        <v>5009102.7620799998</v>
      </c>
      <c r="K27" s="62"/>
      <c r="L27" s="62"/>
      <c r="M27" s="61"/>
      <c r="N27" s="68"/>
    </row>
    <row r="28" spans="1:22" s="42" customFormat="1" x14ac:dyDescent="0.25">
      <c r="A28" s="4">
        <f t="shared" si="3"/>
        <v>20</v>
      </c>
    </row>
    <row r="29" spans="1:22" s="42" customFormat="1" ht="18" customHeight="1" thickBot="1" x14ac:dyDescent="0.3">
      <c r="A29" s="4">
        <f t="shared" si="3"/>
        <v>21</v>
      </c>
      <c r="B29" s="63" t="s">
        <v>9</v>
      </c>
      <c r="C29" s="63"/>
      <c r="D29" s="64">
        <f>D20+D27</f>
        <v>72629896.91381</v>
      </c>
      <c r="E29" s="64">
        <f>E20+E27</f>
        <v>71168429.410080001</v>
      </c>
      <c r="F29" s="65"/>
      <c r="G29" s="65"/>
      <c r="H29" s="65"/>
      <c r="I29" s="65"/>
      <c r="J29" s="64">
        <f>J20+J27</f>
        <v>73658061.344761685</v>
      </c>
      <c r="K29" s="66"/>
      <c r="L29" s="65">
        <f t="shared" ref="L29" si="13">J29-E29</f>
        <v>2489631.9346816838</v>
      </c>
      <c r="M29" s="63"/>
      <c r="N29" s="67">
        <f>L29/E29</f>
        <v>3.4982252036730527E-2</v>
      </c>
      <c r="R29" s="2"/>
      <c r="S29" s="2"/>
      <c r="T29" s="2"/>
      <c r="U29" s="2"/>
      <c r="V29" s="2"/>
    </row>
    <row r="30" spans="1:22" s="42" customFormat="1" ht="18" customHeight="1" thickTop="1" x14ac:dyDescent="0.25">
      <c r="A30" s="4">
        <f t="shared" si="3"/>
        <v>22</v>
      </c>
      <c r="B30" s="42" t="s">
        <v>10</v>
      </c>
      <c r="D30" s="44"/>
      <c r="L30" s="51">
        <f>L4</f>
        <v>2488281</v>
      </c>
      <c r="R30" s="2"/>
      <c r="S30" s="2"/>
      <c r="T30" s="2"/>
      <c r="U30" s="2"/>
      <c r="V30" s="2"/>
    </row>
    <row r="31" spans="1:22" s="42" customFormat="1" ht="15" customHeight="1" x14ac:dyDescent="0.25">
      <c r="A31" s="4">
        <f t="shared" si="3"/>
        <v>23</v>
      </c>
      <c r="B31" s="46" t="s">
        <v>40</v>
      </c>
      <c r="C31" s="46"/>
      <c r="D31" s="47"/>
      <c r="E31" s="46"/>
      <c r="F31" s="46"/>
      <c r="G31" s="46"/>
      <c r="H31" s="46"/>
      <c r="I31" s="46"/>
      <c r="J31" s="46"/>
      <c r="K31" s="46"/>
      <c r="L31" s="47">
        <f>L29-L30</f>
        <v>1350.9346816837788</v>
      </c>
      <c r="R31" s="2"/>
      <c r="S31" s="2"/>
      <c r="T31" s="2"/>
      <c r="U31" s="2"/>
      <c r="V31" s="2"/>
    </row>
    <row r="32" spans="1:22" s="42" customFormat="1" ht="15" customHeight="1" x14ac:dyDescent="0.25">
      <c r="A32" s="4">
        <f t="shared" si="3"/>
        <v>24</v>
      </c>
      <c r="B32" s="42" t="s">
        <v>40</v>
      </c>
      <c r="D32" s="41"/>
      <c r="L32" s="41">
        <f>L31/L30</f>
        <v>5.4291885911751073E-4</v>
      </c>
      <c r="R32" s="2"/>
      <c r="S32" s="2"/>
      <c r="T32" s="2"/>
      <c r="U32" s="2"/>
      <c r="V32" s="2"/>
    </row>
    <row r="33" spans="1:4" x14ac:dyDescent="0.25">
      <c r="A33" s="4"/>
    </row>
    <row r="35" spans="1:4" x14ac:dyDescent="0.25">
      <c r="D35" s="12"/>
    </row>
  </sheetData>
  <printOptions horizontalCentered="1"/>
  <pageMargins left="0.7" right="0.7" top="0.75" bottom="0.75" header="0.3" footer="0.3"/>
  <pageSetup scale="79" orientation="landscape" r:id="rId1"/>
  <headerFooter>
    <oddHeader>&amp;R&amp;"Arial,Bold"&amp;10Exhibit 3
Page &amp;P of &amp;N</oddHeader>
  </headerFooter>
  <ignoredErrors>
    <ignoredError sqref="J16 F16 J10:J13 G10:G14 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V167"/>
  <sheetViews>
    <sheetView view="pageBreakPreview" zoomScale="75" zoomScaleNormal="75" zoomScaleSheetLayoutView="75" workbookViewId="0">
      <pane xSplit="4" ySplit="5" topLeftCell="E94" activePane="bottomRight" state="frozen"/>
      <selection activeCell="Q8" sqref="Q8"/>
      <selection pane="topRight" activeCell="Q8" sqref="Q8"/>
      <selection pane="bottomLeft" activeCell="Q8" sqref="Q8"/>
      <selection pane="bottomRight" activeCell="N116" sqref="N116"/>
    </sheetView>
  </sheetViews>
  <sheetFormatPr defaultColWidth="8.88671875" defaultRowHeight="13.2" x14ac:dyDescent="0.25"/>
  <cols>
    <col min="1" max="1" width="8.21875" style="6" customWidth="1"/>
    <col min="2" max="2" width="18.5546875" style="2" customWidth="1"/>
    <col min="3" max="3" width="7.77734375" style="15" customWidth="1"/>
    <col min="4" max="4" width="32.88671875" style="2" bestFit="1" customWidth="1"/>
    <col min="5" max="5" width="14.44140625" style="90" bestFit="1" customWidth="1"/>
    <col min="6" max="6" width="10" style="90" hidden="1" customWidth="1"/>
    <col min="7" max="7" width="12.6640625" style="90" hidden="1" customWidth="1"/>
    <col min="8" max="8" width="12.21875" style="90" bestFit="1" customWidth="1"/>
    <col min="9" max="9" width="15.33203125" style="90" bestFit="1" customWidth="1"/>
    <col min="10" max="10" width="8.5546875" style="90" bestFit="1" customWidth="1"/>
    <col min="11" max="11" width="12.6640625" style="115" bestFit="1" customWidth="1"/>
    <col min="12" max="12" width="9.88671875" style="90" bestFit="1" customWidth="1"/>
    <col min="13" max="13" width="12.6640625" style="90" bestFit="1" customWidth="1"/>
    <col min="14" max="14" width="11.6640625" style="90" bestFit="1" customWidth="1"/>
    <col min="15" max="15" width="6.44140625" style="90" bestFit="1" customWidth="1"/>
    <col min="16" max="16" width="9.88671875" style="90" bestFit="1" customWidth="1"/>
    <col min="17" max="17" width="9.44140625" style="90" bestFit="1" customWidth="1"/>
    <col min="18" max="18" width="10.44140625" style="90" customWidth="1"/>
    <col min="19" max="19" width="8.88671875" style="2" customWidth="1"/>
    <col min="20" max="20" width="14.109375" style="2" customWidth="1"/>
    <col min="21" max="21" width="8.88671875" style="2" customWidth="1"/>
    <col min="22" max="22" width="13.6640625" style="2" customWidth="1"/>
    <col min="23" max="16384" width="8.88671875" style="2"/>
  </cols>
  <sheetData>
    <row r="1" spans="1:20" x14ac:dyDescent="0.25">
      <c r="A1" s="31" t="str">
        <f>Summary!A1</f>
        <v>NOLIN RECC</v>
      </c>
      <c r="F1" s="114"/>
    </row>
    <row r="2" spans="1:20" ht="14.4" customHeight="1" x14ac:dyDescent="0.25">
      <c r="A2" s="31" t="str">
        <f>Summary!A2</f>
        <v>Billing Analysis for Pass-Through Rate Increase</v>
      </c>
      <c r="F2" s="116"/>
      <c r="G2" s="116"/>
      <c r="H2" s="116"/>
      <c r="I2" s="117"/>
      <c r="K2" s="118"/>
      <c r="P2" s="119"/>
      <c r="R2" s="115"/>
      <c r="S2" s="27"/>
      <c r="T2" s="27"/>
    </row>
    <row r="3" spans="1:20" x14ac:dyDescent="0.25">
      <c r="K3" s="118"/>
      <c r="R3" s="115"/>
      <c r="S3" s="27"/>
      <c r="T3" s="27"/>
    </row>
    <row r="4" spans="1:20" x14ac:dyDescent="0.25">
      <c r="D4" s="27"/>
      <c r="E4" s="115"/>
      <c r="F4" s="115"/>
      <c r="G4" s="115"/>
      <c r="H4" s="115"/>
      <c r="I4" s="115"/>
      <c r="J4" s="115"/>
      <c r="L4" s="115"/>
      <c r="M4" s="115"/>
      <c r="N4" s="115"/>
      <c r="O4" s="115"/>
      <c r="P4" s="115"/>
      <c r="Q4" s="115"/>
      <c r="R4" s="115"/>
      <c r="S4" s="27"/>
      <c r="T4" s="27"/>
    </row>
    <row r="5" spans="1:20" ht="38.4" customHeight="1" x14ac:dyDescent="0.25">
      <c r="A5" s="17" t="s">
        <v>1</v>
      </c>
      <c r="B5" s="17" t="s">
        <v>12</v>
      </c>
      <c r="C5" s="9" t="s">
        <v>11</v>
      </c>
      <c r="D5" s="17" t="s">
        <v>13</v>
      </c>
      <c r="E5" s="120" t="s">
        <v>14</v>
      </c>
      <c r="F5" s="120" t="s">
        <v>20</v>
      </c>
      <c r="G5" s="120" t="s">
        <v>25</v>
      </c>
      <c r="H5" s="120" t="s">
        <v>26</v>
      </c>
      <c r="I5" s="120" t="s">
        <v>27</v>
      </c>
      <c r="J5" s="120" t="s">
        <v>98</v>
      </c>
      <c r="K5" s="121" t="s">
        <v>10</v>
      </c>
      <c r="L5" s="120" t="s">
        <v>23</v>
      </c>
      <c r="M5" s="120" t="s">
        <v>4</v>
      </c>
      <c r="N5" s="120" t="s">
        <v>15</v>
      </c>
      <c r="O5" s="122" t="s">
        <v>16</v>
      </c>
      <c r="P5" s="120" t="s">
        <v>24</v>
      </c>
      <c r="Q5" s="120" t="s">
        <v>28</v>
      </c>
      <c r="R5" s="120" t="s">
        <v>41</v>
      </c>
      <c r="T5" s="11" t="s">
        <v>37</v>
      </c>
    </row>
    <row r="6" spans="1:20" ht="30.6" customHeight="1" thickBot="1" x14ac:dyDescent="0.3">
      <c r="A6" s="32"/>
      <c r="B6" s="22"/>
      <c r="C6" s="23"/>
      <c r="D6" s="22"/>
      <c r="E6" s="123"/>
      <c r="F6" s="123"/>
      <c r="G6" s="123"/>
      <c r="H6" s="123"/>
      <c r="I6" s="123"/>
      <c r="J6" s="123"/>
      <c r="K6" s="124"/>
      <c r="L6" s="123"/>
      <c r="M6" s="123"/>
      <c r="N6" s="123"/>
      <c r="O6" s="125"/>
      <c r="P6" s="123"/>
      <c r="Q6" s="123"/>
      <c r="R6" s="123"/>
    </row>
    <row r="7" spans="1:20" x14ac:dyDescent="0.25">
      <c r="A7" s="33">
        <v>1</v>
      </c>
      <c r="B7" s="24" t="s">
        <v>91</v>
      </c>
      <c r="C7" s="25">
        <v>1</v>
      </c>
      <c r="D7" s="24"/>
      <c r="E7" s="126"/>
      <c r="F7" s="126"/>
      <c r="G7" s="126"/>
      <c r="H7" s="126"/>
      <c r="I7" s="126"/>
      <c r="J7" s="126"/>
      <c r="K7" s="127"/>
      <c r="L7" s="126"/>
      <c r="M7" s="126"/>
      <c r="N7" s="126"/>
      <c r="O7" s="126"/>
      <c r="P7" s="126"/>
      <c r="Q7" s="126"/>
      <c r="R7" s="126"/>
    </row>
    <row r="8" spans="1:20" x14ac:dyDescent="0.25">
      <c r="A8" s="33">
        <f>A7+1</f>
        <v>2</v>
      </c>
      <c r="C8" s="2"/>
      <c r="D8" s="2" t="s">
        <v>17</v>
      </c>
      <c r="E8" s="128">
        <f>374957+26032</f>
        <v>400989</v>
      </c>
      <c r="F8" s="129">
        <v>13.5</v>
      </c>
      <c r="G8" s="130">
        <f>F8*E8</f>
        <v>5413351.5</v>
      </c>
      <c r="H8" s="114">
        <v>13.5</v>
      </c>
      <c r="I8" s="130">
        <f>H8*E8</f>
        <v>5413351.5</v>
      </c>
      <c r="J8" s="131">
        <f>I8/I10</f>
        <v>0.11357293610315269</v>
      </c>
      <c r="K8" s="132"/>
      <c r="L8" s="114">
        <f>ROUND(H8*S10,2)</f>
        <v>14.02</v>
      </c>
      <c r="M8" s="130">
        <f>L8*E8</f>
        <v>5621865.7800000003</v>
      </c>
      <c r="N8" s="130">
        <f t="shared" ref="N8:N13" si="0">M8-I8</f>
        <v>208514.28000000026</v>
      </c>
      <c r="O8" s="131">
        <f>IF(I8=0,0,N8/I8)</f>
        <v>3.851851851851857E-2</v>
      </c>
      <c r="P8" s="131">
        <f>M8/M10</f>
        <v>0.11360059164218628</v>
      </c>
      <c r="Q8" s="133">
        <f>P8-J8</f>
        <v>2.7655539033583088E-5</v>
      </c>
      <c r="R8" s="133"/>
      <c r="T8" s="5">
        <f>L8/H8-1</f>
        <v>3.8518518518518396E-2</v>
      </c>
    </row>
    <row r="9" spans="1:20" x14ac:dyDescent="0.25">
      <c r="A9" s="33">
        <f t="shared" ref="A9:A72" si="1">A8+1</f>
        <v>3</v>
      </c>
      <c r="B9" s="13"/>
      <c r="D9" s="2" t="s">
        <v>54</v>
      </c>
      <c r="E9" s="128">
        <f>445564618+31090910</f>
        <v>476655528</v>
      </c>
      <c r="F9" s="134">
        <f>H9+0.00158</f>
        <v>9.0219999999999995E-2</v>
      </c>
      <c r="G9" s="130">
        <f t="shared" ref="G9" si="2">F9*E9</f>
        <v>43003861.736159995</v>
      </c>
      <c r="H9" s="135">
        <v>8.8639999999999997E-2</v>
      </c>
      <c r="I9" s="130">
        <f t="shared" ref="I9" si="3">H9*E9</f>
        <v>42250746.00192</v>
      </c>
      <c r="J9" s="131">
        <f>I9/I10</f>
        <v>0.88642706389684733</v>
      </c>
      <c r="K9" s="132"/>
      <c r="L9" s="135">
        <f>ROUND(H9*S10,6)</f>
        <v>9.2029E-2</v>
      </c>
      <c r="M9" s="130">
        <f t="shared" ref="M9" si="4">L9*E9</f>
        <v>43866131.586312003</v>
      </c>
      <c r="N9" s="130">
        <f t="shared" si="0"/>
        <v>1615385.5843920037</v>
      </c>
      <c r="O9" s="131">
        <f t="shared" ref="O9" si="5">IF(I9=0,0,N9/I9)</f>
        <v>3.8233303249097558E-2</v>
      </c>
      <c r="P9" s="131">
        <f>M9/M10</f>
        <v>0.88639940835781372</v>
      </c>
      <c r="Q9" s="133">
        <f t="shared" ref="Q9:Q10" si="6">P9-J9</f>
        <v>-2.7655539033610843E-5</v>
      </c>
      <c r="R9" s="133"/>
      <c r="T9" s="5">
        <f>L9/H9-1</f>
        <v>3.8233303249097572E-2</v>
      </c>
    </row>
    <row r="10" spans="1:20" s="6" customFormat="1" ht="20.399999999999999" customHeight="1" x14ac:dyDescent="0.3">
      <c r="A10" s="33">
        <f t="shared" si="1"/>
        <v>4</v>
      </c>
      <c r="C10" s="16"/>
      <c r="D10" s="18" t="s">
        <v>6</v>
      </c>
      <c r="E10" s="136"/>
      <c r="F10" s="136"/>
      <c r="G10" s="19">
        <f>SUM(G8:G9)</f>
        <v>48417213.236159995</v>
      </c>
      <c r="H10" s="136"/>
      <c r="I10" s="137">
        <f>SUM(I8:I9)</f>
        <v>47664097.50192</v>
      </c>
      <c r="J10" s="138">
        <f>SUM(J8:J9)</f>
        <v>1</v>
      </c>
      <c r="K10" s="139">
        <f>I10+Summary!I10</f>
        <v>49486556.091920003</v>
      </c>
      <c r="L10" s="136"/>
      <c r="M10" s="19">
        <f>SUM(M8:M9)</f>
        <v>49487997.366312005</v>
      </c>
      <c r="N10" s="19">
        <f>SUM(N8:N9)</f>
        <v>1823899.864392004</v>
      </c>
      <c r="O10" s="138">
        <f t="shared" ref="O10" si="7">N10/I10</f>
        <v>3.8265695984667156E-2</v>
      </c>
      <c r="P10" s="138">
        <f>SUM(P8:P9)</f>
        <v>1</v>
      </c>
      <c r="Q10" s="140">
        <f t="shared" si="6"/>
        <v>0</v>
      </c>
      <c r="R10" s="141">
        <f>M10-K10</f>
        <v>1441.2743920013309</v>
      </c>
      <c r="S10" s="6">
        <f>K10/I10</f>
        <v>1.0382354578291677</v>
      </c>
    </row>
    <row r="11" spans="1:20" x14ac:dyDescent="0.25">
      <c r="A11" s="33">
        <f t="shared" si="1"/>
        <v>5</v>
      </c>
      <c r="D11" s="2" t="s">
        <v>29</v>
      </c>
      <c r="G11" s="130">
        <f>-1918221.65-144425</f>
        <v>-2062646.65</v>
      </c>
      <c r="I11" s="28">
        <f>G11+(0.00158*E9)</f>
        <v>-1309530.9157599998</v>
      </c>
      <c r="K11" s="118"/>
      <c r="M11" s="130">
        <f>I11</f>
        <v>-1309530.9157599998</v>
      </c>
      <c r="N11" s="130">
        <f t="shared" si="0"/>
        <v>0</v>
      </c>
      <c r="O11" s="114">
        <v>0</v>
      </c>
      <c r="R11" s="142"/>
    </row>
    <row r="12" spans="1:20" x14ac:dyDescent="0.25">
      <c r="A12" s="33">
        <f t="shared" si="1"/>
        <v>6</v>
      </c>
      <c r="D12" s="2" t="s">
        <v>30</v>
      </c>
      <c r="G12" s="130">
        <f>4859433.01+213219</f>
        <v>5072652.01</v>
      </c>
      <c r="I12" s="28">
        <f>G12</f>
        <v>5072652.01</v>
      </c>
      <c r="M12" s="130">
        <f t="shared" ref="M12:M14" si="8">I12</f>
        <v>5072652.01</v>
      </c>
      <c r="N12" s="130">
        <f t="shared" si="0"/>
        <v>0</v>
      </c>
      <c r="O12" s="114">
        <v>0</v>
      </c>
    </row>
    <row r="13" spans="1:20" x14ac:dyDescent="0.25">
      <c r="A13" s="33">
        <f t="shared" si="1"/>
        <v>7</v>
      </c>
      <c r="D13" s="2" t="s">
        <v>43</v>
      </c>
      <c r="E13" s="128">
        <v>26032</v>
      </c>
      <c r="F13" s="90">
        <f>0.104</f>
        <v>0.104</v>
      </c>
      <c r="G13" s="130">
        <f>ROUND(F13*E13*365/12,2)</f>
        <v>82347.89</v>
      </c>
      <c r="I13" s="28">
        <f>G13</f>
        <v>82347.89</v>
      </c>
      <c r="M13" s="130">
        <f t="shared" si="8"/>
        <v>82347.89</v>
      </c>
      <c r="N13" s="130">
        <f t="shared" si="0"/>
        <v>0</v>
      </c>
      <c r="O13" s="114">
        <v>0</v>
      </c>
    </row>
    <row r="14" spans="1:20" x14ac:dyDescent="0.25">
      <c r="A14" s="33">
        <f t="shared" si="1"/>
        <v>8</v>
      </c>
      <c r="D14" s="2" t="s">
        <v>42</v>
      </c>
      <c r="G14" s="130">
        <v>0</v>
      </c>
      <c r="I14" s="28">
        <f>G14</f>
        <v>0</v>
      </c>
      <c r="M14" s="130">
        <f t="shared" si="8"/>
        <v>0</v>
      </c>
      <c r="N14" s="130"/>
      <c r="O14" s="114">
        <v>0</v>
      </c>
    </row>
    <row r="15" spans="1:20" x14ac:dyDescent="0.25">
      <c r="A15" s="33">
        <f t="shared" si="1"/>
        <v>9</v>
      </c>
      <c r="D15" s="14" t="s">
        <v>8</v>
      </c>
      <c r="E15" s="143"/>
      <c r="F15" s="143"/>
      <c r="G15" s="144">
        <f>SUM(G11:G14)</f>
        <v>3092353.25</v>
      </c>
      <c r="H15" s="143"/>
      <c r="I15" s="144">
        <f>SUM(I11:I14)</f>
        <v>3845468.9842400001</v>
      </c>
      <c r="J15" s="143"/>
      <c r="K15" s="145"/>
      <c r="L15" s="143"/>
      <c r="M15" s="144">
        <f>SUM(M11:M14)</f>
        <v>3845468.9842400001</v>
      </c>
      <c r="N15" s="144">
        <f>M15-I15</f>
        <v>0</v>
      </c>
      <c r="O15" s="146">
        <v>0</v>
      </c>
    </row>
    <row r="16" spans="1:20" s="6" customFormat="1" ht="26.4" customHeight="1" thickBot="1" x14ac:dyDescent="0.3">
      <c r="A16" s="33">
        <f t="shared" si="1"/>
        <v>10</v>
      </c>
      <c r="C16" s="16"/>
      <c r="D16" s="7" t="s">
        <v>19</v>
      </c>
      <c r="E16" s="147"/>
      <c r="F16" s="147"/>
      <c r="G16" s="148">
        <f>G10+G15</f>
        <v>51509566.486159995</v>
      </c>
      <c r="H16" s="147"/>
      <c r="I16" s="149">
        <f>I15+I10</f>
        <v>51509566.486160003</v>
      </c>
      <c r="J16" s="147"/>
      <c r="K16" s="150"/>
      <c r="L16" s="147"/>
      <c r="M16" s="148">
        <f>M15+M10</f>
        <v>53333466.350552008</v>
      </c>
      <c r="N16" s="148">
        <f>M16-I16</f>
        <v>1823899.8643920049</v>
      </c>
      <c r="O16" s="151">
        <f>N16/I16</f>
        <v>3.5408953885916798E-2</v>
      </c>
      <c r="P16" s="90"/>
      <c r="Q16" s="90"/>
      <c r="R16" s="90"/>
    </row>
    <row r="17" spans="1:22" ht="13.8" thickTop="1" x14ac:dyDescent="0.25">
      <c r="A17" s="33">
        <f t="shared" si="1"/>
        <v>11</v>
      </c>
      <c r="D17" s="2" t="s">
        <v>18</v>
      </c>
      <c r="E17" s="114">
        <f>E9/E8</f>
        <v>1188.6997598437863</v>
      </c>
      <c r="G17" s="152">
        <f>G16/E8</f>
        <v>128.4563079938851</v>
      </c>
      <c r="I17" s="152">
        <f>I16/E8</f>
        <v>128.45630799388513</v>
      </c>
      <c r="M17" s="152">
        <f>M16/E8</f>
        <v>133.00481147999574</v>
      </c>
      <c r="N17" s="152">
        <f>M17-I17</f>
        <v>4.5485034861106044</v>
      </c>
      <c r="O17" s="131">
        <f>N17/I17</f>
        <v>3.5408953885916798E-2</v>
      </c>
    </row>
    <row r="18" spans="1:22" ht="13.8" thickBot="1" x14ac:dyDescent="0.3">
      <c r="A18" s="33">
        <f t="shared" si="1"/>
        <v>12</v>
      </c>
    </row>
    <row r="19" spans="1:22" x14ac:dyDescent="0.25">
      <c r="A19" s="33">
        <f t="shared" si="1"/>
        <v>13</v>
      </c>
      <c r="B19" s="24" t="s">
        <v>92</v>
      </c>
      <c r="C19" s="25">
        <v>2</v>
      </c>
      <c r="D19" s="24"/>
      <c r="E19" s="126"/>
      <c r="F19" s="126"/>
      <c r="G19" s="126"/>
      <c r="H19" s="126"/>
      <c r="I19" s="126"/>
      <c r="J19" s="126"/>
      <c r="K19" s="127"/>
      <c r="L19" s="126"/>
      <c r="M19" s="126"/>
      <c r="N19" s="126"/>
      <c r="O19" s="126"/>
      <c r="P19" s="126"/>
      <c r="Q19" s="126"/>
      <c r="R19" s="126"/>
    </row>
    <row r="20" spans="1:22" x14ac:dyDescent="0.25">
      <c r="A20" s="33">
        <f t="shared" si="1"/>
        <v>14</v>
      </c>
      <c r="C20" s="2"/>
      <c r="D20" s="2" t="s">
        <v>17</v>
      </c>
      <c r="E20" s="128">
        <v>20554</v>
      </c>
      <c r="F20" s="114">
        <v>23</v>
      </c>
      <c r="G20" s="130">
        <f>F20*E20</f>
        <v>472742</v>
      </c>
      <c r="H20" s="114">
        <v>23</v>
      </c>
      <c r="I20" s="130">
        <f>H20*E20</f>
        <v>472742</v>
      </c>
      <c r="J20" s="131">
        <f>I20/I22</f>
        <v>0.16345668044898118</v>
      </c>
      <c r="K20" s="132"/>
      <c r="L20" s="114">
        <f>ROUND(H20*S22,2)</f>
        <v>23.88</v>
      </c>
      <c r="M20" s="130">
        <f>L20*E20</f>
        <v>490829.51999999996</v>
      </c>
      <c r="N20" s="130">
        <f>M20-I20</f>
        <v>18087.51999999996</v>
      </c>
      <c r="O20" s="131">
        <f>IF(I20=0,0,N20/I20)</f>
        <v>3.8260869565217306E-2</v>
      </c>
      <c r="P20" s="131">
        <f>M20/M$22</f>
        <v>0.16346004879590781</v>
      </c>
      <c r="Q20" s="133">
        <f>P20-J20</f>
        <v>3.368346926629906E-6</v>
      </c>
      <c r="R20" s="133"/>
      <c r="V20" s="70" t="s">
        <v>57</v>
      </c>
    </row>
    <row r="21" spans="1:22" x14ac:dyDescent="0.25">
      <c r="A21" s="33">
        <f t="shared" si="1"/>
        <v>15</v>
      </c>
      <c r="D21" s="2" t="s">
        <v>54</v>
      </c>
      <c r="E21" s="128">
        <v>27474593</v>
      </c>
      <c r="F21" s="135">
        <f>H21+0.00158</f>
        <v>8.9639999999999997E-2</v>
      </c>
      <c r="G21" s="130">
        <f t="shared" ref="G21" si="9">F21*E21</f>
        <v>2462822.5165200001</v>
      </c>
      <c r="H21" s="135">
        <v>8.8059999999999999E-2</v>
      </c>
      <c r="I21" s="130">
        <f t="shared" ref="I21" si="10">H21*E21</f>
        <v>2419412.6595800002</v>
      </c>
      <c r="J21" s="131">
        <f>I21/I22</f>
        <v>0.83654331955101879</v>
      </c>
      <c r="K21" s="132"/>
      <c r="L21" s="135">
        <f>ROUND(H21*S22,6)</f>
        <v>9.1426999999999994E-2</v>
      </c>
      <c r="M21" s="130">
        <f t="shared" ref="M21" si="11">L21*E21</f>
        <v>2511919.614211</v>
      </c>
      <c r="N21" s="130">
        <f t="shared" ref="N21" si="12">M21-I21</f>
        <v>92506.954630999826</v>
      </c>
      <c r="O21" s="131">
        <f t="shared" ref="O21" si="13">IF(I21=0,0,N21/I21)</f>
        <v>3.8235294117646985E-2</v>
      </c>
      <c r="P21" s="131">
        <f>M21/M$22</f>
        <v>0.83653995120409219</v>
      </c>
      <c r="Q21" s="133">
        <f t="shared" ref="Q21" si="14">P21-J21</f>
        <v>-3.3683469266021504E-6</v>
      </c>
      <c r="R21" s="133"/>
      <c r="T21" s="5">
        <f>L21/H21-1</f>
        <v>3.8235294117646923E-2</v>
      </c>
      <c r="V21" s="70" t="s">
        <v>57</v>
      </c>
    </row>
    <row r="22" spans="1:22" s="6" customFormat="1" ht="20.399999999999999" customHeight="1" x14ac:dyDescent="0.3">
      <c r="A22" s="33">
        <f t="shared" si="1"/>
        <v>16</v>
      </c>
      <c r="C22" s="16"/>
      <c r="D22" s="18" t="s">
        <v>6</v>
      </c>
      <c r="E22" s="136"/>
      <c r="F22" s="136"/>
      <c r="G22" s="19">
        <f>SUM(G20:G21)</f>
        <v>2935564.5165200001</v>
      </c>
      <c r="H22" s="136"/>
      <c r="I22" s="137">
        <f>SUM(I20:I21)</f>
        <v>2892154.6595800002</v>
      </c>
      <c r="J22" s="138">
        <f>SUM(J20:J21)</f>
        <v>1</v>
      </c>
      <c r="K22" s="139">
        <f>I22+Summary!I11</f>
        <v>3002737.5195800001</v>
      </c>
      <c r="L22" s="136"/>
      <c r="M22" s="19">
        <f>SUM(M20:M21)</f>
        <v>3002749.1342110001</v>
      </c>
      <c r="N22" s="19">
        <f>SUM(N20:N21)</f>
        <v>110594.47463099979</v>
      </c>
      <c r="O22" s="138">
        <f t="shared" ref="O22" si="15">N22/I22</f>
        <v>3.8239474595407823E-2</v>
      </c>
      <c r="P22" s="138">
        <f>SUM(P20:P21)</f>
        <v>1</v>
      </c>
      <c r="Q22" s="140">
        <f t="shared" ref="Q22" si="16">P22-J22</f>
        <v>0</v>
      </c>
      <c r="R22" s="141">
        <f>M22-K22</f>
        <v>11.614630999974906</v>
      </c>
      <c r="S22" s="6">
        <f>K22/I22</f>
        <v>1.0382354586860367</v>
      </c>
    </row>
    <row r="23" spans="1:22" x14ac:dyDescent="0.25">
      <c r="A23" s="33">
        <f t="shared" si="1"/>
        <v>17</v>
      </c>
      <c r="D23" s="2" t="s">
        <v>29</v>
      </c>
      <c r="G23" s="130">
        <v>-120364.98000000001</v>
      </c>
      <c r="I23" s="28">
        <f>G23+(0.00158*(E21))</f>
        <v>-76955.123060000013</v>
      </c>
      <c r="M23" s="130">
        <f>I23</f>
        <v>-76955.123060000013</v>
      </c>
      <c r="N23" s="130">
        <f t="shared" ref="N23:N29" si="17">M23-I23</f>
        <v>0</v>
      </c>
      <c r="O23" s="114">
        <v>0</v>
      </c>
    </row>
    <row r="24" spans="1:22" x14ac:dyDescent="0.25">
      <c r="A24" s="33">
        <f t="shared" si="1"/>
        <v>18</v>
      </c>
      <c r="D24" s="2" t="s">
        <v>30</v>
      </c>
      <c r="G24" s="130">
        <v>308240.08</v>
      </c>
      <c r="I24" s="28">
        <f t="shared" ref="I24:I26" si="18">G24</f>
        <v>308240.08</v>
      </c>
      <c r="M24" s="130">
        <f t="shared" ref="M24:M26" si="19">I24</f>
        <v>308240.08</v>
      </c>
      <c r="N24" s="130">
        <f t="shared" si="17"/>
        <v>0</v>
      </c>
      <c r="O24" s="114">
        <v>0</v>
      </c>
    </row>
    <row r="25" spans="1:22" x14ac:dyDescent="0.25">
      <c r="A25" s="33">
        <f t="shared" si="1"/>
        <v>19</v>
      </c>
      <c r="D25" s="2" t="s">
        <v>32</v>
      </c>
      <c r="G25" s="130">
        <v>0</v>
      </c>
      <c r="I25" s="28">
        <f t="shared" si="18"/>
        <v>0</v>
      </c>
      <c r="M25" s="130">
        <f t="shared" si="19"/>
        <v>0</v>
      </c>
      <c r="N25" s="130">
        <f t="shared" si="17"/>
        <v>0</v>
      </c>
      <c r="O25" s="114">
        <v>0</v>
      </c>
    </row>
    <row r="26" spans="1:22" x14ac:dyDescent="0.25">
      <c r="A26" s="33">
        <f t="shared" si="1"/>
        <v>20</v>
      </c>
      <c r="D26" s="2" t="s">
        <v>42</v>
      </c>
      <c r="G26" s="130">
        <v>0</v>
      </c>
      <c r="I26" s="28">
        <f t="shared" si="18"/>
        <v>0</v>
      </c>
      <c r="M26" s="130">
        <f t="shared" si="19"/>
        <v>0</v>
      </c>
      <c r="N26" s="130"/>
      <c r="O26" s="114"/>
    </row>
    <row r="27" spans="1:22" x14ac:dyDescent="0.25">
      <c r="A27" s="33">
        <f t="shared" si="1"/>
        <v>21</v>
      </c>
      <c r="D27" s="14" t="s">
        <v>8</v>
      </c>
      <c r="E27" s="143"/>
      <c r="F27" s="143"/>
      <c r="G27" s="144">
        <f>SUM(G23:G26)</f>
        <v>187875.1</v>
      </c>
      <c r="H27" s="143"/>
      <c r="I27" s="144">
        <f>SUM(I23:I26)</f>
        <v>231284.95694</v>
      </c>
      <c r="J27" s="143"/>
      <c r="K27" s="145"/>
      <c r="L27" s="143"/>
      <c r="M27" s="144">
        <f>SUM(M23:M26)</f>
        <v>231284.95694</v>
      </c>
      <c r="N27" s="144">
        <f t="shared" si="17"/>
        <v>0</v>
      </c>
      <c r="O27" s="146">
        <f t="shared" ref="O27" si="20">N27-J27</f>
        <v>0</v>
      </c>
    </row>
    <row r="28" spans="1:22" s="6" customFormat="1" ht="26.4" customHeight="1" thickBot="1" x14ac:dyDescent="0.3">
      <c r="A28" s="33">
        <f t="shared" si="1"/>
        <v>22</v>
      </c>
      <c r="C28" s="16"/>
      <c r="D28" s="7" t="s">
        <v>19</v>
      </c>
      <c r="E28" s="147"/>
      <c r="F28" s="147"/>
      <c r="G28" s="148">
        <f>G22+G27</f>
        <v>3123439.6165200002</v>
      </c>
      <c r="H28" s="147"/>
      <c r="I28" s="149">
        <f>I27+I22</f>
        <v>3123439.6165200002</v>
      </c>
      <c r="J28" s="147"/>
      <c r="K28" s="150"/>
      <c r="L28" s="147"/>
      <c r="M28" s="148">
        <f>M27+M22</f>
        <v>3234034.091151</v>
      </c>
      <c r="N28" s="148">
        <f t="shared" si="17"/>
        <v>110594.47463099984</v>
      </c>
      <c r="O28" s="151">
        <f>N28/I28</f>
        <v>3.5407911856551073E-2</v>
      </c>
      <c r="P28" s="90"/>
      <c r="Q28" s="90"/>
      <c r="R28" s="90"/>
    </row>
    <row r="29" spans="1:22" ht="13.8" thickTop="1" x14ac:dyDescent="0.25">
      <c r="A29" s="33">
        <f t="shared" si="1"/>
        <v>23</v>
      </c>
      <c r="D29" s="2" t="s">
        <v>18</v>
      </c>
      <c r="E29" s="114">
        <f>E21/E20</f>
        <v>1336.7029775226233</v>
      </c>
      <c r="G29" s="152">
        <f>G28/E20</f>
        <v>151.9626163530213</v>
      </c>
      <c r="I29" s="152">
        <f>I28/E20</f>
        <v>151.9626163530213</v>
      </c>
      <c r="M29" s="152">
        <f>M28/E20</f>
        <v>157.34329527833998</v>
      </c>
      <c r="N29" s="152">
        <f t="shared" si="17"/>
        <v>5.3806789253186764</v>
      </c>
      <c r="O29" s="131">
        <f>N29/I29</f>
        <v>3.540791185655115E-2</v>
      </c>
    </row>
    <row r="30" spans="1:22" ht="13.8" thickBot="1" x14ac:dyDescent="0.3">
      <c r="A30" s="33">
        <f t="shared" si="1"/>
        <v>24</v>
      </c>
    </row>
    <row r="31" spans="1:22" x14ac:dyDescent="0.25">
      <c r="A31" s="33">
        <f t="shared" si="1"/>
        <v>25</v>
      </c>
      <c r="B31" s="24" t="s">
        <v>93</v>
      </c>
      <c r="C31" s="25">
        <v>3</v>
      </c>
      <c r="D31" s="24"/>
      <c r="E31" s="126"/>
      <c r="F31" s="126"/>
      <c r="G31" s="126"/>
      <c r="H31" s="126"/>
      <c r="I31" s="126"/>
      <c r="J31" s="126"/>
      <c r="K31" s="127"/>
      <c r="L31" s="126"/>
      <c r="M31" s="126"/>
      <c r="N31" s="126"/>
      <c r="O31" s="126"/>
      <c r="P31" s="126"/>
      <c r="Q31" s="126"/>
      <c r="R31" s="126"/>
    </row>
    <row r="32" spans="1:22" x14ac:dyDescent="0.25">
      <c r="A32" s="33">
        <f t="shared" si="1"/>
        <v>26</v>
      </c>
      <c r="C32" s="2"/>
      <c r="D32" s="2" t="s">
        <v>17</v>
      </c>
      <c r="E32" s="128">
        <v>2010</v>
      </c>
      <c r="F32" s="114">
        <v>35</v>
      </c>
      <c r="G32" s="130">
        <f>F32*E32</f>
        <v>70350</v>
      </c>
      <c r="H32" s="114">
        <v>35</v>
      </c>
      <c r="I32" s="130">
        <f>H32*E32</f>
        <v>70350</v>
      </c>
      <c r="J32" s="131">
        <f>I32/I35</f>
        <v>3.2245307584176236E-2</v>
      </c>
      <c r="K32" s="132"/>
      <c r="L32" s="114">
        <f>ROUND(H32*S35,2)</f>
        <v>36.340000000000003</v>
      </c>
      <c r="M32" s="130">
        <f>L32*E32</f>
        <v>73043.400000000009</v>
      </c>
      <c r="N32" s="130">
        <f>M32-I32</f>
        <v>2693.4000000000087</v>
      </c>
      <c r="O32" s="131">
        <f>IF(I32=0,0,N32/I32)</f>
        <v>3.8285714285714409E-2</v>
      </c>
      <c r="P32" s="131">
        <f>M32/M$35</f>
        <v>3.2247166436941706E-2</v>
      </c>
      <c r="Q32" s="133">
        <f>P32-J32</f>
        <v>1.8588527654697651E-6</v>
      </c>
      <c r="R32" s="133"/>
      <c r="T32" s="5">
        <f>L32/H32-1</f>
        <v>3.8285714285714478E-2</v>
      </c>
    </row>
    <row r="33" spans="1:20" x14ac:dyDescent="0.25">
      <c r="A33" s="33">
        <f t="shared" si="1"/>
        <v>27</v>
      </c>
      <c r="D33" s="2" t="s">
        <v>56</v>
      </c>
      <c r="E33" s="128">
        <v>77846.523255813969</v>
      </c>
      <c r="F33" s="114">
        <f>H33</f>
        <v>6.02</v>
      </c>
      <c r="G33" s="130">
        <f t="shared" ref="G33" si="21">F33*E33</f>
        <v>468636.07000000007</v>
      </c>
      <c r="H33" s="114">
        <v>6.02</v>
      </c>
      <c r="I33" s="130">
        <f t="shared" ref="I33" si="22">H33*E33</f>
        <v>468636.07000000007</v>
      </c>
      <c r="J33" s="131">
        <f>I33/I35</f>
        <v>0.21480190792024945</v>
      </c>
      <c r="K33" s="132"/>
      <c r="L33" s="114">
        <f>ROUND(H33*S35,2)</f>
        <v>6.25</v>
      </c>
      <c r="M33" s="130">
        <f t="shared" ref="M33" si="23">L33*E33</f>
        <v>486540.77034883731</v>
      </c>
      <c r="N33" s="130">
        <f t="shared" ref="N33" si="24">M33-I33</f>
        <v>17904.700348837243</v>
      </c>
      <c r="O33" s="131">
        <f t="shared" ref="O33" si="25">IF(I33=0,0,N33/I33)</f>
        <v>3.8205980066445253E-2</v>
      </c>
      <c r="P33" s="131">
        <f t="shared" ref="P33:P34" si="26">M33/M$35</f>
        <v>0.21479779418533074</v>
      </c>
      <c r="Q33" s="133">
        <f t="shared" ref="Q33" si="27">P33-J33</f>
        <v>-4.1137349187092553E-6</v>
      </c>
      <c r="R33" s="133"/>
      <c r="T33" s="5">
        <f>L33/H33-1</f>
        <v>3.8205980066445155E-2</v>
      </c>
    </row>
    <row r="34" spans="1:20" x14ac:dyDescent="0.25">
      <c r="A34" s="33">
        <f t="shared" si="1"/>
        <v>28</v>
      </c>
      <c r="D34" s="2" t="s">
        <v>54</v>
      </c>
      <c r="E34" s="128">
        <v>23538139</v>
      </c>
      <c r="F34" s="135">
        <f>H34+0.00158</f>
        <v>7.1370000000000003E-2</v>
      </c>
      <c r="G34" s="130">
        <f t="shared" ref="G34" si="28">F34*E34</f>
        <v>1679916.98043</v>
      </c>
      <c r="H34" s="135">
        <v>6.9790000000000005E-2</v>
      </c>
      <c r="I34" s="130">
        <f t="shared" ref="I34" si="29">H34*E34</f>
        <v>1642726.7208100001</v>
      </c>
      <c r="J34" s="131">
        <f>I34/I35</f>
        <v>0.75295278449557435</v>
      </c>
      <c r="K34" s="132"/>
      <c r="L34" s="135">
        <f>ROUND(H34*S35,6)</f>
        <v>7.2457999999999995E-2</v>
      </c>
      <c r="M34" s="130">
        <f t="shared" ref="M34" si="30">L34*E34</f>
        <v>1705526.4756619998</v>
      </c>
      <c r="N34" s="130">
        <f t="shared" ref="N34:N42" si="31">M34-I34</f>
        <v>62799.754851999693</v>
      </c>
      <c r="O34" s="131">
        <f t="shared" ref="O34" si="32">IF(I34=0,0,N34/I34)</f>
        <v>3.8228972632182071E-2</v>
      </c>
      <c r="P34" s="131">
        <f t="shared" si="26"/>
        <v>0.75295503937772756</v>
      </c>
      <c r="Q34" s="133">
        <f t="shared" ref="Q34:Q35" si="33">P34-J34</f>
        <v>2.2548821532186736E-6</v>
      </c>
      <c r="R34" s="133"/>
      <c r="T34" s="5">
        <f>L34/H34-1</f>
        <v>3.8228972632182057E-2</v>
      </c>
    </row>
    <row r="35" spans="1:20" s="6" customFormat="1" ht="20.399999999999999" customHeight="1" x14ac:dyDescent="0.3">
      <c r="A35" s="33">
        <f t="shared" si="1"/>
        <v>29</v>
      </c>
      <c r="C35" s="16"/>
      <c r="D35" s="18" t="s">
        <v>6</v>
      </c>
      <c r="E35" s="136"/>
      <c r="F35" s="136"/>
      <c r="G35" s="19">
        <f>SUM(G32:G34)</f>
        <v>2218903.0504299998</v>
      </c>
      <c r="H35" s="136"/>
      <c r="I35" s="137">
        <f>SUM(I32:I34)</f>
        <v>2181712.7908100002</v>
      </c>
      <c r="J35" s="138">
        <f>SUM(J32:J34)</f>
        <v>1</v>
      </c>
      <c r="K35" s="139">
        <f>I35+Summary!I12</f>
        <v>2265131.5808100002</v>
      </c>
      <c r="L35" s="136"/>
      <c r="M35" s="19">
        <f>SUM(M32:M34)</f>
        <v>2265110.6460108371</v>
      </c>
      <c r="N35" s="19">
        <f>SUM(N32:N34)</f>
        <v>83397.855200836944</v>
      </c>
      <c r="O35" s="138">
        <f t="shared" ref="O35" si="34">N35/I35</f>
        <v>3.8225863437264807E-2</v>
      </c>
      <c r="P35" s="138">
        <f>SUM(P32:P34)</f>
        <v>1</v>
      </c>
      <c r="Q35" s="140">
        <f t="shared" si="33"/>
        <v>0</v>
      </c>
      <c r="R35" s="141">
        <f>M35-K35</f>
        <v>-20.934799163136631</v>
      </c>
      <c r="S35" s="6">
        <f>K35/I35</f>
        <v>1.0382354590170548</v>
      </c>
    </row>
    <row r="36" spans="1:20" x14ac:dyDescent="0.25">
      <c r="A36" s="33">
        <f t="shared" si="1"/>
        <v>30</v>
      </c>
      <c r="D36" s="2" t="s">
        <v>29</v>
      </c>
      <c r="G36" s="130">
        <v>-103677.54999999999</v>
      </c>
      <c r="I36" s="28">
        <f>G36+(0.00158*(E34))</f>
        <v>-66487.290379999991</v>
      </c>
      <c r="M36" s="130">
        <f>I36</f>
        <v>-66487.290379999991</v>
      </c>
      <c r="N36" s="130">
        <f t="shared" si="31"/>
        <v>0</v>
      </c>
      <c r="O36" s="114">
        <v>0</v>
      </c>
    </row>
    <row r="37" spans="1:20" x14ac:dyDescent="0.25">
      <c r="A37" s="33">
        <f t="shared" si="1"/>
        <v>31</v>
      </c>
      <c r="D37" s="2" t="s">
        <v>30</v>
      </c>
      <c r="G37" s="130">
        <v>225964.89999999997</v>
      </c>
      <c r="I37" s="28">
        <f t="shared" ref="I37:I39" si="35">G37</f>
        <v>225964.89999999997</v>
      </c>
      <c r="M37" s="130">
        <f t="shared" ref="M37:M39" si="36">I37</f>
        <v>225964.89999999997</v>
      </c>
      <c r="N37" s="130">
        <f t="shared" si="31"/>
        <v>0</v>
      </c>
      <c r="O37" s="114">
        <v>0</v>
      </c>
    </row>
    <row r="38" spans="1:20" x14ac:dyDescent="0.25">
      <c r="A38" s="33">
        <f t="shared" si="1"/>
        <v>32</v>
      </c>
      <c r="D38" s="2" t="s">
        <v>32</v>
      </c>
      <c r="G38" s="130">
        <v>0</v>
      </c>
      <c r="I38" s="28">
        <f t="shared" si="35"/>
        <v>0</v>
      </c>
      <c r="M38" s="130">
        <f t="shared" si="36"/>
        <v>0</v>
      </c>
      <c r="N38" s="130">
        <f t="shared" si="31"/>
        <v>0</v>
      </c>
      <c r="O38" s="114">
        <v>0</v>
      </c>
    </row>
    <row r="39" spans="1:20" x14ac:dyDescent="0.25">
      <c r="A39" s="33">
        <f t="shared" si="1"/>
        <v>33</v>
      </c>
      <c r="D39" s="2" t="s">
        <v>42</v>
      </c>
      <c r="G39" s="130">
        <v>0</v>
      </c>
      <c r="I39" s="28">
        <f t="shared" si="35"/>
        <v>0</v>
      </c>
      <c r="M39" s="130">
        <f t="shared" si="36"/>
        <v>0</v>
      </c>
      <c r="N39" s="130"/>
      <c r="O39" s="114"/>
    </row>
    <row r="40" spans="1:20" x14ac:dyDescent="0.25">
      <c r="A40" s="33">
        <f t="shared" si="1"/>
        <v>34</v>
      </c>
      <c r="D40" s="14" t="s">
        <v>8</v>
      </c>
      <c r="E40" s="143"/>
      <c r="F40" s="143"/>
      <c r="G40" s="144">
        <f>SUM(G36:G39)</f>
        <v>122287.34999999998</v>
      </c>
      <c r="H40" s="143"/>
      <c r="I40" s="144">
        <f>SUM(I36:I39)</f>
        <v>159477.60961999997</v>
      </c>
      <c r="J40" s="143"/>
      <c r="K40" s="145"/>
      <c r="L40" s="143"/>
      <c r="M40" s="144">
        <f>SUM(M36:M39)</f>
        <v>159477.60961999997</v>
      </c>
      <c r="N40" s="144">
        <f t="shared" si="31"/>
        <v>0</v>
      </c>
      <c r="O40" s="146">
        <f t="shared" ref="O40" si="37">N40-J40</f>
        <v>0</v>
      </c>
    </row>
    <row r="41" spans="1:20" s="6" customFormat="1" ht="26.4" customHeight="1" thickBot="1" x14ac:dyDescent="0.3">
      <c r="A41" s="33">
        <f t="shared" si="1"/>
        <v>35</v>
      </c>
      <c r="C41" s="16"/>
      <c r="D41" s="7" t="s">
        <v>19</v>
      </c>
      <c r="E41" s="147"/>
      <c r="F41" s="147"/>
      <c r="G41" s="148">
        <f>G35+G40</f>
        <v>2341190.4004299999</v>
      </c>
      <c r="H41" s="147"/>
      <c r="I41" s="149">
        <f>I40+I35</f>
        <v>2341190.4004299999</v>
      </c>
      <c r="J41" s="147"/>
      <c r="K41" s="150"/>
      <c r="L41" s="147"/>
      <c r="M41" s="148">
        <f>M40+M35</f>
        <v>2424588.2556308368</v>
      </c>
      <c r="N41" s="148">
        <f t="shared" si="31"/>
        <v>83397.855200836901</v>
      </c>
      <c r="O41" s="151">
        <f>N41/I41</f>
        <v>3.5621987509225843E-2</v>
      </c>
      <c r="P41" s="90"/>
      <c r="Q41" s="90"/>
      <c r="R41" s="90"/>
    </row>
    <row r="42" spans="1:20" ht="13.8" thickTop="1" x14ac:dyDescent="0.25">
      <c r="A42" s="33">
        <f t="shared" si="1"/>
        <v>36</v>
      </c>
      <c r="D42" s="2" t="s">
        <v>18</v>
      </c>
      <c r="E42" s="114">
        <f>E34/E32</f>
        <v>11710.516915422886</v>
      </c>
      <c r="G42" s="152">
        <f>G41/E32</f>
        <v>1164.7713434975124</v>
      </c>
      <c r="I42" s="152">
        <f>I41/E32</f>
        <v>1164.7713434975124</v>
      </c>
      <c r="M42" s="152">
        <f>M41/E32</f>
        <v>1206.262813746685</v>
      </c>
      <c r="N42" s="152">
        <f t="shared" si="31"/>
        <v>41.491470249172608</v>
      </c>
      <c r="O42" s="131">
        <f>N42/I42</f>
        <v>3.5621987509225857E-2</v>
      </c>
    </row>
    <row r="43" spans="1:20" ht="13.8" thickBot="1" x14ac:dyDescent="0.3">
      <c r="A43" s="33">
        <f t="shared" si="1"/>
        <v>37</v>
      </c>
    </row>
    <row r="44" spans="1:20" x14ac:dyDescent="0.25">
      <c r="A44" s="33">
        <f t="shared" si="1"/>
        <v>38</v>
      </c>
      <c r="B44" s="24" t="s">
        <v>94</v>
      </c>
      <c r="C44" s="25">
        <v>4</v>
      </c>
      <c r="D44" s="24"/>
      <c r="E44" s="126"/>
      <c r="F44" s="126"/>
      <c r="G44" s="126"/>
      <c r="H44" s="126"/>
      <c r="I44" s="126"/>
      <c r="J44" s="126"/>
      <c r="K44" s="127"/>
      <c r="L44" s="126"/>
      <c r="M44" s="126"/>
      <c r="N44" s="126"/>
      <c r="O44" s="126"/>
      <c r="P44" s="126"/>
      <c r="Q44" s="126"/>
      <c r="R44" s="126"/>
    </row>
    <row r="45" spans="1:20" x14ac:dyDescent="0.25">
      <c r="A45" s="33">
        <f t="shared" si="1"/>
        <v>39</v>
      </c>
      <c r="C45" s="2"/>
      <c r="D45" s="2" t="s">
        <v>17</v>
      </c>
      <c r="E45" s="128">
        <v>1361</v>
      </c>
      <c r="F45" s="114">
        <f>H45</f>
        <v>42.5</v>
      </c>
      <c r="G45" s="130">
        <f>F45*E45</f>
        <v>57842.5</v>
      </c>
      <c r="H45" s="114">
        <v>42.5</v>
      </c>
      <c r="I45" s="130">
        <f>H45*E45</f>
        <v>57842.5</v>
      </c>
      <c r="J45" s="131">
        <f>I45/I48</f>
        <v>1.0384389631939252E-2</v>
      </c>
      <c r="K45" s="132"/>
      <c r="L45" s="114">
        <f>ROUND(H45*S48,2)</f>
        <v>44.13</v>
      </c>
      <c r="M45" s="130">
        <f>L45*E45</f>
        <v>60060.93</v>
      </c>
      <c r="N45" s="130">
        <f>M45-I45</f>
        <v>2218.4300000000003</v>
      </c>
      <c r="O45" s="131">
        <f>IF(I45=0,0,N45/I45)</f>
        <v>3.8352941176470597E-2</v>
      </c>
      <c r="P45" s="131">
        <f>M45/M$48</f>
        <v>1.0385312024860576E-2</v>
      </c>
      <c r="Q45" s="133">
        <f>P45-J45</f>
        <v>9.2239292132437201E-7</v>
      </c>
      <c r="R45" s="133"/>
    </row>
    <row r="46" spans="1:20" x14ac:dyDescent="0.25">
      <c r="A46" s="33">
        <f t="shared" si="1"/>
        <v>40</v>
      </c>
      <c r="D46" s="2" t="s">
        <v>54</v>
      </c>
      <c r="E46" s="128">
        <v>72116295</v>
      </c>
      <c r="F46" s="135">
        <f>H46+0.00158</f>
        <v>6.2660000000000007E-2</v>
      </c>
      <c r="G46" s="130">
        <f t="shared" ref="G46" si="38">F46*E46</f>
        <v>4518807.0447000004</v>
      </c>
      <c r="H46" s="135">
        <v>6.1080000000000002E-2</v>
      </c>
      <c r="I46" s="130">
        <f t="shared" ref="I46" si="39">H46*E46</f>
        <v>4404863.2986000003</v>
      </c>
      <c r="J46" s="131">
        <f>I46/I48</f>
        <v>0.79079944276425773</v>
      </c>
      <c r="K46" s="132"/>
      <c r="L46" s="153">
        <f>ROUND(H46*S48,6)</f>
        <v>6.3414999999999999E-2</v>
      </c>
      <c r="M46" s="130">
        <f t="shared" ref="M46" si="40">L46*E46</f>
        <v>4573254.8474249998</v>
      </c>
      <c r="N46" s="130">
        <f t="shared" ref="N46" si="41">M46-I46</f>
        <v>168391.54882499948</v>
      </c>
      <c r="O46" s="131">
        <f t="shared" ref="O46" si="42">IF(I46=0,0,N46/I46)</f>
        <v>3.8228552717747097E-2</v>
      </c>
      <c r="P46" s="131">
        <f t="shared" ref="P46:P47" si="43">M46/M$48</f>
        <v>0.79077494403957393</v>
      </c>
      <c r="Q46" s="133">
        <f t="shared" ref="Q46" si="44">P46-J46</f>
        <v>-2.449872468379688E-5</v>
      </c>
      <c r="R46" s="133"/>
      <c r="T46" s="5">
        <f>L46/H46-1</f>
        <v>3.8228552717747055E-2</v>
      </c>
    </row>
    <row r="47" spans="1:20" x14ac:dyDescent="0.25">
      <c r="A47" s="33">
        <f t="shared" si="1"/>
        <v>41</v>
      </c>
      <c r="D47" s="2" t="s">
        <v>55</v>
      </c>
      <c r="E47" s="128">
        <v>223724.00202020202</v>
      </c>
      <c r="F47" s="114">
        <v>4.95</v>
      </c>
      <c r="G47" s="130">
        <f t="shared" ref="G47" si="45">F47*E47</f>
        <v>1107433.81</v>
      </c>
      <c r="H47" s="114">
        <v>4.95</v>
      </c>
      <c r="I47" s="130">
        <f t="shared" ref="I47" si="46">H47*E47</f>
        <v>1107433.81</v>
      </c>
      <c r="J47" s="131">
        <f>I47/I48</f>
        <v>0.19881616760380316</v>
      </c>
      <c r="K47" s="132"/>
      <c r="L47" s="114">
        <f>ROUND(H47*S48,2)</f>
        <v>5.14</v>
      </c>
      <c r="M47" s="130">
        <f t="shared" ref="M47" si="47">L47*E47</f>
        <v>1149941.3703838384</v>
      </c>
      <c r="N47" s="130">
        <f t="shared" ref="N47:N55" si="48">M47-I47</f>
        <v>42507.560383838369</v>
      </c>
      <c r="O47" s="131">
        <f t="shared" ref="O47" si="49">IF(I47=0,0,N47/I47)</f>
        <v>3.8383838383838367E-2</v>
      </c>
      <c r="P47" s="131">
        <f t="shared" si="43"/>
        <v>0.19883974393556555</v>
      </c>
      <c r="Q47" s="133">
        <f t="shared" ref="Q47:Q48" si="50">P47-J47</f>
        <v>2.357633176239271E-5</v>
      </c>
      <c r="R47" s="133"/>
      <c r="T47" s="5">
        <f>L47/H47-1</f>
        <v>3.8383838383838187E-2</v>
      </c>
    </row>
    <row r="48" spans="1:20" s="6" customFormat="1" ht="20.399999999999999" customHeight="1" x14ac:dyDescent="0.3">
      <c r="A48" s="33">
        <f t="shared" si="1"/>
        <v>42</v>
      </c>
      <c r="C48" s="16"/>
      <c r="D48" s="18" t="s">
        <v>6</v>
      </c>
      <c r="E48" s="136"/>
      <c r="F48" s="136"/>
      <c r="G48" s="19">
        <f>SUM(G45:G47)</f>
        <v>5684083.354700001</v>
      </c>
      <c r="H48" s="136"/>
      <c r="I48" s="137">
        <f>SUM(I45:I47)</f>
        <v>5570139.6085999999</v>
      </c>
      <c r="J48" s="138">
        <f>SUM(J45:J47)</f>
        <v>1</v>
      </c>
      <c r="K48" s="139">
        <f>I48+Summary!I13</f>
        <v>5783116.4485999998</v>
      </c>
      <c r="L48" s="136"/>
      <c r="M48" s="19">
        <f>SUM(M45:M47)</f>
        <v>5783257.1478088377</v>
      </c>
      <c r="N48" s="19">
        <f>SUM(N45:N47)</f>
        <v>213117.53920883784</v>
      </c>
      <c r="O48" s="138">
        <f t="shared" ref="O48" si="51">N48/I48</f>
        <v>3.826071771698427E-2</v>
      </c>
      <c r="P48" s="138">
        <f>SUM(P45:P47)</f>
        <v>1</v>
      </c>
      <c r="Q48" s="140">
        <f t="shared" si="50"/>
        <v>0</v>
      </c>
      <c r="R48" s="141">
        <f>M48-K48</f>
        <v>140.69920883793384</v>
      </c>
      <c r="S48" s="6">
        <f>K48/I48</f>
        <v>1.0382354581689792</v>
      </c>
    </row>
    <row r="49" spans="1:20" x14ac:dyDescent="0.25">
      <c r="A49" s="33">
        <f t="shared" si="1"/>
        <v>43</v>
      </c>
      <c r="D49" s="2" t="s">
        <v>29</v>
      </c>
      <c r="G49" s="130">
        <v>-316892.73000000004</v>
      </c>
      <c r="I49" s="28">
        <f>G49+(0.00158*E46)</f>
        <v>-202948.98390000005</v>
      </c>
      <c r="M49" s="130">
        <f>I49</f>
        <v>-202948.98390000005</v>
      </c>
      <c r="N49" s="130">
        <f t="shared" si="48"/>
        <v>0</v>
      </c>
      <c r="O49" s="114">
        <v>0</v>
      </c>
    </row>
    <row r="50" spans="1:20" x14ac:dyDescent="0.25">
      <c r="A50" s="33">
        <f t="shared" si="1"/>
        <v>44</v>
      </c>
      <c r="D50" s="2" t="s">
        <v>30</v>
      </c>
      <c r="G50" s="130">
        <v>590914.3600000001</v>
      </c>
      <c r="I50" s="28">
        <f t="shared" ref="I50:I52" si="52">G50</f>
        <v>590914.3600000001</v>
      </c>
      <c r="M50" s="130">
        <f t="shared" ref="M50:M52" si="53">I50</f>
        <v>590914.3600000001</v>
      </c>
      <c r="N50" s="130">
        <f t="shared" si="48"/>
        <v>0</v>
      </c>
      <c r="O50" s="114">
        <v>0</v>
      </c>
    </row>
    <row r="51" spans="1:20" x14ac:dyDescent="0.25">
      <c r="A51" s="33">
        <f t="shared" si="1"/>
        <v>45</v>
      </c>
      <c r="D51" s="2" t="s">
        <v>32</v>
      </c>
      <c r="G51" s="130">
        <v>0</v>
      </c>
      <c r="I51" s="28">
        <f t="shared" si="52"/>
        <v>0</v>
      </c>
      <c r="M51" s="130">
        <f t="shared" si="53"/>
        <v>0</v>
      </c>
      <c r="N51" s="130">
        <f t="shared" si="48"/>
        <v>0</v>
      </c>
      <c r="O51" s="114">
        <v>0</v>
      </c>
    </row>
    <row r="52" spans="1:20" x14ac:dyDescent="0.25">
      <c r="A52" s="33">
        <f t="shared" si="1"/>
        <v>46</v>
      </c>
      <c r="D52" s="2" t="s">
        <v>42</v>
      </c>
      <c r="G52" s="130">
        <v>0</v>
      </c>
      <c r="I52" s="28">
        <f t="shared" si="52"/>
        <v>0</v>
      </c>
      <c r="M52" s="130">
        <f t="shared" si="53"/>
        <v>0</v>
      </c>
      <c r="N52" s="130"/>
      <c r="O52" s="114"/>
    </row>
    <row r="53" spans="1:20" x14ac:dyDescent="0.25">
      <c r="A53" s="33">
        <f t="shared" si="1"/>
        <v>47</v>
      </c>
      <c r="D53" s="14" t="s">
        <v>8</v>
      </c>
      <c r="E53" s="143"/>
      <c r="F53" s="143"/>
      <c r="G53" s="144">
        <f>SUM(G49:G52)</f>
        <v>274021.63000000006</v>
      </c>
      <c r="H53" s="143"/>
      <c r="I53" s="144">
        <f>SUM(I49:I52)</f>
        <v>387965.37610000005</v>
      </c>
      <c r="J53" s="143"/>
      <c r="K53" s="145"/>
      <c r="L53" s="143"/>
      <c r="M53" s="144">
        <f>SUM(M49:M52)</f>
        <v>387965.37610000005</v>
      </c>
      <c r="N53" s="144">
        <f t="shared" si="48"/>
        <v>0</v>
      </c>
      <c r="O53" s="146">
        <f t="shared" ref="O53" si="54">N53-J53</f>
        <v>0</v>
      </c>
    </row>
    <row r="54" spans="1:20" s="6" customFormat="1" ht="26.4" customHeight="1" thickBot="1" x14ac:dyDescent="0.3">
      <c r="A54" s="33">
        <f t="shared" si="1"/>
        <v>48</v>
      </c>
      <c r="C54" s="16"/>
      <c r="D54" s="7" t="s">
        <v>19</v>
      </c>
      <c r="E54" s="147"/>
      <c r="F54" s="147"/>
      <c r="G54" s="148">
        <f>G48+G53</f>
        <v>5958104.9847000008</v>
      </c>
      <c r="H54" s="147"/>
      <c r="I54" s="149">
        <f>I53+I48</f>
        <v>5958104.9846999999</v>
      </c>
      <c r="J54" s="147"/>
      <c r="K54" s="150"/>
      <c r="L54" s="147"/>
      <c r="M54" s="148">
        <f>M53+M48</f>
        <v>6171222.5239088377</v>
      </c>
      <c r="N54" s="148">
        <f t="shared" si="48"/>
        <v>213117.53920883778</v>
      </c>
      <c r="O54" s="151">
        <f>N54/I54</f>
        <v>3.5769349441829044E-2</v>
      </c>
      <c r="P54" s="90"/>
      <c r="Q54" s="90"/>
      <c r="R54" s="90"/>
    </row>
    <row r="55" spans="1:20" ht="13.8" thickTop="1" x14ac:dyDescent="0.25">
      <c r="A55" s="33">
        <f t="shared" si="1"/>
        <v>49</v>
      </c>
      <c r="D55" s="2" t="s">
        <v>18</v>
      </c>
      <c r="E55" s="114">
        <f>E46/E45</f>
        <v>52987.72593681117</v>
      </c>
      <c r="G55" s="152">
        <f>G54/E45</f>
        <v>4377.7406206465839</v>
      </c>
      <c r="I55" s="152">
        <f>I54/E45</f>
        <v>4377.740620646583</v>
      </c>
      <c r="M55" s="152">
        <f>M54/E45</f>
        <v>4534.3295546721802</v>
      </c>
      <c r="N55" s="152">
        <f t="shared" si="48"/>
        <v>156.58893402559715</v>
      </c>
      <c r="O55" s="131">
        <f>N55/I55</f>
        <v>3.5769349441829038E-2</v>
      </c>
    </row>
    <row r="56" spans="1:20" ht="13.8" thickBot="1" x14ac:dyDescent="0.3">
      <c r="A56" s="33">
        <f t="shared" si="1"/>
        <v>50</v>
      </c>
    </row>
    <row r="57" spans="1:20" x14ac:dyDescent="0.25">
      <c r="A57" s="33">
        <f t="shared" si="1"/>
        <v>51</v>
      </c>
      <c r="B57" s="24" t="s">
        <v>94</v>
      </c>
      <c r="C57" s="25">
        <v>9</v>
      </c>
      <c r="D57" s="24"/>
      <c r="E57" s="126"/>
      <c r="F57" s="127"/>
      <c r="G57" s="127"/>
      <c r="H57" s="126"/>
      <c r="I57" s="126"/>
      <c r="J57" s="126"/>
      <c r="K57" s="127"/>
      <c r="L57" s="126"/>
      <c r="M57" s="126"/>
      <c r="N57" s="126"/>
      <c r="O57" s="126"/>
      <c r="P57" s="126"/>
      <c r="Q57" s="126"/>
      <c r="R57" s="126"/>
    </row>
    <row r="58" spans="1:20" x14ac:dyDescent="0.25">
      <c r="A58" s="33">
        <f t="shared" si="1"/>
        <v>52</v>
      </c>
      <c r="C58" s="2"/>
      <c r="D58" s="2" t="s">
        <v>17</v>
      </c>
      <c r="E58" s="128">
        <v>12</v>
      </c>
      <c r="F58" s="164"/>
      <c r="G58" s="165">
        <v>10982.879999999997</v>
      </c>
      <c r="H58" s="114">
        <v>610.48</v>
      </c>
      <c r="I58" s="130">
        <f>H58*E58</f>
        <v>7325.76</v>
      </c>
      <c r="J58" s="131">
        <f>I58/I62</f>
        <v>7.4824562947850099E-3</v>
      </c>
      <c r="K58" s="132"/>
      <c r="L58" s="114">
        <f>ROUND(H58*S62,2)</f>
        <v>633.82000000000005</v>
      </c>
      <c r="M58" s="130">
        <f>L58*E58</f>
        <v>7605.84</v>
      </c>
      <c r="N58" s="130">
        <f>M58-I58</f>
        <v>280.07999999999993</v>
      </c>
      <c r="O58" s="131">
        <f>IF(I58=0,0,N58/I58)</f>
        <v>3.8232210719433876E-2</v>
      </c>
      <c r="P58" s="131">
        <f>M58/M$62</f>
        <v>7.4834607017510426E-3</v>
      </c>
      <c r="Q58" s="133">
        <f>P58-J58</f>
        <v>1.0044069660326838E-6</v>
      </c>
      <c r="R58" s="133"/>
      <c r="T58" s="5">
        <f>L58/H58-1</f>
        <v>3.8232210719433946E-2</v>
      </c>
    </row>
    <row r="59" spans="1:20" x14ac:dyDescent="0.25">
      <c r="A59" s="33">
        <f t="shared" si="1"/>
        <v>53</v>
      </c>
      <c r="B59" s="113" t="s">
        <v>122</v>
      </c>
      <c r="D59" s="2" t="s">
        <v>95</v>
      </c>
      <c r="E59" s="154">
        <v>30000</v>
      </c>
      <c r="F59" s="129"/>
      <c r="G59" s="165">
        <v>380920</v>
      </c>
      <c r="H59" s="114">
        <v>6.14</v>
      </c>
      <c r="I59" s="130">
        <f t="shared" ref="I59" si="55">H59*E59</f>
        <v>184200</v>
      </c>
      <c r="J59" s="131">
        <f>I59/I61</f>
        <v>0.2338951345137166</v>
      </c>
      <c r="K59" s="132"/>
      <c r="L59" s="114">
        <f>ROUND(H59*S62,2)</f>
        <v>6.37</v>
      </c>
      <c r="M59" s="130">
        <f t="shared" ref="M59" si="56">L59*E59</f>
        <v>191100</v>
      </c>
      <c r="N59" s="130">
        <f t="shared" ref="N59" si="57">M59-I59</f>
        <v>6900</v>
      </c>
      <c r="O59" s="131">
        <f t="shared" ref="O59" si="58">IF(I59=0,0,N59/I59)</f>
        <v>3.7459283387622153E-2</v>
      </c>
      <c r="P59" s="131">
        <f t="shared" ref="P59" si="59">M59/M$62</f>
        <v>0.18802516751662199</v>
      </c>
      <c r="Q59" s="133">
        <f t="shared" ref="Q59" si="60">P59-J59</f>
        <v>-4.5869966997094613E-2</v>
      </c>
      <c r="R59" s="133"/>
      <c r="T59" s="5">
        <f>L59/H59-1</f>
        <v>3.7459283387622166E-2</v>
      </c>
    </row>
    <row r="60" spans="1:20" x14ac:dyDescent="0.25">
      <c r="A60" s="33">
        <f t="shared" si="1"/>
        <v>54</v>
      </c>
      <c r="B60" s="111" t="s">
        <v>120</v>
      </c>
      <c r="D60" s="2" t="s">
        <v>96</v>
      </c>
      <c r="E60" s="154">
        <v>0</v>
      </c>
      <c r="F60" s="129"/>
      <c r="G60" s="165">
        <f t="shared" ref="G60" si="61">F60*E60</f>
        <v>0</v>
      </c>
      <c r="H60" s="114">
        <v>8.93</v>
      </c>
      <c r="I60" s="130">
        <f t="shared" ref="I60" si="62">H60*E60</f>
        <v>0</v>
      </c>
      <c r="J60" s="131">
        <f>I60/I62</f>
        <v>0</v>
      </c>
      <c r="K60" s="132"/>
      <c r="L60" s="114">
        <f>ROUND(H60*S62,2)</f>
        <v>9.27</v>
      </c>
      <c r="M60" s="130">
        <f t="shared" ref="M60" si="63">L60*E60</f>
        <v>0</v>
      </c>
      <c r="N60" s="130">
        <f t="shared" ref="N60" si="64">M60-I60</f>
        <v>0</v>
      </c>
      <c r="O60" s="131">
        <f t="shared" ref="O60" si="65">IF(I60=0,0,N60/I60)</f>
        <v>0</v>
      </c>
      <c r="P60" s="131">
        <f t="shared" ref="P60:P61" si="66">M60/M$62</f>
        <v>0</v>
      </c>
      <c r="Q60" s="133">
        <f t="shared" ref="Q60" si="67">P60-J60</f>
        <v>0</v>
      </c>
      <c r="R60" s="133"/>
      <c r="T60" s="5">
        <f>L60/H60-1</f>
        <v>3.8073908174692139E-2</v>
      </c>
    </row>
    <row r="61" spans="1:20" x14ac:dyDescent="0.25">
      <c r="A61" s="33">
        <f t="shared" si="1"/>
        <v>55</v>
      </c>
      <c r="B61" s="112" t="s">
        <v>121</v>
      </c>
      <c r="D61" s="2" t="s">
        <v>54</v>
      </c>
      <c r="E61" s="128">
        <v>14938020</v>
      </c>
      <c r="F61" s="156"/>
      <c r="G61" s="165">
        <v>1469183.7000000002</v>
      </c>
      <c r="H61" s="135">
        <v>5.2720000000000003E-2</v>
      </c>
      <c r="I61" s="130">
        <f t="shared" ref="I61" si="68">H61*E61</f>
        <v>787532.41440000001</v>
      </c>
      <c r="J61" s="131">
        <f>I61/I62</f>
        <v>0.80437754874231715</v>
      </c>
      <c r="K61" s="132"/>
      <c r="L61" s="153">
        <f>ROUND(H61*S62,6)</f>
        <v>5.4736E-2</v>
      </c>
      <c r="M61" s="130">
        <f t="shared" ref="M61" si="69">L61*E61</f>
        <v>817647.46271999995</v>
      </c>
      <c r="N61" s="130">
        <f t="shared" ref="N61:N69" si="70">M61-I61</f>
        <v>30115.048319999943</v>
      </c>
      <c r="O61" s="131">
        <f t="shared" ref="O61" si="71">IF(I61=0,0,N61/I61)</f>
        <v>3.8239757207890669E-2</v>
      </c>
      <c r="P61" s="131">
        <f t="shared" si="66"/>
        <v>0.804491371781627</v>
      </c>
      <c r="Q61" s="133">
        <f t="shared" ref="Q61:Q62" si="72">P61-J61</f>
        <v>1.1382303930984605E-4</v>
      </c>
      <c r="R61" s="133"/>
      <c r="T61" s="5">
        <f>L61/H61-1</f>
        <v>3.8239757207890746E-2</v>
      </c>
    </row>
    <row r="62" spans="1:20" s="6" customFormat="1" ht="20.399999999999999" customHeight="1" x14ac:dyDescent="0.3">
      <c r="A62" s="33">
        <f t="shared" si="1"/>
        <v>56</v>
      </c>
      <c r="C62" s="16"/>
      <c r="D62" s="18" t="s">
        <v>6</v>
      </c>
      <c r="E62" s="136"/>
      <c r="F62" s="136"/>
      <c r="G62" s="19">
        <f>SUM(G58:G61)</f>
        <v>1861086.58</v>
      </c>
      <c r="H62" s="136"/>
      <c r="I62" s="137">
        <f>SUM(I58:I61)</f>
        <v>979058.17440000002</v>
      </c>
      <c r="J62" s="138">
        <f>SUM(J58:J61)</f>
        <v>1.0457551395508187</v>
      </c>
      <c r="K62" s="139">
        <f>I62+Summary!I14</f>
        <v>1016492.9144</v>
      </c>
      <c r="L62" s="136"/>
      <c r="M62" s="19">
        <f>SUM(M58:M61)</f>
        <v>1016353.3027199999</v>
      </c>
      <c r="N62" s="19">
        <f>SUM(N58:N61)</f>
        <v>37295.128319999945</v>
      </c>
      <c r="O62" s="138">
        <f t="shared" ref="O62" si="73">N62/I62</f>
        <v>3.8092862401006622E-2</v>
      </c>
      <c r="P62" s="138">
        <f>SUM(P58:P61)</f>
        <v>1</v>
      </c>
      <c r="Q62" s="140">
        <f t="shared" si="72"/>
        <v>-4.5755139550818669E-2</v>
      </c>
      <c r="R62" s="141">
        <f>M62-K62</f>
        <v>-139.61168000008911</v>
      </c>
      <c r="S62" s="6">
        <f>K62/I62</f>
        <v>1.0382354603422226</v>
      </c>
    </row>
    <row r="63" spans="1:20" x14ac:dyDescent="0.25">
      <c r="A63" s="33">
        <f t="shared" si="1"/>
        <v>57</v>
      </c>
      <c r="D63" s="2" t="s">
        <v>29</v>
      </c>
      <c r="G63" s="130">
        <v>-97990.97</v>
      </c>
      <c r="I63" s="28">
        <f>G63+(0.00158*(E61))</f>
        <v>-74388.898400000005</v>
      </c>
      <c r="K63" s="118"/>
      <c r="M63" s="130">
        <f>I63</f>
        <v>-74388.898400000005</v>
      </c>
      <c r="N63" s="130">
        <f t="shared" si="70"/>
        <v>0</v>
      </c>
      <c r="O63" s="114">
        <v>0</v>
      </c>
    </row>
    <row r="64" spans="1:20" x14ac:dyDescent="0.25">
      <c r="A64" s="33">
        <f t="shared" si="1"/>
        <v>58</v>
      </c>
      <c r="D64" s="2" t="s">
        <v>30</v>
      </c>
      <c r="G64" s="130">
        <v>168333.43</v>
      </c>
      <c r="I64" s="28">
        <f t="shared" ref="I64:I66" si="74">G64</f>
        <v>168333.43</v>
      </c>
      <c r="M64" s="130">
        <f t="shared" ref="M64:M66" si="75">I64</f>
        <v>168333.43</v>
      </c>
      <c r="N64" s="130">
        <f t="shared" si="70"/>
        <v>0</v>
      </c>
      <c r="O64" s="114">
        <v>0</v>
      </c>
    </row>
    <row r="65" spans="1:20" x14ac:dyDescent="0.25">
      <c r="A65" s="33">
        <f t="shared" si="1"/>
        <v>59</v>
      </c>
      <c r="D65" s="2" t="s">
        <v>32</v>
      </c>
      <c r="G65" s="130">
        <v>0</v>
      </c>
      <c r="I65" s="28">
        <f t="shared" si="74"/>
        <v>0</v>
      </c>
      <c r="M65" s="130">
        <f t="shared" si="75"/>
        <v>0</v>
      </c>
      <c r="N65" s="130">
        <f t="shared" si="70"/>
        <v>0</v>
      </c>
      <c r="O65" s="114">
        <v>0</v>
      </c>
    </row>
    <row r="66" spans="1:20" x14ac:dyDescent="0.25">
      <c r="A66" s="33">
        <f t="shared" si="1"/>
        <v>60</v>
      </c>
      <c r="D66" s="2" t="s">
        <v>42</v>
      </c>
      <c r="G66" s="130">
        <v>0</v>
      </c>
      <c r="I66" s="28">
        <f t="shared" si="74"/>
        <v>0</v>
      </c>
      <c r="M66" s="130">
        <f t="shared" si="75"/>
        <v>0</v>
      </c>
      <c r="N66" s="130"/>
      <c r="O66" s="114"/>
    </row>
    <row r="67" spans="1:20" x14ac:dyDescent="0.25">
      <c r="A67" s="33">
        <f t="shared" si="1"/>
        <v>61</v>
      </c>
      <c r="D67" s="14" t="s">
        <v>8</v>
      </c>
      <c r="E67" s="143"/>
      <c r="F67" s="143"/>
      <c r="G67" s="144">
        <f>SUM(G63:G66)</f>
        <v>70342.459999999992</v>
      </c>
      <c r="H67" s="143"/>
      <c r="I67" s="144">
        <f>SUM(I63:I66)</f>
        <v>93944.531599999988</v>
      </c>
      <c r="J67" s="143"/>
      <c r="K67" s="145"/>
      <c r="L67" s="143"/>
      <c r="M67" s="144">
        <f>SUM(M63:M66)</f>
        <v>93944.531599999988</v>
      </c>
      <c r="N67" s="144">
        <f t="shared" si="70"/>
        <v>0</v>
      </c>
      <c r="O67" s="146">
        <f t="shared" ref="O67" si="76">N67-J67</f>
        <v>0</v>
      </c>
    </row>
    <row r="68" spans="1:20" s="6" customFormat="1" ht="26.4" customHeight="1" thickBot="1" x14ac:dyDescent="0.3">
      <c r="A68" s="33">
        <f t="shared" si="1"/>
        <v>62</v>
      </c>
      <c r="C68" s="16"/>
      <c r="D68" s="7" t="s">
        <v>19</v>
      </c>
      <c r="E68" s="147"/>
      <c r="F68" s="147"/>
      <c r="G68" s="148">
        <f>G62+G67</f>
        <v>1931429.04</v>
      </c>
      <c r="H68" s="147"/>
      <c r="I68" s="149">
        <f>I67+I62</f>
        <v>1073002.706</v>
      </c>
      <c r="J68" s="147"/>
      <c r="K68" s="150"/>
      <c r="L68" s="147"/>
      <c r="M68" s="148">
        <f>M67+M62</f>
        <v>1110297.8343199999</v>
      </c>
      <c r="N68" s="148">
        <f t="shared" si="70"/>
        <v>37295.128319999902</v>
      </c>
      <c r="O68" s="151">
        <f>N68/I68</f>
        <v>3.4757720657602797E-2</v>
      </c>
      <c r="P68" s="90"/>
      <c r="Q68" s="90"/>
      <c r="R68" s="90"/>
    </row>
    <row r="69" spans="1:20" ht="13.8" thickTop="1" x14ac:dyDescent="0.25">
      <c r="A69" s="33">
        <f t="shared" si="1"/>
        <v>63</v>
      </c>
      <c r="D69" s="2" t="s">
        <v>18</v>
      </c>
      <c r="E69" s="114">
        <f>E61/E58</f>
        <v>1244835</v>
      </c>
      <c r="G69" s="152">
        <f>G68/E58</f>
        <v>160952.42000000001</v>
      </c>
      <c r="I69" s="152">
        <f>I68/E58</f>
        <v>89416.892166666672</v>
      </c>
      <c r="M69" s="152">
        <f>M68/E58</f>
        <v>92524.819526666659</v>
      </c>
      <c r="N69" s="152">
        <f t="shared" si="70"/>
        <v>3107.9273599999869</v>
      </c>
      <c r="O69" s="131">
        <f>N69/I69</f>
        <v>3.4757720657602742E-2</v>
      </c>
    </row>
    <row r="70" spans="1:20" ht="13.8" thickBot="1" x14ac:dyDescent="0.3">
      <c r="A70" s="33">
        <f t="shared" si="1"/>
        <v>64</v>
      </c>
      <c r="B70" s="27"/>
      <c r="C70" s="29"/>
      <c r="D70" s="27"/>
      <c r="E70" s="115"/>
      <c r="F70" s="115"/>
      <c r="G70" s="115"/>
      <c r="H70" s="115"/>
      <c r="I70" s="115"/>
      <c r="J70" s="115"/>
      <c r="L70" s="115"/>
      <c r="M70" s="115"/>
      <c r="N70" s="115"/>
      <c r="O70" s="115"/>
      <c r="P70" s="115"/>
      <c r="Q70" s="115"/>
      <c r="R70" s="115"/>
    </row>
    <row r="71" spans="1:20" x14ac:dyDescent="0.25">
      <c r="A71" s="33">
        <f t="shared" si="1"/>
        <v>65</v>
      </c>
      <c r="B71" s="24" t="s">
        <v>33</v>
      </c>
      <c r="C71" s="25" t="s">
        <v>97</v>
      </c>
      <c r="D71" s="24"/>
      <c r="E71" s="126"/>
      <c r="F71" s="126"/>
      <c r="G71" s="126"/>
      <c r="H71" s="126"/>
      <c r="I71" s="126"/>
      <c r="J71" s="126"/>
      <c r="K71" s="127"/>
      <c r="L71" s="126"/>
      <c r="M71" s="126"/>
      <c r="N71" s="126"/>
      <c r="O71" s="126"/>
      <c r="P71" s="126"/>
      <c r="Q71" s="126"/>
      <c r="R71" s="126"/>
    </row>
    <row r="72" spans="1:20" x14ac:dyDescent="0.25">
      <c r="A72" s="33">
        <f t="shared" si="1"/>
        <v>66</v>
      </c>
      <c r="B72" s="30"/>
      <c r="C72" s="28" t="s">
        <v>60</v>
      </c>
      <c r="E72" s="128">
        <v>32539</v>
      </c>
      <c r="F72" s="114">
        <v>9.75</v>
      </c>
      <c r="G72" s="130">
        <f t="shared" ref="G72" si="77">F72*E72</f>
        <v>317255.25</v>
      </c>
      <c r="H72" s="114">
        <v>9.75</v>
      </c>
      <c r="I72" s="130">
        <f t="shared" ref="I72" si="78">H72*E72</f>
        <v>317255.25</v>
      </c>
      <c r="J72" s="131">
        <f t="shared" ref="J72:J102" si="79">I72/I$103</f>
        <v>0.25810901861269192</v>
      </c>
      <c r="K72" s="132"/>
      <c r="L72" s="114">
        <f t="shared" ref="L72:L102" si="80">ROUND(H72*S$103,2)</f>
        <v>10.119999999999999</v>
      </c>
      <c r="M72" s="130">
        <f t="shared" ref="M72" si="81">L72*E72</f>
        <v>329294.68</v>
      </c>
      <c r="N72" s="130">
        <f t="shared" ref="N72" si="82">M72-I72</f>
        <v>12039.429999999993</v>
      </c>
      <c r="O72" s="131">
        <f t="shared" ref="O72" si="83">IF(I72=0,0,N72/I72)</f>
        <v>3.7948717948717924E-2</v>
      </c>
      <c r="P72" s="131">
        <f t="shared" ref="P72:P102" si="84">M72/M$103</f>
        <v>0.25805888279434458</v>
      </c>
      <c r="Q72" s="133">
        <f t="shared" ref="Q72" si="85">P72-J72</f>
        <v>-5.0135818347341043E-5</v>
      </c>
      <c r="R72" s="133"/>
      <c r="T72" s="5">
        <f>L72/H72-1</f>
        <v>3.7948717948717903E-2</v>
      </c>
    </row>
    <row r="73" spans="1:20" x14ac:dyDescent="0.25">
      <c r="A73" s="33">
        <f t="shared" ref="A73:A135" si="86">A72+1</f>
        <v>67</v>
      </c>
      <c r="B73" s="30"/>
      <c r="C73" s="28" t="s">
        <v>61</v>
      </c>
      <c r="E73" s="128">
        <v>45049</v>
      </c>
      <c r="F73" s="114">
        <v>9.41</v>
      </c>
      <c r="G73" s="130">
        <f t="shared" ref="G73:G91" si="87">F73*E73</f>
        <v>423911.09</v>
      </c>
      <c r="H73" s="114">
        <v>9.41</v>
      </c>
      <c r="I73" s="130">
        <f t="shared" ref="I73:I91" si="88">H73*E73</f>
        <v>423911.09</v>
      </c>
      <c r="J73" s="131">
        <f t="shared" si="79"/>
        <v>0.34488089769652835</v>
      </c>
      <c r="K73" s="132"/>
      <c r="L73" s="114">
        <f t="shared" si="80"/>
        <v>9.77</v>
      </c>
      <c r="M73" s="130">
        <f t="shared" ref="M73:M91" si="89">L73*E73</f>
        <v>440128.73</v>
      </c>
      <c r="N73" s="130">
        <f t="shared" ref="N73:N91" si="90">M73-I73</f>
        <v>16217.639999999956</v>
      </c>
      <c r="O73" s="131">
        <f t="shared" ref="O73:O91" si="91">IF(I73=0,0,N73/I73)</f>
        <v>3.8257173219978638E-2</v>
      </c>
      <c r="P73" s="131">
        <f t="shared" si="84"/>
        <v>0.34491637808874936</v>
      </c>
      <c r="Q73" s="133">
        <f t="shared" ref="Q73:Q91" si="92">P73-J73</f>
        <v>3.5480392221010071E-5</v>
      </c>
      <c r="R73" s="133"/>
      <c r="T73" s="5">
        <f t="shared" ref="T73:T102" si="93">L73/H73-1</f>
        <v>3.8257173219978791E-2</v>
      </c>
    </row>
    <row r="74" spans="1:20" x14ac:dyDescent="0.25">
      <c r="A74" s="33">
        <f t="shared" si="86"/>
        <v>68</v>
      </c>
      <c r="B74" s="30"/>
      <c r="C74" s="28" t="s">
        <v>62</v>
      </c>
      <c r="E74" s="128">
        <v>2454</v>
      </c>
      <c r="F74" s="114">
        <v>9.41</v>
      </c>
      <c r="G74" s="130">
        <f t="shared" si="87"/>
        <v>23092.14</v>
      </c>
      <c r="H74" s="114">
        <v>9.41</v>
      </c>
      <c r="I74" s="130">
        <f t="shared" si="88"/>
        <v>23092.14</v>
      </c>
      <c r="J74" s="131">
        <f t="shared" si="79"/>
        <v>1.8787047946619912E-2</v>
      </c>
      <c r="K74" s="132"/>
      <c r="L74" s="114">
        <f t="shared" si="80"/>
        <v>9.77</v>
      </c>
      <c r="M74" s="130">
        <f t="shared" si="89"/>
        <v>23975.579999999998</v>
      </c>
      <c r="N74" s="130">
        <f t="shared" si="90"/>
        <v>883.43999999999869</v>
      </c>
      <c r="O74" s="131">
        <f t="shared" si="91"/>
        <v>3.8257173219978693E-2</v>
      </c>
      <c r="P74" s="131">
        <f t="shared" si="84"/>
        <v>1.8788980706115361E-2</v>
      </c>
      <c r="Q74" s="133">
        <f t="shared" si="92"/>
        <v>1.9327594954487992E-6</v>
      </c>
      <c r="R74" s="133"/>
      <c r="T74" s="5">
        <f t="shared" si="93"/>
        <v>3.8257173219978791E-2</v>
      </c>
    </row>
    <row r="75" spans="1:20" x14ac:dyDescent="0.25">
      <c r="A75" s="33">
        <f t="shared" si="86"/>
        <v>69</v>
      </c>
      <c r="B75" s="30"/>
      <c r="C75" s="28" t="s">
        <v>63</v>
      </c>
      <c r="E75" s="128">
        <v>10817</v>
      </c>
      <c r="F75" s="114">
        <v>9.98</v>
      </c>
      <c r="G75" s="130">
        <f t="shared" ref="G75:G89" si="94">F75*E75</f>
        <v>107953.66</v>
      </c>
      <c r="H75" s="114">
        <v>9.98</v>
      </c>
      <c r="I75" s="130">
        <f t="shared" ref="I75:I89" si="95">H75*E75</f>
        <v>107953.66</v>
      </c>
      <c r="J75" s="131">
        <f t="shared" si="79"/>
        <v>8.7827745130295606E-2</v>
      </c>
      <c r="K75" s="132"/>
      <c r="L75" s="114">
        <f t="shared" si="80"/>
        <v>10.36</v>
      </c>
      <c r="M75" s="130">
        <f t="shared" ref="M75:M89" si="96">L75*E75</f>
        <v>112064.12</v>
      </c>
      <c r="N75" s="130">
        <f t="shared" ref="N75:N89" si="97">M75-I75</f>
        <v>4110.4599999999919</v>
      </c>
      <c r="O75" s="131">
        <f t="shared" ref="O75:O89" si="98">IF(I75=0,0,N75/I75)</f>
        <v>3.8076152304609139E-2</v>
      </c>
      <c r="P75" s="131">
        <f t="shared" si="84"/>
        <v>8.7821466197180495E-2</v>
      </c>
      <c r="Q75" s="133">
        <f t="shared" ref="Q75:Q89" si="99">P75-J75</f>
        <v>-6.2789331151114069E-6</v>
      </c>
      <c r="R75" s="133"/>
      <c r="T75" s="5">
        <f t="shared" ref="T75:T89" si="100">L75/H75-1</f>
        <v>3.8076152304609145E-2</v>
      </c>
    </row>
    <row r="76" spans="1:20" x14ac:dyDescent="0.25">
      <c r="A76" s="33">
        <f t="shared" si="86"/>
        <v>70</v>
      </c>
      <c r="B76" s="30"/>
      <c r="C76" s="28" t="s">
        <v>64</v>
      </c>
      <c r="E76" s="128">
        <v>9873</v>
      </c>
      <c r="F76" s="114">
        <v>9.92</v>
      </c>
      <c r="G76" s="130">
        <f t="shared" si="94"/>
        <v>97940.160000000003</v>
      </c>
      <c r="H76" s="114">
        <v>9.92</v>
      </c>
      <c r="I76" s="130">
        <f t="shared" si="95"/>
        <v>97940.160000000003</v>
      </c>
      <c r="J76" s="131">
        <f t="shared" si="79"/>
        <v>7.9681072512968742E-2</v>
      </c>
      <c r="K76" s="132"/>
      <c r="L76" s="114">
        <f t="shared" si="80"/>
        <v>10.3</v>
      </c>
      <c r="M76" s="130">
        <f t="shared" si="96"/>
        <v>101691.90000000001</v>
      </c>
      <c r="N76" s="130">
        <f t="shared" si="97"/>
        <v>3751.7400000000052</v>
      </c>
      <c r="O76" s="131">
        <f t="shared" si="98"/>
        <v>3.8306451612903275E-2</v>
      </c>
      <c r="P76" s="131">
        <f t="shared" si="84"/>
        <v>7.9693052141729753E-2</v>
      </c>
      <c r="Q76" s="133">
        <f t="shared" si="99"/>
        <v>1.1979628761010774E-5</v>
      </c>
      <c r="R76" s="133"/>
      <c r="T76" s="5">
        <f t="shared" si="100"/>
        <v>3.8306451612903247E-2</v>
      </c>
    </row>
    <row r="77" spans="1:20" x14ac:dyDescent="0.25">
      <c r="A77" s="33">
        <f t="shared" si="86"/>
        <v>71</v>
      </c>
      <c r="B77" s="30"/>
      <c r="C77" s="28" t="s">
        <v>65</v>
      </c>
      <c r="E77" s="128">
        <v>174</v>
      </c>
      <c r="F77" s="114">
        <v>9.93</v>
      </c>
      <c r="G77" s="130">
        <f t="shared" si="94"/>
        <v>1727.82</v>
      </c>
      <c r="H77" s="114">
        <v>9.93</v>
      </c>
      <c r="I77" s="130">
        <f t="shared" si="95"/>
        <v>1727.82</v>
      </c>
      <c r="J77" s="131">
        <f t="shared" si="79"/>
        <v>1.4057006922324573E-3</v>
      </c>
      <c r="K77" s="132"/>
      <c r="L77" s="114">
        <f t="shared" si="80"/>
        <v>10.31</v>
      </c>
      <c r="M77" s="130">
        <f t="shared" si="96"/>
        <v>1793.94</v>
      </c>
      <c r="N77" s="130">
        <f t="shared" si="97"/>
        <v>66.120000000000118</v>
      </c>
      <c r="O77" s="131">
        <f t="shared" si="98"/>
        <v>3.8267875125881236E-2</v>
      </c>
      <c r="P77" s="131">
        <f t="shared" si="84"/>
        <v>1.405859797674492E-3</v>
      </c>
      <c r="Q77" s="133">
        <f t="shared" si="99"/>
        <v>1.5910544203467068E-7</v>
      </c>
      <c r="R77" s="133"/>
      <c r="T77" s="5">
        <f t="shared" si="100"/>
        <v>3.8267875125881146E-2</v>
      </c>
    </row>
    <row r="78" spans="1:20" x14ac:dyDescent="0.25">
      <c r="A78" s="33">
        <f t="shared" si="86"/>
        <v>72</v>
      </c>
      <c r="B78" s="30"/>
      <c r="C78" s="28" t="s">
        <v>66</v>
      </c>
      <c r="E78" s="128">
        <v>664</v>
      </c>
      <c r="F78" s="114">
        <v>15</v>
      </c>
      <c r="G78" s="130">
        <f t="shared" si="94"/>
        <v>9960</v>
      </c>
      <c r="H78" s="114">
        <v>15</v>
      </c>
      <c r="I78" s="130">
        <f t="shared" si="95"/>
        <v>9960</v>
      </c>
      <c r="J78" s="131">
        <f t="shared" si="79"/>
        <v>8.1031466788411277E-3</v>
      </c>
      <c r="K78" s="132"/>
      <c r="L78" s="114">
        <f t="shared" si="80"/>
        <v>15.57</v>
      </c>
      <c r="M78" s="130">
        <f t="shared" si="96"/>
        <v>10338.48</v>
      </c>
      <c r="N78" s="130">
        <f t="shared" si="97"/>
        <v>378.47999999999956</v>
      </c>
      <c r="O78" s="131">
        <f t="shared" si="98"/>
        <v>3.7999999999999957E-2</v>
      </c>
      <c r="P78" s="131">
        <f t="shared" si="84"/>
        <v>8.1019729762766765E-3</v>
      </c>
      <c r="Q78" s="133">
        <f t="shared" si="99"/>
        <v>-1.1737025644512067E-6</v>
      </c>
      <c r="R78" s="133"/>
      <c r="T78" s="5">
        <f t="shared" si="100"/>
        <v>3.8000000000000034E-2</v>
      </c>
    </row>
    <row r="79" spans="1:20" x14ac:dyDescent="0.25">
      <c r="A79" s="33">
        <f t="shared" si="86"/>
        <v>73</v>
      </c>
      <c r="B79" s="30"/>
      <c r="C79" s="28" t="s">
        <v>67</v>
      </c>
      <c r="E79" s="128">
        <v>1</v>
      </c>
      <c r="F79" s="114">
        <v>11.54</v>
      </c>
      <c r="G79" s="130">
        <f t="shared" si="94"/>
        <v>11.54</v>
      </c>
      <c r="H79" s="114">
        <v>11.54</v>
      </c>
      <c r="I79" s="130">
        <f t="shared" si="95"/>
        <v>11.54</v>
      </c>
      <c r="J79" s="131">
        <f t="shared" si="79"/>
        <v>9.3885856098219472E-6</v>
      </c>
      <c r="K79" s="132"/>
      <c r="L79" s="114">
        <f t="shared" si="80"/>
        <v>11.98</v>
      </c>
      <c r="M79" s="130">
        <f t="shared" si="96"/>
        <v>11.98</v>
      </c>
      <c r="N79" s="130">
        <f t="shared" si="97"/>
        <v>0.44000000000000128</v>
      </c>
      <c r="O79" s="131">
        <f t="shared" si="98"/>
        <v>3.8128249566724552E-2</v>
      </c>
      <c r="P79" s="131">
        <f t="shared" si="84"/>
        <v>9.3883855514345037E-6</v>
      </c>
      <c r="Q79" s="133">
        <f t="shared" si="99"/>
        <v>-2.0005838744347165E-10</v>
      </c>
      <c r="R79" s="133"/>
      <c r="T79" s="5">
        <f t="shared" si="100"/>
        <v>3.8128249566724559E-2</v>
      </c>
    </row>
    <row r="80" spans="1:20" x14ac:dyDescent="0.25">
      <c r="A80" s="33">
        <f t="shared" si="86"/>
        <v>74</v>
      </c>
      <c r="B80" s="30"/>
      <c r="C80" s="28" t="s">
        <v>68</v>
      </c>
      <c r="E80" s="128">
        <v>0</v>
      </c>
      <c r="F80" s="114">
        <v>11.54</v>
      </c>
      <c r="G80" s="130">
        <f t="shared" si="94"/>
        <v>0</v>
      </c>
      <c r="H80" s="114">
        <v>11.54</v>
      </c>
      <c r="I80" s="130">
        <f t="shared" si="95"/>
        <v>0</v>
      </c>
      <c r="J80" s="131">
        <f t="shared" si="79"/>
        <v>0</v>
      </c>
      <c r="K80" s="132"/>
      <c r="L80" s="114">
        <f t="shared" si="80"/>
        <v>11.98</v>
      </c>
      <c r="M80" s="130">
        <f t="shared" si="96"/>
        <v>0</v>
      </c>
      <c r="N80" s="130">
        <f t="shared" si="97"/>
        <v>0</v>
      </c>
      <c r="O80" s="131">
        <f t="shared" si="98"/>
        <v>0</v>
      </c>
      <c r="P80" s="131">
        <f t="shared" si="84"/>
        <v>0</v>
      </c>
      <c r="Q80" s="133">
        <f t="shared" si="99"/>
        <v>0</v>
      </c>
      <c r="R80" s="133"/>
      <c r="T80" s="5">
        <f t="shared" si="100"/>
        <v>3.8128249566724559E-2</v>
      </c>
    </row>
    <row r="81" spans="1:20" x14ac:dyDescent="0.25">
      <c r="A81" s="33">
        <f t="shared" si="86"/>
        <v>75</v>
      </c>
      <c r="B81" s="30"/>
      <c r="C81" s="28" t="s">
        <v>69</v>
      </c>
      <c r="E81" s="128">
        <v>593</v>
      </c>
      <c r="F81" s="114">
        <v>19.54</v>
      </c>
      <c r="G81" s="130">
        <f t="shared" si="94"/>
        <v>11587.22</v>
      </c>
      <c r="H81" s="114">
        <v>19.54</v>
      </c>
      <c r="I81" s="130">
        <f t="shared" si="95"/>
        <v>11587.22</v>
      </c>
      <c r="J81" s="131">
        <f t="shared" si="79"/>
        <v>9.4270023353415135E-3</v>
      </c>
      <c r="K81" s="132"/>
      <c r="L81" s="114">
        <f t="shared" si="80"/>
        <v>20.29</v>
      </c>
      <c r="M81" s="130">
        <f t="shared" si="96"/>
        <v>12031.97</v>
      </c>
      <c r="N81" s="130">
        <f t="shared" si="97"/>
        <v>444.75</v>
      </c>
      <c r="O81" s="131">
        <f t="shared" si="98"/>
        <v>3.8382804503582398E-2</v>
      </c>
      <c r="P81" s="131">
        <f t="shared" si="84"/>
        <v>9.4291129635470285E-3</v>
      </c>
      <c r="Q81" s="133">
        <f t="shared" si="99"/>
        <v>2.1106282055149972E-6</v>
      </c>
      <c r="R81" s="133"/>
      <c r="T81" s="5">
        <f t="shared" si="100"/>
        <v>3.8382804503582335E-2</v>
      </c>
    </row>
    <row r="82" spans="1:20" x14ac:dyDescent="0.25">
      <c r="A82" s="33">
        <f t="shared" si="86"/>
        <v>76</v>
      </c>
      <c r="B82" s="30"/>
      <c r="C82" s="28" t="s">
        <v>70</v>
      </c>
      <c r="E82" s="128">
        <v>0</v>
      </c>
      <c r="F82" s="114">
        <v>16.61</v>
      </c>
      <c r="G82" s="130">
        <f t="shared" si="94"/>
        <v>0</v>
      </c>
      <c r="H82" s="114">
        <v>16.61</v>
      </c>
      <c r="I82" s="130">
        <f t="shared" si="95"/>
        <v>0</v>
      </c>
      <c r="J82" s="131">
        <f t="shared" si="79"/>
        <v>0</v>
      </c>
      <c r="K82" s="132"/>
      <c r="L82" s="114">
        <f t="shared" si="80"/>
        <v>17.25</v>
      </c>
      <c r="M82" s="130">
        <f t="shared" si="96"/>
        <v>0</v>
      </c>
      <c r="N82" s="130">
        <f t="shared" si="97"/>
        <v>0</v>
      </c>
      <c r="O82" s="131">
        <f t="shared" si="98"/>
        <v>0</v>
      </c>
      <c r="P82" s="131">
        <f t="shared" si="84"/>
        <v>0</v>
      </c>
      <c r="Q82" s="133">
        <f t="shared" si="99"/>
        <v>0</v>
      </c>
      <c r="R82" s="133"/>
      <c r="T82" s="5">
        <f t="shared" si="100"/>
        <v>3.8531005418422692E-2</v>
      </c>
    </row>
    <row r="83" spans="1:20" x14ac:dyDescent="0.25">
      <c r="A83" s="33">
        <f t="shared" si="86"/>
        <v>77</v>
      </c>
      <c r="B83" s="30"/>
      <c r="C83" s="28" t="s">
        <v>71</v>
      </c>
      <c r="E83" s="128">
        <v>0</v>
      </c>
      <c r="F83" s="114">
        <v>16.61</v>
      </c>
      <c r="G83" s="130">
        <f t="shared" si="94"/>
        <v>0</v>
      </c>
      <c r="H83" s="114">
        <v>16.61</v>
      </c>
      <c r="I83" s="130">
        <f t="shared" si="95"/>
        <v>0</v>
      </c>
      <c r="J83" s="131">
        <f t="shared" si="79"/>
        <v>0</v>
      </c>
      <c r="K83" s="132"/>
      <c r="L83" s="114">
        <f t="shared" si="80"/>
        <v>17.25</v>
      </c>
      <c r="M83" s="130">
        <f t="shared" si="96"/>
        <v>0</v>
      </c>
      <c r="N83" s="130">
        <f t="shared" si="97"/>
        <v>0</v>
      </c>
      <c r="O83" s="131">
        <f t="shared" si="98"/>
        <v>0</v>
      </c>
      <c r="P83" s="131">
        <f t="shared" si="84"/>
        <v>0</v>
      </c>
      <c r="Q83" s="133">
        <f t="shared" si="99"/>
        <v>0</v>
      </c>
      <c r="R83" s="133"/>
      <c r="T83" s="5">
        <f t="shared" si="100"/>
        <v>3.8531005418422692E-2</v>
      </c>
    </row>
    <row r="84" spans="1:20" x14ac:dyDescent="0.25">
      <c r="A84" s="33">
        <f t="shared" si="86"/>
        <v>78</v>
      </c>
      <c r="B84" s="30"/>
      <c r="C84" s="28" t="s">
        <v>72</v>
      </c>
      <c r="E84" s="128">
        <v>3003</v>
      </c>
      <c r="F84" s="114">
        <v>12.89</v>
      </c>
      <c r="G84" s="130">
        <f t="shared" si="94"/>
        <v>38708.67</v>
      </c>
      <c r="H84" s="114">
        <v>12.89</v>
      </c>
      <c r="I84" s="130">
        <f t="shared" si="95"/>
        <v>38708.67</v>
      </c>
      <c r="J84" s="131">
        <f t="shared" si="79"/>
        <v>3.1492171762335056E-2</v>
      </c>
      <c r="K84" s="132"/>
      <c r="L84" s="114">
        <f t="shared" si="80"/>
        <v>13.38</v>
      </c>
      <c r="M84" s="130">
        <f t="shared" si="96"/>
        <v>40180.14</v>
      </c>
      <c r="N84" s="130">
        <f t="shared" si="97"/>
        <v>1471.4700000000012</v>
      </c>
      <c r="O84" s="131">
        <f t="shared" si="98"/>
        <v>3.8013964313421286E-2</v>
      </c>
      <c r="P84" s="131">
        <f t="shared" si="84"/>
        <v>3.1488033875677425E-2</v>
      </c>
      <c r="Q84" s="133">
        <f t="shared" si="99"/>
        <v>-4.1378866576305406E-6</v>
      </c>
      <c r="R84" s="133"/>
      <c r="T84" s="5">
        <f t="shared" si="100"/>
        <v>3.8013964313421189E-2</v>
      </c>
    </row>
    <row r="85" spans="1:20" x14ac:dyDescent="0.25">
      <c r="A85" s="33">
        <f t="shared" si="86"/>
        <v>79</v>
      </c>
      <c r="B85" s="30"/>
      <c r="C85" s="28" t="s">
        <v>73</v>
      </c>
      <c r="E85" s="128">
        <v>782</v>
      </c>
      <c r="F85" s="114">
        <v>9.4600000000000009</v>
      </c>
      <c r="G85" s="130">
        <f t="shared" si="94"/>
        <v>7397.72</v>
      </c>
      <c r="H85" s="114">
        <v>9.4600000000000009</v>
      </c>
      <c r="I85" s="130">
        <f t="shared" si="95"/>
        <v>7397.72</v>
      </c>
      <c r="J85" s="131">
        <f t="shared" si="79"/>
        <v>6.0185552458831915E-3</v>
      </c>
      <c r="K85" s="132"/>
      <c r="L85" s="114">
        <f t="shared" si="80"/>
        <v>9.82</v>
      </c>
      <c r="M85" s="130">
        <f t="shared" si="96"/>
        <v>7679.24</v>
      </c>
      <c r="N85" s="130">
        <f t="shared" si="97"/>
        <v>281.51999999999953</v>
      </c>
      <c r="O85" s="131">
        <f t="shared" si="98"/>
        <v>3.8054968287526358E-2</v>
      </c>
      <c r="P85" s="131">
        <f t="shared" si="84"/>
        <v>6.0180021587644319E-3</v>
      </c>
      <c r="Q85" s="133">
        <f t="shared" si="99"/>
        <v>-5.5308711875961397E-7</v>
      </c>
      <c r="R85" s="133"/>
      <c r="T85" s="5">
        <f t="shared" si="100"/>
        <v>3.8054968287526414E-2</v>
      </c>
    </row>
    <row r="86" spans="1:20" x14ac:dyDescent="0.25">
      <c r="A86" s="33">
        <f t="shared" si="86"/>
        <v>80</v>
      </c>
      <c r="B86" s="30"/>
      <c r="C86" s="28" t="s">
        <v>74</v>
      </c>
      <c r="E86" s="128">
        <v>1368</v>
      </c>
      <c r="F86" s="114">
        <v>35.840000000000003</v>
      </c>
      <c r="G86" s="130">
        <f t="shared" si="94"/>
        <v>49029.120000000003</v>
      </c>
      <c r="H86" s="114">
        <v>35.840000000000003</v>
      </c>
      <c r="I86" s="130">
        <f t="shared" si="95"/>
        <v>49029.120000000003</v>
      </c>
      <c r="J86" s="131">
        <f t="shared" si="79"/>
        <v>3.9888569366917981E-2</v>
      </c>
      <c r="K86" s="132"/>
      <c r="L86" s="114">
        <f t="shared" si="80"/>
        <v>37.21</v>
      </c>
      <c r="M86" s="130">
        <f t="shared" si="96"/>
        <v>50903.28</v>
      </c>
      <c r="N86" s="130">
        <f t="shared" si="97"/>
        <v>1874.1599999999962</v>
      </c>
      <c r="O86" s="131">
        <f t="shared" si="98"/>
        <v>3.8225446428571348E-2</v>
      </c>
      <c r="P86" s="131">
        <f t="shared" si="84"/>
        <v>3.9891453962656503E-2</v>
      </c>
      <c r="Q86" s="133">
        <f t="shared" si="99"/>
        <v>2.8845957385226217E-6</v>
      </c>
      <c r="R86" s="133"/>
      <c r="T86" s="5">
        <f t="shared" si="100"/>
        <v>3.8225446428571397E-2</v>
      </c>
    </row>
    <row r="87" spans="1:20" x14ac:dyDescent="0.25">
      <c r="A87" s="33">
        <f t="shared" si="86"/>
        <v>81</v>
      </c>
      <c r="B87" s="30"/>
      <c r="C87" s="28" t="s">
        <v>75</v>
      </c>
      <c r="E87" s="128">
        <v>408</v>
      </c>
      <c r="F87" s="114">
        <v>26.98</v>
      </c>
      <c r="G87" s="130">
        <f t="shared" si="94"/>
        <v>11007.84</v>
      </c>
      <c r="H87" s="114">
        <v>26.98</v>
      </c>
      <c r="I87" s="130">
        <f t="shared" si="95"/>
        <v>11007.84</v>
      </c>
      <c r="J87" s="131">
        <f t="shared" si="79"/>
        <v>8.9556367607645099E-3</v>
      </c>
      <c r="K87" s="132"/>
      <c r="L87" s="114">
        <f t="shared" si="80"/>
        <v>28.01</v>
      </c>
      <c r="M87" s="130">
        <f t="shared" si="96"/>
        <v>11428.08</v>
      </c>
      <c r="N87" s="130">
        <f t="shared" si="97"/>
        <v>420.23999999999978</v>
      </c>
      <c r="O87" s="131">
        <f t="shared" si="98"/>
        <v>3.8176426982950311E-2</v>
      </c>
      <c r="P87" s="131">
        <f t="shared" si="84"/>
        <v>8.9558615319397013E-3</v>
      </c>
      <c r="Q87" s="133">
        <f t="shared" si="99"/>
        <v>2.2477117519147105E-7</v>
      </c>
      <c r="R87" s="133"/>
      <c r="T87" s="5">
        <f t="shared" si="100"/>
        <v>3.8176426982950318E-2</v>
      </c>
    </row>
    <row r="88" spans="1:20" x14ac:dyDescent="0.25">
      <c r="A88" s="33">
        <f t="shared" si="86"/>
        <v>82</v>
      </c>
      <c r="B88" s="30"/>
      <c r="C88" s="28" t="s">
        <v>76</v>
      </c>
      <c r="E88" s="128">
        <v>276</v>
      </c>
      <c r="F88" s="114">
        <v>30.69</v>
      </c>
      <c r="G88" s="130">
        <f t="shared" si="94"/>
        <v>8470.44</v>
      </c>
      <c r="H88" s="114">
        <v>30.69</v>
      </c>
      <c r="I88" s="130">
        <f t="shared" si="95"/>
        <v>8470.44</v>
      </c>
      <c r="J88" s="131">
        <f t="shared" si="79"/>
        <v>6.8912869231248031E-3</v>
      </c>
      <c r="K88" s="132"/>
      <c r="L88" s="114">
        <f t="shared" si="80"/>
        <v>31.86</v>
      </c>
      <c r="M88" s="130">
        <f t="shared" si="96"/>
        <v>8793.36</v>
      </c>
      <c r="N88" s="130">
        <f t="shared" si="97"/>
        <v>322.92000000000007</v>
      </c>
      <c r="O88" s="131">
        <f t="shared" si="98"/>
        <v>3.8123167155425228E-2</v>
      </c>
      <c r="P88" s="131">
        <f t="shared" si="84"/>
        <v>6.8911063416162033E-3</v>
      </c>
      <c r="Q88" s="133">
        <f t="shared" si="99"/>
        <v>-1.8058150859975169E-7</v>
      </c>
      <c r="R88" s="133"/>
      <c r="T88" s="5">
        <f t="shared" si="100"/>
        <v>3.8123167155425186E-2</v>
      </c>
    </row>
    <row r="89" spans="1:20" x14ac:dyDescent="0.25">
      <c r="A89" s="33">
        <f t="shared" si="86"/>
        <v>83</v>
      </c>
      <c r="B89" s="30"/>
      <c r="C89" s="28" t="s">
        <v>77</v>
      </c>
      <c r="E89" s="128">
        <v>719</v>
      </c>
      <c r="F89" s="114">
        <v>8.64</v>
      </c>
      <c r="G89" s="130">
        <f t="shared" si="94"/>
        <v>6212.1600000000008</v>
      </c>
      <c r="H89" s="114">
        <v>8.64</v>
      </c>
      <c r="I89" s="130">
        <f t="shared" si="95"/>
        <v>6212.1600000000008</v>
      </c>
      <c r="J89" s="131">
        <f t="shared" si="79"/>
        <v>5.0540204490391264E-3</v>
      </c>
      <c r="K89" s="132"/>
      <c r="L89" s="114">
        <f t="shared" si="80"/>
        <v>8.9700000000000006</v>
      </c>
      <c r="M89" s="130">
        <f t="shared" si="96"/>
        <v>6449.43</v>
      </c>
      <c r="N89" s="130">
        <f t="shared" si="97"/>
        <v>237.26999999999953</v>
      </c>
      <c r="O89" s="131">
        <f t="shared" si="98"/>
        <v>3.8194444444444364E-2</v>
      </c>
      <c r="P89" s="131">
        <f t="shared" si="84"/>
        <v>5.0542350106000198E-3</v>
      </c>
      <c r="Q89" s="133">
        <f t="shared" si="99"/>
        <v>2.1456156089338929E-7</v>
      </c>
      <c r="R89" s="133"/>
      <c r="T89" s="5">
        <f t="shared" si="100"/>
        <v>3.819444444444442E-2</v>
      </c>
    </row>
    <row r="90" spans="1:20" x14ac:dyDescent="0.25">
      <c r="A90" s="33">
        <f t="shared" si="86"/>
        <v>84</v>
      </c>
      <c r="B90" s="30"/>
      <c r="C90" s="28" t="s">
        <v>78</v>
      </c>
      <c r="E90" s="128">
        <v>56</v>
      </c>
      <c r="F90" s="114">
        <v>16.829999999999998</v>
      </c>
      <c r="G90" s="130">
        <f t="shared" si="87"/>
        <v>942.4799999999999</v>
      </c>
      <c r="H90" s="114">
        <v>16.829999999999998</v>
      </c>
      <c r="I90" s="130">
        <f t="shared" si="88"/>
        <v>942.4799999999999</v>
      </c>
      <c r="J90" s="131">
        <f t="shared" si="79"/>
        <v>7.6677245801949644E-4</v>
      </c>
      <c r="K90" s="132"/>
      <c r="L90" s="114">
        <f t="shared" si="80"/>
        <v>17.47</v>
      </c>
      <c r="M90" s="130">
        <f t="shared" si="89"/>
        <v>978.31999999999994</v>
      </c>
      <c r="N90" s="130">
        <f t="shared" si="90"/>
        <v>35.840000000000032</v>
      </c>
      <c r="O90" s="131">
        <f t="shared" si="91"/>
        <v>3.8027332144979241E-2</v>
      </c>
      <c r="P90" s="131">
        <f t="shared" si="84"/>
        <v>7.6668158202666131E-4</v>
      </c>
      <c r="Q90" s="133">
        <f t="shared" si="92"/>
        <v>-9.0875992835135096E-8</v>
      </c>
      <c r="R90" s="133"/>
      <c r="T90" s="5">
        <f t="shared" si="93"/>
        <v>3.8027332144979331E-2</v>
      </c>
    </row>
    <row r="91" spans="1:20" x14ac:dyDescent="0.25">
      <c r="A91" s="33">
        <f t="shared" si="86"/>
        <v>85</v>
      </c>
      <c r="B91" s="30"/>
      <c r="C91" s="28" t="s">
        <v>79</v>
      </c>
      <c r="E91" s="128">
        <v>1545</v>
      </c>
      <c r="F91" s="114">
        <v>14.44</v>
      </c>
      <c r="G91" s="130">
        <f t="shared" si="87"/>
        <v>22309.8</v>
      </c>
      <c r="H91" s="114">
        <v>14.44</v>
      </c>
      <c r="I91" s="130">
        <f t="shared" si="88"/>
        <v>22309.8</v>
      </c>
      <c r="J91" s="131">
        <f t="shared" si="79"/>
        <v>1.8150560419237929E-2</v>
      </c>
      <c r="K91" s="132"/>
      <c r="L91" s="114">
        <f t="shared" si="80"/>
        <v>14.99</v>
      </c>
      <c r="M91" s="130">
        <f t="shared" si="89"/>
        <v>23159.55</v>
      </c>
      <c r="N91" s="130">
        <f t="shared" si="90"/>
        <v>849.75</v>
      </c>
      <c r="O91" s="131">
        <f t="shared" si="91"/>
        <v>3.8088642659279782E-2</v>
      </c>
      <c r="P91" s="131">
        <f t="shared" si="84"/>
        <v>1.8149481185118943E-2</v>
      </c>
      <c r="Q91" s="133">
        <f t="shared" si="92"/>
        <v>-1.0792341189856669E-6</v>
      </c>
      <c r="R91" s="133"/>
      <c r="T91" s="5">
        <f t="shared" si="93"/>
        <v>3.8088642659279914E-2</v>
      </c>
    </row>
    <row r="92" spans="1:20" x14ac:dyDescent="0.25">
      <c r="A92" s="33">
        <f t="shared" si="86"/>
        <v>86</v>
      </c>
      <c r="B92" s="30"/>
      <c r="C92" s="28" t="s">
        <v>80</v>
      </c>
      <c r="E92" s="128">
        <v>53</v>
      </c>
      <c r="F92" s="114">
        <v>17.600000000000001</v>
      </c>
      <c r="G92" s="130">
        <f t="shared" ref="G92:G102" si="101">F92*E92</f>
        <v>932.80000000000007</v>
      </c>
      <c r="H92" s="114">
        <v>17.600000000000001</v>
      </c>
      <c r="I92" s="130">
        <f t="shared" ref="I92:I102" si="102">H92*E92</f>
        <v>932.80000000000007</v>
      </c>
      <c r="J92" s="131">
        <f t="shared" si="79"/>
        <v>7.5889711064487989E-4</v>
      </c>
      <c r="K92" s="132"/>
      <c r="L92" s="114">
        <f t="shared" si="80"/>
        <v>18.27</v>
      </c>
      <c r="M92" s="130">
        <f t="shared" ref="M92:M102" si="103">L92*E92</f>
        <v>968.31</v>
      </c>
      <c r="N92" s="130">
        <f t="shared" ref="N92:N102" si="104">M92-I92</f>
        <v>35.509999999999877</v>
      </c>
      <c r="O92" s="131">
        <f t="shared" ref="O92:O102" si="105">IF(I92=0,0,N92/I92)</f>
        <v>3.8068181818181682E-2</v>
      </c>
      <c r="P92" s="131">
        <f t="shared" si="84"/>
        <v>7.5883702949161472E-4</v>
      </c>
      <c r="Q92" s="133">
        <f t="shared" ref="Q92:Q102" si="106">P92-J92</f>
        <v>-6.008115326517488E-8</v>
      </c>
      <c r="R92" s="133"/>
      <c r="T92" s="5">
        <f t="shared" si="93"/>
        <v>3.8068181818181612E-2</v>
      </c>
    </row>
    <row r="93" spans="1:20" x14ac:dyDescent="0.25">
      <c r="A93" s="33">
        <f t="shared" si="86"/>
        <v>87</v>
      </c>
      <c r="B93" s="30"/>
      <c r="C93" s="28" t="s">
        <v>81</v>
      </c>
      <c r="E93" s="128">
        <v>66</v>
      </c>
      <c r="F93" s="114">
        <v>17.600000000000001</v>
      </c>
      <c r="G93" s="130">
        <f t="shared" si="101"/>
        <v>1161.6000000000001</v>
      </c>
      <c r="H93" s="114">
        <v>17.600000000000001</v>
      </c>
      <c r="I93" s="130">
        <f t="shared" si="102"/>
        <v>1161.6000000000001</v>
      </c>
      <c r="J93" s="131">
        <f t="shared" si="79"/>
        <v>9.4504168495400138E-4</v>
      </c>
      <c r="K93" s="132"/>
      <c r="L93" s="114">
        <f t="shared" si="80"/>
        <v>18.27</v>
      </c>
      <c r="M93" s="130">
        <f t="shared" si="103"/>
        <v>1205.82</v>
      </c>
      <c r="N93" s="130">
        <f t="shared" si="104"/>
        <v>44.2199999999998</v>
      </c>
      <c r="O93" s="131">
        <f t="shared" si="105"/>
        <v>3.806818181818164E-2</v>
      </c>
      <c r="P93" s="131">
        <f t="shared" si="84"/>
        <v>9.4496686691408619E-4</v>
      </c>
      <c r="Q93" s="133">
        <f t="shared" si="106"/>
        <v>-7.4818039915184806E-8</v>
      </c>
      <c r="R93" s="133"/>
      <c r="T93" s="5">
        <f t="shared" si="93"/>
        <v>3.8068181818181612E-2</v>
      </c>
    </row>
    <row r="94" spans="1:20" x14ac:dyDescent="0.25">
      <c r="A94" s="33">
        <f t="shared" si="86"/>
        <v>88</v>
      </c>
      <c r="B94" s="30"/>
      <c r="C94" s="28" t="s">
        <v>82</v>
      </c>
      <c r="E94" s="128">
        <v>2605</v>
      </c>
      <c r="F94" s="114">
        <v>19.559999999999999</v>
      </c>
      <c r="G94" s="130">
        <f t="shared" si="101"/>
        <v>50953.799999999996</v>
      </c>
      <c r="H94" s="114">
        <v>19.559999999999999</v>
      </c>
      <c r="I94" s="130">
        <f t="shared" si="102"/>
        <v>50953.799999999996</v>
      </c>
      <c r="J94" s="131">
        <f t="shared" si="79"/>
        <v>4.1454429241399096E-2</v>
      </c>
      <c r="K94" s="132"/>
      <c r="L94" s="114">
        <f t="shared" si="80"/>
        <v>20.309999999999999</v>
      </c>
      <c r="M94" s="130">
        <f t="shared" si="103"/>
        <v>52907.549999999996</v>
      </c>
      <c r="N94" s="130">
        <f t="shared" si="104"/>
        <v>1953.75</v>
      </c>
      <c r="O94" s="131">
        <f t="shared" si="105"/>
        <v>3.834355828220859E-2</v>
      </c>
      <c r="P94" s="131">
        <f t="shared" si="84"/>
        <v>4.1462143404156805E-2</v>
      </c>
      <c r="Q94" s="133">
        <f t="shared" si="106"/>
        <v>7.714162757709031E-6</v>
      </c>
      <c r="R94" s="133"/>
      <c r="T94" s="5">
        <f t="shared" si="93"/>
        <v>3.8343558282208701E-2</v>
      </c>
    </row>
    <row r="95" spans="1:20" x14ac:dyDescent="0.25">
      <c r="A95" s="33">
        <f t="shared" si="86"/>
        <v>89</v>
      </c>
      <c r="B95" s="30"/>
      <c r="C95" s="28" t="s">
        <v>83</v>
      </c>
      <c r="E95" s="128">
        <v>15</v>
      </c>
      <c r="F95" s="114">
        <v>19.649999999999999</v>
      </c>
      <c r="G95" s="130">
        <f t="shared" si="101"/>
        <v>294.75</v>
      </c>
      <c r="H95" s="114">
        <v>19.649999999999999</v>
      </c>
      <c r="I95" s="130">
        <f t="shared" si="102"/>
        <v>294.75</v>
      </c>
      <c r="J95" s="131">
        <f t="shared" si="79"/>
        <v>2.3979944614341587E-4</v>
      </c>
      <c r="K95" s="132"/>
      <c r="L95" s="114">
        <f t="shared" si="80"/>
        <v>20.399999999999999</v>
      </c>
      <c r="M95" s="130">
        <f t="shared" si="103"/>
        <v>306</v>
      </c>
      <c r="N95" s="130">
        <f t="shared" si="104"/>
        <v>11.25</v>
      </c>
      <c r="O95" s="131">
        <f t="shared" si="105"/>
        <v>3.8167938931297711E-2</v>
      </c>
      <c r="P95" s="131">
        <f t="shared" si="84"/>
        <v>2.3980350406836045E-4</v>
      </c>
      <c r="Q95" s="133">
        <f t="shared" si="106"/>
        <v>4.0579249445805814E-9</v>
      </c>
      <c r="R95" s="133"/>
      <c r="T95" s="5">
        <f t="shared" si="93"/>
        <v>3.8167938931297662E-2</v>
      </c>
    </row>
    <row r="96" spans="1:20" x14ac:dyDescent="0.25">
      <c r="A96" s="33">
        <f t="shared" si="86"/>
        <v>90</v>
      </c>
      <c r="B96" s="30"/>
      <c r="C96" s="28" t="s">
        <v>84</v>
      </c>
      <c r="E96" s="128">
        <v>232</v>
      </c>
      <c r="F96" s="114">
        <v>19.66</v>
      </c>
      <c r="G96" s="130">
        <f t="shared" si="101"/>
        <v>4561.12</v>
      </c>
      <c r="H96" s="114">
        <v>19.66</v>
      </c>
      <c r="I96" s="130">
        <f t="shared" si="102"/>
        <v>4561.12</v>
      </c>
      <c r="J96" s="131">
        <f t="shared" si="79"/>
        <v>3.7107855803007873E-3</v>
      </c>
      <c r="K96" s="132"/>
      <c r="L96" s="114">
        <f t="shared" si="80"/>
        <v>20.41</v>
      </c>
      <c r="M96" s="130">
        <f t="shared" si="103"/>
        <v>4735.12</v>
      </c>
      <c r="N96" s="130">
        <f t="shared" si="104"/>
        <v>174</v>
      </c>
      <c r="O96" s="131">
        <f t="shared" si="105"/>
        <v>3.8148524923702951E-2</v>
      </c>
      <c r="P96" s="131">
        <f t="shared" si="84"/>
        <v>3.7107789809940357E-3</v>
      </c>
      <c r="Q96" s="133">
        <f t="shared" si="106"/>
        <v>-6.5993067516721682E-9</v>
      </c>
      <c r="R96" s="133"/>
      <c r="T96" s="5">
        <f t="shared" si="93"/>
        <v>3.814852492370302E-2</v>
      </c>
    </row>
    <row r="97" spans="1:22" x14ac:dyDescent="0.25">
      <c r="A97" s="33">
        <f t="shared" si="86"/>
        <v>91</v>
      </c>
      <c r="B97" s="30"/>
      <c r="C97" s="28" t="s">
        <v>85</v>
      </c>
      <c r="E97" s="128">
        <v>84</v>
      </c>
      <c r="F97" s="114">
        <v>21.03</v>
      </c>
      <c r="G97" s="130">
        <f t="shared" si="101"/>
        <v>1766.52</v>
      </c>
      <c r="H97" s="114">
        <v>21.03</v>
      </c>
      <c r="I97" s="130">
        <f t="shared" si="102"/>
        <v>1766.52</v>
      </c>
      <c r="J97" s="131">
        <f t="shared" si="79"/>
        <v>1.437185810352051E-3</v>
      </c>
      <c r="K97" s="132"/>
      <c r="L97" s="114">
        <f t="shared" si="80"/>
        <v>21.83</v>
      </c>
      <c r="M97" s="130">
        <f t="shared" si="103"/>
        <v>1833.7199999999998</v>
      </c>
      <c r="N97" s="130">
        <f t="shared" si="104"/>
        <v>67.199999999999818</v>
      </c>
      <c r="O97" s="131">
        <f t="shared" si="105"/>
        <v>3.8040893961007981E-2</v>
      </c>
      <c r="P97" s="131">
        <f t="shared" si="84"/>
        <v>1.4370342532033786E-3</v>
      </c>
      <c r="Q97" s="133">
        <f t="shared" si="106"/>
        <v>-1.5155714867235055E-7</v>
      </c>
      <c r="R97" s="133"/>
      <c r="T97" s="5">
        <f t="shared" si="93"/>
        <v>3.804089396100796E-2</v>
      </c>
    </row>
    <row r="98" spans="1:22" x14ac:dyDescent="0.25">
      <c r="A98" s="33">
        <f t="shared" si="86"/>
        <v>92</v>
      </c>
      <c r="B98" s="30"/>
      <c r="C98" s="28" t="s">
        <v>86</v>
      </c>
      <c r="E98" s="128">
        <v>72</v>
      </c>
      <c r="F98" s="114">
        <v>35.15</v>
      </c>
      <c r="G98" s="130">
        <f t="shared" si="101"/>
        <v>2530.7999999999997</v>
      </c>
      <c r="H98" s="114">
        <v>35.15</v>
      </c>
      <c r="I98" s="130">
        <f t="shared" si="102"/>
        <v>2530.7999999999997</v>
      </c>
      <c r="J98" s="131">
        <f t="shared" si="79"/>
        <v>2.0589802826115585E-3</v>
      </c>
      <c r="K98" s="132"/>
      <c r="L98" s="114">
        <f t="shared" si="80"/>
        <v>36.49</v>
      </c>
      <c r="M98" s="130">
        <f t="shared" si="103"/>
        <v>2627.28</v>
      </c>
      <c r="N98" s="130">
        <f t="shared" si="104"/>
        <v>96.480000000000473</v>
      </c>
      <c r="O98" s="131">
        <f t="shared" si="105"/>
        <v>3.8122332859175156E-2</v>
      </c>
      <c r="P98" s="131">
        <f t="shared" si="84"/>
        <v>2.0589246737539937E-3</v>
      </c>
      <c r="Q98" s="133">
        <f t="shared" si="106"/>
        <v>-5.5608857564733161E-8</v>
      </c>
      <c r="R98" s="133"/>
      <c r="T98" s="5">
        <f t="shared" si="93"/>
        <v>3.8122332859175101E-2</v>
      </c>
    </row>
    <row r="99" spans="1:22" x14ac:dyDescent="0.25">
      <c r="A99" s="33">
        <f t="shared" si="86"/>
        <v>93</v>
      </c>
      <c r="B99" s="30"/>
      <c r="C99" s="28" t="s">
        <v>87</v>
      </c>
      <c r="E99" s="128">
        <v>312</v>
      </c>
      <c r="F99" s="114">
        <v>33.29</v>
      </c>
      <c r="G99" s="130">
        <f t="shared" si="101"/>
        <v>10386.48</v>
      </c>
      <c r="H99" s="114">
        <v>33.29</v>
      </c>
      <c r="I99" s="130">
        <f t="shared" si="102"/>
        <v>10386.48</v>
      </c>
      <c r="J99" s="131">
        <f t="shared" si="79"/>
        <v>8.4501175619327087E-3</v>
      </c>
      <c r="K99" s="132"/>
      <c r="L99" s="114">
        <f t="shared" si="80"/>
        <v>34.56</v>
      </c>
      <c r="M99" s="130">
        <f t="shared" si="103"/>
        <v>10782.720000000001</v>
      </c>
      <c r="N99" s="130">
        <f t="shared" si="104"/>
        <v>396.2400000000016</v>
      </c>
      <c r="O99" s="131">
        <f t="shared" si="105"/>
        <v>3.8149594472814817E-2</v>
      </c>
      <c r="P99" s="131">
        <f t="shared" si="84"/>
        <v>8.4501112398300392E-3</v>
      </c>
      <c r="Q99" s="133">
        <f t="shared" si="106"/>
        <v>-6.3221026695009508E-9</v>
      </c>
      <c r="R99" s="133"/>
      <c r="T99" s="5">
        <f t="shared" si="93"/>
        <v>3.8149594472814741E-2</v>
      </c>
    </row>
    <row r="100" spans="1:22" x14ac:dyDescent="0.25">
      <c r="A100" s="33">
        <f t="shared" si="86"/>
        <v>94</v>
      </c>
      <c r="B100" s="30"/>
      <c r="C100" s="28" t="s">
        <v>88</v>
      </c>
      <c r="E100" s="128">
        <v>12</v>
      </c>
      <c r="F100" s="114">
        <v>33.67</v>
      </c>
      <c r="G100" s="130">
        <f t="shared" si="101"/>
        <v>404.04</v>
      </c>
      <c r="H100" s="114">
        <v>33.67</v>
      </c>
      <c r="I100" s="130">
        <f t="shared" si="102"/>
        <v>404.04</v>
      </c>
      <c r="J100" s="131">
        <f t="shared" si="79"/>
        <v>3.2871439599588043E-4</v>
      </c>
      <c r="K100" s="132"/>
      <c r="L100" s="114">
        <f t="shared" si="80"/>
        <v>34.96</v>
      </c>
      <c r="M100" s="130">
        <f t="shared" si="103"/>
        <v>419.52</v>
      </c>
      <c r="N100" s="130">
        <f t="shared" si="104"/>
        <v>15.479999999999961</v>
      </c>
      <c r="O100" s="131">
        <f t="shared" si="105"/>
        <v>3.8313038313038214E-2</v>
      </c>
      <c r="P100" s="131">
        <f t="shared" si="84"/>
        <v>3.2876590204823061E-4</v>
      </c>
      <c r="Q100" s="133">
        <f t="shared" si="106"/>
        <v>5.1506052350187761E-8</v>
      </c>
      <c r="R100" s="133"/>
      <c r="T100" s="5">
        <f t="shared" si="93"/>
        <v>3.8313038313038339E-2</v>
      </c>
    </row>
    <row r="101" spans="1:22" x14ac:dyDescent="0.25">
      <c r="A101" s="33">
        <f t="shared" si="86"/>
        <v>95</v>
      </c>
      <c r="B101" s="30"/>
      <c r="C101" s="28" t="s">
        <v>89</v>
      </c>
      <c r="E101" s="128">
        <v>355</v>
      </c>
      <c r="F101" s="114">
        <v>33.33</v>
      </c>
      <c r="G101" s="130">
        <f t="shared" si="101"/>
        <v>11832.15</v>
      </c>
      <c r="H101" s="114">
        <v>33.33</v>
      </c>
      <c r="I101" s="130">
        <f t="shared" si="102"/>
        <v>11832.15</v>
      </c>
      <c r="J101" s="131">
        <f t="shared" si="79"/>
        <v>9.6262697767118509E-3</v>
      </c>
      <c r="K101" s="132"/>
      <c r="L101" s="114">
        <f t="shared" si="80"/>
        <v>34.6</v>
      </c>
      <c r="M101" s="130">
        <f t="shared" si="103"/>
        <v>12283</v>
      </c>
      <c r="N101" s="130">
        <f t="shared" si="104"/>
        <v>450.85000000000036</v>
      </c>
      <c r="O101" s="131">
        <f t="shared" si="105"/>
        <v>3.8103810381038133E-2</v>
      </c>
      <c r="P101" s="131">
        <f t="shared" si="84"/>
        <v>9.6258380407570968E-3</v>
      </c>
      <c r="Q101" s="133">
        <f t="shared" si="106"/>
        <v>-4.3173595475412552E-7</v>
      </c>
      <c r="R101" s="133"/>
      <c r="T101" s="5">
        <f t="shared" si="93"/>
        <v>3.8103810381038272E-2</v>
      </c>
    </row>
    <row r="102" spans="1:22" x14ac:dyDescent="0.25">
      <c r="A102" s="33">
        <f t="shared" si="86"/>
        <v>96</v>
      </c>
      <c r="B102" s="30"/>
      <c r="C102" s="28" t="s">
        <v>90</v>
      </c>
      <c r="E102" s="128">
        <v>708</v>
      </c>
      <c r="F102" s="114">
        <v>9.6199999999999992</v>
      </c>
      <c r="G102" s="130">
        <f t="shared" si="101"/>
        <v>6810.9599999999991</v>
      </c>
      <c r="H102" s="114">
        <v>9.6199999999999992</v>
      </c>
      <c r="I102" s="130">
        <f t="shared" si="102"/>
        <v>6810.9599999999991</v>
      </c>
      <c r="J102" s="131">
        <f t="shared" si="79"/>
        <v>5.5411855325019832E-3</v>
      </c>
      <c r="K102" s="132"/>
      <c r="L102" s="114">
        <f t="shared" si="80"/>
        <v>9.99</v>
      </c>
      <c r="M102" s="130">
        <f t="shared" si="103"/>
        <v>7072.92</v>
      </c>
      <c r="N102" s="130">
        <f t="shared" si="104"/>
        <v>261.96000000000095</v>
      </c>
      <c r="O102" s="131">
        <f t="shared" si="105"/>
        <v>3.8461538461538602E-2</v>
      </c>
      <c r="P102" s="131">
        <f t="shared" si="84"/>
        <v>5.542846405213033E-3</v>
      </c>
      <c r="Q102" s="133">
        <f t="shared" si="106"/>
        <v>1.66087271104981E-6</v>
      </c>
      <c r="R102" s="133"/>
      <c r="T102" s="5">
        <f t="shared" si="93"/>
        <v>3.8461538461538547E-2</v>
      </c>
    </row>
    <row r="103" spans="1:22" s="6" customFormat="1" ht="24.6" customHeight="1" x14ac:dyDescent="0.3">
      <c r="A103" s="33">
        <f t="shared" si="86"/>
        <v>97</v>
      </c>
      <c r="C103" s="16"/>
      <c r="D103" s="18" t="s">
        <v>6</v>
      </c>
      <c r="E103" s="136"/>
      <c r="F103" s="136"/>
      <c r="G103" s="19">
        <f>SUM(G72:G102)</f>
        <v>1229152.1300000004</v>
      </c>
      <c r="H103" s="136"/>
      <c r="I103" s="137">
        <f>SUM(I72:I102)</f>
        <v>1229152.1300000004</v>
      </c>
      <c r="J103" s="138">
        <f>SUM(J72:J102)</f>
        <v>0.99999999999999978</v>
      </c>
      <c r="K103" s="139">
        <f>I103+Summary!I15</f>
        <v>1276149.3200000003</v>
      </c>
      <c r="L103" s="136"/>
      <c r="M103" s="19">
        <f>SUM(M72:M102)</f>
        <v>1276044.7400000002</v>
      </c>
      <c r="N103" s="19">
        <f>M103-I103</f>
        <v>46892.60999999987</v>
      </c>
      <c r="O103" s="138">
        <f t="shared" ref="O103" si="107">N103/I103</f>
        <v>3.8150371183101522E-2</v>
      </c>
      <c r="P103" s="138">
        <f>SUM(P72:P102)</f>
        <v>0.99999999999999967</v>
      </c>
      <c r="Q103" s="140">
        <f t="shared" ref="Q103" si="108">P103-J103</f>
        <v>0</v>
      </c>
      <c r="R103" s="141">
        <f>M103-K103</f>
        <v>-104.58000000007451</v>
      </c>
      <c r="S103" s="6">
        <f>K103/I103</f>
        <v>1.0382354542232295</v>
      </c>
    </row>
    <row r="104" spans="1:22" x14ac:dyDescent="0.25">
      <c r="A104" s="33">
        <f t="shared" si="86"/>
        <v>98</v>
      </c>
      <c r="D104" s="2" t="s">
        <v>29</v>
      </c>
      <c r="G104" s="130">
        <v>-25676.68</v>
      </c>
      <c r="I104" s="28">
        <f>G104*1.367</f>
        <v>-35100.021560000001</v>
      </c>
      <c r="M104" s="130">
        <f>I104</f>
        <v>-35100.021560000001</v>
      </c>
      <c r="N104" s="130">
        <f>M104-I104</f>
        <v>0</v>
      </c>
      <c r="O104" s="114">
        <v>0</v>
      </c>
    </row>
    <row r="105" spans="1:22" x14ac:dyDescent="0.25">
      <c r="A105" s="33">
        <f t="shared" si="86"/>
        <v>99</v>
      </c>
      <c r="D105" s="2" t="s">
        <v>30</v>
      </c>
      <c r="G105" s="130">
        <v>43830.61</v>
      </c>
      <c r="I105" s="28">
        <f>G105</f>
        <v>43830.61</v>
      </c>
      <c r="M105" s="130">
        <f t="shared" ref="M105:M106" si="109">I105</f>
        <v>43830.61</v>
      </c>
      <c r="N105" s="130">
        <f>M105-I105</f>
        <v>0</v>
      </c>
      <c r="O105" s="114">
        <v>0</v>
      </c>
    </row>
    <row r="106" spans="1:22" x14ac:dyDescent="0.25">
      <c r="A106" s="33">
        <f t="shared" si="86"/>
        <v>100</v>
      </c>
      <c r="D106" s="2" t="s">
        <v>32</v>
      </c>
      <c r="G106" s="130">
        <v>0</v>
      </c>
      <c r="I106" s="28">
        <v>0</v>
      </c>
      <c r="M106" s="130">
        <f t="shared" si="109"/>
        <v>0</v>
      </c>
      <c r="N106" s="130">
        <f>M106-I106</f>
        <v>0</v>
      </c>
      <c r="O106" s="114">
        <v>0</v>
      </c>
    </row>
    <row r="107" spans="1:22" x14ac:dyDescent="0.25">
      <c r="A107" s="33">
        <f t="shared" si="86"/>
        <v>101</v>
      </c>
      <c r="D107" s="2" t="s">
        <v>42</v>
      </c>
      <c r="G107" s="130"/>
      <c r="I107" s="28"/>
      <c r="M107" s="130"/>
      <c r="N107" s="130"/>
      <c r="O107" s="114"/>
    </row>
    <row r="108" spans="1:22" x14ac:dyDescent="0.25">
      <c r="A108" s="33">
        <f t="shared" si="86"/>
        <v>102</v>
      </c>
      <c r="D108" s="14" t="s">
        <v>8</v>
      </c>
      <c r="E108" s="143"/>
      <c r="F108" s="143"/>
      <c r="G108" s="144">
        <f>SUM(G104:G106)</f>
        <v>18153.93</v>
      </c>
      <c r="H108" s="143"/>
      <c r="I108" s="144">
        <f>SUM(I104:I106)</f>
        <v>8730.5884399999995</v>
      </c>
      <c r="J108" s="143"/>
      <c r="K108" s="145"/>
      <c r="L108" s="143"/>
      <c r="M108" s="144">
        <f>SUM(M104:M106)</f>
        <v>8730.5884399999995</v>
      </c>
      <c r="N108" s="144">
        <f>M108-I108</f>
        <v>0</v>
      </c>
      <c r="O108" s="146">
        <f>N108-J108</f>
        <v>0</v>
      </c>
    </row>
    <row r="109" spans="1:22" s="6" customFormat="1" ht="26.4" customHeight="1" thickBot="1" x14ac:dyDescent="0.3">
      <c r="A109" s="33">
        <f t="shared" si="86"/>
        <v>103</v>
      </c>
      <c r="C109" s="16"/>
      <c r="D109" s="7" t="s">
        <v>19</v>
      </c>
      <c r="E109" s="147"/>
      <c r="F109" s="147"/>
      <c r="G109" s="148">
        <f>G103+G108</f>
        <v>1247306.0600000003</v>
      </c>
      <c r="H109" s="147"/>
      <c r="I109" s="149">
        <f>I108+I103</f>
        <v>1237882.7184400004</v>
      </c>
      <c r="J109" s="147"/>
      <c r="K109" s="150"/>
      <c r="L109" s="147"/>
      <c r="M109" s="148">
        <f>M108+M103</f>
        <v>1284775.3284400003</v>
      </c>
      <c r="N109" s="148">
        <f>M109-I109</f>
        <v>46892.60999999987</v>
      </c>
      <c r="O109" s="151">
        <f>N109/I109</f>
        <v>3.7881302728819649E-2</v>
      </c>
      <c r="P109" s="90"/>
      <c r="Q109" s="90"/>
      <c r="R109" s="90"/>
    </row>
    <row r="110" spans="1:22" ht="14.4" thickTop="1" thickBot="1" x14ac:dyDescent="0.3">
      <c r="A110" s="33">
        <f t="shared" si="86"/>
        <v>104</v>
      </c>
      <c r="G110" s="152"/>
      <c r="I110" s="152"/>
      <c r="M110" s="152"/>
      <c r="N110" s="152"/>
      <c r="O110" s="131"/>
    </row>
    <row r="111" spans="1:22" x14ac:dyDescent="0.25">
      <c r="A111" s="33">
        <f t="shared" si="86"/>
        <v>105</v>
      </c>
      <c r="B111" s="24" t="s">
        <v>59</v>
      </c>
      <c r="C111" s="37" t="s">
        <v>44</v>
      </c>
      <c r="D111" s="24"/>
      <c r="E111" s="126"/>
      <c r="F111" s="126"/>
      <c r="G111" s="126"/>
      <c r="H111" s="126"/>
      <c r="I111" s="126"/>
      <c r="J111" s="126"/>
      <c r="K111" s="127"/>
      <c r="L111" s="126"/>
      <c r="M111" s="126"/>
      <c r="N111" s="126"/>
      <c r="O111" s="126"/>
      <c r="P111" s="126"/>
      <c r="Q111" s="126"/>
      <c r="R111" s="126"/>
    </row>
    <row r="112" spans="1:22" x14ac:dyDescent="0.25">
      <c r="A112" s="33">
        <f t="shared" si="86"/>
        <v>106</v>
      </c>
      <c r="C112" s="27"/>
      <c r="D112" s="2" t="s">
        <v>17</v>
      </c>
      <c r="E112" s="128">
        <v>12</v>
      </c>
      <c r="F112" s="114">
        <v>5454</v>
      </c>
      <c r="G112" s="165">
        <v>65448</v>
      </c>
      <c r="H112" s="114">
        <v>5454</v>
      </c>
      <c r="I112" s="130">
        <f>H112*E112</f>
        <v>65448</v>
      </c>
      <c r="J112" s="131">
        <f>I112/I116</f>
        <v>1.159806190743079E-2</v>
      </c>
      <c r="K112" s="132"/>
      <c r="L112" s="114">
        <f>5575.5+151.2</f>
        <v>5726.7</v>
      </c>
      <c r="M112" s="130">
        <f>L112*E112</f>
        <v>68720.399999999994</v>
      </c>
      <c r="N112" s="130">
        <f>M112-I112</f>
        <v>3272.3999999999942</v>
      </c>
      <c r="O112" s="131">
        <f>IF(I112=0,0,N112/I112)</f>
        <v>4.9999999999999913E-2</v>
      </c>
      <c r="P112" s="131">
        <f>M112/M$116</f>
        <v>1.1812812202906375E-2</v>
      </c>
      <c r="Q112" s="133">
        <f>P112-J112</f>
        <v>2.1475029547558463E-4</v>
      </c>
      <c r="R112" s="133"/>
      <c r="T112" s="5">
        <f t="shared" ref="T112:T115" si="110">L112/H112-1</f>
        <v>5.0000000000000044E-2</v>
      </c>
      <c r="V112" s="35"/>
    </row>
    <row r="113" spans="1:22" x14ac:dyDescent="0.25">
      <c r="A113" s="33">
        <f>A111+1</f>
        <v>106</v>
      </c>
      <c r="B113" s="167" t="s">
        <v>123</v>
      </c>
      <c r="C113" s="29"/>
      <c r="D113" s="2" t="s">
        <v>56</v>
      </c>
      <c r="E113" s="128">
        <v>203051.52000000005</v>
      </c>
      <c r="F113" s="114">
        <v>6.98</v>
      </c>
      <c r="G113" s="165">
        <v>1068483.24</v>
      </c>
      <c r="H113" s="114">
        <v>6.98</v>
      </c>
      <c r="I113" s="130">
        <f t="shared" ref="I113:I115" si="111">H113*E113</f>
        <v>1417299.6096000003</v>
      </c>
      <c r="J113" s="132">
        <f>I113/I116</f>
        <v>0.25116013649795704</v>
      </c>
      <c r="K113" s="132"/>
      <c r="L113" s="171">
        <v>7.3</v>
      </c>
      <c r="M113" s="130">
        <f t="shared" ref="M113:M115" si="112">L113*E113</f>
        <v>1482276.0960000004</v>
      </c>
      <c r="N113" s="130">
        <f t="shared" ref="N113" si="113">M113-I113</f>
        <v>64976.486400000053</v>
      </c>
      <c r="O113" s="131">
        <f t="shared" ref="O113" si="114">IF(I113=0,0,N113/I113)</f>
        <v>4.5845272206303751E-2</v>
      </c>
      <c r="P113" s="131">
        <f t="shared" ref="P113" si="115">M113/M$116</f>
        <v>0.25479841728082531</v>
      </c>
      <c r="Q113" s="133">
        <f t="shared" ref="Q113" si="116">P113-J113</f>
        <v>3.638280782868264E-3</v>
      </c>
      <c r="R113" s="133"/>
      <c r="T113" s="5">
        <f t="shared" ref="T113" si="117">L113/H113-1</f>
        <v>4.5845272206303633E-2</v>
      </c>
    </row>
    <row r="114" spans="1:22" x14ac:dyDescent="0.25">
      <c r="A114" s="33">
        <f>A112+1</f>
        <v>107</v>
      </c>
      <c r="B114" s="166" t="s">
        <v>124</v>
      </c>
      <c r="C114" s="29"/>
      <c r="D114" s="2" t="s">
        <v>109</v>
      </c>
      <c r="E114" s="128">
        <f>E113-(7000*12)</f>
        <v>119051.52000000005</v>
      </c>
      <c r="F114" s="114">
        <v>-4.2</v>
      </c>
      <c r="G114" s="165">
        <v>-348816.38400000019</v>
      </c>
      <c r="H114" s="114">
        <v>-5.6</v>
      </c>
      <c r="I114" s="130">
        <f t="shared" si="111"/>
        <v>-666688.51200000022</v>
      </c>
      <c r="J114" s="132">
        <f>I114/I116</f>
        <v>-0.11814409355746421</v>
      </c>
      <c r="K114" s="132"/>
      <c r="L114" s="129">
        <f>H114</f>
        <v>-5.6</v>
      </c>
      <c r="M114" s="130">
        <f t="shared" si="112"/>
        <v>-666688.51200000022</v>
      </c>
      <c r="N114" s="130">
        <f t="shared" ref="N114:N119" si="118">M114-I114</f>
        <v>0</v>
      </c>
      <c r="O114" s="131">
        <f t="shared" ref="O114:O115" si="119">IF(I114=0,0,N114/I114)</f>
        <v>0</v>
      </c>
      <c r="P114" s="131">
        <f t="shared" ref="P114:P115" si="120">M114/M$116</f>
        <v>-0.11460157668015751</v>
      </c>
      <c r="Q114" s="133">
        <f t="shared" ref="Q114:Q116" si="121">P114-J114</f>
        <v>3.5425168773066951E-3</v>
      </c>
      <c r="R114" s="133"/>
      <c r="T114" s="5">
        <f t="shared" si="110"/>
        <v>0</v>
      </c>
      <c r="V114" s="103" t="s">
        <v>126</v>
      </c>
    </row>
    <row r="115" spans="1:22" x14ac:dyDescent="0.25">
      <c r="A115" s="33">
        <f t="shared" si="86"/>
        <v>108</v>
      </c>
      <c r="B115" s="166" t="s">
        <v>125</v>
      </c>
      <c r="C115" s="29"/>
      <c r="D115" s="2" t="s">
        <v>54</v>
      </c>
      <c r="E115" s="128">
        <v>123042383</v>
      </c>
      <c r="F115" s="155">
        <v>4.5886000000000003E-2</v>
      </c>
      <c r="G115" s="165">
        <v>5645921.7199999988</v>
      </c>
      <c r="H115" s="156">
        <v>3.9230000000000001E-2</v>
      </c>
      <c r="I115" s="130">
        <f t="shared" si="111"/>
        <v>4826952.6850899998</v>
      </c>
      <c r="J115" s="131">
        <f>I115/I116</f>
        <v>0.85538589515207641</v>
      </c>
      <c r="K115" s="132"/>
      <c r="L115" s="172">
        <f>ROUND(H115*V115,6)</f>
        <v>4.0092999999999997E-2</v>
      </c>
      <c r="M115" s="130">
        <f t="shared" si="112"/>
        <v>4933138.2616189998</v>
      </c>
      <c r="N115" s="130">
        <f t="shared" si="118"/>
        <v>106185.57652899995</v>
      </c>
      <c r="O115" s="131">
        <f t="shared" si="119"/>
        <v>2.1998470558246233E-2</v>
      </c>
      <c r="P115" s="131">
        <f t="shared" si="120"/>
        <v>0.84799034719642585</v>
      </c>
      <c r="Q115" s="133">
        <f t="shared" si="121"/>
        <v>-7.395547955650561E-3</v>
      </c>
      <c r="R115" s="133"/>
      <c r="T115" s="5">
        <f t="shared" si="110"/>
        <v>2.1998470558246108E-2</v>
      </c>
      <c r="V115" s="103">
        <v>1.02199</v>
      </c>
    </row>
    <row r="116" spans="1:22" s="6" customFormat="1" ht="20.399999999999999" customHeight="1" x14ac:dyDescent="0.3">
      <c r="A116" s="33">
        <f t="shared" si="86"/>
        <v>109</v>
      </c>
      <c r="B116" s="99"/>
      <c r="C116" s="34"/>
      <c r="D116" s="18" t="s">
        <v>6</v>
      </c>
      <c r="E116" s="136"/>
      <c r="F116" s="136"/>
      <c r="G116" s="19">
        <f>SUM(G112:G115)</f>
        <v>6431036.5759999985</v>
      </c>
      <c r="H116" s="136"/>
      <c r="I116" s="137">
        <f>SUM(I112:I115)</f>
        <v>5643011.7826899998</v>
      </c>
      <c r="J116" s="138">
        <f>SUM(J112:J115)</f>
        <v>1</v>
      </c>
      <c r="K116" s="139">
        <f>I116+Summary!I18</f>
        <v>5817423.7826899998</v>
      </c>
      <c r="L116" s="136"/>
      <c r="M116" s="19">
        <f>SUM(M112:M115)</f>
        <v>5817446.2456189999</v>
      </c>
      <c r="N116" s="19">
        <f>SUM(N112:N115)</f>
        <v>174434.462929</v>
      </c>
      <c r="O116" s="138">
        <f t="shared" ref="O116" si="122">N116/I116</f>
        <v>3.0911589350934836E-2</v>
      </c>
      <c r="P116" s="138">
        <f>SUM(P112:P115)</f>
        <v>1</v>
      </c>
      <c r="Q116" s="140">
        <f t="shared" si="121"/>
        <v>0</v>
      </c>
      <c r="R116" s="137">
        <f>M116-K116</f>
        <v>22.462929000146687</v>
      </c>
      <c r="S116" s="6">
        <f>K116/I116</f>
        <v>1.0309076086877951</v>
      </c>
    </row>
    <row r="117" spans="1:22" x14ac:dyDescent="0.25">
      <c r="A117" s="33">
        <f t="shared" si="86"/>
        <v>110</v>
      </c>
      <c r="C117" s="29"/>
      <c r="D117" s="2" t="s">
        <v>29</v>
      </c>
      <c r="G117" s="130">
        <v>-519942.84999999992</v>
      </c>
      <c r="I117" s="28">
        <f>G117+(0.00158*E115)</f>
        <v>-325535.88485999987</v>
      </c>
      <c r="K117" s="118"/>
      <c r="M117" s="130">
        <f>I117</f>
        <v>-325535.88485999987</v>
      </c>
      <c r="N117" s="130">
        <f t="shared" si="118"/>
        <v>0</v>
      </c>
      <c r="O117" s="114">
        <v>0</v>
      </c>
    </row>
    <row r="118" spans="1:22" x14ac:dyDescent="0.25">
      <c r="A118" s="33">
        <f t="shared" si="86"/>
        <v>111</v>
      </c>
      <c r="C118" s="29"/>
      <c r="D118" s="2" t="s">
        <v>30</v>
      </c>
      <c r="G118" s="130">
        <v>607766.6</v>
      </c>
      <c r="I118" s="28">
        <f t="shared" ref="I118:I120" si="123">G118</f>
        <v>607766.6</v>
      </c>
      <c r="M118" s="130">
        <f t="shared" ref="M118:M120" si="124">I118</f>
        <v>607766.6</v>
      </c>
      <c r="N118" s="130">
        <f t="shared" si="118"/>
        <v>0</v>
      </c>
      <c r="O118" s="114">
        <v>0</v>
      </c>
    </row>
    <row r="119" spans="1:22" x14ac:dyDescent="0.25">
      <c r="A119" s="33">
        <f t="shared" si="86"/>
        <v>112</v>
      </c>
      <c r="C119" s="29"/>
      <c r="D119" s="2" t="s">
        <v>32</v>
      </c>
      <c r="G119" s="130"/>
      <c r="I119" s="28">
        <f t="shared" si="123"/>
        <v>0</v>
      </c>
      <c r="M119" s="130">
        <f t="shared" si="124"/>
        <v>0</v>
      </c>
      <c r="N119" s="130">
        <f t="shared" si="118"/>
        <v>0</v>
      </c>
      <c r="O119" s="114">
        <v>0</v>
      </c>
    </row>
    <row r="120" spans="1:22" x14ac:dyDescent="0.25">
      <c r="A120" s="33">
        <f t="shared" si="86"/>
        <v>113</v>
      </c>
      <c r="C120" s="29"/>
      <c r="D120" s="2" t="s">
        <v>42</v>
      </c>
      <c r="G120" s="130"/>
      <c r="I120" s="28">
        <f t="shared" si="123"/>
        <v>0</v>
      </c>
      <c r="M120" s="130">
        <f t="shared" si="124"/>
        <v>0</v>
      </c>
      <c r="N120" s="130"/>
      <c r="O120" s="114"/>
    </row>
    <row r="121" spans="1:22" x14ac:dyDescent="0.25">
      <c r="A121" s="33">
        <f t="shared" si="86"/>
        <v>114</v>
      </c>
      <c r="C121" s="29"/>
      <c r="D121" s="14" t="s">
        <v>8</v>
      </c>
      <c r="E121" s="143"/>
      <c r="F121" s="143"/>
      <c r="G121" s="144">
        <f>SUM(G117:G120)</f>
        <v>87823.750000000058</v>
      </c>
      <c r="H121" s="143"/>
      <c r="I121" s="144">
        <f>SUM(I117:I120)</f>
        <v>282230.7151400001</v>
      </c>
      <c r="J121" s="143"/>
      <c r="K121" s="145"/>
      <c r="L121" s="143"/>
      <c r="M121" s="144">
        <f>SUM(M117:M120)</f>
        <v>282230.7151400001</v>
      </c>
      <c r="N121" s="144">
        <f t="shared" ref="N121:N122" si="125">M121-I121</f>
        <v>0</v>
      </c>
      <c r="O121" s="146">
        <f t="shared" ref="O121" si="126">N121-J121</f>
        <v>0</v>
      </c>
    </row>
    <row r="122" spans="1:22" s="6" customFormat="1" ht="26.4" customHeight="1" thickBot="1" x14ac:dyDescent="0.3">
      <c r="A122" s="33">
        <f t="shared" si="86"/>
        <v>115</v>
      </c>
      <c r="C122" s="34"/>
      <c r="D122" s="7" t="s">
        <v>19</v>
      </c>
      <c r="E122" s="147"/>
      <c r="F122" s="147"/>
      <c r="G122" s="148">
        <f>G116+G121</f>
        <v>6518860.3259999985</v>
      </c>
      <c r="H122" s="147"/>
      <c r="I122" s="149">
        <f>I121+I116</f>
        <v>5925242.4978299998</v>
      </c>
      <c r="J122" s="147"/>
      <c r="K122" s="150"/>
      <c r="L122" s="147"/>
      <c r="M122" s="148">
        <f>M121+M116</f>
        <v>6099676.9607589999</v>
      </c>
      <c r="N122" s="148">
        <f t="shared" si="125"/>
        <v>174434.46292900015</v>
      </c>
      <c r="O122" s="151">
        <f>N122/I122</f>
        <v>2.943921079903198E-2</v>
      </c>
      <c r="P122" s="90"/>
      <c r="Q122" s="90"/>
      <c r="R122" s="90"/>
    </row>
    <row r="123" spans="1:22" ht="13.8" thickTop="1" x14ac:dyDescent="0.25">
      <c r="A123" s="33">
        <f t="shared" si="86"/>
        <v>116</v>
      </c>
      <c r="E123" s="114">
        <f>E115/E112</f>
        <v>10253531.916666666</v>
      </c>
      <c r="G123" s="152">
        <f>G122/E112</f>
        <v>543238.36049999984</v>
      </c>
      <c r="I123" s="152">
        <f>I122/E112</f>
        <v>493770.20815249998</v>
      </c>
      <c r="M123" s="152">
        <f>M122/E112</f>
        <v>508306.41339658335</v>
      </c>
      <c r="N123" s="152">
        <f>M123-I123</f>
        <v>14536.205244083365</v>
      </c>
      <c r="O123" s="131"/>
    </row>
    <row r="124" spans="1:22" x14ac:dyDescent="0.25">
      <c r="A124" s="33">
        <f t="shared" si="86"/>
        <v>117</v>
      </c>
    </row>
    <row r="125" spans="1:22" x14ac:dyDescent="0.25">
      <c r="A125" s="33">
        <f t="shared" si="86"/>
        <v>118</v>
      </c>
      <c r="B125" s="20"/>
      <c r="C125" s="21"/>
      <c r="D125" s="20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</row>
    <row r="126" spans="1:22" x14ac:dyDescent="0.25">
      <c r="A126" s="33">
        <f t="shared" si="86"/>
        <v>119</v>
      </c>
    </row>
    <row r="127" spans="1:22" s="6" customFormat="1" ht="19.95" customHeight="1" x14ac:dyDescent="0.3">
      <c r="A127" s="33">
        <f t="shared" si="86"/>
        <v>120</v>
      </c>
      <c r="B127" s="6" t="s">
        <v>31</v>
      </c>
      <c r="C127" s="34"/>
      <c r="D127" s="18" t="s">
        <v>6</v>
      </c>
      <c r="E127" s="136"/>
      <c r="F127" s="136"/>
      <c r="G127" s="158">
        <f>G10+G22+G35+G48+G62+G103+G116</f>
        <v>68777039.443810001</v>
      </c>
      <c r="H127" s="158"/>
      <c r="I127" s="158">
        <f>I10+I22+I35+I48+I62+I103+I116</f>
        <v>66159326.648000002</v>
      </c>
      <c r="J127" s="136"/>
      <c r="K127" s="159"/>
      <c r="L127" s="136"/>
      <c r="M127" s="158">
        <f>M10+M22+M35+M48+M62+M103+M116</f>
        <v>68648958.582681686</v>
      </c>
      <c r="N127" s="158">
        <f>N10+N22+N35+N48+N62+N103+N116</f>
        <v>2489631.9346816787</v>
      </c>
      <c r="O127" s="138">
        <f>N127/I127</f>
        <v>3.7630853589664524E-2</v>
      </c>
      <c r="P127" s="160"/>
      <c r="Q127" s="160"/>
      <c r="R127" s="160"/>
    </row>
    <row r="128" spans="1:22" x14ac:dyDescent="0.25">
      <c r="A128" s="33">
        <f t="shared" si="86"/>
        <v>121</v>
      </c>
      <c r="C128" s="29"/>
      <c r="D128" s="2" t="s">
        <v>29</v>
      </c>
      <c r="G128" s="28">
        <f>G11+G23+G36+G49+G63+G104+G117</f>
        <v>-3247192.41</v>
      </c>
      <c r="H128" s="28"/>
      <c r="I128" s="28">
        <f>I11+I23+I36+I49+I63+I104+I117</f>
        <v>-2090947.1179199999</v>
      </c>
      <c r="M128" s="28">
        <f t="shared" ref="M128:N128" si="127">M11+M23+M36+M49+M63+M104+M117</f>
        <v>-2090947.1179199999</v>
      </c>
      <c r="N128" s="28">
        <f t="shared" si="127"/>
        <v>0</v>
      </c>
    </row>
    <row r="129" spans="1:20" x14ac:dyDescent="0.25">
      <c r="A129" s="33">
        <f t="shared" si="86"/>
        <v>122</v>
      </c>
      <c r="C129" s="29"/>
      <c r="D129" s="2" t="s">
        <v>30</v>
      </c>
      <c r="G129" s="28">
        <f>G12+G24+G37+G50+G64+G105+G118</f>
        <v>7017701.9900000002</v>
      </c>
      <c r="H129" s="28"/>
      <c r="I129" s="28">
        <f>I12+I24+I37+I50+I64+I105+I118</f>
        <v>7017701.9900000002</v>
      </c>
      <c r="M129" s="28">
        <f t="shared" ref="M129:N129" si="128">M12+M24+M37+M50+M64+M105+M118</f>
        <v>7017701.9900000002</v>
      </c>
      <c r="N129" s="28">
        <f t="shared" si="128"/>
        <v>0</v>
      </c>
    </row>
    <row r="130" spans="1:20" x14ac:dyDescent="0.25">
      <c r="A130" s="33">
        <f t="shared" si="86"/>
        <v>123</v>
      </c>
      <c r="C130" s="29"/>
      <c r="D130" s="2" t="s">
        <v>32</v>
      </c>
      <c r="G130" s="28">
        <f>G13+G25+G38+G51+G65+G106+G119</f>
        <v>82347.89</v>
      </c>
      <c r="H130" s="28"/>
      <c r="I130" s="28">
        <f>I13+I25+I38+I51+I65+I106+I119</f>
        <v>82347.89</v>
      </c>
      <c r="M130" s="28">
        <f t="shared" ref="M130:N130" si="129">M13+M25+M38+M51+M65+M106+M119</f>
        <v>82347.89</v>
      </c>
      <c r="N130" s="28">
        <f t="shared" si="129"/>
        <v>0</v>
      </c>
    </row>
    <row r="131" spans="1:20" x14ac:dyDescent="0.25">
      <c r="A131" s="33">
        <f t="shared" si="86"/>
        <v>124</v>
      </c>
      <c r="C131" s="29"/>
      <c r="D131" s="2" t="s">
        <v>42</v>
      </c>
      <c r="G131" s="28">
        <f>G14+G26+G39+G52+G66+G107+G120</f>
        <v>0</v>
      </c>
      <c r="I131" s="28">
        <f>I14+I26+I39+I52+I66+I107+I120</f>
        <v>0</v>
      </c>
      <c r="M131" s="28">
        <f t="shared" ref="M131:N131" si="130">M14+M26+M39+M52+M66+M107+M120</f>
        <v>0</v>
      </c>
      <c r="N131" s="28">
        <f t="shared" si="130"/>
        <v>0</v>
      </c>
      <c r="O131" s="114"/>
    </row>
    <row r="132" spans="1:20" x14ac:dyDescent="0.25">
      <c r="A132" s="33">
        <f t="shared" si="86"/>
        <v>125</v>
      </c>
      <c r="C132" s="29"/>
      <c r="D132" s="14" t="s">
        <v>8</v>
      </c>
      <c r="E132" s="143"/>
      <c r="F132" s="143"/>
      <c r="G132" s="161">
        <f>SUM(G128:G131)</f>
        <v>3852857.47</v>
      </c>
      <c r="H132" s="161"/>
      <c r="I132" s="161">
        <f>SUM(I128:I131)</f>
        <v>5009102.7620799998</v>
      </c>
      <c r="J132" s="143"/>
      <c r="K132" s="145"/>
      <c r="L132" s="143"/>
      <c r="M132" s="161">
        <f>SUM(M128:M131)</f>
        <v>5009102.7620799998</v>
      </c>
      <c r="N132" s="161">
        <f>SUM(N128:N131)</f>
        <v>0</v>
      </c>
      <c r="O132" s="143"/>
    </row>
    <row r="133" spans="1:20" s="6" customFormat="1" ht="21" customHeight="1" thickBot="1" x14ac:dyDescent="0.35">
      <c r="A133" s="33">
        <f t="shared" si="86"/>
        <v>126</v>
      </c>
      <c r="C133" s="34"/>
      <c r="D133" s="7" t="s">
        <v>19</v>
      </c>
      <c r="E133" s="147"/>
      <c r="F133" s="147"/>
      <c r="G133" s="149">
        <f>G132+G127</f>
        <v>72629896.91381</v>
      </c>
      <c r="H133" s="149"/>
      <c r="I133" s="149">
        <f>I132+I127</f>
        <v>71168429.410080001</v>
      </c>
      <c r="J133" s="147"/>
      <c r="K133" s="150"/>
      <c r="L133" s="147"/>
      <c r="M133" s="149">
        <f>M132+M127</f>
        <v>73658061.344761685</v>
      </c>
      <c r="N133" s="149">
        <f>N132+N127</f>
        <v>2489631.9346816787</v>
      </c>
      <c r="O133" s="151">
        <f>N133/I133</f>
        <v>3.4982252036730457E-2</v>
      </c>
      <c r="P133" s="160"/>
      <c r="Q133" s="160"/>
      <c r="R133" s="160"/>
    </row>
    <row r="134" spans="1:20" ht="13.8" thickTop="1" x14ac:dyDescent="0.25">
      <c r="A134" s="33">
        <f t="shared" si="86"/>
        <v>127</v>
      </c>
      <c r="C134" s="29"/>
    </row>
    <row r="135" spans="1:20" x14ac:dyDescent="0.25">
      <c r="A135" s="33">
        <f t="shared" si="86"/>
        <v>128</v>
      </c>
      <c r="D135" s="2" t="s">
        <v>40</v>
      </c>
      <c r="N135" s="28">
        <f>N133-Summary!L4</f>
        <v>1350.9346816786565</v>
      </c>
    </row>
    <row r="136" spans="1:20" x14ac:dyDescent="0.25">
      <c r="A136" s="33">
        <f>A135+1</f>
        <v>129</v>
      </c>
      <c r="N136" s="28"/>
    </row>
    <row r="137" spans="1:20" x14ac:dyDescent="0.25">
      <c r="A137" s="33">
        <f t="shared" ref="A137:A167" si="131">A136+1</f>
        <v>130</v>
      </c>
      <c r="B137" s="1" t="s">
        <v>108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162"/>
      <c r="O137" s="157"/>
      <c r="P137" s="157"/>
      <c r="Q137" s="157"/>
      <c r="R137" s="157"/>
    </row>
    <row r="138" spans="1:20" ht="13.8" thickBot="1" x14ac:dyDescent="0.3">
      <c r="A138" s="33">
        <f t="shared" si="131"/>
        <v>131</v>
      </c>
      <c r="D138" s="15"/>
      <c r="E138" s="96"/>
      <c r="F138" s="96"/>
      <c r="G138" s="96"/>
      <c r="K138" s="90"/>
    </row>
    <row r="139" spans="1:20" x14ac:dyDescent="0.25">
      <c r="A139" s="33">
        <f t="shared" si="131"/>
        <v>132</v>
      </c>
      <c r="B139" s="24" t="s">
        <v>94</v>
      </c>
      <c r="C139" s="25">
        <v>7</v>
      </c>
      <c r="D139" s="24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</row>
    <row r="140" spans="1:20" ht="12.6" customHeight="1" x14ac:dyDescent="0.25">
      <c r="A140" s="33">
        <f t="shared" si="131"/>
        <v>133</v>
      </c>
      <c r="D140" s="2" t="s">
        <v>56</v>
      </c>
      <c r="E140" s="128"/>
      <c r="F140" s="114"/>
      <c r="G140" s="130"/>
      <c r="H140" s="114">
        <v>9.0399999999999991</v>
      </c>
      <c r="I140" s="130"/>
      <c r="J140" s="131"/>
      <c r="K140" s="132"/>
      <c r="L140" s="114">
        <f>S140*H140</f>
        <v>9.3801829164505666</v>
      </c>
      <c r="M140" s="130"/>
      <c r="N140" s="130"/>
      <c r="O140" s="131"/>
      <c r="P140" s="131"/>
      <c r="Q140" s="133"/>
      <c r="R140" s="133"/>
      <c r="S140" s="101">
        <f>1+O$127</f>
        <v>1.0376308535896646</v>
      </c>
      <c r="T140" s="5">
        <f t="shared" ref="T140:T141" si="132">L140/H140-1</f>
        <v>3.7630853589664559E-2</v>
      </c>
    </row>
    <row r="141" spans="1:20" ht="13.8" thickBot="1" x14ac:dyDescent="0.3">
      <c r="A141" s="33">
        <f t="shared" si="131"/>
        <v>134</v>
      </c>
      <c r="D141" s="2" t="s">
        <v>54</v>
      </c>
      <c r="E141" s="128"/>
      <c r="F141" s="135"/>
      <c r="G141" s="130"/>
      <c r="H141" s="135">
        <v>5.4800000000000001E-2</v>
      </c>
      <c r="I141" s="130"/>
      <c r="J141" s="131"/>
      <c r="K141" s="132"/>
      <c r="L141" s="135">
        <f t="shared" ref="L141:L167" si="133">S141*H141</f>
        <v>5.6862170776713621E-2</v>
      </c>
      <c r="M141" s="130"/>
      <c r="N141" s="130"/>
      <c r="O141" s="131"/>
      <c r="P141" s="131"/>
      <c r="Q141" s="133"/>
      <c r="R141" s="133"/>
      <c r="S141" s="101">
        <f t="shared" ref="S141:S154" si="134">1+O$127</f>
        <v>1.0376308535896646</v>
      </c>
      <c r="T141" s="5">
        <f t="shared" si="132"/>
        <v>3.7630853589664559E-2</v>
      </c>
    </row>
    <row r="142" spans="1:20" x14ac:dyDescent="0.25">
      <c r="A142" s="33">
        <f t="shared" si="131"/>
        <v>135</v>
      </c>
      <c r="B142" s="24" t="s">
        <v>110</v>
      </c>
      <c r="C142" s="25">
        <v>8</v>
      </c>
      <c r="D142" s="24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01"/>
    </row>
    <row r="143" spans="1:20" ht="12.6" customHeight="1" x14ac:dyDescent="0.25">
      <c r="A143" s="33">
        <f t="shared" si="131"/>
        <v>136</v>
      </c>
      <c r="D143" s="2" t="s">
        <v>56</v>
      </c>
      <c r="E143" s="128"/>
      <c r="F143" s="114"/>
      <c r="G143" s="130"/>
      <c r="H143" s="114">
        <v>8.93</v>
      </c>
      <c r="I143" s="130"/>
      <c r="J143" s="131"/>
      <c r="K143" s="132"/>
      <c r="L143" s="114">
        <f t="shared" si="133"/>
        <v>9.2660435225557034</v>
      </c>
      <c r="M143" s="130"/>
      <c r="N143" s="130"/>
      <c r="O143" s="131"/>
      <c r="P143" s="131"/>
      <c r="Q143" s="133"/>
      <c r="R143" s="133"/>
      <c r="S143" s="101">
        <f t="shared" si="134"/>
        <v>1.0376308535896646</v>
      </c>
      <c r="T143" s="5">
        <f t="shared" ref="T143:T144" si="135">L143/H143-1</f>
        <v>3.7630853589664559E-2</v>
      </c>
    </row>
    <row r="144" spans="1:20" ht="13.8" thickBot="1" x14ac:dyDescent="0.3">
      <c r="A144" s="33">
        <f t="shared" si="131"/>
        <v>137</v>
      </c>
      <c r="D144" s="2" t="s">
        <v>54</v>
      </c>
      <c r="E144" s="128"/>
      <c r="F144" s="135"/>
      <c r="G144" s="130"/>
      <c r="H144" s="135">
        <v>5.4800000000000001E-2</v>
      </c>
      <c r="I144" s="130"/>
      <c r="J144" s="131"/>
      <c r="K144" s="132"/>
      <c r="L144" s="135">
        <f t="shared" si="133"/>
        <v>5.6862170776713621E-2</v>
      </c>
      <c r="M144" s="130"/>
      <c r="N144" s="130"/>
      <c r="O144" s="131"/>
      <c r="P144" s="131"/>
      <c r="Q144" s="133"/>
      <c r="R144" s="133"/>
      <c r="S144" s="101">
        <f t="shared" si="134"/>
        <v>1.0376308535896646</v>
      </c>
      <c r="T144" s="5">
        <f t="shared" si="135"/>
        <v>3.7630853589664559E-2</v>
      </c>
    </row>
    <row r="145" spans="1:22" x14ac:dyDescent="0.25">
      <c r="A145" s="33">
        <f t="shared" si="131"/>
        <v>138</v>
      </c>
      <c r="B145" s="24" t="s">
        <v>94</v>
      </c>
      <c r="C145" s="25">
        <v>10</v>
      </c>
      <c r="D145" s="24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01"/>
    </row>
    <row r="146" spans="1:22" ht="12.6" customHeight="1" x14ac:dyDescent="0.25">
      <c r="A146" s="33">
        <f t="shared" si="131"/>
        <v>139</v>
      </c>
      <c r="D146" s="2" t="s">
        <v>113</v>
      </c>
      <c r="E146" s="128"/>
      <c r="F146" s="114"/>
      <c r="G146" s="130"/>
      <c r="H146" s="114">
        <v>1220</v>
      </c>
      <c r="I146" s="130"/>
      <c r="J146" s="131"/>
      <c r="K146" s="132"/>
      <c r="L146" s="114">
        <f t="shared" si="133"/>
        <v>1265.9096413793907</v>
      </c>
      <c r="M146" s="130"/>
      <c r="N146" s="130"/>
      <c r="O146" s="131"/>
      <c r="P146" s="131"/>
      <c r="Q146" s="133"/>
      <c r="R146" s="133"/>
      <c r="S146" s="101">
        <f t="shared" si="134"/>
        <v>1.0376308535896646</v>
      </c>
      <c r="T146" s="5">
        <f t="shared" ref="T146:T149" si="136">L146/H146-1</f>
        <v>3.7630853589664559E-2</v>
      </c>
    </row>
    <row r="147" spans="1:22" x14ac:dyDescent="0.25">
      <c r="A147" s="33">
        <f t="shared" si="131"/>
        <v>140</v>
      </c>
      <c r="D147" s="2" t="s">
        <v>95</v>
      </c>
      <c r="E147" s="128"/>
      <c r="F147" s="135"/>
      <c r="G147" s="130"/>
      <c r="H147" s="114">
        <v>7.17</v>
      </c>
      <c r="I147" s="130"/>
      <c r="J147" s="131"/>
      <c r="K147" s="132"/>
      <c r="L147" s="114">
        <f t="shared" si="133"/>
        <v>7.4398132202378946</v>
      </c>
      <c r="M147" s="130"/>
      <c r="N147" s="130"/>
      <c r="O147" s="131"/>
      <c r="P147" s="131"/>
      <c r="Q147" s="133"/>
      <c r="R147" s="133"/>
      <c r="S147" s="101">
        <f t="shared" si="134"/>
        <v>1.0376308535896646</v>
      </c>
      <c r="T147" s="5">
        <f t="shared" si="136"/>
        <v>3.7630853589664559E-2</v>
      </c>
    </row>
    <row r="148" spans="1:22" x14ac:dyDescent="0.25">
      <c r="A148" s="33">
        <f t="shared" si="131"/>
        <v>141</v>
      </c>
      <c r="D148" s="2" t="s">
        <v>96</v>
      </c>
      <c r="E148" s="128"/>
      <c r="F148" s="135"/>
      <c r="G148" s="130"/>
      <c r="H148" s="114">
        <v>9.98</v>
      </c>
      <c r="I148" s="130"/>
      <c r="J148" s="131"/>
      <c r="K148" s="132"/>
      <c r="L148" s="114">
        <f t="shared" si="133"/>
        <v>10.355555918824853</v>
      </c>
      <c r="M148" s="130"/>
      <c r="N148" s="130"/>
      <c r="O148" s="131"/>
      <c r="P148" s="131"/>
      <c r="Q148" s="133"/>
      <c r="R148" s="133"/>
      <c r="S148" s="101">
        <f t="shared" si="134"/>
        <v>1.0376308535896646</v>
      </c>
      <c r="T148" s="5">
        <f t="shared" si="136"/>
        <v>3.7630853589664559E-2</v>
      </c>
    </row>
    <row r="149" spans="1:22" ht="13.8" thickBot="1" x14ac:dyDescent="0.3">
      <c r="A149" s="33">
        <f t="shared" si="131"/>
        <v>142</v>
      </c>
      <c r="D149" s="2" t="s">
        <v>54</v>
      </c>
      <c r="E149" s="128"/>
      <c r="F149" s="135"/>
      <c r="G149" s="130"/>
      <c r="H149" s="135">
        <v>4.5589999999999999E-2</v>
      </c>
      <c r="I149" s="130"/>
      <c r="J149" s="131"/>
      <c r="K149" s="132"/>
      <c r="L149" s="135">
        <f t="shared" si="133"/>
        <v>4.7305590615152805E-2</v>
      </c>
      <c r="M149" s="130"/>
      <c r="N149" s="130"/>
      <c r="O149" s="131"/>
      <c r="P149" s="131"/>
      <c r="Q149" s="133"/>
      <c r="R149" s="133"/>
      <c r="S149" s="101">
        <f t="shared" si="134"/>
        <v>1.0376308535896646</v>
      </c>
      <c r="T149" s="5">
        <f t="shared" si="136"/>
        <v>3.7630853589664559E-2</v>
      </c>
    </row>
    <row r="150" spans="1:22" x14ac:dyDescent="0.25">
      <c r="A150" s="33">
        <f t="shared" si="131"/>
        <v>143</v>
      </c>
      <c r="B150" s="24" t="s">
        <v>94</v>
      </c>
      <c r="C150" s="25">
        <v>11</v>
      </c>
      <c r="D150" s="24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01"/>
    </row>
    <row r="151" spans="1:22" ht="12.6" customHeight="1" x14ac:dyDescent="0.25">
      <c r="A151" s="33">
        <f t="shared" si="131"/>
        <v>144</v>
      </c>
      <c r="D151" s="2" t="s">
        <v>116</v>
      </c>
      <c r="E151" s="128"/>
      <c r="F151" s="114"/>
      <c r="G151" s="130"/>
      <c r="H151" s="114">
        <v>1219.8399999999999</v>
      </c>
      <c r="I151" s="130"/>
      <c r="J151" s="131"/>
      <c r="K151" s="132"/>
      <c r="L151" s="114">
        <f t="shared" si="133"/>
        <v>1265.7436204428163</v>
      </c>
      <c r="M151" s="130"/>
      <c r="N151" s="130"/>
      <c r="O151" s="131"/>
      <c r="P151" s="131"/>
      <c r="Q151" s="133"/>
      <c r="R151" s="133"/>
      <c r="S151" s="101">
        <f t="shared" si="134"/>
        <v>1.0376308535896646</v>
      </c>
      <c r="T151" s="5">
        <f t="shared" ref="T151:T154" si="137">L151/H151-1</f>
        <v>3.7630853589664559E-2</v>
      </c>
    </row>
    <row r="152" spans="1:22" x14ac:dyDescent="0.25">
      <c r="A152" s="33">
        <f t="shared" si="131"/>
        <v>145</v>
      </c>
      <c r="D152" s="2" t="s">
        <v>112</v>
      </c>
      <c r="E152" s="128"/>
      <c r="F152" s="135"/>
      <c r="G152" s="130"/>
      <c r="H152" s="114">
        <v>6.14</v>
      </c>
      <c r="I152" s="130"/>
      <c r="J152" s="131"/>
      <c r="K152" s="132"/>
      <c r="L152" s="129">
        <f>L59</f>
        <v>6.37</v>
      </c>
      <c r="M152" s="130"/>
      <c r="N152" s="130"/>
      <c r="O152" s="131"/>
      <c r="P152" s="131"/>
      <c r="Q152" s="133"/>
      <c r="R152" s="133"/>
      <c r="S152" s="101">
        <f t="shared" si="134"/>
        <v>1.0376308535896646</v>
      </c>
      <c r="T152" s="5">
        <f t="shared" si="137"/>
        <v>3.7459283387622166E-2</v>
      </c>
      <c r="V152" s="2" t="s">
        <v>118</v>
      </c>
    </row>
    <row r="153" spans="1:22" x14ac:dyDescent="0.25">
      <c r="A153" s="33">
        <f t="shared" si="131"/>
        <v>146</v>
      </c>
      <c r="D153" s="2" t="s">
        <v>117</v>
      </c>
      <c r="E153" s="128"/>
      <c r="F153" s="135"/>
      <c r="G153" s="130"/>
      <c r="H153" s="114">
        <v>8.93</v>
      </c>
      <c r="I153" s="130"/>
      <c r="J153" s="131"/>
      <c r="K153" s="132"/>
      <c r="L153" s="129">
        <f t="shared" si="133"/>
        <v>9.2660435225557034</v>
      </c>
      <c r="M153" s="130"/>
      <c r="N153" s="130"/>
      <c r="O153" s="131"/>
      <c r="P153" s="131"/>
      <c r="Q153" s="133"/>
      <c r="R153" s="133"/>
      <c r="S153" s="101">
        <f t="shared" si="134"/>
        <v>1.0376308535896646</v>
      </c>
      <c r="T153" s="5">
        <f t="shared" si="137"/>
        <v>3.7630853589664559E-2</v>
      </c>
    </row>
    <row r="154" spans="1:22" ht="13.8" thickBot="1" x14ac:dyDescent="0.3">
      <c r="A154" s="33">
        <f t="shared" si="131"/>
        <v>147</v>
      </c>
      <c r="D154" s="2" t="s">
        <v>54</v>
      </c>
      <c r="E154" s="128"/>
      <c r="F154" s="135"/>
      <c r="G154" s="130"/>
      <c r="H154" s="135">
        <v>4.5879999999999997E-2</v>
      </c>
      <c r="I154" s="130"/>
      <c r="J154" s="131"/>
      <c r="K154" s="132"/>
      <c r="L154" s="156">
        <f t="shared" si="133"/>
        <v>4.760650356269381E-2</v>
      </c>
      <c r="M154" s="130"/>
      <c r="N154" s="130"/>
      <c r="O154" s="131"/>
      <c r="P154" s="131"/>
      <c r="Q154" s="133"/>
      <c r="R154" s="133"/>
      <c r="S154" s="101">
        <f t="shared" si="134"/>
        <v>1.0376308535896646</v>
      </c>
      <c r="T154" s="5">
        <f t="shared" si="137"/>
        <v>3.7630853589664559E-2</v>
      </c>
    </row>
    <row r="155" spans="1:22" x14ac:dyDescent="0.25">
      <c r="A155" s="33">
        <f t="shared" si="131"/>
        <v>148</v>
      </c>
      <c r="B155" s="24" t="s">
        <v>115</v>
      </c>
      <c r="C155" s="25">
        <v>12</v>
      </c>
      <c r="D155" s="24"/>
      <c r="E155" s="126"/>
      <c r="F155" s="126"/>
      <c r="G155" s="126"/>
      <c r="H155" s="126"/>
      <c r="I155" s="126"/>
      <c r="J155" s="126"/>
      <c r="K155" s="126"/>
      <c r="L155" s="127"/>
      <c r="M155" s="126"/>
      <c r="N155" s="126"/>
      <c r="O155" s="126"/>
      <c r="P155" s="126"/>
      <c r="Q155" s="126"/>
      <c r="R155" s="126"/>
      <c r="S155" s="101"/>
    </row>
    <row r="156" spans="1:22" ht="12.6" customHeight="1" x14ac:dyDescent="0.25">
      <c r="A156" s="33">
        <f t="shared" si="131"/>
        <v>149</v>
      </c>
      <c r="D156" s="2" t="s">
        <v>111</v>
      </c>
      <c r="E156" s="128"/>
      <c r="F156" s="114"/>
      <c r="G156" s="130"/>
      <c r="H156" s="114">
        <v>1219.8399999999999</v>
      </c>
      <c r="I156" s="130"/>
      <c r="J156" s="131"/>
      <c r="K156" s="132"/>
      <c r="L156" s="129">
        <f t="shared" si="133"/>
        <v>1265.7436204428163</v>
      </c>
      <c r="M156" s="130"/>
      <c r="N156" s="130"/>
      <c r="O156" s="131"/>
      <c r="P156" s="131"/>
      <c r="Q156" s="133"/>
      <c r="R156" s="133"/>
      <c r="S156" s="101">
        <f t="shared" ref="S156:S159" si="138">1+O$127</f>
        <v>1.0376308535896646</v>
      </c>
      <c r="T156" s="5">
        <f t="shared" ref="T156:T159" si="139">L156/H156-1</f>
        <v>3.7630853589664559E-2</v>
      </c>
    </row>
    <row r="157" spans="1:22" x14ac:dyDescent="0.25">
      <c r="A157" s="33">
        <f t="shared" si="131"/>
        <v>150</v>
      </c>
      <c r="D157" s="2" t="s">
        <v>114</v>
      </c>
      <c r="E157" s="128"/>
      <c r="F157" s="135"/>
      <c r="G157" s="130"/>
      <c r="H157" s="114">
        <v>610.48</v>
      </c>
      <c r="I157" s="130"/>
      <c r="J157" s="131"/>
      <c r="K157" s="132"/>
      <c r="L157" s="129">
        <f t="shared" si="133"/>
        <v>633.45288349941848</v>
      </c>
      <c r="M157" s="130"/>
      <c r="N157" s="130"/>
      <c r="O157" s="131"/>
      <c r="P157" s="131"/>
      <c r="Q157" s="133"/>
      <c r="R157" s="133"/>
      <c r="S157" s="101">
        <f t="shared" si="138"/>
        <v>1.0376308535896646</v>
      </c>
      <c r="T157" s="5">
        <f t="shared" si="139"/>
        <v>3.7630853589664559E-2</v>
      </c>
    </row>
    <row r="158" spans="1:22" x14ac:dyDescent="0.25">
      <c r="A158" s="33">
        <f t="shared" si="131"/>
        <v>151</v>
      </c>
      <c r="D158" s="2" t="s">
        <v>112</v>
      </c>
      <c r="E158" s="128"/>
      <c r="F158" s="135"/>
      <c r="G158" s="130"/>
      <c r="H158" s="114">
        <v>6.14</v>
      </c>
      <c r="I158" s="130"/>
      <c r="J158" s="131"/>
      <c r="K158" s="132"/>
      <c r="L158" s="129">
        <f>L152</f>
        <v>6.37</v>
      </c>
      <c r="M158" s="130"/>
      <c r="N158" s="130"/>
      <c r="O158" s="131"/>
      <c r="P158" s="131"/>
      <c r="Q158" s="133"/>
      <c r="R158" s="133"/>
      <c r="S158" s="101">
        <f t="shared" si="138"/>
        <v>1.0376308535896646</v>
      </c>
      <c r="T158" s="5">
        <f t="shared" si="139"/>
        <v>3.7459283387622166E-2</v>
      </c>
      <c r="V158" s="2" t="s">
        <v>118</v>
      </c>
    </row>
    <row r="159" spans="1:22" ht="13.8" thickBot="1" x14ac:dyDescent="0.3">
      <c r="A159" s="33">
        <f t="shared" si="131"/>
        <v>152</v>
      </c>
      <c r="D159" s="2" t="s">
        <v>54</v>
      </c>
      <c r="E159" s="128"/>
      <c r="F159" s="114"/>
      <c r="G159" s="130"/>
      <c r="H159" s="163">
        <v>5.2720000000000003E-2</v>
      </c>
      <c r="I159" s="130"/>
      <c r="J159" s="131"/>
      <c r="K159" s="132"/>
      <c r="L159" s="134">
        <f t="shared" si="133"/>
        <v>5.4703898601247115E-2</v>
      </c>
      <c r="M159" s="130"/>
      <c r="N159" s="130"/>
      <c r="O159" s="131"/>
      <c r="P159" s="131"/>
      <c r="Q159" s="133"/>
      <c r="R159" s="133"/>
      <c r="S159" s="101">
        <f t="shared" si="138"/>
        <v>1.0376308535896646</v>
      </c>
      <c r="T159" s="5">
        <f t="shared" si="139"/>
        <v>3.7630853589664559E-2</v>
      </c>
    </row>
    <row r="160" spans="1:22" x14ac:dyDescent="0.25">
      <c r="A160" s="33">
        <f t="shared" si="131"/>
        <v>153</v>
      </c>
      <c r="B160" s="24" t="s">
        <v>115</v>
      </c>
      <c r="C160" s="25">
        <v>13</v>
      </c>
      <c r="D160" s="24"/>
      <c r="E160" s="126"/>
      <c r="F160" s="126"/>
      <c r="G160" s="126"/>
      <c r="H160" s="126"/>
      <c r="I160" s="126"/>
      <c r="J160" s="126"/>
      <c r="K160" s="126"/>
      <c r="L160" s="127"/>
      <c r="M160" s="126"/>
      <c r="N160" s="126"/>
      <c r="O160" s="126"/>
      <c r="P160" s="126"/>
      <c r="Q160" s="126"/>
      <c r="R160" s="126"/>
      <c r="S160" s="101"/>
    </row>
    <row r="161" spans="1:22" ht="12.6" customHeight="1" x14ac:dyDescent="0.25">
      <c r="A161" s="33">
        <f t="shared" si="131"/>
        <v>154</v>
      </c>
      <c r="D161" s="2" t="s">
        <v>17</v>
      </c>
      <c r="E161" s="128"/>
      <c r="F161" s="114"/>
      <c r="G161" s="130"/>
      <c r="H161" s="114">
        <v>1219.8399999999999</v>
      </c>
      <c r="I161" s="130"/>
      <c r="J161" s="131"/>
      <c r="K161" s="132"/>
      <c r="L161" s="129">
        <f t="shared" si="133"/>
        <v>1265.7436204428163</v>
      </c>
      <c r="M161" s="130"/>
      <c r="N161" s="130"/>
      <c r="O161" s="131"/>
      <c r="P161" s="131"/>
      <c r="Q161" s="133"/>
      <c r="R161" s="133"/>
      <c r="S161" s="101">
        <f t="shared" ref="S161:S163" si="140">1+O$127</f>
        <v>1.0376308535896646</v>
      </c>
      <c r="T161" s="5">
        <f t="shared" ref="T161:T163" si="141">L161/H161-1</f>
        <v>3.7630853589664559E-2</v>
      </c>
    </row>
    <row r="162" spans="1:22" x14ac:dyDescent="0.25">
      <c r="A162" s="33">
        <f t="shared" si="131"/>
        <v>155</v>
      </c>
      <c r="D162" s="2" t="s">
        <v>56</v>
      </c>
      <c r="E162" s="128"/>
      <c r="F162" s="135"/>
      <c r="G162" s="130"/>
      <c r="H162" s="114">
        <v>6.14</v>
      </c>
      <c r="I162" s="130"/>
      <c r="J162" s="131"/>
      <c r="K162" s="132"/>
      <c r="L162" s="129">
        <f>L152</f>
        <v>6.37</v>
      </c>
      <c r="M162" s="130"/>
      <c r="N162" s="130"/>
      <c r="O162" s="131"/>
      <c r="P162" s="131"/>
      <c r="Q162" s="133"/>
      <c r="R162" s="133"/>
      <c r="S162" s="101">
        <f t="shared" si="140"/>
        <v>1.0376308535896646</v>
      </c>
      <c r="T162" s="5">
        <f t="shared" si="141"/>
        <v>3.7459283387622166E-2</v>
      </c>
      <c r="V162" s="2" t="s">
        <v>118</v>
      </c>
    </row>
    <row r="163" spans="1:22" ht="13.8" thickBot="1" x14ac:dyDescent="0.3">
      <c r="A163" s="33">
        <f t="shared" si="131"/>
        <v>156</v>
      </c>
      <c r="D163" s="2" t="s">
        <v>54</v>
      </c>
      <c r="E163" s="128"/>
      <c r="F163" s="135"/>
      <c r="G163" s="130"/>
      <c r="H163" s="163">
        <v>4.7019999999999999E-2</v>
      </c>
      <c r="I163" s="130"/>
      <c r="J163" s="131"/>
      <c r="K163" s="132"/>
      <c r="L163" s="134">
        <f t="shared" si="133"/>
        <v>4.8789402735786025E-2</v>
      </c>
      <c r="M163" s="130"/>
      <c r="N163" s="130"/>
      <c r="O163" s="131"/>
      <c r="P163" s="131"/>
      <c r="Q163" s="133"/>
      <c r="R163" s="133"/>
      <c r="S163" s="101">
        <f t="shared" si="140"/>
        <v>1.0376308535896646</v>
      </c>
      <c r="T163" s="5">
        <f t="shared" si="141"/>
        <v>3.7630853589664559E-2</v>
      </c>
    </row>
    <row r="164" spans="1:22" x14ac:dyDescent="0.25">
      <c r="A164" s="33">
        <f t="shared" si="131"/>
        <v>157</v>
      </c>
      <c r="B164" s="24" t="s">
        <v>115</v>
      </c>
      <c r="C164" s="25">
        <v>14</v>
      </c>
      <c r="D164" s="24"/>
      <c r="E164" s="126"/>
      <c r="F164" s="126"/>
      <c r="G164" s="126"/>
      <c r="H164" s="126"/>
      <c r="I164" s="126"/>
      <c r="J164" s="126"/>
      <c r="K164" s="126"/>
      <c r="L164" s="127"/>
      <c r="M164" s="126"/>
      <c r="N164" s="126"/>
      <c r="O164" s="126"/>
      <c r="P164" s="126"/>
      <c r="Q164" s="126"/>
      <c r="R164" s="126"/>
      <c r="S164" s="101"/>
    </row>
    <row r="165" spans="1:22" ht="12.6" customHeight="1" x14ac:dyDescent="0.25">
      <c r="A165" s="33">
        <f t="shared" si="131"/>
        <v>158</v>
      </c>
      <c r="D165" s="2" t="s">
        <v>17</v>
      </c>
      <c r="E165" s="128"/>
      <c r="F165" s="114"/>
      <c r="G165" s="130"/>
      <c r="H165" s="114">
        <v>1219.8399999999999</v>
      </c>
      <c r="I165" s="130"/>
      <c r="J165" s="131"/>
      <c r="K165" s="132"/>
      <c r="L165" s="129">
        <f t="shared" si="133"/>
        <v>1265.7436204428163</v>
      </c>
      <c r="M165" s="130"/>
      <c r="N165" s="130"/>
      <c r="O165" s="131"/>
      <c r="P165" s="131"/>
      <c r="Q165" s="133"/>
      <c r="R165" s="133"/>
      <c r="S165" s="101">
        <f t="shared" ref="S165:S167" si="142">1+O$127</f>
        <v>1.0376308535896646</v>
      </c>
      <c r="T165" s="5">
        <f t="shared" ref="T165:T167" si="143">L165/H165-1</f>
        <v>3.7630853589664559E-2</v>
      </c>
    </row>
    <row r="166" spans="1:22" x14ac:dyDescent="0.25">
      <c r="A166" s="33">
        <f t="shared" si="131"/>
        <v>159</v>
      </c>
      <c r="D166" s="2" t="s">
        <v>56</v>
      </c>
      <c r="E166" s="128"/>
      <c r="F166" s="135"/>
      <c r="G166" s="130"/>
      <c r="H166" s="114">
        <v>6.14</v>
      </c>
      <c r="I166" s="130"/>
      <c r="J166" s="131"/>
      <c r="K166" s="132"/>
      <c r="L166" s="129">
        <f>L152</f>
        <v>6.37</v>
      </c>
      <c r="M166" s="130"/>
      <c r="N166" s="130"/>
      <c r="O166" s="131"/>
      <c r="P166" s="131"/>
      <c r="Q166" s="133"/>
      <c r="R166" s="133"/>
      <c r="S166" s="101">
        <f t="shared" si="142"/>
        <v>1.0376308535896646</v>
      </c>
      <c r="T166" s="5">
        <f t="shared" si="143"/>
        <v>3.7459283387622166E-2</v>
      </c>
      <c r="V166" s="2" t="s">
        <v>118</v>
      </c>
    </row>
    <row r="167" spans="1:22" x14ac:dyDescent="0.25">
      <c r="A167" s="33">
        <f t="shared" si="131"/>
        <v>160</v>
      </c>
      <c r="D167" s="2" t="s">
        <v>54</v>
      </c>
      <c r="E167" s="128"/>
      <c r="F167" s="135"/>
      <c r="G167" s="130"/>
      <c r="H167" s="135">
        <v>4.5879999999999997E-2</v>
      </c>
      <c r="I167" s="130"/>
      <c r="J167" s="131"/>
      <c r="K167" s="132"/>
      <c r="L167" s="135">
        <f t="shared" si="133"/>
        <v>4.760650356269381E-2</v>
      </c>
      <c r="M167" s="130"/>
      <c r="N167" s="130"/>
      <c r="O167" s="131"/>
      <c r="P167" s="131"/>
      <c r="Q167" s="133"/>
      <c r="R167" s="133"/>
      <c r="S167" s="101">
        <f t="shared" si="142"/>
        <v>1.0376308535896646</v>
      </c>
      <c r="T167" s="5">
        <f t="shared" si="143"/>
        <v>3.7630853589664559E-2</v>
      </c>
    </row>
  </sheetData>
  <printOptions horizontalCentered="1"/>
  <pageMargins left="0.7" right="0.7" top="0.75" bottom="0.75" header="0.3" footer="0.3"/>
  <pageSetup scale="60" fitToHeight="7" orientation="landscape" r:id="rId1"/>
  <headerFooter>
    <oddHeader>&amp;R&amp;"Arial,Bold"&amp;10Exhibit 3
Page &amp;P of &amp;N</oddHeader>
  </headerFooter>
  <rowBreaks count="4" manualBreakCount="4">
    <brk id="43" max="17" man="1"/>
    <brk id="70" max="17" man="1"/>
    <brk id="110" max="17" man="1"/>
    <brk id="149" max="17" man="1"/>
  </rowBreaks>
  <ignoredErrors>
    <ignoredError sqref="M10 N10:N126 O10:O116 L152:L16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J113"/>
  <sheetViews>
    <sheetView view="pageBreakPreview" topLeftCell="A13" zoomScale="60" zoomScaleNormal="100" workbookViewId="0">
      <selection activeCell="L40" sqref="L40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14.33203125" style="2" bestFit="1" customWidth="1"/>
    <col min="4" max="4" width="14.33203125" style="15" bestFit="1" customWidth="1"/>
    <col min="5" max="5" width="44.77734375" style="2" bestFit="1" customWidth="1"/>
    <col min="6" max="6" width="12.6640625" style="2" customWidth="1"/>
    <col min="7" max="7" width="12.5546875" style="2" customWidth="1"/>
    <col min="8" max="16384" width="8.88671875" style="2"/>
  </cols>
  <sheetData>
    <row r="1" spans="1:10" x14ac:dyDescent="0.25">
      <c r="A1" s="1" t="str">
        <f>Summary!A1</f>
        <v>NOLIN RECC</v>
      </c>
    </row>
    <row r="2" spans="1:10" x14ac:dyDescent="0.25">
      <c r="A2" s="1" t="s">
        <v>119</v>
      </c>
    </row>
    <row r="4" spans="1:10" x14ac:dyDescent="0.25">
      <c r="C4" s="73" t="s">
        <v>101</v>
      </c>
      <c r="D4" s="72"/>
      <c r="E4" s="72" t="s">
        <v>2</v>
      </c>
      <c r="F4" s="76" t="s">
        <v>52</v>
      </c>
      <c r="G4" s="76" t="s">
        <v>53</v>
      </c>
    </row>
    <row r="5" spans="1:10" x14ac:dyDescent="0.25">
      <c r="C5" s="15">
        <f>'Billing Detail'!C7</f>
        <v>1</v>
      </c>
      <c r="D5" s="100" t="str">
        <f>'Billing Detail'!B7</f>
        <v>Residential</v>
      </c>
    </row>
    <row r="6" spans="1:10" x14ac:dyDescent="0.25">
      <c r="C6" s="15"/>
      <c r="D6" s="100"/>
      <c r="E6" s="2" t="str">
        <f>'Billing Detail'!D8</f>
        <v>Customer Charge</v>
      </c>
      <c r="F6" s="74">
        <f>'Billing Detail'!H8</f>
        <v>13.5</v>
      </c>
      <c r="G6" s="74">
        <f>'Billing Detail'!L8</f>
        <v>14.02</v>
      </c>
      <c r="J6" s="5">
        <f>G6/F6-1</f>
        <v>3.8518518518518396E-2</v>
      </c>
    </row>
    <row r="7" spans="1:10" x14ac:dyDescent="0.25">
      <c r="C7" s="15"/>
      <c r="D7" s="100"/>
      <c r="E7" s="2" t="str">
        <f>'Billing Detail'!D9</f>
        <v>Energy Charge per kWh</v>
      </c>
      <c r="F7" s="75">
        <f>'Billing Detail'!H9</f>
        <v>8.8639999999999997E-2</v>
      </c>
      <c r="G7" s="75">
        <f>'Billing Detail'!L9</f>
        <v>9.2029E-2</v>
      </c>
      <c r="J7" s="5">
        <f t="shared" ref="J7:J72" si="0">G7/F7-1</f>
        <v>3.8233303249097572E-2</v>
      </c>
    </row>
    <row r="8" spans="1:10" x14ac:dyDescent="0.25">
      <c r="C8" s="15">
        <f>'Billing Detail'!C19</f>
        <v>2</v>
      </c>
      <c r="D8" s="100" t="str">
        <f>'Billing Detail'!B19</f>
        <v>Commercial</v>
      </c>
      <c r="F8" s="74"/>
      <c r="G8" s="74"/>
      <c r="J8" s="5"/>
    </row>
    <row r="9" spans="1:10" x14ac:dyDescent="0.25">
      <c r="C9" s="15"/>
      <c r="D9" s="100"/>
      <c r="E9" s="2" t="str">
        <f>'Billing Detail'!D20</f>
        <v>Customer Charge</v>
      </c>
      <c r="F9" s="74">
        <f>'Billing Detail'!H20</f>
        <v>23</v>
      </c>
      <c r="G9" s="74">
        <f>'Billing Detail'!L20</f>
        <v>23.88</v>
      </c>
      <c r="J9" s="5">
        <f t="shared" si="0"/>
        <v>3.8260869565217348E-2</v>
      </c>
    </row>
    <row r="10" spans="1:10" x14ac:dyDescent="0.25">
      <c r="C10" s="15"/>
      <c r="D10" s="100"/>
      <c r="E10" s="2" t="str">
        <f>'Billing Detail'!D21</f>
        <v>Energy Charge per kWh</v>
      </c>
      <c r="F10" s="75">
        <f>'Billing Detail'!H21</f>
        <v>8.8059999999999999E-2</v>
      </c>
      <c r="G10" s="75">
        <f>'Billing Detail'!L21</f>
        <v>9.1426999999999994E-2</v>
      </c>
      <c r="J10" s="5">
        <f t="shared" si="0"/>
        <v>3.8235294117646923E-2</v>
      </c>
    </row>
    <row r="11" spans="1:10" x14ac:dyDescent="0.25">
      <c r="C11" s="15">
        <f>'Billing Detail'!C31</f>
        <v>3</v>
      </c>
      <c r="D11" s="100" t="str">
        <f>'Billing Detail'!B31</f>
        <v>Large Power</v>
      </c>
      <c r="F11" s="74"/>
      <c r="G11" s="74"/>
      <c r="J11" s="5"/>
    </row>
    <row r="12" spans="1:10" x14ac:dyDescent="0.25">
      <c r="C12" s="15"/>
      <c r="D12" s="100"/>
      <c r="E12" s="2" t="str">
        <f>'Billing Detail'!D32</f>
        <v>Customer Charge</v>
      </c>
      <c r="F12" s="74">
        <f>'Billing Detail'!H32</f>
        <v>35</v>
      </c>
      <c r="G12" s="74">
        <f>'Billing Detail'!L32</f>
        <v>36.340000000000003</v>
      </c>
      <c r="J12" s="5">
        <f t="shared" si="0"/>
        <v>3.8285714285714478E-2</v>
      </c>
    </row>
    <row r="13" spans="1:10" x14ac:dyDescent="0.25">
      <c r="C13" s="15"/>
      <c r="D13" s="100"/>
      <c r="E13" s="2" t="str">
        <f>'Billing Detail'!D33</f>
        <v>Demand Charge per kW</v>
      </c>
      <c r="F13" s="74">
        <f>'Billing Detail'!H33</f>
        <v>6.02</v>
      </c>
      <c r="G13" s="74">
        <f>'Billing Detail'!L33</f>
        <v>6.25</v>
      </c>
      <c r="J13" s="5">
        <f t="shared" si="0"/>
        <v>3.8205980066445155E-2</v>
      </c>
    </row>
    <row r="14" spans="1:10" x14ac:dyDescent="0.25">
      <c r="C14" s="15"/>
      <c r="D14" s="100"/>
      <c r="E14" s="2" t="str">
        <f>'Billing Detail'!D34</f>
        <v>Energy Charge per kWh</v>
      </c>
      <c r="F14" s="75">
        <f>'Billing Detail'!H34</f>
        <v>6.9790000000000005E-2</v>
      </c>
      <c r="G14" s="75">
        <f>'Billing Detail'!L34</f>
        <v>7.2457999999999995E-2</v>
      </c>
      <c r="J14" s="5">
        <f t="shared" si="0"/>
        <v>3.8228972632182057E-2</v>
      </c>
    </row>
    <row r="15" spans="1:10" x14ac:dyDescent="0.25">
      <c r="C15" s="15">
        <f>'Billing Detail'!C44</f>
        <v>4</v>
      </c>
      <c r="D15" s="100" t="str">
        <f>'Billing Detail'!B44</f>
        <v>Industrial</v>
      </c>
      <c r="F15" s="74"/>
      <c r="G15" s="74"/>
      <c r="J15" s="5"/>
    </row>
    <row r="16" spans="1:10" x14ac:dyDescent="0.25">
      <c r="C16" s="15"/>
      <c r="D16" s="100"/>
      <c r="E16" s="2" t="str">
        <f>'Billing Detail'!D45</f>
        <v>Customer Charge</v>
      </c>
      <c r="F16" s="74">
        <f>'Billing Detail'!H45</f>
        <v>42.5</v>
      </c>
      <c r="G16" s="74">
        <f>'Billing Detail'!L45</f>
        <v>44.13</v>
      </c>
      <c r="J16" s="5">
        <f t="shared" si="0"/>
        <v>3.8352941176470701E-2</v>
      </c>
    </row>
    <row r="17" spans="3:10" x14ac:dyDescent="0.25">
      <c r="C17" s="15"/>
      <c r="D17" s="100"/>
      <c r="E17" s="2" t="str">
        <f>'Billing Detail'!D46</f>
        <v>Energy Charge per kWh</v>
      </c>
      <c r="F17" s="75">
        <f>'Billing Detail'!H46</f>
        <v>6.1080000000000002E-2</v>
      </c>
      <c r="G17" s="75">
        <f>'Billing Detail'!L46</f>
        <v>6.3414999999999999E-2</v>
      </c>
      <c r="J17" s="5">
        <f t="shared" si="0"/>
        <v>3.8228552717747055E-2</v>
      </c>
    </row>
    <row r="18" spans="3:10" x14ac:dyDescent="0.25">
      <c r="C18" s="15"/>
      <c r="D18" s="100"/>
      <c r="E18" s="2" t="str">
        <f>'Billing Detail'!D47</f>
        <v>Demand Charge over 10 KW per kW</v>
      </c>
      <c r="F18" s="74">
        <f>'Billing Detail'!H47</f>
        <v>4.95</v>
      </c>
      <c r="G18" s="74">
        <f>'Billing Detail'!L47</f>
        <v>5.14</v>
      </c>
      <c r="J18" s="5">
        <f t="shared" si="0"/>
        <v>3.8383838383838187E-2</v>
      </c>
    </row>
    <row r="19" spans="3:10" x14ac:dyDescent="0.25">
      <c r="C19" s="15">
        <f>'Billing Detail'!C57</f>
        <v>9</v>
      </c>
      <c r="D19" s="100" t="str">
        <f>'Billing Detail'!B57</f>
        <v>Industrial</v>
      </c>
      <c r="F19" s="74"/>
      <c r="G19" s="74"/>
      <c r="J19" s="5"/>
    </row>
    <row r="20" spans="3:10" x14ac:dyDescent="0.25">
      <c r="C20" s="15"/>
      <c r="D20" s="100"/>
      <c r="E20" s="2" t="str">
        <f>'Billing Detail'!D58</f>
        <v>Customer Charge</v>
      </c>
      <c r="F20" s="74">
        <f>'Billing Detail'!H58</f>
        <v>610.48</v>
      </c>
      <c r="G20" s="74">
        <f>'Billing Detail'!L58</f>
        <v>633.82000000000005</v>
      </c>
      <c r="J20" s="5">
        <f t="shared" si="0"/>
        <v>3.8232210719433946E-2</v>
      </c>
    </row>
    <row r="21" spans="3:10" x14ac:dyDescent="0.25">
      <c r="C21" s="15"/>
      <c r="D21" s="100"/>
      <c r="E21" s="2" t="str">
        <f>'Billing Detail'!D59</f>
        <v>Demand Charge -Contract per kW</v>
      </c>
      <c r="F21" s="74">
        <f>'Billing Detail'!H59</f>
        <v>6.14</v>
      </c>
      <c r="G21" s="74">
        <f>'Billing Detail'!L59</f>
        <v>6.37</v>
      </c>
      <c r="J21" s="5">
        <f t="shared" ref="J21:J23" si="1">G21/F21-1</f>
        <v>3.7459283387622166E-2</v>
      </c>
    </row>
    <row r="22" spans="3:10" x14ac:dyDescent="0.25">
      <c r="C22" s="15"/>
      <c r="D22" s="100"/>
      <c r="E22" s="2" t="str">
        <f>'Billing Detail'!D60</f>
        <v>Demand Charge - Excess per kW</v>
      </c>
      <c r="F22" s="74">
        <f>'Billing Detail'!H60</f>
        <v>8.93</v>
      </c>
      <c r="G22" s="74">
        <f>'Billing Detail'!L60</f>
        <v>9.27</v>
      </c>
      <c r="J22" s="5">
        <f t="shared" si="1"/>
        <v>3.8073908174692139E-2</v>
      </c>
    </row>
    <row r="23" spans="3:10" x14ac:dyDescent="0.25">
      <c r="C23" s="15"/>
      <c r="D23" s="100"/>
      <c r="E23" s="2" t="str">
        <f>'Billing Detail'!D61</f>
        <v>Energy Charge per kWh</v>
      </c>
      <c r="F23" s="75">
        <f>'Billing Detail'!H61</f>
        <v>5.2720000000000003E-2</v>
      </c>
      <c r="G23" s="75">
        <f>'Billing Detail'!L61</f>
        <v>5.4736E-2</v>
      </c>
      <c r="J23" s="5">
        <f t="shared" si="1"/>
        <v>3.8239757207890746E-2</v>
      </c>
    </row>
    <row r="24" spans="3:10" x14ac:dyDescent="0.25">
      <c r="C24" s="15" t="str">
        <f>'Billing Detail'!C71</f>
        <v>5,6</v>
      </c>
      <c r="D24" s="100" t="str">
        <f>'Billing Detail'!B71</f>
        <v>Lighting</v>
      </c>
      <c r="F24" s="74"/>
      <c r="G24" s="74"/>
      <c r="J24" s="5"/>
    </row>
    <row r="25" spans="3:10" x14ac:dyDescent="0.25">
      <c r="C25" s="15"/>
      <c r="D25" s="2"/>
      <c r="E25" s="2" t="str">
        <f>'Billing Detail'!C72</f>
        <v>1 - SL 100W HPS</v>
      </c>
      <c r="F25" s="74">
        <f>'Billing Detail'!H72</f>
        <v>9.75</v>
      </c>
      <c r="G25" s="74">
        <f>'Billing Detail'!L72</f>
        <v>10.119999999999999</v>
      </c>
      <c r="J25" s="5">
        <f t="shared" si="0"/>
        <v>3.7948717948717903E-2</v>
      </c>
    </row>
    <row r="26" spans="3:10" x14ac:dyDescent="0.25">
      <c r="C26" s="15"/>
      <c r="D26" s="2"/>
      <c r="E26" s="2" t="str">
        <f>'Billing Detail'!C73</f>
        <v>1A - SL 70W LED</v>
      </c>
      <c r="F26" s="74">
        <f>'Billing Detail'!H73</f>
        <v>9.41</v>
      </c>
      <c r="G26" s="74">
        <f>'Billing Detail'!L73</f>
        <v>9.77</v>
      </c>
      <c r="J26" s="5">
        <f t="shared" si="0"/>
        <v>3.8257173219978791E-2</v>
      </c>
    </row>
    <row r="27" spans="3:10" x14ac:dyDescent="0.25">
      <c r="C27" s="15"/>
      <c r="D27" s="2"/>
      <c r="E27" s="2" t="str">
        <f>'Billing Detail'!C74</f>
        <v>1B - SL 55W  LED</v>
      </c>
      <c r="F27" s="74">
        <f>'Billing Detail'!H74</f>
        <v>9.41</v>
      </c>
      <c r="G27" s="74">
        <f>'Billing Detail'!L74</f>
        <v>9.77</v>
      </c>
      <c r="J27" s="5">
        <f t="shared" si="0"/>
        <v>3.8257173219978791E-2</v>
      </c>
    </row>
    <row r="28" spans="3:10" x14ac:dyDescent="0.25">
      <c r="C28" s="15"/>
      <c r="D28" s="2"/>
      <c r="E28" s="2" t="str">
        <f>'Billing Detail'!C90</f>
        <v>12A - DFL 70 W LED EP</v>
      </c>
      <c r="F28" s="74">
        <f>'Billing Detail'!H90</f>
        <v>16.829999999999998</v>
      </c>
      <c r="G28" s="74">
        <f>'Billing Detail'!L90</f>
        <v>17.47</v>
      </c>
      <c r="J28" s="5">
        <f t="shared" si="0"/>
        <v>3.8027332144979331E-2</v>
      </c>
    </row>
    <row r="29" spans="3:10" x14ac:dyDescent="0.25">
      <c r="C29" s="15"/>
      <c r="D29" s="2"/>
      <c r="E29" s="2" t="str">
        <f>'Billing Detail'!C91</f>
        <v>13 - DFL 250 W HPS EP</v>
      </c>
      <c r="F29" s="74">
        <f>'Billing Detail'!H91</f>
        <v>14.44</v>
      </c>
      <c r="G29" s="74">
        <f>'Billing Detail'!L91</f>
        <v>14.99</v>
      </c>
      <c r="J29" s="5">
        <f t="shared" si="0"/>
        <v>3.8088642659279914E-2</v>
      </c>
    </row>
    <row r="30" spans="3:10" x14ac:dyDescent="0.25">
      <c r="C30" s="15"/>
      <c r="D30" s="2"/>
      <c r="E30" s="2" t="str">
        <f>'Billing Detail'!C92</f>
        <v>13A - DFL 108 W LED EP</v>
      </c>
      <c r="F30" s="74">
        <f>'Billing Detail'!H92</f>
        <v>17.600000000000001</v>
      </c>
      <c r="G30" s="74">
        <f>'Billing Detail'!L92</f>
        <v>18.27</v>
      </c>
      <c r="J30" s="5">
        <f t="shared" si="0"/>
        <v>3.8068181818181612E-2</v>
      </c>
    </row>
    <row r="31" spans="3:10" x14ac:dyDescent="0.25">
      <c r="C31" s="15"/>
      <c r="D31" s="2"/>
      <c r="E31" s="2" t="str">
        <f>'Billing Detail'!C93</f>
        <v>13B - DFL 109 W LED EP</v>
      </c>
      <c r="F31" s="74">
        <f>'Billing Detail'!H93</f>
        <v>17.600000000000001</v>
      </c>
      <c r="G31" s="74">
        <f>'Billing Detail'!L93</f>
        <v>18.27</v>
      </c>
      <c r="J31" s="5">
        <f t="shared" si="0"/>
        <v>3.8068181818181612E-2</v>
      </c>
    </row>
    <row r="32" spans="3:10" x14ac:dyDescent="0.25">
      <c r="C32" s="15"/>
      <c r="D32" s="2"/>
      <c r="E32" s="2" t="str">
        <f>'Billing Detail'!C94</f>
        <v>14 - DFL 400 W HPS EP</v>
      </c>
      <c r="F32" s="74">
        <f>'Billing Detail'!H94</f>
        <v>19.559999999999999</v>
      </c>
      <c r="G32" s="74">
        <f>'Billing Detail'!L94</f>
        <v>20.309999999999999</v>
      </c>
      <c r="J32" s="5">
        <f t="shared" si="0"/>
        <v>3.8343558282208701E-2</v>
      </c>
    </row>
    <row r="33" spans="3:10" x14ac:dyDescent="0.25">
      <c r="C33" s="15"/>
      <c r="D33" s="2"/>
      <c r="E33" s="2" t="str">
        <f>'Billing Detail'!C95</f>
        <v>14A - DFL 208 W LED EP</v>
      </c>
      <c r="F33" s="74">
        <f>'Billing Detail'!H95</f>
        <v>19.649999999999999</v>
      </c>
      <c r="G33" s="74">
        <f>'Billing Detail'!L95</f>
        <v>20.399999999999999</v>
      </c>
      <c r="J33" s="5">
        <f t="shared" si="0"/>
        <v>3.8167938931297662E-2</v>
      </c>
    </row>
    <row r="34" spans="3:10" x14ac:dyDescent="0.25">
      <c r="C34" s="15"/>
      <c r="D34" s="2"/>
      <c r="E34" s="2" t="str">
        <f>'Billing Detail'!C96</f>
        <v>14B - DFL 202 W LED EP</v>
      </c>
      <c r="F34" s="74">
        <f>'Billing Detail'!H96</f>
        <v>19.66</v>
      </c>
      <c r="G34" s="74">
        <f>'Billing Detail'!L96</f>
        <v>20.41</v>
      </c>
      <c r="J34" s="5">
        <f t="shared" si="0"/>
        <v>3.814852492370302E-2</v>
      </c>
    </row>
    <row r="35" spans="3:10" x14ac:dyDescent="0.25">
      <c r="C35" s="15"/>
      <c r="D35" s="2"/>
      <c r="E35" s="2" t="str">
        <f>'Billing Detail'!C97</f>
        <v>15 - DEL 400 W 
CONTEMPARY UG</v>
      </c>
      <c r="F35" s="74">
        <f>'Billing Detail'!H97</f>
        <v>21.03</v>
      </c>
      <c r="G35" s="74">
        <f>'Billing Detail'!L97</f>
        <v>21.83</v>
      </c>
      <c r="J35" s="5">
        <f t="shared" si="0"/>
        <v>3.804089396100796E-2</v>
      </c>
    </row>
    <row r="36" spans="3:10" x14ac:dyDescent="0.25">
      <c r="C36" s="15"/>
      <c r="D36" s="2"/>
      <c r="E36" s="2" t="str">
        <f>'Billing Detail'!C98</f>
        <v>21 - COLONIAL 20' 
FLUTED POLE</v>
      </c>
      <c r="F36" s="74">
        <f>'Billing Detail'!H98</f>
        <v>35.15</v>
      </c>
      <c r="G36" s="74">
        <f>'Billing Detail'!L98</f>
        <v>36.49</v>
      </c>
      <c r="J36" s="5">
        <f t="shared" si="0"/>
        <v>3.8122332859175101E-2</v>
      </c>
    </row>
    <row r="37" spans="3:10" x14ac:dyDescent="0.25">
      <c r="C37" s="15"/>
      <c r="D37" s="2"/>
      <c r="E37" s="2" t="str">
        <f>'Billing Detail'!C99</f>
        <v>21 A- COLONIAL 20' 
FLUTED POLE 35-70 W LED</v>
      </c>
      <c r="F37" s="74">
        <f>'Billing Detail'!H99</f>
        <v>33.29</v>
      </c>
      <c r="G37" s="74">
        <f>'Billing Detail'!L99</f>
        <v>34.56</v>
      </c>
      <c r="J37" s="5">
        <f t="shared" si="0"/>
        <v>3.8149594472814741E-2</v>
      </c>
    </row>
    <row r="38" spans="3:10" x14ac:dyDescent="0.25">
      <c r="C38" s="15"/>
      <c r="D38" s="2"/>
      <c r="E38" s="2" t="str">
        <f>'Billing Detail'!C100</f>
        <v>22 - SL ORN UG 400W
20' FLUTED POLE</v>
      </c>
      <c r="F38" s="74">
        <f>'Billing Detail'!H100</f>
        <v>33.67</v>
      </c>
      <c r="G38" s="74">
        <f>'Billing Detail'!L100</f>
        <v>34.96</v>
      </c>
      <c r="J38" s="5">
        <f t="shared" si="0"/>
        <v>3.8313038313038339E-2</v>
      </c>
    </row>
    <row r="39" spans="3:10" x14ac:dyDescent="0.25">
      <c r="C39" s="15"/>
      <c r="D39" s="2"/>
      <c r="E39" s="2" t="str">
        <f>'Billing Detail'!C101</f>
        <v>23 - 20 FT FP COLONIAL</v>
      </c>
      <c r="F39" s="74">
        <f>'Billing Detail'!H101</f>
        <v>33.33</v>
      </c>
      <c r="G39" s="74">
        <f>'Billing Detail'!L101</f>
        <v>34.6</v>
      </c>
      <c r="J39" s="5">
        <f t="shared" si="0"/>
        <v>3.8103810381038272E-2</v>
      </c>
    </row>
    <row r="40" spans="3:10" x14ac:dyDescent="0.25">
      <c r="C40" s="15"/>
      <c r="D40" s="2"/>
      <c r="E40" s="2" t="str">
        <f>'Billing Detail'!C102</f>
        <v>25 - COLONIAL CONSTPD
HPS FIXTURE</v>
      </c>
      <c r="F40" s="74">
        <f>'Billing Detail'!H102</f>
        <v>9.6199999999999992</v>
      </c>
      <c r="G40" s="74">
        <f>'Billing Detail'!L102</f>
        <v>9.99</v>
      </c>
      <c r="J40" s="5">
        <f t="shared" si="0"/>
        <v>3.8461538461538547E-2</v>
      </c>
    </row>
    <row r="41" spans="3:10" x14ac:dyDescent="0.25">
      <c r="C41" s="15" t="str">
        <f>'Billing Detail'!C111</f>
        <v>Special</v>
      </c>
      <c r="D41" s="100" t="str">
        <f>'Billing Detail'!B111</f>
        <v>AGC Automotive</v>
      </c>
      <c r="F41" s="74"/>
      <c r="G41" s="74"/>
      <c r="J41" s="5"/>
    </row>
    <row r="42" spans="3:10" x14ac:dyDescent="0.25">
      <c r="C42" s="15"/>
      <c r="D42" s="2"/>
      <c r="E42" s="2" t="str">
        <f>'Billing Detail'!D112</f>
        <v>Customer Charge</v>
      </c>
      <c r="F42" s="74">
        <f>'Billing Detail'!H112</f>
        <v>5454</v>
      </c>
      <c r="G42" s="74">
        <f>'Billing Detail'!L112</f>
        <v>5726.7</v>
      </c>
      <c r="J42" s="5">
        <f t="shared" si="0"/>
        <v>5.0000000000000044E-2</v>
      </c>
    </row>
    <row r="43" spans="3:10" x14ac:dyDescent="0.25">
      <c r="C43" s="15"/>
      <c r="D43" s="2"/>
      <c r="E43" s="2" t="str">
        <f>'Billing Detail'!D113</f>
        <v>Demand Charge per kW</v>
      </c>
      <c r="F43" s="74">
        <f>'Billing Detail'!H113</f>
        <v>6.98</v>
      </c>
      <c r="G43" s="74">
        <f>'Billing Detail'!L113</f>
        <v>7.3</v>
      </c>
      <c r="J43" s="5">
        <f t="shared" ref="J43:J45" si="2">G43/F43-1</f>
        <v>4.5845272206303633E-2</v>
      </c>
    </row>
    <row r="44" spans="3:10" x14ac:dyDescent="0.25">
      <c r="C44" s="15"/>
      <c r="D44" s="2"/>
      <c r="E44" s="2" t="str">
        <f>'Billing Detail'!D114</f>
        <v>Interruptible Credit per kW</v>
      </c>
      <c r="F44" s="74">
        <f>'Billing Detail'!H114</f>
        <v>-5.6</v>
      </c>
      <c r="G44" s="74">
        <f>'Billing Detail'!L114</f>
        <v>-5.6</v>
      </c>
      <c r="J44" s="5">
        <f t="shared" si="2"/>
        <v>0</v>
      </c>
    </row>
    <row r="45" spans="3:10" x14ac:dyDescent="0.25">
      <c r="C45" s="15"/>
      <c r="D45" s="2"/>
      <c r="E45" s="2" t="str">
        <f>'Billing Detail'!D115</f>
        <v>Energy Charge per kWh</v>
      </c>
      <c r="F45" s="75">
        <f>'Billing Detail'!H115</f>
        <v>3.9230000000000001E-2</v>
      </c>
      <c r="G45" s="75">
        <f>'Billing Detail'!L115</f>
        <v>4.0092999999999997E-2</v>
      </c>
      <c r="J45" s="5">
        <f t="shared" si="2"/>
        <v>2.1998470558246108E-2</v>
      </c>
    </row>
    <row r="46" spans="3:10" x14ac:dyDescent="0.25">
      <c r="C46" s="15">
        <f>'Billing Detail'!C139</f>
        <v>7</v>
      </c>
      <c r="D46" s="102" t="str">
        <f>'Billing Detail'!B139</f>
        <v>Industrial</v>
      </c>
      <c r="J46" s="5"/>
    </row>
    <row r="47" spans="3:10" x14ac:dyDescent="0.25">
      <c r="C47" s="15"/>
      <c r="D47" s="102"/>
      <c r="E47" s="2" t="str">
        <f>'Billing Detail'!D140</f>
        <v>Demand Charge per kW</v>
      </c>
      <c r="F47" s="74">
        <f>'Billing Detail'!H140</f>
        <v>9.0399999999999991</v>
      </c>
      <c r="G47" s="74">
        <f>'Billing Detail'!L140</f>
        <v>9.3801829164505666</v>
      </c>
      <c r="J47" s="5">
        <f t="shared" si="0"/>
        <v>3.7630853589664559E-2</v>
      </c>
    </row>
    <row r="48" spans="3:10" x14ac:dyDescent="0.25">
      <c r="C48" s="15"/>
      <c r="D48" s="102"/>
      <c r="E48" s="2" t="str">
        <f>'Billing Detail'!D141</f>
        <v>Energy Charge per kWh</v>
      </c>
      <c r="F48" s="75">
        <f>'Billing Detail'!H141</f>
        <v>5.4800000000000001E-2</v>
      </c>
      <c r="G48" s="75">
        <f>'Billing Detail'!L141</f>
        <v>5.6862170776713621E-2</v>
      </c>
      <c r="J48" s="5">
        <f t="shared" si="0"/>
        <v>3.7630853589664559E-2</v>
      </c>
    </row>
    <row r="49" spans="3:10" x14ac:dyDescent="0.25">
      <c r="C49" s="15">
        <f>'Billing Detail'!C142</f>
        <v>8</v>
      </c>
      <c r="D49" s="102" t="str">
        <f>'Billing Detail'!B142</f>
        <v>Seasonal TOD</v>
      </c>
      <c r="F49" s="74"/>
      <c r="G49" s="74"/>
      <c r="J49" s="5"/>
    </row>
    <row r="50" spans="3:10" x14ac:dyDescent="0.25">
      <c r="C50" s="15"/>
      <c r="D50" s="102"/>
      <c r="E50" s="2" t="str">
        <f>'Billing Detail'!D143</f>
        <v>Demand Charge per kW</v>
      </c>
      <c r="F50" s="74">
        <f>'Billing Detail'!H143</f>
        <v>8.93</v>
      </c>
      <c r="G50" s="74">
        <f>'Billing Detail'!L143</f>
        <v>9.2660435225557034</v>
      </c>
      <c r="J50" s="5">
        <f t="shared" si="0"/>
        <v>3.7630853589664559E-2</v>
      </c>
    </row>
    <row r="51" spans="3:10" x14ac:dyDescent="0.25">
      <c r="C51" s="15"/>
      <c r="D51" s="102"/>
      <c r="E51" s="2" t="str">
        <f>'Billing Detail'!D144</f>
        <v>Energy Charge per kWh</v>
      </c>
      <c r="F51" s="75">
        <f>'Billing Detail'!H144</f>
        <v>5.4800000000000001E-2</v>
      </c>
      <c r="G51" s="75">
        <f>'Billing Detail'!L144</f>
        <v>5.6862170776713621E-2</v>
      </c>
      <c r="J51" s="5">
        <f t="shared" si="0"/>
        <v>3.7630853589664559E-2</v>
      </c>
    </row>
    <row r="52" spans="3:10" x14ac:dyDescent="0.25">
      <c r="C52" s="15">
        <f>'Billing Detail'!C145</f>
        <v>10</v>
      </c>
      <c r="D52" s="102" t="str">
        <f>'Billing Detail'!B145</f>
        <v>Industrial</v>
      </c>
      <c r="F52" s="74"/>
      <c r="G52" s="74"/>
      <c r="J52" s="5"/>
    </row>
    <row r="53" spans="3:10" x14ac:dyDescent="0.25">
      <c r="C53" s="15"/>
      <c r="D53" s="102"/>
      <c r="E53" s="2" t="str">
        <f>'Billing Detail'!D146</f>
        <v>Member Cost of Service Charge</v>
      </c>
      <c r="F53" s="74">
        <f>'Billing Detail'!H146</f>
        <v>1220</v>
      </c>
      <c r="G53" s="74">
        <f>'Billing Detail'!L146</f>
        <v>1265.9096413793907</v>
      </c>
      <c r="J53" s="5">
        <f t="shared" si="0"/>
        <v>3.7630853589664559E-2</v>
      </c>
    </row>
    <row r="54" spans="3:10" x14ac:dyDescent="0.25">
      <c r="C54" s="15"/>
      <c r="D54" s="102"/>
      <c r="E54" s="2" t="str">
        <f>'Billing Detail'!D147</f>
        <v>Demand Charge -Contract per kW</v>
      </c>
      <c r="F54" s="74">
        <f>'Billing Detail'!H147</f>
        <v>7.17</v>
      </c>
      <c r="G54" s="74">
        <f>'Billing Detail'!L147</f>
        <v>7.4398132202378946</v>
      </c>
      <c r="J54" s="5">
        <f t="shared" si="0"/>
        <v>3.7630853589664559E-2</v>
      </c>
    </row>
    <row r="55" spans="3:10" x14ac:dyDescent="0.25">
      <c r="C55" s="15"/>
      <c r="D55" s="102"/>
      <c r="E55" s="2" t="str">
        <f>'Billing Detail'!D148</f>
        <v>Demand Charge - Excess per kW</v>
      </c>
      <c r="F55" s="74">
        <f>'Billing Detail'!H148</f>
        <v>9.98</v>
      </c>
      <c r="G55" s="74">
        <f>'Billing Detail'!L148</f>
        <v>10.355555918824853</v>
      </c>
      <c r="J55" s="5">
        <f t="shared" si="0"/>
        <v>3.7630853589664559E-2</v>
      </c>
    </row>
    <row r="56" spans="3:10" x14ac:dyDescent="0.25">
      <c r="C56" s="15"/>
      <c r="D56" s="102"/>
      <c r="E56" s="2" t="str">
        <f>'Billing Detail'!D149</f>
        <v>Energy Charge per kWh</v>
      </c>
      <c r="F56" s="75">
        <f>'Billing Detail'!H149</f>
        <v>4.5589999999999999E-2</v>
      </c>
      <c r="G56" s="75">
        <f>'Billing Detail'!L149</f>
        <v>4.7305590615152805E-2</v>
      </c>
      <c r="J56" s="5">
        <f t="shared" si="0"/>
        <v>3.7630853589664559E-2</v>
      </c>
    </row>
    <row r="57" spans="3:10" x14ac:dyDescent="0.25">
      <c r="C57" s="15">
        <f>'Billing Detail'!C150</f>
        <v>11</v>
      </c>
      <c r="D57" s="102" t="str">
        <f>'Billing Detail'!B150</f>
        <v>Industrial</v>
      </c>
      <c r="F57" s="74"/>
      <c r="G57" s="74"/>
      <c r="J57" s="5"/>
    </row>
    <row r="58" spans="3:10" x14ac:dyDescent="0.25">
      <c r="C58" s="15"/>
      <c r="D58" s="102"/>
      <c r="E58" s="2" t="str">
        <f>'Billing Detail'!D151</f>
        <v>Consumer Charge</v>
      </c>
      <c r="F58" s="74">
        <f>'Billing Detail'!H151</f>
        <v>1219.8399999999999</v>
      </c>
      <c r="G58" s="74">
        <f>'Billing Detail'!L151</f>
        <v>1265.7436204428163</v>
      </c>
      <c r="J58" s="5">
        <f t="shared" si="0"/>
        <v>3.7630853589664559E-2</v>
      </c>
    </row>
    <row r="59" spans="3:10" x14ac:dyDescent="0.25">
      <c r="C59" s="15"/>
      <c r="D59" s="102"/>
      <c r="E59" s="2" t="str">
        <f>'Billing Detail'!D152</f>
        <v>Demand - Contract per kW</v>
      </c>
      <c r="F59" s="74">
        <f>'Billing Detail'!H152</f>
        <v>6.14</v>
      </c>
      <c r="G59" s="74">
        <f>'Billing Detail'!L152</f>
        <v>6.37</v>
      </c>
      <c r="J59" s="5">
        <f t="shared" si="0"/>
        <v>3.7459283387622166E-2</v>
      </c>
    </row>
    <row r="60" spans="3:10" x14ac:dyDescent="0.25">
      <c r="C60" s="15"/>
      <c r="D60" s="102"/>
      <c r="E60" s="2" t="str">
        <f>'Billing Detail'!D153</f>
        <v>Demand - Excess per kW</v>
      </c>
      <c r="F60" s="74">
        <f>'Billing Detail'!H153</f>
        <v>8.93</v>
      </c>
      <c r="G60" s="74">
        <f>'Billing Detail'!L153</f>
        <v>9.2660435225557034</v>
      </c>
      <c r="J60" s="5">
        <f t="shared" si="0"/>
        <v>3.7630853589664559E-2</v>
      </c>
    </row>
    <row r="61" spans="3:10" x14ac:dyDescent="0.25">
      <c r="C61" s="15"/>
      <c r="D61" s="102"/>
      <c r="E61" s="2" t="str">
        <f>'Billing Detail'!D154</f>
        <v>Energy Charge per kWh</v>
      </c>
      <c r="F61" s="75">
        <f>'Billing Detail'!H154</f>
        <v>4.5879999999999997E-2</v>
      </c>
      <c r="G61" s="75">
        <f>'Billing Detail'!L154</f>
        <v>4.760650356269381E-2</v>
      </c>
      <c r="J61" s="5">
        <f t="shared" si="0"/>
        <v>3.7630853589664559E-2</v>
      </c>
    </row>
    <row r="62" spans="3:10" x14ac:dyDescent="0.25">
      <c r="C62" s="15">
        <f>'Billing Detail'!C155</f>
        <v>12</v>
      </c>
      <c r="D62" s="102" t="str">
        <f>'Billing Detail'!B155</f>
        <v>Industrial C</v>
      </c>
      <c r="F62" s="74"/>
      <c r="G62" s="74"/>
      <c r="J62" s="5"/>
    </row>
    <row r="63" spans="3:10" x14ac:dyDescent="0.25">
      <c r="C63" s="15"/>
      <c r="D63" s="102"/>
      <c r="E63" s="2" t="str">
        <f>'Billing Detail'!D156</f>
        <v>Consumer Charge New Substation</v>
      </c>
      <c r="F63" s="74">
        <f>'Billing Detail'!H156</f>
        <v>1219.8399999999999</v>
      </c>
      <c r="G63" s="74">
        <f>'Billing Detail'!L156</f>
        <v>1265.7436204428163</v>
      </c>
      <c r="J63" s="5">
        <f t="shared" si="0"/>
        <v>3.7630853589664559E-2</v>
      </c>
    </row>
    <row r="64" spans="3:10" x14ac:dyDescent="0.25">
      <c r="C64" s="15"/>
      <c r="D64" s="102"/>
      <c r="E64" s="2" t="str">
        <f>'Billing Detail'!D157</f>
        <v>Consumer Charge Existing Sub</v>
      </c>
      <c r="F64" s="74">
        <f>'Billing Detail'!H157</f>
        <v>610.48</v>
      </c>
      <c r="G64" s="74">
        <f>'Billing Detail'!L157</f>
        <v>633.45288349941848</v>
      </c>
      <c r="J64" s="5">
        <f t="shared" si="0"/>
        <v>3.7630853589664559E-2</v>
      </c>
    </row>
    <row r="65" spans="3:10" x14ac:dyDescent="0.25">
      <c r="C65" s="15"/>
      <c r="D65" s="102"/>
      <c r="E65" s="2" t="str">
        <f>'Billing Detail'!D158</f>
        <v>Demand - Contract per kW</v>
      </c>
      <c r="F65" s="74">
        <f>'Billing Detail'!H158</f>
        <v>6.14</v>
      </c>
      <c r="G65" s="74">
        <f>'Billing Detail'!L158</f>
        <v>6.37</v>
      </c>
      <c r="J65" s="5">
        <f t="shared" si="0"/>
        <v>3.7459283387622166E-2</v>
      </c>
    </row>
    <row r="66" spans="3:10" x14ac:dyDescent="0.25">
      <c r="C66" s="15"/>
      <c r="D66" s="102"/>
      <c r="E66" s="2" t="str">
        <f>'Billing Detail'!D159</f>
        <v>Energy Charge per kWh</v>
      </c>
      <c r="F66" s="75">
        <f>'Billing Detail'!H159</f>
        <v>5.2720000000000003E-2</v>
      </c>
      <c r="G66" s="75">
        <f>'Billing Detail'!L159</f>
        <v>5.4703898601247115E-2</v>
      </c>
      <c r="J66" s="5">
        <f t="shared" si="0"/>
        <v>3.7630853589664559E-2</v>
      </c>
    </row>
    <row r="67" spans="3:10" x14ac:dyDescent="0.25">
      <c r="C67" s="15">
        <f>'Billing Detail'!C160</f>
        <v>13</v>
      </c>
      <c r="D67" s="102" t="str">
        <f>'Billing Detail'!B160</f>
        <v>Industrial C</v>
      </c>
      <c r="F67" s="74"/>
      <c r="G67" s="74"/>
      <c r="J67" s="5"/>
    </row>
    <row r="68" spans="3:10" x14ac:dyDescent="0.25">
      <c r="C68" s="15"/>
      <c r="D68" s="102"/>
      <c r="E68" s="2" t="str">
        <f>'Billing Detail'!D161</f>
        <v>Customer Charge</v>
      </c>
      <c r="F68" s="74">
        <f>'Billing Detail'!H161</f>
        <v>1219.8399999999999</v>
      </c>
      <c r="G68" s="74">
        <f>'Billing Detail'!L161</f>
        <v>1265.7436204428163</v>
      </c>
      <c r="J68" s="5">
        <f t="shared" si="0"/>
        <v>3.7630853589664559E-2</v>
      </c>
    </row>
    <row r="69" spans="3:10" x14ac:dyDescent="0.25">
      <c r="C69" s="15"/>
      <c r="D69" s="102"/>
      <c r="E69" s="2" t="str">
        <f>'Billing Detail'!D162</f>
        <v>Demand Charge per kW</v>
      </c>
      <c r="F69" s="74">
        <f>'Billing Detail'!H162</f>
        <v>6.14</v>
      </c>
      <c r="G69" s="74">
        <f>'Billing Detail'!L162</f>
        <v>6.37</v>
      </c>
      <c r="J69" s="5">
        <f t="shared" si="0"/>
        <v>3.7459283387622166E-2</v>
      </c>
    </row>
    <row r="70" spans="3:10" x14ac:dyDescent="0.25">
      <c r="C70" s="15"/>
      <c r="D70" s="102"/>
      <c r="E70" s="2" t="str">
        <f>'Billing Detail'!D163</f>
        <v>Energy Charge per kWh</v>
      </c>
      <c r="F70" s="75">
        <f>'Billing Detail'!H163</f>
        <v>4.7019999999999999E-2</v>
      </c>
      <c r="G70" s="75">
        <f>'Billing Detail'!L163</f>
        <v>4.8789402735786025E-2</v>
      </c>
      <c r="J70" s="5">
        <f t="shared" si="0"/>
        <v>3.7630853589664559E-2</v>
      </c>
    </row>
    <row r="71" spans="3:10" x14ac:dyDescent="0.25">
      <c r="C71" s="15">
        <f>'Billing Detail'!C164</f>
        <v>14</v>
      </c>
      <c r="D71" s="102" t="str">
        <f>'Billing Detail'!B164</f>
        <v>Industrial C</v>
      </c>
      <c r="F71" s="74"/>
      <c r="G71" s="74"/>
      <c r="J71" s="5"/>
    </row>
    <row r="72" spans="3:10" x14ac:dyDescent="0.25">
      <c r="C72" s="4"/>
      <c r="D72" s="102"/>
      <c r="E72" s="2" t="str">
        <f>'Billing Detail'!D165</f>
        <v>Customer Charge</v>
      </c>
      <c r="F72" s="74">
        <f>'Billing Detail'!H165</f>
        <v>1219.8399999999999</v>
      </c>
      <c r="G72" s="74">
        <f>'Billing Detail'!L165</f>
        <v>1265.7436204428163</v>
      </c>
      <c r="J72" s="5">
        <f t="shared" si="0"/>
        <v>3.7630853589664559E-2</v>
      </c>
    </row>
    <row r="73" spans="3:10" x14ac:dyDescent="0.25">
      <c r="C73" s="4"/>
      <c r="D73" s="102"/>
      <c r="E73" s="2" t="str">
        <f>'Billing Detail'!D166</f>
        <v>Demand Charge per kW</v>
      </c>
      <c r="F73" s="74">
        <f>'Billing Detail'!H166</f>
        <v>6.14</v>
      </c>
      <c r="G73" s="74">
        <f>'Billing Detail'!L166</f>
        <v>6.37</v>
      </c>
      <c r="J73" s="5">
        <f t="shared" ref="J73:J74" si="3">G73/F73-1</f>
        <v>3.7459283387622166E-2</v>
      </c>
    </row>
    <row r="74" spans="3:10" x14ac:dyDescent="0.25">
      <c r="C74" s="4"/>
      <c r="D74" s="102"/>
      <c r="E74" s="2" t="str">
        <f>'Billing Detail'!D167</f>
        <v>Energy Charge per kWh</v>
      </c>
      <c r="F74" s="75">
        <f>'Billing Detail'!H167</f>
        <v>4.5879999999999997E-2</v>
      </c>
      <c r="G74" s="75">
        <f>'Billing Detail'!L167</f>
        <v>4.760650356269381E-2</v>
      </c>
      <c r="J74" s="5">
        <f t="shared" si="3"/>
        <v>3.7630853589664559E-2</v>
      </c>
    </row>
    <row r="75" spans="3:10" x14ac:dyDescent="0.25">
      <c r="C75" s="4"/>
      <c r="D75" s="102"/>
      <c r="F75" s="71"/>
      <c r="G75" s="71"/>
    </row>
    <row r="76" spans="3:10" x14ac:dyDescent="0.25">
      <c r="F76" s="71"/>
      <c r="G76" s="71"/>
    </row>
    <row r="77" spans="3:10" ht="39.6" customHeight="1" x14ac:dyDescent="0.25">
      <c r="C77" s="168" t="s">
        <v>99</v>
      </c>
      <c r="D77" s="168"/>
      <c r="E77" s="168"/>
      <c r="F77" s="168"/>
      <c r="G77" s="168"/>
    </row>
    <row r="78" spans="3:10" x14ac:dyDescent="0.25">
      <c r="C78" s="4"/>
      <c r="D78" s="2"/>
      <c r="F78" s="169" t="s">
        <v>100</v>
      </c>
      <c r="G78" s="169"/>
    </row>
    <row r="79" spans="3:10" x14ac:dyDescent="0.25">
      <c r="C79" s="78" t="s">
        <v>101</v>
      </c>
      <c r="D79" s="79"/>
      <c r="E79" s="80"/>
      <c r="F79" s="81" t="s">
        <v>102</v>
      </c>
      <c r="G79" s="81" t="s">
        <v>103</v>
      </c>
    </row>
    <row r="80" spans="3:10" x14ac:dyDescent="0.25">
      <c r="C80" s="82" t="str">
        <f>Summary!B10</f>
        <v>Residential</v>
      </c>
      <c r="D80" s="15">
        <f>Summary!C10</f>
        <v>1</v>
      </c>
      <c r="F80" s="83">
        <f>Summary!L10</f>
        <v>1823899.864392004</v>
      </c>
      <c r="G80" s="84">
        <f>Summary!N10</f>
        <v>3.5408953885916798E-2</v>
      </c>
    </row>
    <row r="81" spans="3:8" x14ac:dyDescent="0.25">
      <c r="C81" s="82" t="str">
        <f>Summary!B11</f>
        <v>Commercial</v>
      </c>
      <c r="D81" s="15">
        <f>Summary!C11</f>
        <v>2</v>
      </c>
      <c r="F81" s="83">
        <f>Summary!L11</f>
        <v>110594.47463099979</v>
      </c>
      <c r="G81" s="84">
        <f>Summary!N11</f>
        <v>3.5407911856551073E-2</v>
      </c>
    </row>
    <row r="82" spans="3:8" x14ac:dyDescent="0.25">
      <c r="C82" s="82" t="str">
        <f>Summary!B12</f>
        <v>Large Power</v>
      </c>
      <c r="D82" s="15">
        <f>Summary!C12</f>
        <v>3</v>
      </c>
      <c r="F82" s="83">
        <f>Summary!L12</f>
        <v>83397.855200836944</v>
      </c>
      <c r="G82" s="84">
        <f>Summary!N12</f>
        <v>3.5621987509225843E-2</v>
      </c>
    </row>
    <row r="83" spans="3:8" x14ac:dyDescent="0.25">
      <c r="C83" s="82" t="str">
        <f>Summary!B13</f>
        <v>Industrial</v>
      </c>
      <c r="D83" s="15">
        <f>Summary!C13</f>
        <v>4</v>
      </c>
      <c r="F83" s="83">
        <f>Summary!L13</f>
        <v>213117.53920883784</v>
      </c>
      <c r="G83" s="84">
        <f>Summary!N13</f>
        <v>3.5769349441829044E-2</v>
      </c>
    </row>
    <row r="84" spans="3:8" x14ac:dyDescent="0.25">
      <c r="C84" s="82" t="str">
        <f>Summary!B14</f>
        <v>Industrial</v>
      </c>
      <c r="D84" s="15">
        <f>Summary!C14</f>
        <v>9</v>
      </c>
      <c r="F84" s="83">
        <f>Summary!L14</f>
        <v>37295.128319999945</v>
      </c>
      <c r="G84" s="84">
        <f>Summary!N14</f>
        <v>3.4757720657602797E-2</v>
      </c>
    </row>
    <row r="85" spans="3:8" x14ac:dyDescent="0.25">
      <c r="C85" s="82" t="str">
        <f>Summary!B15</f>
        <v>Lighting</v>
      </c>
      <c r="D85" s="15" t="str">
        <f>Summary!C15</f>
        <v>5,6</v>
      </c>
      <c r="F85" s="83">
        <f>Summary!L15</f>
        <v>46892.60999999987</v>
      </c>
      <c r="G85" s="84">
        <f>Summary!N15</f>
        <v>3.7881302728819649E-2</v>
      </c>
    </row>
    <row r="86" spans="3:8" x14ac:dyDescent="0.25">
      <c r="C86" s="82" t="str">
        <f>Summary!B18</f>
        <v>AGC Automotive</v>
      </c>
      <c r="D86" s="15" t="str">
        <f>Summary!C18</f>
        <v>Special</v>
      </c>
      <c r="F86" s="83">
        <f>Summary!L18</f>
        <v>174434.462929</v>
      </c>
      <c r="G86" s="84">
        <f>Summary!N18</f>
        <v>2.943921079903198E-2</v>
      </c>
    </row>
    <row r="87" spans="3:8" x14ac:dyDescent="0.25">
      <c r="C87" s="85" t="s">
        <v>104</v>
      </c>
      <c r="D87" s="95"/>
      <c r="E87" s="86"/>
      <c r="F87" s="87">
        <f>Summary!L29</f>
        <v>2489631.9346816838</v>
      </c>
      <c r="G87" s="88">
        <f>Summary!N29</f>
        <v>3.4982252036730527E-2</v>
      </c>
    </row>
    <row r="88" spans="3:8" x14ac:dyDescent="0.25">
      <c r="C88" s="4"/>
      <c r="D88" s="2"/>
    </row>
    <row r="89" spans="3:8" ht="39.6" customHeight="1" x14ac:dyDescent="0.25">
      <c r="C89" s="168" t="s">
        <v>105</v>
      </c>
      <c r="D89" s="168"/>
      <c r="E89" s="168"/>
      <c r="F89" s="168"/>
      <c r="G89" s="168"/>
      <c r="H89" s="168"/>
    </row>
    <row r="90" spans="3:8" x14ac:dyDescent="0.25">
      <c r="C90" s="4"/>
      <c r="D90" s="2"/>
      <c r="E90" s="89" t="s">
        <v>18</v>
      </c>
      <c r="F90" s="169" t="s">
        <v>100</v>
      </c>
      <c r="G90" s="169"/>
    </row>
    <row r="91" spans="3:8" x14ac:dyDescent="0.25">
      <c r="C91" s="78" t="s">
        <v>101</v>
      </c>
      <c r="D91" s="80"/>
      <c r="E91" s="97" t="s">
        <v>106</v>
      </c>
      <c r="F91" s="81" t="s">
        <v>102</v>
      </c>
      <c r="G91" s="81" t="s">
        <v>103</v>
      </c>
    </row>
    <row r="92" spans="3:8" x14ac:dyDescent="0.25">
      <c r="C92" s="4" t="str">
        <f>Summary!B10</f>
        <v>Residential</v>
      </c>
      <c r="D92" s="96">
        <f>Summary!C10</f>
        <v>1</v>
      </c>
      <c r="E92" s="93">
        <f>'Billing Detail'!E17</f>
        <v>1188.6997598437863</v>
      </c>
      <c r="F92" s="94">
        <f>'Billing Detail'!N17</f>
        <v>4.5485034861106044</v>
      </c>
      <c r="G92" s="98">
        <f>Summary!N10</f>
        <v>3.5408953885916798E-2</v>
      </c>
    </row>
    <row r="93" spans="3:8" x14ac:dyDescent="0.25">
      <c r="C93" s="4" t="str">
        <f>Summary!B11</f>
        <v>Commercial</v>
      </c>
      <c r="D93" s="96">
        <f>Summary!C11</f>
        <v>2</v>
      </c>
      <c r="E93" s="93">
        <f>'Billing Detail'!E29</f>
        <v>1336.7029775226233</v>
      </c>
      <c r="F93" s="94">
        <f>'Billing Detail'!N29</f>
        <v>5.3806789253186764</v>
      </c>
      <c r="G93" s="98">
        <f>Summary!N11</f>
        <v>3.5407911856551073E-2</v>
      </c>
    </row>
    <row r="94" spans="3:8" x14ac:dyDescent="0.25">
      <c r="C94" s="4" t="str">
        <f>Summary!B12</f>
        <v>Large Power</v>
      </c>
      <c r="D94" s="96">
        <f>Summary!C12</f>
        <v>3</v>
      </c>
      <c r="E94" s="93">
        <f>'Billing Detail'!E42</f>
        <v>11710.516915422886</v>
      </c>
      <c r="F94" s="94">
        <f>'Billing Detail'!N42</f>
        <v>41.491470249172608</v>
      </c>
      <c r="G94" s="98">
        <f>Summary!N12</f>
        <v>3.5621987509225843E-2</v>
      </c>
    </row>
    <row r="95" spans="3:8" x14ac:dyDescent="0.25">
      <c r="C95" s="4" t="str">
        <f>Summary!B13</f>
        <v>Industrial</v>
      </c>
      <c r="D95" s="96">
        <f>Summary!C13</f>
        <v>4</v>
      </c>
      <c r="E95" s="93">
        <f>'Billing Detail'!E55</f>
        <v>52987.72593681117</v>
      </c>
      <c r="F95" s="94">
        <f>'Billing Detail'!N55</f>
        <v>156.58893402559715</v>
      </c>
      <c r="G95" s="98">
        <f>Summary!N13</f>
        <v>3.5769349441829044E-2</v>
      </c>
    </row>
    <row r="96" spans="3:8" x14ac:dyDescent="0.25">
      <c r="C96" s="4" t="str">
        <f>Summary!B14</f>
        <v>Industrial</v>
      </c>
      <c r="D96" s="96">
        <f>Summary!C14</f>
        <v>9</v>
      </c>
      <c r="E96" s="93">
        <f>'Billing Detail'!E69</f>
        <v>1244835</v>
      </c>
      <c r="F96" s="94">
        <f>'Billing Detail'!N69</f>
        <v>3107.9273599999869</v>
      </c>
      <c r="G96" s="98">
        <f>Summary!N14</f>
        <v>3.4757720657602797E-2</v>
      </c>
    </row>
    <row r="97" spans="3:7" x14ac:dyDescent="0.25">
      <c r="C97" s="4" t="str">
        <f>Summary!B15</f>
        <v>Lighting</v>
      </c>
      <c r="D97" s="96" t="str">
        <f>Summary!C15</f>
        <v>5,6</v>
      </c>
      <c r="E97" s="93" t="s">
        <v>107</v>
      </c>
      <c r="F97" s="94" t="s">
        <v>107</v>
      </c>
      <c r="G97" s="98">
        <f>Summary!N15</f>
        <v>3.7881302728819649E-2</v>
      </c>
    </row>
    <row r="98" spans="3:7" x14ac:dyDescent="0.25">
      <c r="C98" s="4" t="str">
        <f>Summary!B18</f>
        <v>AGC Automotive</v>
      </c>
      <c r="D98" s="96" t="str">
        <f>Summary!C18</f>
        <v>Special</v>
      </c>
      <c r="E98" s="93">
        <f>'Billing Detail'!E123</f>
        <v>10253531.916666666</v>
      </c>
      <c r="F98" s="94">
        <f>'Billing Detail'!N123</f>
        <v>14536.205244083365</v>
      </c>
      <c r="G98" s="98">
        <f>Summary!N18</f>
        <v>2.943921079903198E-2</v>
      </c>
    </row>
    <row r="99" spans="3:7" x14ac:dyDescent="0.25">
      <c r="C99" s="4"/>
      <c r="D99" s="90"/>
      <c r="E99" s="91"/>
      <c r="F99" s="92"/>
      <c r="G99" s="5"/>
    </row>
    <row r="100" spans="3:7" x14ac:dyDescent="0.25">
      <c r="C100" s="4"/>
      <c r="D100" s="90"/>
      <c r="E100" s="91"/>
      <c r="F100" s="92"/>
      <c r="G100" s="5"/>
    </row>
    <row r="101" spans="3:7" x14ac:dyDescent="0.25">
      <c r="C101" s="4"/>
      <c r="D101" s="90"/>
      <c r="E101" s="91"/>
      <c r="F101" s="92"/>
      <c r="G101" s="5"/>
    </row>
    <row r="102" spans="3:7" x14ac:dyDescent="0.25">
      <c r="C102" s="4"/>
      <c r="D102" s="90"/>
      <c r="E102" s="91"/>
      <c r="F102" s="92"/>
      <c r="G102" s="5"/>
    </row>
    <row r="103" spans="3:7" x14ac:dyDescent="0.25">
      <c r="C103" s="4"/>
      <c r="D103" s="90"/>
      <c r="E103" s="91"/>
      <c r="F103" s="92"/>
      <c r="G103" s="5"/>
    </row>
    <row r="104" spans="3:7" x14ac:dyDescent="0.25">
      <c r="C104" s="4"/>
      <c r="D104" s="90"/>
      <c r="E104" s="91"/>
      <c r="F104" s="92"/>
      <c r="G104" s="5"/>
    </row>
    <row r="105" spans="3:7" x14ac:dyDescent="0.25">
      <c r="C105" s="4"/>
      <c r="D105" s="90"/>
      <c r="E105" s="91"/>
      <c r="F105" s="92"/>
      <c r="G105" s="5"/>
    </row>
    <row r="106" spans="3:7" x14ac:dyDescent="0.25">
      <c r="C106" s="4"/>
      <c r="D106" s="90"/>
      <c r="E106" s="91"/>
      <c r="F106" s="92"/>
      <c r="G106" s="5"/>
    </row>
    <row r="107" spans="3:7" x14ac:dyDescent="0.25">
      <c r="C107" s="4"/>
      <c r="D107" s="90"/>
      <c r="E107" s="91"/>
      <c r="F107" s="92"/>
      <c r="G107" s="5"/>
    </row>
    <row r="108" spans="3:7" x14ac:dyDescent="0.25">
      <c r="C108" s="4"/>
      <c r="D108" s="90"/>
      <c r="E108" s="91"/>
      <c r="F108" s="92"/>
      <c r="G108" s="5"/>
    </row>
    <row r="109" spans="3:7" x14ac:dyDescent="0.25">
      <c r="C109" s="4"/>
      <c r="D109" s="90"/>
      <c r="E109" s="91"/>
      <c r="F109" s="92"/>
      <c r="G109" s="5"/>
    </row>
    <row r="110" spans="3:7" x14ac:dyDescent="0.25">
      <c r="C110" s="4"/>
      <c r="D110" s="90"/>
      <c r="E110" s="91"/>
      <c r="F110" s="92"/>
      <c r="G110" s="5"/>
    </row>
    <row r="111" spans="3:7" x14ac:dyDescent="0.25">
      <c r="C111" s="4"/>
      <c r="D111" s="90"/>
      <c r="E111" s="93"/>
      <c r="F111" s="94"/>
      <c r="G111" s="5"/>
    </row>
    <row r="112" spans="3:7" x14ac:dyDescent="0.25">
      <c r="C112" s="4"/>
      <c r="D112" s="2"/>
      <c r="F112" s="74"/>
      <c r="G112" s="74"/>
    </row>
    <row r="113" spans="3:7" x14ac:dyDescent="0.25">
      <c r="C113" s="4"/>
      <c r="D113" s="2"/>
      <c r="F113" s="74"/>
      <c r="G113" s="74"/>
    </row>
  </sheetData>
  <mergeCells count="4">
    <mergeCell ref="C77:G77"/>
    <mergeCell ref="F78:G78"/>
    <mergeCell ref="C89:H89"/>
    <mergeCell ref="F90:G90"/>
  </mergeCells>
  <printOptions horizontalCentered="1"/>
  <pageMargins left="0.7" right="0.7" top="0.75" bottom="0.75" header="0.3" footer="0.3"/>
  <pageSetup paperSize="9" scale="86" fitToHeight="2" orientation="portrait" r:id="rId1"/>
  <headerFooter>
    <oddHeader>&amp;R&amp;"Arial,Bold"&amp;10Exhibit 2
Page &amp;P of &amp;N</oddHeader>
  </headerFooter>
  <rowBreaks count="1" manualBreakCount="1"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2021-03-24T16:59:27Z</cp:lastPrinted>
  <dcterms:created xsi:type="dcterms:W3CDTF">2021-02-09T02:13:44Z</dcterms:created>
  <dcterms:modified xsi:type="dcterms:W3CDTF">2021-07-27T13:49:38Z</dcterms:modified>
</cp:coreProperties>
</file>