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Licking Valley\Analysis\"/>
    </mc:Choice>
  </mc:AlternateContent>
  <xr:revisionPtr revIDLastSave="0" documentId="13_ncr:1_{00352C57-69F8-4BCC-9180-E92D34EF1CA0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Detail'!$A$1:$R$85</definedName>
    <definedName name="_xlnm.Print_Area" localSheetId="2">'Notice Table'!$A$1:$G$28</definedName>
    <definedName name="_xlnm.Print_Area" localSheetId="0">Summary!$A$1:$O$27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49" i="1"/>
  <c r="I23" i="1"/>
  <c r="I11" i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E17" i="3"/>
  <c r="F17" i="3"/>
  <c r="E18" i="3"/>
  <c r="F18" i="3"/>
  <c r="F16" i="3"/>
  <c r="E16" i="3"/>
  <c r="A22" i="1"/>
  <c r="A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E47" i="3"/>
  <c r="N81" i="1"/>
  <c r="N80" i="1"/>
  <c r="N79" i="1"/>
  <c r="M81" i="1"/>
  <c r="M80" i="1"/>
  <c r="M79" i="1"/>
  <c r="I81" i="1"/>
  <c r="I80" i="1"/>
  <c r="I79" i="1"/>
  <c r="G78" i="1"/>
  <c r="G79" i="1"/>
  <c r="G80" i="1"/>
  <c r="G81" i="1"/>
  <c r="G82" i="1"/>
  <c r="G77" i="1"/>
  <c r="I46" i="1"/>
  <c r="G46" i="1"/>
  <c r="I78" i="1" l="1"/>
  <c r="E55" i="1"/>
  <c r="E49" i="3" s="1"/>
  <c r="E42" i="1"/>
  <c r="E48" i="3" s="1"/>
  <c r="E29" i="1"/>
  <c r="E17" i="1" l="1"/>
  <c r="E46" i="3" s="1"/>
  <c r="E21" i="3" l="1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F20" i="3"/>
  <c r="E20" i="3"/>
  <c r="C19" i="3"/>
  <c r="D19" i="3"/>
  <c r="C15" i="3"/>
  <c r="D15" i="3"/>
  <c r="E13" i="3"/>
  <c r="F13" i="3"/>
  <c r="E14" i="3"/>
  <c r="F14" i="3"/>
  <c r="F12" i="3"/>
  <c r="E12" i="3"/>
  <c r="C11" i="3"/>
  <c r="D11" i="3"/>
  <c r="E10" i="3"/>
  <c r="F9" i="3"/>
  <c r="E9" i="3"/>
  <c r="C8" i="3"/>
  <c r="D8" i="3"/>
  <c r="E7" i="3"/>
  <c r="F7" i="3"/>
  <c r="F6" i="3"/>
  <c r="E6" i="3"/>
  <c r="C5" i="3"/>
  <c r="D5" i="3"/>
  <c r="F10" i="3" l="1"/>
  <c r="H15" i="2"/>
  <c r="A1" i="3" l="1"/>
  <c r="L25" i="2" l="1"/>
  <c r="C11" i="2" l="1"/>
  <c r="C49" i="3" l="1"/>
  <c r="C38" i="3"/>
  <c r="I21" i="1"/>
  <c r="G21" i="1"/>
  <c r="I47" i="1" l="1"/>
  <c r="G47" i="1"/>
  <c r="I33" i="1"/>
  <c r="G3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52" i="1" l="1"/>
  <c r="M52" i="1" s="1"/>
  <c r="I51" i="1"/>
  <c r="M51" i="1" s="1"/>
  <c r="I50" i="1"/>
  <c r="M50" i="1" s="1"/>
  <c r="I39" i="1"/>
  <c r="M39" i="1" s="1"/>
  <c r="I37" i="1"/>
  <c r="I26" i="1"/>
  <c r="M26" i="1" s="1"/>
  <c r="I25" i="1"/>
  <c r="M25" i="1" s="1"/>
  <c r="I24" i="1"/>
  <c r="M24" i="1" s="1"/>
  <c r="I14" i="1"/>
  <c r="I13" i="1"/>
  <c r="I12" i="1"/>
  <c r="B21" i="2"/>
  <c r="E21" i="2" l="1"/>
  <c r="M13" i="1"/>
  <c r="M12" i="1"/>
  <c r="M14" i="1"/>
  <c r="I27" i="1"/>
  <c r="I53" i="1"/>
  <c r="M37" i="1"/>
  <c r="G40" i="1"/>
  <c r="I38" i="1"/>
  <c r="M38" i="1" s="1"/>
  <c r="G15" i="1"/>
  <c r="D21" i="2"/>
  <c r="G53" i="1"/>
  <c r="G27" i="1"/>
  <c r="J21" i="2" l="1"/>
  <c r="I15" i="1"/>
  <c r="I40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82" i="1" l="1"/>
  <c r="E20" i="2"/>
  <c r="E19" i="2"/>
  <c r="D20" i="2"/>
  <c r="D19" i="2"/>
  <c r="C10" i="2"/>
  <c r="C12" i="2"/>
  <c r="B12" i="2"/>
  <c r="B11" i="2"/>
  <c r="B10" i="2"/>
  <c r="C9" i="2"/>
  <c r="C8" i="2"/>
  <c r="B9" i="2"/>
  <c r="B8" i="2"/>
  <c r="N51" i="1"/>
  <c r="N50" i="1"/>
  <c r="M49" i="1"/>
  <c r="I45" i="1"/>
  <c r="G45" i="1"/>
  <c r="N25" i="1"/>
  <c r="N24" i="1"/>
  <c r="M23" i="1"/>
  <c r="I20" i="1"/>
  <c r="G20" i="1"/>
  <c r="N37" i="1"/>
  <c r="M36" i="1"/>
  <c r="I34" i="1"/>
  <c r="G34" i="1"/>
  <c r="I32" i="1"/>
  <c r="G32" i="1"/>
  <c r="D39" i="3" l="1"/>
  <c r="D50" i="3"/>
  <c r="C39" i="3"/>
  <c r="C50" i="3"/>
  <c r="C48" i="3"/>
  <c r="C37" i="3"/>
  <c r="C47" i="3"/>
  <c r="C36" i="3"/>
  <c r="C46" i="3"/>
  <c r="C35" i="3"/>
  <c r="D48" i="3"/>
  <c r="D37" i="3"/>
  <c r="D49" i="3"/>
  <c r="D38" i="3"/>
  <c r="D36" i="3"/>
  <c r="D47" i="3"/>
  <c r="D35" i="3"/>
  <c r="D46" i="3"/>
  <c r="N23" i="1"/>
  <c r="M27" i="1"/>
  <c r="N49" i="1"/>
  <c r="M53" i="1"/>
  <c r="N36" i="1"/>
  <c r="M40" i="1"/>
  <c r="N40" i="1" s="1"/>
  <c r="O40" i="1" s="1"/>
  <c r="E18" i="2"/>
  <c r="E22" i="2" s="1"/>
  <c r="G48" i="1"/>
  <c r="D11" i="2" s="1"/>
  <c r="D18" i="2"/>
  <c r="D22" i="2" s="1"/>
  <c r="G22" i="1"/>
  <c r="D9" i="2" s="1"/>
  <c r="I48" i="1"/>
  <c r="J46" i="1" s="1"/>
  <c r="I22" i="1"/>
  <c r="G35" i="1"/>
  <c r="N38" i="1"/>
  <c r="I35" i="1"/>
  <c r="J34" i="1" s="1"/>
  <c r="G58" i="1"/>
  <c r="I58" i="1"/>
  <c r="G72" i="1"/>
  <c r="M70" i="1"/>
  <c r="M69" i="1"/>
  <c r="M68" i="1"/>
  <c r="B19" i="2"/>
  <c r="B20" i="2"/>
  <c r="B18" i="2"/>
  <c r="M11" i="1"/>
  <c r="M78" i="1" s="1"/>
  <c r="I9" i="1"/>
  <c r="I8" i="1"/>
  <c r="G9" i="1"/>
  <c r="G8" i="1"/>
  <c r="A2" i="1"/>
  <c r="A1" i="1"/>
  <c r="A8" i="2"/>
  <c r="A9" i="2" s="1"/>
  <c r="A10" i="2" s="1"/>
  <c r="A11" i="2" s="1"/>
  <c r="M15" i="1" l="1"/>
  <c r="M82" i="1" s="1"/>
  <c r="N68" i="1"/>
  <c r="J21" i="1"/>
  <c r="E11" i="2"/>
  <c r="J47" i="1"/>
  <c r="N69" i="1"/>
  <c r="N70" i="1"/>
  <c r="J20" i="2"/>
  <c r="J33" i="1"/>
  <c r="J45" i="1"/>
  <c r="J32" i="1"/>
  <c r="J20" i="1"/>
  <c r="G54" i="1"/>
  <c r="G55" i="1" s="1"/>
  <c r="G28" i="1"/>
  <c r="G29" i="1" s="1"/>
  <c r="N12" i="1"/>
  <c r="J19" i="2"/>
  <c r="N13" i="1"/>
  <c r="G41" i="1"/>
  <c r="G42" i="1" s="1"/>
  <c r="D10" i="2"/>
  <c r="I54" i="1"/>
  <c r="I55" i="1" s="1"/>
  <c r="I41" i="1"/>
  <c r="I42" i="1" s="1"/>
  <c r="E10" i="2"/>
  <c r="I28" i="1"/>
  <c r="I29" i="1" s="1"/>
  <c r="E9" i="2"/>
  <c r="N53" i="1"/>
  <c r="O53" i="1" s="1"/>
  <c r="N27" i="1"/>
  <c r="O27" i="1" s="1"/>
  <c r="G10" i="1"/>
  <c r="I10" i="1"/>
  <c r="I77" i="1" s="1"/>
  <c r="I83" i="1" s="1"/>
  <c r="I72" i="1"/>
  <c r="I67" i="1"/>
  <c r="G67" i="1"/>
  <c r="N11" i="1"/>
  <c r="N78" i="1" s="1"/>
  <c r="G83" i="1" l="1"/>
  <c r="G11" i="2"/>
  <c r="G9" i="2"/>
  <c r="G10" i="2"/>
  <c r="D12" i="2"/>
  <c r="J48" i="1"/>
  <c r="J18" i="2"/>
  <c r="J22" i="2" s="1"/>
  <c r="J35" i="1"/>
  <c r="E12" i="2"/>
  <c r="J22" i="1"/>
  <c r="J64" i="1"/>
  <c r="J65" i="1"/>
  <c r="J62" i="1"/>
  <c r="J63" i="1"/>
  <c r="J66" i="1"/>
  <c r="J61" i="1"/>
  <c r="J60" i="1"/>
  <c r="J59" i="1"/>
  <c r="J9" i="1"/>
  <c r="J8" i="1"/>
  <c r="G73" i="1"/>
  <c r="E8" i="2"/>
  <c r="G16" i="1"/>
  <c r="D8" i="2"/>
  <c r="J58" i="1"/>
  <c r="I73" i="1"/>
  <c r="M72" i="1"/>
  <c r="I16" i="1"/>
  <c r="I17" i="1" s="1"/>
  <c r="N15" i="1"/>
  <c r="N82" i="1" s="1"/>
  <c r="G12" i="2" l="1"/>
  <c r="G8" i="2"/>
  <c r="D13" i="2"/>
  <c r="D15" i="2" s="1"/>
  <c r="D24" i="2" s="1"/>
  <c r="E13" i="2"/>
  <c r="G17" i="1"/>
  <c r="J67" i="1"/>
  <c r="N72" i="1"/>
  <c r="O72" i="1" s="1"/>
  <c r="J10" i="1"/>
  <c r="G13" i="2" l="1"/>
  <c r="E15" i="2"/>
  <c r="F8" i="2"/>
  <c r="F11" i="2"/>
  <c r="F9" i="2"/>
  <c r="F12" i="2"/>
  <c r="F13" i="2"/>
  <c r="F15" i="2" s="1"/>
  <c r="F10" i="2"/>
  <c r="H8" i="2" l="1"/>
  <c r="I8" i="2" s="1"/>
  <c r="K10" i="1" s="1"/>
  <c r="H9" i="2"/>
  <c r="I9" i="2" s="1"/>
  <c r="K22" i="1" s="1"/>
  <c r="H10" i="2"/>
  <c r="I10" i="2" s="1"/>
  <c r="K35" i="1" s="1"/>
  <c r="H11" i="2"/>
  <c r="I11" i="2" s="1"/>
  <c r="K48" i="1" s="1"/>
  <c r="H12" i="2"/>
  <c r="I12" i="2" s="1"/>
  <c r="K67" i="1" s="1"/>
  <c r="G15" i="2"/>
  <c r="E24" i="2"/>
  <c r="S22" i="1" l="1"/>
  <c r="S67" i="1"/>
  <c r="S35" i="1"/>
  <c r="S10" i="1"/>
  <c r="L9" i="1" s="1"/>
  <c r="G7" i="3" s="1"/>
  <c r="J7" i="3" s="1"/>
  <c r="S48" i="1"/>
  <c r="I13" i="2"/>
  <c r="I15" i="2" s="1"/>
  <c r="L47" i="1" l="1"/>
  <c r="G18" i="3" s="1"/>
  <c r="J18" i="3" s="1"/>
  <c r="L46" i="1"/>
  <c r="G17" i="3" s="1"/>
  <c r="J17" i="3" s="1"/>
  <c r="L45" i="1"/>
  <c r="G16" i="3" s="1"/>
  <c r="J16" i="3" s="1"/>
  <c r="L32" i="1"/>
  <c r="G12" i="3" s="1"/>
  <c r="J12" i="3" s="1"/>
  <c r="L34" i="1"/>
  <c r="G14" i="3" s="1"/>
  <c r="J14" i="3" s="1"/>
  <c r="L21" i="1"/>
  <c r="G10" i="3" s="1"/>
  <c r="J10" i="3" s="1"/>
  <c r="L20" i="1"/>
  <c r="L62" i="1"/>
  <c r="G24" i="3" s="1"/>
  <c r="J24" i="3" s="1"/>
  <c r="L65" i="1"/>
  <c r="G27" i="3" s="1"/>
  <c r="J27" i="3" s="1"/>
  <c r="L66" i="1"/>
  <c r="G28" i="3" s="1"/>
  <c r="J28" i="3" s="1"/>
  <c r="L8" i="1"/>
  <c r="L33" i="1"/>
  <c r="G13" i="3" s="1"/>
  <c r="J13" i="3" s="1"/>
  <c r="L61" i="1"/>
  <c r="G23" i="3" s="1"/>
  <c r="J23" i="3" s="1"/>
  <c r="L63" i="1"/>
  <c r="G25" i="3" s="1"/>
  <c r="J25" i="3" s="1"/>
  <c r="L60" i="1"/>
  <c r="G22" i="3" s="1"/>
  <c r="J22" i="3" s="1"/>
  <c r="L64" i="1"/>
  <c r="G26" i="3" s="1"/>
  <c r="J26" i="3" s="1"/>
  <c r="L58" i="1"/>
  <c r="G20" i="3" s="1"/>
  <c r="J20" i="3" s="1"/>
  <c r="L59" i="1"/>
  <c r="G21" i="3" s="1"/>
  <c r="J21" i="3" s="1"/>
  <c r="M9" i="1"/>
  <c r="N9" i="1" s="1"/>
  <c r="O9" i="1" s="1"/>
  <c r="T32" i="1"/>
  <c r="T9" i="1"/>
  <c r="M32" i="1" l="1"/>
  <c r="N32" i="1" s="1"/>
  <c r="O32" i="1" s="1"/>
  <c r="G6" i="3"/>
  <c r="J6" i="3" s="1"/>
  <c r="M62" i="1"/>
  <c r="N62" i="1" s="1"/>
  <c r="O62" i="1" s="1"/>
  <c r="T62" i="1"/>
  <c r="M65" i="1"/>
  <c r="N65" i="1" s="1"/>
  <c r="O65" i="1" s="1"/>
  <c r="T65" i="1"/>
  <c r="T66" i="1"/>
  <c r="T63" i="1"/>
  <c r="M8" i="1"/>
  <c r="N8" i="1" s="1"/>
  <c r="N10" i="1" s="1"/>
  <c r="T33" i="1"/>
  <c r="M45" i="1"/>
  <c r="N45" i="1" s="1"/>
  <c r="M66" i="1"/>
  <c r="N66" i="1" s="1"/>
  <c r="O66" i="1" s="1"/>
  <c r="M61" i="1"/>
  <c r="N61" i="1" s="1"/>
  <c r="O61" i="1" s="1"/>
  <c r="M34" i="1"/>
  <c r="N34" i="1" s="1"/>
  <c r="O34" i="1" s="1"/>
  <c r="M64" i="1"/>
  <c r="N64" i="1" s="1"/>
  <c r="O64" i="1" s="1"/>
  <c r="M33" i="1"/>
  <c r="N33" i="1" s="1"/>
  <c r="O33" i="1" s="1"/>
  <c r="T34" i="1"/>
  <c r="T64" i="1"/>
  <c r="T61" i="1"/>
  <c r="M63" i="1"/>
  <c r="N63" i="1" s="1"/>
  <c r="O63" i="1" s="1"/>
  <c r="T8" i="1"/>
  <c r="G9" i="3"/>
  <c r="J9" i="3" s="1"/>
  <c r="T60" i="1"/>
  <c r="M60" i="1"/>
  <c r="N60" i="1" s="1"/>
  <c r="O60" i="1" s="1"/>
  <c r="M58" i="1"/>
  <c r="N58" i="1" s="1"/>
  <c r="O58" i="1" s="1"/>
  <c r="T58" i="1"/>
  <c r="M59" i="1"/>
  <c r="N59" i="1" s="1"/>
  <c r="O59" i="1" s="1"/>
  <c r="T59" i="1"/>
  <c r="T47" i="1"/>
  <c r="M47" i="1"/>
  <c r="M46" i="1" l="1"/>
  <c r="T46" i="1"/>
  <c r="O8" i="1"/>
  <c r="M35" i="1"/>
  <c r="R35" i="1" s="1"/>
  <c r="N35" i="1"/>
  <c r="O35" i="1" s="1"/>
  <c r="M10" i="1"/>
  <c r="M67" i="1"/>
  <c r="N67" i="1"/>
  <c r="O67" i="1" s="1"/>
  <c r="M48" i="1"/>
  <c r="P45" i="1" s="1"/>
  <c r="Q45" i="1" s="1"/>
  <c r="O45" i="1"/>
  <c r="N47" i="1"/>
  <c r="O47" i="1" s="1"/>
  <c r="O10" i="1"/>
  <c r="P8" i="1" l="1"/>
  <c r="Q8" i="1" s="1"/>
  <c r="N46" i="1"/>
  <c r="O46" i="1" s="1"/>
  <c r="P46" i="1"/>
  <c r="Q46" i="1" s="1"/>
  <c r="P9" i="1"/>
  <c r="Q9" i="1" s="1"/>
  <c r="J8" i="2"/>
  <c r="O8" i="2" s="1"/>
  <c r="P34" i="1"/>
  <c r="Q34" i="1" s="1"/>
  <c r="P33" i="1"/>
  <c r="Q33" i="1" s="1"/>
  <c r="P32" i="1"/>
  <c r="Q32" i="1" s="1"/>
  <c r="M41" i="1"/>
  <c r="M42" i="1" s="1"/>
  <c r="N42" i="1" s="1"/>
  <c r="O42" i="1" s="1"/>
  <c r="J10" i="2"/>
  <c r="O10" i="2" s="1"/>
  <c r="P66" i="1"/>
  <c r="Q66" i="1" s="1"/>
  <c r="J12" i="2"/>
  <c r="L12" i="2" s="1"/>
  <c r="F39" i="3" s="1"/>
  <c r="P61" i="1"/>
  <c r="Q61" i="1" s="1"/>
  <c r="R10" i="1"/>
  <c r="M16" i="1"/>
  <c r="M17" i="1" s="1"/>
  <c r="N17" i="1" s="1"/>
  <c r="O17" i="1" s="1"/>
  <c r="P63" i="1"/>
  <c r="Q63" i="1" s="1"/>
  <c r="P60" i="1"/>
  <c r="Q60" i="1" s="1"/>
  <c r="P59" i="1"/>
  <c r="Q59" i="1" s="1"/>
  <c r="P62" i="1"/>
  <c r="Q62" i="1" s="1"/>
  <c r="P58" i="1"/>
  <c r="Q58" i="1" s="1"/>
  <c r="M73" i="1"/>
  <c r="N73" i="1" s="1"/>
  <c r="O73" i="1" s="1"/>
  <c r="N12" i="2" s="1"/>
  <c r="P64" i="1"/>
  <c r="Q64" i="1" s="1"/>
  <c r="R67" i="1"/>
  <c r="P65" i="1"/>
  <c r="Q65" i="1" s="1"/>
  <c r="J11" i="2"/>
  <c r="O11" i="2" s="1"/>
  <c r="M54" i="1"/>
  <c r="M55" i="1" s="1"/>
  <c r="N55" i="1" s="1"/>
  <c r="P47" i="1"/>
  <c r="Q47" i="1" s="1"/>
  <c r="R48" i="1"/>
  <c r="L8" i="2"/>
  <c r="L10" i="2"/>
  <c r="N48" i="1" l="1"/>
  <c r="O48" i="1" s="1"/>
  <c r="N41" i="1"/>
  <c r="O41" i="1" s="1"/>
  <c r="N10" i="2" s="1"/>
  <c r="P10" i="1"/>
  <c r="Q10" i="1" s="1"/>
  <c r="M12" i="2"/>
  <c r="O12" i="2"/>
  <c r="P35" i="1"/>
  <c r="Q35" i="1" s="1"/>
  <c r="N16" i="1"/>
  <c r="O16" i="1" s="1"/>
  <c r="N8" i="2" s="1"/>
  <c r="F46" i="3"/>
  <c r="F48" i="3"/>
  <c r="P67" i="1"/>
  <c r="Q67" i="1" s="1"/>
  <c r="P48" i="1"/>
  <c r="Q48" i="1" s="1"/>
  <c r="O55" i="1"/>
  <c r="F49" i="3"/>
  <c r="N54" i="1"/>
  <c r="O54" i="1" s="1"/>
  <c r="N11" i="2" s="1"/>
  <c r="L11" i="2"/>
  <c r="M11" i="2" s="1"/>
  <c r="M10" i="2"/>
  <c r="F37" i="3"/>
  <c r="M8" i="2"/>
  <c r="F35" i="3"/>
  <c r="G39" i="3"/>
  <c r="G50" i="3"/>
  <c r="F38" i="3" l="1"/>
  <c r="G48" i="3"/>
  <c r="G37" i="3"/>
  <c r="G49" i="3"/>
  <c r="G38" i="3"/>
  <c r="G35" i="3"/>
  <c r="G46" i="3"/>
  <c r="M20" i="1"/>
  <c r="M21" i="1"/>
  <c r="T21" i="1" l="1"/>
  <c r="N20" i="1"/>
  <c r="N21" i="1"/>
  <c r="O21" i="1" s="1"/>
  <c r="O20" i="1" l="1"/>
  <c r="N22" i="1"/>
  <c r="N77" i="1" s="1"/>
  <c r="N83" i="1" s="1"/>
  <c r="M22" i="1"/>
  <c r="M77" i="1" s="1"/>
  <c r="M83" i="1" s="1"/>
  <c r="J9" i="2" l="1"/>
  <c r="O9" i="2" s="1"/>
  <c r="M28" i="1"/>
  <c r="M29" i="1" s="1"/>
  <c r="R22" i="1"/>
  <c r="P21" i="1"/>
  <c r="Q21" i="1" s="1"/>
  <c r="P20" i="1"/>
  <c r="Q20" i="1" s="1"/>
  <c r="N29" i="1" l="1"/>
  <c r="J13" i="2"/>
  <c r="L9" i="2"/>
  <c r="O22" i="1"/>
  <c r="P22" i="1"/>
  <c r="Q22" i="1" s="1"/>
  <c r="N28" i="1"/>
  <c r="O77" i="1"/>
  <c r="O29" i="1" l="1"/>
  <c r="F47" i="3"/>
  <c r="O28" i="1"/>
  <c r="N9" i="2" s="1"/>
  <c r="M9" i="2"/>
  <c r="F36" i="3"/>
  <c r="O13" i="2"/>
  <c r="O15" i="2" s="1"/>
  <c r="K9" i="2"/>
  <c r="K10" i="2"/>
  <c r="K12" i="2"/>
  <c r="J15" i="2"/>
  <c r="J24" i="2" s="1"/>
  <c r="L24" i="2" s="1"/>
  <c r="F40" i="3" s="1"/>
  <c r="K13" i="2"/>
  <c r="K15" i="2" s="1"/>
  <c r="K11" i="2"/>
  <c r="K8" i="2"/>
  <c r="L13" i="2"/>
  <c r="L15" i="2" s="1"/>
  <c r="N85" i="1"/>
  <c r="O83" i="1"/>
  <c r="G47" i="3" l="1"/>
  <c r="G36" i="3"/>
  <c r="M13" i="2"/>
  <c r="M15" i="2" s="1"/>
  <c r="L26" i="2"/>
  <c r="L27" i="2" s="1"/>
  <c r="N24" i="2"/>
  <c r="G40" i="3" s="1"/>
</calcChain>
</file>

<file path=xl/sharedStrings.xml><?xml version="1.0" encoding="utf-8"?>
<sst xmlns="http://schemas.openxmlformats.org/spreadsheetml/2006/main" count="146" uniqueCount="84">
  <si>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</si>
  <si>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</si>
  <si>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</si>
  <si>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</si>
  <si>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</si>
  <si>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</si>
  <si>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</si>
  <si>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</si>
  <si>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</si>
  <si>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</si>
  <si>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</si>
  <si>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</si>
  <si>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</si>
  <si>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</si>
  <si>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</si>
  <si>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</si>
  <si>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</si>
  <si>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</si>
  <si>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</si>
  <si>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</si>
  <si>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</si>
  <si>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</si>
  <si>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</si>
  <si>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</si>
  <si>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</si>
  <si>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</si>
  <si>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</si>
  <si>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</si>
  <si>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</si>
  <si>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</si>
  <si>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</si>
  <si>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</si>
  <si>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</si>
  <si>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</si>
  <si>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</si>
  <si>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</si>
  <si>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</si>
  <si>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</si>
  <si>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</si>
  <si>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</si>
  <si>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</si>
  <si>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</si>
  <si>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</si>
  <si>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</si>
  <si>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</si>
  <si>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</si>
  <si>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</si>
  <si>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</si>
  <si>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</si>
  <si>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</si>
  <si>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</si>
  <si>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</si>
  <si>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</si>
  <si>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</si>
  <si>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</si>
  <si>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</si>
  <si>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</si>
  <si>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</si>
  <si>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</si>
  <si>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</si>
  <si>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</si>
  <si>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</si>
  <si>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</si>
  <si>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A</t>
  </si>
  <si>
    <t>B</t>
  </si>
  <si>
    <t>LICKING VALLEY RECC</t>
  </si>
  <si>
    <t>Schedule B - Commercial and Small Power Service</t>
  </si>
  <si>
    <t>LPR</t>
  </si>
  <si>
    <t xml:space="preserve">Large Power Rate </t>
  </si>
  <si>
    <t xml:space="preserve">LP </t>
  </si>
  <si>
    <t>Large Power Service</t>
  </si>
  <si>
    <t>25ft Wood Pole</t>
  </si>
  <si>
    <t>30ft Wood Pole</t>
  </si>
  <si>
    <t>175 Watt MV</t>
  </si>
  <si>
    <t>100 Watt Metal Halide</t>
  </si>
  <si>
    <t>250 Watt Metal Halide</t>
  </si>
  <si>
    <t>400 Watt Metal Halide</t>
  </si>
  <si>
    <t>68 Watt LED</t>
  </si>
  <si>
    <t>108 Watt LED</t>
  </si>
  <si>
    <t>202 Watt LED</t>
  </si>
  <si>
    <t>SL</t>
  </si>
  <si>
    <t>Present &amp; Proposed Rates</t>
  </si>
  <si>
    <t>Schedule A - Residential, Farm, Hall &amp; Church Service</t>
  </si>
  <si>
    <t>Revised to reflect Commission Order dated May 10, 2021 in Case No. 2020-00338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</si>
</sst>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i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172" fontId="3" fillId="0" borderId="0" xfId="2" applyNumberFormat="1" applyFont="1"/>
    <xf numFmtId="44" fontId="3" fillId="0" borderId="0" xfId="2" applyNumberFormat="1" applyFont="1"/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3" fontId="3" fillId="0" borderId="2" xfId="0" applyNumberFormat="1" applyFont="1" applyBorder="1"/>
    <xf numFmtId="10" fontId="3" fillId="0" borderId="2" xfId="3" applyNumberFormat="1" applyFont="1" applyBorder="1"/>
    <xf numFmtId="173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0" fillId="0" borderId="0" xfId="0" applyFont="1"/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168" fontId="3" fillId="0" borderId="0" xfId="0" applyNumberFormat="1" applyFont="1"/>
    <xf numFmtId="0" fontId="7" fillId="0" borderId="0" xfId="0" applyFont="1" applyFill="1"/>
    <xf numFmtId="43" fontId="7" fillId="0" borderId="0" xfId="1" applyFont="1" applyFill="1"/>
    <xf numFmtId="168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7" fontId="7" fillId="0" borderId="0" xfId="1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43" fontId="4" fillId="4" borderId="0" xfId="1" applyFont="1" applyFill="1"/>
    <xf numFmtId="168" fontId="4" fillId="4" borderId="0" xfId="1" applyNumberFormat="1" applyFont="1" applyFill="1"/>
    <xf numFmtId="0" fontId="4" fillId="0" borderId="0" xfId="0" applyFont="1" applyAlignment="1">
      <alignment horizontal="right"/>
    </xf>
    <xf numFmtId="44" fontId="4" fillId="0" borderId="0" xfId="2" applyFont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6" fontId="4" fillId="5" borderId="1" xfId="0" applyNumberFormat="1" applyFont="1" applyFill="1" applyBorder="1"/>
    <xf numFmtId="0" fontId="11" fillId="0" borderId="0" xfId="0" applyFont="1" applyAlignment="1">
      <alignment horizontal="right"/>
    </xf>
    <xf numFmtId="44" fontId="7" fillId="0" borderId="0" xfId="2" applyFont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EFF6EA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28"/>
  <sheetViews>
    <sheetView tabSelected="1" zoomScale="75" zoomScaleNormal="75" workbookViewId="0">
      <selection activeCell="L4" sqref="L4"/>
    </sheetView>
  </sheetViews>
  <sheetFormatPr defaultColWidth="8.88671875" defaultRowHeight="13.2" x14ac:dyDescent="0.25"/>
  <cols>
    <col min="1" max="1" width="6.88671875" style="2" customWidth="1"/>
    <col min="2" max="2" width="49" style="2" bestFit="1" customWidth="1"/>
    <col min="3" max="3" width="5.88671875" style="12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0" style="2" bestFit="1" customWidth="1"/>
    <col min="10" max="10" width="12.6640625" style="2" bestFit="1" customWidth="1"/>
    <col min="11" max="11" width="11.6640625" style="2" customWidth="1"/>
    <col min="12" max="12" width="10.441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29.332031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65</v>
      </c>
      <c r="O1" s="137" t="s">
        <v>83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3" t="s">
        <v>39</v>
      </c>
      <c r="L4" s="141">
        <v>884083</v>
      </c>
      <c r="M4" s="4"/>
    </row>
    <row r="5" spans="1:22" x14ac:dyDescent="0.25">
      <c r="M5" s="4"/>
      <c r="N5" s="4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27" t="s">
        <v>21</v>
      </c>
      <c r="E6" s="27" t="s">
        <v>3</v>
      </c>
      <c r="F6" s="27" t="s">
        <v>22</v>
      </c>
      <c r="G6" s="27" t="s">
        <v>34</v>
      </c>
      <c r="H6" s="27" t="s">
        <v>35</v>
      </c>
      <c r="I6" s="27" t="s">
        <v>36</v>
      </c>
      <c r="J6" s="27" t="s">
        <v>4</v>
      </c>
      <c r="K6" s="27" t="s">
        <v>24</v>
      </c>
      <c r="L6" s="27" t="s">
        <v>47</v>
      </c>
      <c r="M6" s="75" t="s">
        <v>45</v>
      </c>
      <c r="N6" s="75" t="s">
        <v>46</v>
      </c>
      <c r="O6" s="10" t="s">
        <v>38</v>
      </c>
      <c r="Q6" s="2"/>
      <c r="R6" s="2"/>
      <c r="S6" s="2"/>
      <c r="T6" s="2"/>
      <c r="U6" s="2"/>
      <c r="V6" s="2"/>
    </row>
    <row r="7" spans="1:22" s="38" customFormat="1" x14ac:dyDescent="0.25">
      <c r="A7" s="3">
        <v>1</v>
      </c>
      <c r="B7" s="34" t="s">
        <v>5</v>
      </c>
      <c r="C7" s="69"/>
      <c r="D7" s="34"/>
      <c r="E7" s="35"/>
      <c r="F7" s="36"/>
      <c r="G7" s="36"/>
      <c r="H7" s="9"/>
      <c r="I7" s="9"/>
      <c r="J7" s="35"/>
      <c r="K7" s="36"/>
      <c r="L7" s="35"/>
      <c r="M7" s="37"/>
      <c r="N7" s="37"/>
      <c r="Q7" s="2"/>
      <c r="R7" s="2"/>
      <c r="S7" s="2"/>
      <c r="T7" s="2"/>
      <c r="U7" s="2"/>
      <c r="V7" s="2"/>
    </row>
    <row r="8" spans="1:22" s="38" customFormat="1" x14ac:dyDescent="0.25">
      <c r="A8" s="3">
        <f>A7+1</f>
        <v>2</v>
      </c>
      <c r="B8" s="38" t="str">
        <f>'Billing Detail'!B7</f>
        <v>Schedule A - Residential, Farm, Hall &amp; Church Service</v>
      </c>
      <c r="C8" s="12" t="str">
        <f>'Billing Detail'!C7</f>
        <v>A</v>
      </c>
      <c r="D8" s="39">
        <f>'Billing Detail'!G10</f>
        <v>19873685.625135999</v>
      </c>
      <c r="E8" s="39">
        <f>'Billing Detail'!I10</f>
        <v>20368372.097416002</v>
      </c>
      <c r="F8" s="37">
        <f t="shared" ref="F8:F13" si="0">E8/E$13</f>
        <v>0.77017955539800376</v>
      </c>
      <c r="G8" s="39">
        <f>E8</f>
        <v>20368372.097416002</v>
      </c>
      <c r="H8" s="37">
        <f>G8/G$13</f>
        <v>0.77017955539800376</v>
      </c>
      <c r="I8" s="39">
        <f t="shared" ref="I8:I12" si="1">ROUND(L$4*H8,2)</f>
        <v>680902.65</v>
      </c>
      <c r="J8" s="39">
        <f>'Billing Detail'!M10</f>
        <v>21048311.975376002</v>
      </c>
      <c r="K8" s="37">
        <f t="shared" ref="K8:K13" si="2">J8/J$13</f>
        <v>0.77016161307733144</v>
      </c>
      <c r="L8" s="39">
        <f>'Billing Detail'!N10</f>
        <v>679939.87795999972</v>
      </c>
      <c r="M8" s="37">
        <f>IF(E8=0,0,L8/E8)</f>
        <v>3.3382141425345381E-2</v>
      </c>
      <c r="N8" s="37">
        <f>'Billing Detail'!O16</f>
        <v>3.1213432195547355E-2</v>
      </c>
      <c r="O8" s="41">
        <f>J8-I8-E8</f>
        <v>-962.77203999832273</v>
      </c>
      <c r="Q8" s="2"/>
      <c r="R8" s="2"/>
      <c r="S8" s="2"/>
      <c r="T8" s="2"/>
      <c r="U8" s="2"/>
      <c r="V8" s="2"/>
    </row>
    <row r="9" spans="1:22" s="38" customFormat="1" x14ac:dyDescent="0.25">
      <c r="A9" s="3">
        <f t="shared" ref="A9:A27" si="3">A8+1</f>
        <v>3</v>
      </c>
      <c r="B9" s="38" t="str">
        <f>'Billing Detail'!B19</f>
        <v>Schedule B - Commercial and Small Power Service</v>
      </c>
      <c r="C9" s="12" t="str">
        <f>'Billing Detail'!C19</f>
        <v>B</v>
      </c>
      <c r="D9" s="39">
        <f>'Billing Detail'!G22</f>
        <v>1098604.0120000001</v>
      </c>
      <c r="E9" s="39">
        <f>'Billing Detail'!I22</f>
        <v>1082580.9700000002</v>
      </c>
      <c r="F9" s="37">
        <f t="shared" si="0"/>
        <v>4.0935118730608622E-2</v>
      </c>
      <c r="G9" s="39">
        <f t="shared" ref="G9:G12" si="4">E9</f>
        <v>1082580.9700000002</v>
      </c>
      <c r="H9" s="37">
        <f>G9/G$13</f>
        <v>4.0935118730608622E-2</v>
      </c>
      <c r="I9" s="39">
        <f t="shared" si="1"/>
        <v>36190.04</v>
      </c>
      <c r="J9" s="39">
        <f>'Billing Detail'!M22</f>
        <v>1118760.5692</v>
      </c>
      <c r="K9" s="37">
        <f t="shared" si="2"/>
        <v>4.0935655345207017E-2</v>
      </c>
      <c r="L9" s="39">
        <f>'Billing Detail'!N22</f>
        <v>36179.599199999997</v>
      </c>
      <c r="M9" s="37">
        <f t="shared" ref="M9:M12" si="5">IF(E9=0,0,L9/E9)</f>
        <v>3.3419762773033032E-2</v>
      </c>
      <c r="N9" s="37">
        <f>'Billing Detail'!O28</f>
        <v>3.2932338499415403E-2</v>
      </c>
      <c r="O9" s="41">
        <f t="shared" ref="O9:O13" si="6">J9-I9-E9</f>
        <v>-10.440800000214949</v>
      </c>
      <c r="Q9" s="2"/>
      <c r="R9" s="2"/>
      <c r="S9" s="2"/>
      <c r="T9" s="2"/>
      <c r="U9" s="2"/>
      <c r="V9" s="2"/>
    </row>
    <row r="10" spans="1:22" s="38" customFormat="1" x14ac:dyDescent="0.25">
      <c r="A10" s="3">
        <f t="shared" si="3"/>
        <v>4</v>
      </c>
      <c r="B10" s="38" t="str">
        <f>'Billing Detail'!B31</f>
        <v>Large Power Service</v>
      </c>
      <c r="C10" s="12" t="str">
        <f>'Billing Detail'!C31</f>
        <v xml:space="preserve">LP </v>
      </c>
      <c r="D10" s="39">
        <f>'Billing Detail'!G35</f>
        <v>3245694.2786000003</v>
      </c>
      <c r="E10" s="39">
        <f>'Billing Detail'!I35</f>
        <v>3194293.7406000001</v>
      </c>
      <c r="F10" s="37">
        <f t="shared" si="0"/>
        <v>0.12078430819996856</v>
      </c>
      <c r="G10" s="39">
        <f t="shared" si="4"/>
        <v>3194293.7406000001</v>
      </c>
      <c r="H10" s="37">
        <f>G10/G$13</f>
        <v>0.12078430819996856</v>
      </c>
      <c r="I10" s="39">
        <f t="shared" si="1"/>
        <v>106783.35</v>
      </c>
      <c r="J10" s="39">
        <f>'Billing Detail'!M35</f>
        <v>3301572.5192999998</v>
      </c>
      <c r="K10" s="37">
        <f t="shared" si="2"/>
        <v>0.12080514675621411</v>
      </c>
      <c r="L10" s="39">
        <f>'Billing Detail'!N35</f>
        <v>107278.77869999979</v>
      </c>
      <c r="M10" s="37">
        <f t="shared" si="5"/>
        <v>3.3584506439238451E-2</v>
      </c>
      <c r="N10" s="37">
        <f>'Billing Detail'!O41</f>
        <v>3.1448397327991866E-2</v>
      </c>
      <c r="O10" s="41">
        <f t="shared" si="6"/>
        <v>495.42869999958202</v>
      </c>
      <c r="Q10" s="2"/>
      <c r="R10" s="2"/>
      <c r="S10" s="2"/>
      <c r="T10" s="2"/>
      <c r="U10" s="2"/>
      <c r="V10" s="2"/>
    </row>
    <row r="11" spans="1:22" s="38" customFormat="1" x14ac:dyDescent="0.25">
      <c r="A11" s="3">
        <f t="shared" si="3"/>
        <v>5</v>
      </c>
      <c r="B11" s="38" t="str">
        <f>'Billing Detail'!B44</f>
        <v xml:space="preserve">Large Power Rate </v>
      </c>
      <c r="C11" s="12" t="str">
        <f>'Billing Detail'!C44</f>
        <v>LPR</v>
      </c>
      <c r="D11" s="39">
        <f>'Billing Detail'!G48</f>
        <v>800861.62161199993</v>
      </c>
      <c r="E11" s="39">
        <f>'Billing Detail'!I48</f>
        <v>783008.83393199998</v>
      </c>
      <c r="F11" s="37">
        <f t="shared" si="0"/>
        <v>2.9607540195466232E-2</v>
      </c>
      <c r="G11" s="39">
        <f t="shared" si="4"/>
        <v>783008.83393199998</v>
      </c>
      <c r="H11" s="37">
        <f>G11/G$13</f>
        <v>2.9607540195466232E-2</v>
      </c>
      <c r="I11" s="39">
        <f t="shared" si="1"/>
        <v>26175.52</v>
      </c>
      <c r="J11" s="39">
        <f>'Billing Detail'!M48</f>
        <v>809165.58504799998</v>
      </c>
      <c r="K11" s="37">
        <f t="shared" si="2"/>
        <v>2.9607517835933149E-2</v>
      </c>
      <c r="L11" s="39">
        <f>'Billing Detail'!N48</f>
        <v>26156.751116000079</v>
      </c>
      <c r="M11" s="37">
        <f t="shared" si="5"/>
        <v>3.3405435523185492E-2</v>
      </c>
      <c r="N11" s="37">
        <f>'Billing Detail'!O54</f>
        <v>3.2992984982625519E-2</v>
      </c>
      <c r="O11" s="41">
        <f t="shared" si="6"/>
        <v>-18.76888400001917</v>
      </c>
      <c r="Q11" s="2"/>
      <c r="R11" s="2"/>
      <c r="S11" s="2"/>
      <c r="T11" s="2"/>
      <c r="U11" s="2"/>
      <c r="V11" s="2"/>
    </row>
    <row r="12" spans="1:22" s="38" customFormat="1" x14ac:dyDescent="0.25">
      <c r="A12" s="3">
        <f t="shared" si="3"/>
        <v>6</v>
      </c>
      <c r="B12" s="38" t="str">
        <f>'Billing Detail'!B57</f>
        <v>Lighting</v>
      </c>
      <c r="C12" s="12" t="str">
        <f>'Billing Detail'!C57</f>
        <v>SL</v>
      </c>
      <c r="D12" s="39">
        <f>'Billing Detail'!G67</f>
        <v>103243</v>
      </c>
      <c r="E12" s="39">
        <f>'Billing Detail'!I67</f>
        <v>1018008.6799999998</v>
      </c>
      <c r="F12" s="37">
        <f t="shared" si="0"/>
        <v>3.849347747595281E-2</v>
      </c>
      <c r="G12" s="39">
        <f t="shared" si="4"/>
        <v>1018008.6799999998</v>
      </c>
      <c r="H12" s="37">
        <f>G12/G$13</f>
        <v>3.849347747595281E-2</v>
      </c>
      <c r="I12" s="39">
        <f t="shared" si="1"/>
        <v>34031.43</v>
      </c>
      <c r="J12" s="39">
        <f>'Billing Detail'!M67</f>
        <v>1051923.29</v>
      </c>
      <c r="K12" s="37">
        <f t="shared" si="2"/>
        <v>3.8490066985314209E-2</v>
      </c>
      <c r="L12" s="39">
        <f t="shared" ref="L12:L13" si="7">J12-E12</f>
        <v>33914.610000000219</v>
      </c>
      <c r="M12" s="37">
        <f t="shared" si="5"/>
        <v>3.3314657002728329E-2</v>
      </c>
      <c r="N12" s="37">
        <f>'Billing Detail'!O73</f>
        <v>3.3314657002728329E-2</v>
      </c>
      <c r="O12" s="41">
        <f t="shared" si="6"/>
        <v>-116.81999999983236</v>
      </c>
      <c r="Q12" s="2"/>
      <c r="R12" s="2"/>
      <c r="S12" s="2"/>
      <c r="T12" s="2"/>
      <c r="U12" s="2"/>
      <c r="V12" s="2"/>
    </row>
    <row r="13" spans="1:22" s="38" customFormat="1" ht="16.2" customHeight="1" x14ac:dyDescent="0.25">
      <c r="A13" s="3">
        <f t="shared" si="3"/>
        <v>7</v>
      </c>
      <c r="B13" s="42" t="s">
        <v>44</v>
      </c>
      <c r="C13" s="70"/>
      <c r="D13" s="43">
        <f>SUM(D8:D12)</f>
        <v>25122088.537347998</v>
      </c>
      <c r="E13" s="43">
        <f>SUM(E8:E12)</f>
        <v>26446264.321948003</v>
      </c>
      <c r="F13" s="44">
        <f t="shared" si="0"/>
        <v>1</v>
      </c>
      <c r="G13" s="43">
        <f>SUM(G8:G12)</f>
        <v>26446264.321948003</v>
      </c>
      <c r="H13" s="44">
        <v>1</v>
      </c>
      <c r="I13" s="43">
        <f>SUM(I8:I12)</f>
        <v>884082.99000000011</v>
      </c>
      <c r="J13" s="43">
        <f>SUM(J8:J12)</f>
        <v>27329733.938924003</v>
      </c>
      <c r="K13" s="44">
        <f t="shared" si="2"/>
        <v>1</v>
      </c>
      <c r="L13" s="43">
        <f t="shared" si="7"/>
        <v>883469.61697600037</v>
      </c>
      <c r="M13" s="44">
        <f t="shared" ref="M13" si="8">L13/E13</f>
        <v>3.3406215948722881E-2</v>
      </c>
      <c r="N13" s="44"/>
      <c r="O13" s="45">
        <f t="shared" si="6"/>
        <v>-613.37302399799228</v>
      </c>
      <c r="Q13" s="2"/>
      <c r="R13" s="2"/>
      <c r="S13" s="2"/>
      <c r="T13" s="2"/>
      <c r="U13" s="2"/>
      <c r="V13" s="2"/>
    </row>
    <row r="14" spans="1:22" s="38" customFormat="1" ht="16.2" customHeight="1" x14ac:dyDescent="0.25">
      <c r="A14" s="3">
        <f t="shared" si="3"/>
        <v>8</v>
      </c>
      <c r="B14" s="46"/>
      <c r="C14" s="71"/>
      <c r="D14" s="47"/>
      <c r="E14" s="47"/>
      <c r="F14" s="48"/>
      <c r="G14" s="47"/>
      <c r="H14" s="48"/>
      <c r="I14" s="47"/>
      <c r="J14" s="47"/>
      <c r="K14" s="48"/>
      <c r="L14" s="47"/>
      <c r="M14" s="48"/>
      <c r="N14" s="48"/>
      <c r="O14" s="49"/>
      <c r="Q14" s="2"/>
      <c r="R14" s="2"/>
      <c r="S14" s="2"/>
      <c r="T14" s="2"/>
      <c r="U14" s="2"/>
      <c r="V14" s="2"/>
    </row>
    <row r="15" spans="1:22" s="38" customFormat="1" ht="16.2" customHeight="1" x14ac:dyDescent="0.25">
      <c r="A15" s="3">
        <f t="shared" si="3"/>
        <v>9</v>
      </c>
      <c r="B15" s="50" t="s">
        <v>43</v>
      </c>
      <c r="C15" s="72"/>
      <c r="D15" s="51">
        <f>D13</f>
        <v>25122088.537347998</v>
      </c>
      <c r="E15" s="51">
        <f t="shared" ref="E15:O15" si="9">E13</f>
        <v>26446264.321948003</v>
      </c>
      <c r="F15" s="97">
        <f t="shared" si="9"/>
        <v>1</v>
      </c>
      <c r="G15" s="51">
        <f t="shared" si="9"/>
        <v>26446264.321948003</v>
      </c>
      <c r="H15" s="97">
        <f t="shared" si="9"/>
        <v>1</v>
      </c>
      <c r="I15" s="51">
        <f t="shared" si="9"/>
        <v>884082.99000000011</v>
      </c>
      <c r="J15" s="51">
        <f t="shared" si="9"/>
        <v>27329733.938924003</v>
      </c>
      <c r="K15" s="97">
        <f t="shared" si="9"/>
        <v>1</v>
      </c>
      <c r="L15" s="51">
        <f t="shared" si="9"/>
        <v>883469.61697600037</v>
      </c>
      <c r="M15" s="97">
        <f t="shared" si="9"/>
        <v>3.3406215948722881E-2</v>
      </c>
      <c r="N15" s="51"/>
      <c r="O15" s="51">
        <f t="shared" si="9"/>
        <v>-613.37302399799228</v>
      </c>
      <c r="Q15" s="2"/>
      <c r="R15" s="2"/>
      <c r="S15" s="2"/>
      <c r="T15" s="2"/>
      <c r="U15" s="2"/>
      <c r="V15" s="2"/>
    </row>
    <row r="16" spans="1:22" s="38" customFormat="1" ht="12.6" customHeight="1" x14ac:dyDescent="0.25">
      <c r="A16" s="3">
        <f t="shared" si="3"/>
        <v>10</v>
      </c>
      <c r="C16" s="12"/>
      <c r="S16" s="39"/>
    </row>
    <row r="17" spans="1:14" s="38" customFormat="1" x14ac:dyDescent="0.25">
      <c r="A17" s="3">
        <f t="shared" si="3"/>
        <v>11</v>
      </c>
      <c r="B17" s="34" t="s">
        <v>7</v>
      </c>
      <c r="C17" s="69"/>
      <c r="D17" s="34"/>
    </row>
    <row r="18" spans="1:14" s="38" customFormat="1" x14ac:dyDescent="0.25">
      <c r="A18" s="3">
        <f t="shared" si="3"/>
        <v>12</v>
      </c>
      <c r="B18" s="38" t="str">
        <f>'Billing Detail'!D11</f>
        <v xml:space="preserve">    FAC</v>
      </c>
      <c r="C18" s="12"/>
      <c r="D18" s="39">
        <f>'Billing Detail'!G78</f>
        <v>-1003368.0699999998</v>
      </c>
      <c r="E18" s="39">
        <f>'Billing Detail'!I78</f>
        <v>-617530.54783999978</v>
      </c>
      <c r="F18" s="52"/>
      <c r="G18" s="53"/>
      <c r="H18" s="53"/>
      <c r="I18" s="53"/>
      <c r="J18" s="39">
        <f>'Billing Detail'!M78</f>
        <v>-617530.54783999978</v>
      </c>
      <c r="K18" s="54"/>
      <c r="L18" s="54"/>
      <c r="M18" s="53"/>
      <c r="N18" s="53"/>
    </row>
    <row r="19" spans="1:14" s="38" customFormat="1" x14ac:dyDescent="0.25">
      <c r="A19" s="3">
        <f t="shared" si="3"/>
        <v>13</v>
      </c>
      <c r="B19" s="38" t="str">
        <f>'Billing Detail'!D12</f>
        <v xml:space="preserve">    ES</v>
      </c>
      <c r="C19" s="12"/>
      <c r="D19" s="39">
        <f>'Billing Detail'!G79</f>
        <v>2306976.2933019996</v>
      </c>
      <c r="E19" s="39">
        <f>'Billing Detail'!I79</f>
        <v>2306975.2933019996</v>
      </c>
      <c r="F19" s="53"/>
      <c r="G19" s="53"/>
      <c r="H19" s="53"/>
      <c r="I19" s="53"/>
      <c r="J19" s="39">
        <f>'Billing Detail'!M79</f>
        <v>2306975.2933019996</v>
      </c>
      <c r="K19" s="54"/>
      <c r="L19" s="54"/>
      <c r="M19" s="53"/>
      <c r="N19" s="53"/>
    </row>
    <row r="20" spans="1:14" s="38" customFormat="1" x14ac:dyDescent="0.25">
      <c r="A20" s="3">
        <f t="shared" si="3"/>
        <v>14</v>
      </c>
      <c r="B20" s="38" t="str">
        <f>'Billing Detail'!D13</f>
        <v xml:space="preserve">    Misc Adj</v>
      </c>
      <c r="C20" s="12"/>
      <c r="D20" s="39">
        <f>'Billing Detail'!G80</f>
        <v>-31468.68</v>
      </c>
      <c r="E20" s="39">
        <f>'Billing Detail'!I80</f>
        <v>-31468.68</v>
      </c>
      <c r="F20" s="53"/>
      <c r="G20" s="53"/>
      <c r="H20" s="53"/>
      <c r="I20" s="53"/>
      <c r="J20" s="39">
        <f>'Billing Detail'!M80</f>
        <v>-31468.68</v>
      </c>
      <c r="K20" s="54"/>
      <c r="L20" s="54"/>
      <c r="M20" s="53"/>
      <c r="N20" s="53"/>
    </row>
    <row r="21" spans="1:14" s="38" customFormat="1" x14ac:dyDescent="0.25">
      <c r="A21" s="3">
        <f t="shared" si="3"/>
        <v>15</v>
      </c>
      <c r="B21" s="38" t="str">
        <f>'Billing Detail'!D14</f>
        <v xml:space="preserve">    Other</v>
      </c>
      <c r="C21" s="12"/>
      <c r="D21" s="39">
        <f>'Billing Detail'!G81</f>
        <v>0</v>
      </c>
      <c r="E21" s="39">
        <f>'Billing Detail'!I81</f>
        <v>0</v>
      </c>
      <c r="F21" s="53"/>
      <c r="G21" s="53"/>
      <c r="H21" s="53"/>
      <c r="I21" s="53"/>
      <c r="J21" s="39">
        <f>'Billing Detail'!M81</f>
        <v>0</v>
      </c>
      <c r="K21" s="54"/>
      <c r="L21" s="54"/>
      <c r="M21" s="53"/>
      <c r="N21" s="63"/>
    </row>
    <row r="22" spans="1:14" s="38" customFormat="1" x14ac:dyDescent="0.25">
      <c r="A22" s="3">
        <f t="shared" si="3"/>
        <v>16</v>
      </c>
      <c r="B22" s="42" t="s">
        <v>8</v>
      </c>
      <c r="C22" s="70"/>
      <c r="D22" s="43">
        <f>SUM(D18:D21)</f>
        <v>1272139.5433019998</v>
      </c>
      <c r="E22" s="43">
        <f>SUM(E18:E21)</f>
        <v>1657976.065462</v>
      </c>
      <c r="F22" s="55"/>
      <c r="G22" s="55"/>
      <c r="H22" s="55"/>
      <c r="I22" s="55"/>
      <c r="J22" s="43">
        <f>SUM(J18:J21)</f>
        <v>1657976.065462</v>
      </c>
      <c r="K22" s="56"/>
      <c r="L22" s="56"/>
      <c r="M22" s="55"/>
      <c r="N22" s="62"/>
    </row>
    <row r="23" spans="1:14" s="38" customFormat="1" x14ac:dyDescent="0.25">
      <c r="A23" s="3">
        <f t="shared" si="3"/>
        <v>17</v>
      </c>
      <c r="C23" s="12"/>
    </row>
    <row r="24" spans="1:14" s="38" customFormat="1" ht="18" customHeight="1" thickBot="1" x14ac:dyDescent="0.3">
      <c r="A24" s="3">
        <f t="shared" si="3"/>
        <v>18</v>
      </c>
      <c r="B24" s="57" t="s">
        <v>9</v>
      </c>
      <c r="C24" s="73"/>
      <c r="D24" s="58">
        <f>D15+D22</f>
        <v>26394228.080649998</v>
      </c>
      <c r="E24" s="58">
        <f>E15+E22</f>
        <v>28104240.387410004</v>
      </c>
      <c r="F24" s="59"/>
      <c r="G24" s="59"/>
      <c r="H24" s="59"/>
      <c r="I24" s="59"/>
      <c r="J24" s="58">
        <f>J15+J22</f>
        <v>28987710.004386004</v>
      </c>
      <c r="K24" s="60"/>
      <c r="L24" s="59">
        <f t="shared" ref="L24" si="10">J24-E24</f>
        <v>883469.61697600037</v>
      </c>
      <c r="M24" s="57"/>
      <c r="N24" s="61">
        <f>L24/E24</f>
        <v>3.1435456173075312E-2</v>
      </c>
    </row>
    <row r="25" spans="1:14" s="38" customFormat="1" ht="18" customHeight="1" thickTop="1" x14ac:dyDescent="0.25">
      <c r="A25" s="3">
        <f t="shared" si="3"/>
        <v>19</v>
      </c>
      <c r="B25" s="38" t="s">
        <v>10</v>
      </c>
      <c r="C25" s="12"/>
      <c r="D25" s="40"/>
      <c r="L25" s="47">
        <f>L4</f>
        <v>884083</v>
      </c>
    </row>
    <row r="26" spans="1:14" s="38" customFormat="1" ht="15" customHeight="1" x14ac:dyDescent="0.25">
      <c r="A26" s="3">
        <f t="shared" si="3"/>
        <v>20</v>
      </c>
      <c r="B26" s="42" t="s">
        <v>40</v>
      </c>
      <c r="C26" s="70"/>
      <c r="D26" s="43"/>
      <c r="E26" s="42"/>
      <c r="F26" s="42"/>
      <c r="G26" s="42"/>
      <c r="H26" s="42"/>
      <c r="I26" s="42"/>
      <c r="J26" s="42"/>
      <c r="K26" s="42"/>
      <c r="L26" s="43">
        <f>L24-L25</f>
        <v>-613.3830239996314</v>
      </c>
    </row>
    <row r="27" spans="1:14" s="38" customFormat="1" ht="15" customHeight="1" x14ac:dyDescent="0.25">
      <c r="A27" s="3">
        <f t="shared" si="3"/>
        <v>21</v>
      </c>
      <c r="B27" s="38" t="s">
        <v>40</v>
      </c>
      <c r="C27" s="12"/>
      <c r="D27" s="37"/>
      <c r="L27" s="37">
        <f>L26/L25</f>
        <v>-6.9380705657685015E-4</v>
      </c>
    </row>
    <row r="28" spans="1:14" x14ac:dyDescent="0.25">
      <c r="A28" s="3"/>
    </row>
  </sheetData>
  <printOptions horizontalCentered="1"/>
  <pageMargins left="0.7" right="0.7" top="0.75" bottom="0.75" header="0.3" footer="0.3"/>
  <pageSetup scale="69" orientation="landscape" r:id="rId1"/>
  <headerFooter>
    <oddHeader>&amp;R&amp;"Arial,Bold"&amp;10Exhibit 3
Page &amp;P of &amp;N</oddHeader>
  </headerFooter>
  <ignoredErrors>
    <ignoredError sqref="J13 F13 J8:J11 G8:G11 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118"/>
  <sheetViews>
    <sheetView view="pageBreakPreview" zoomScale="75" zoomScaleNormal="75" zoomScaleSheetLayoutView="75" workbookViewId="0">
      <pane xSplit="4" ySplit="5" topLeftCell="E6" activePane="bottomRight" state="frozen"/>
      <selection activeCell="R8" sqref="R8"/>
      <selection pane="topRight" activeCell="R8" sqref="R8"/>
      <selection pane="bottomLeft" activeCell="R8" sqref="R8"/>
      <selection pane="bottomRight" activeCell="K14" sqref="K14"/>
    </sheetView>
  </sheetViews>
  <sheetFormatPr defaultColWidth="8.88671875" defaultRowHeight="13.2" x14ac:dyDescent="0.25"/>
  <cols>
    <col min="1" max="1" width="7.44140625" style="5" customWidth="1"/>
    <col min="2" max="2" width="49" style="2" bestFit="1" customWidth="1"/>
    <col min="3" max="3" width="6.6640625" style="12" customWidth="1"/>
    <col min="4" max="4" width="22.21875" style="2" bestFit="1" customWidth="1"/>
    <col min="5" max="5" width="12.6640625" style="100" customWidth="1"/>
    <col min="6" max="6" width="10" style="100" hidden="1" customWidth="1"/>
    <col min="7" max="7" width="21.44140625" style="100" hidden="1" customWidth="1"/>
    <col min="8" max="8" width="12.21875" style="100" bestFit="1" customWidth="1"/>
    <col min="9" max="9" width="15.33203125" style="100" bestFit="1" customWidth="1"/>
    <col min="10" max="10" width="8.5546875" style="100" bestFit="1" customWidth="1"/>
    <col min="11" max="11" width="12.6640625" style="100" bestFit="1" customWidth="1"/>
    <col min="12" max="12" width="9.88671875" style="100" bestFit="1" customWidth="1"/>
    <col min="13" max="13" width="12.6640625" style="100" bestFit="1" customWidth="1"/>
    <col min="14" max="14" width="10.6640625" style="100" bestFit="1" customWidth="1"/>
    <col min="15" max="15" width="6.44140625" style="100" bestFit="1" customWidth="1"/>
    <col min="16" max="16" width="9.88671875" style="100" bestFit="1" customWidth="1"/>
    <col min="17" max="17" width="9.44140625" style="100" bestFit="1" customWidth="1"/>
    <col min="18" max="18" width="9.5546875" style="100" bestFit="1" customWidth="1"/>
    <col min="19" max="19" width="12.6640625" style="2" bestFit="1" customWidth="1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3" x14ac:dyDescent="0.25">
      <c r="A1" s="29" t="str">
        <f>Summary!A1</f>
        <v>LICKING VALLEY RECC</v>
      </c>
      <c r="F1" s="101"/>
      <c r="R1" s="137" t="s">
        <v>83</v>
      </c>
    </row>
    <row r="2" spans="1:23" ht="14.4" customHeight="1" x14ac:dyDescent="0.25">
      <c r="A2" s="29" t="str">
        <f>Summary!A2</f>
        <v>Billing Analysis for Pass-Through Rate Increase</v>
      </c>
      <c r="F2" s="102"/>
      <c r="G2" s="102"/>
      <c r="H2" s="102"/>
      <c r="I2" s="103"/>
      <c r="P2" s="104"/>
      <c r="S2" s="24"/>
      <c r="T2" s="24"/>
    </row>
    <row r="3" spans="1:23" x14ac:dyDescent="0.25">
      <c r="S3" s="24"/>
      <c r="T3" s="24"/>
    </row>
    <row r="4" spans="1:23" x14ac:dyDescent="0.25">
      <c r="D4" s="24"/>
      <c r="S4" s="24"/>
      <c r="T4" s="24"/>
    </row>
    <row r="5" spans="1:23" ht="38.4" customHeight="1" x14ac:dyDescent="0.25">
      <c r="A5" s="14" t="s">
        <v>1</v>
      </c>
      <c r="B5" s="14" t="s">
        <v>12</v>
      </c>
      <c r="C5" s="8" t="s">
        <v>11</v>
      </c>
      <c r="D5" s="14" t="s">
        <v>13</v>
      </c>
      <c r="E5" s="105" t="s">
        <v>14</v>
      </c>
      <c r="F5" s="105" t="s">
        <v>20</v>
      </c>
      <c r="G5" s="105" t="s">
        <v>25</v>
      </c>
      <c r="H5" s="105" t="s">
        <v>26</v>
      </c>
      <c r="I5" s="105" t="s">
        <v>27</v>
      </c>
      <c r="J5" s="105" t="s">
        <v>52</v>
      </c>
      <c r="K5" s="105" t="s">
        <v>10</v>
      </c>
      <c r="L5" s="105" t="s">
        <v>23</v>
      </c>
      <c r="M5" s="105" t="s">
        <v>4</v>
      </c>
      <c r="N5" s="105" t="s">
        <v>15</v>
      </c>
      <c r="O5" s="106" t="s">
        <v>16</v>
      </c>
      <c r="P5" s="105" t="s">
        <v>24</v>
      </c>
      <c r="Q5" s="105" t="s">
        <v>28</v>
      </c>
      <c r="R5" s="105" t="s">
        <v>41</v>
      </c>
      <c r="T5" s="10" t="s">
        <v>37</v>
      </c>
    </row>
    <row r="6" spans="1:23" ht="30.6" customHeight="1" thickBot="1" x14ac:dyDescent="0.3">
      <c r="A6" s="30"/>
      <c r="B6" s="19"/>
      <c r="C6" s="20"/>
      <c r="D6" s="19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8"/>
      <c r="Q6" s="108"/>
      <c r="R6" s="108"/>
    </row>
    <row r="7" spans="1:23" x14ac:dyDescent="0.25">
      <c r="A7" s="31">
        <v>1</v>
      </c>
      <c r="B7" s="21" t="s">
        <v>82</v>
      </c>
      <c r="C7" s="22" t="s">
        <v>63</v>
      </c>
      <c r="D7" s="21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23" x14ac:dyDescent="0.25">
      <c r="A8" s="31">
        <f>A7+1</f>
        <v>2</v>
      </c>
      <c r="C8" s="2"/>
      <c r="D8" s="2" t="s">
        <v>17</v>
      </c>
      <c r="E8" s="111">
        <v>192738</v>
      </c>
      <c r="F8" s="101">
        <v>14</v>
      </c>
      <c r="G8" s="112">
        <f>F8*E8</f>
        <v>2698332</v>
      </c>
      <c r="H8" s="135">
        <v>16</v>
      </c>
      <c r="I8" s="112">
        <f>H8*E8</f>
        <v>3083808</v>
      </c>
      <c r="J8" s="113">
        <f>I8/I10</f>
        <v>0.15140179024867784</v>
      </c>
      <c r="K8" s="113"/>
      <c r="L8" s="101">
        <f>ROUND(H8*S10,2)</f>
        <v>16.53</v>
      </c>
      <c r="M8" s="112">
        <f>L8*E8</f>
        <v>3185959.14</v>
      </c>
      <c r="N8" s="112">
        <f t="shared" ref="N8:N13" si="0">M8-I8</f>
        <v>102151.14000000013</v>
      </c>
      <c r="O8" s="113">
        <f>IF(I8=0,0,N8/I8)</f>
        <v>3.3125000000000043E-2</v>
      </c>
      <c r="P8" s="113">
        <f>M8/M10</f>
        <v>0.1513641162164068</v>
      </c>
      <c r="Q8" s="114">
        <f>P8-J8</f>
        <v>-3.7674032271034497E-5</v>
      </c>
      <c r="R8" s="114"/>
      <c r="T8" s="4">
        <f>L8/H8-1</f>
        <v>3.3125000000000071E-2</v>
      </c>
    </row>
    <row r="9" spans="1:23" x14ac:dyDescent="0.25">
      <c r="A9" s="31">
        <f t="shared" ref="A9:A72" si="1">A8+1</f>
        <v>3</v>
      </c>
      <c r="B9" s="32"/>
      <c r="D9" s="2" t="s">
        <v>50</v>
      </c>
      <c r="E9" s="111">
        <v>186684568</v>
      </c>
      <c r="F9" s="102">
        <v>9.2002E-2</v>
      </c>
      <c r="G9" s="112">
        <f t="shared" ref="G9" si="2">F9*E9</f>
        <v>17175353.625135999</v>
      </c>
      <c r="H9" s="136">
        <v>9.2587000000000003E-2</v>
      </c>
      <c r="I9" s="112">
        <f t="shared" ref="I9" si="3">H9*E9</f>
        <v>17284564.097416002</v>
      </c>
      <c r="J9" s="113">
        <f>I9/I10</f>
        <v>0.84859820975132216</v>
      </c>
      <c r="K9" s="113"/>
      <c r="L9" s="115">
        <f>ROUND(H9*S10,6)</f>
        <v>9.5682000000000003E-2</v>
      </c>
      <c r="M9" s="112">
        <f t="shared" ref="M9" si="4">L9*E9</f>
        <v>17862352.835376002</v>
      </c>
      <c r="N9" s="112">
        <f t="shared" si="0"/>
        <v>577788.73795999959</v>
      </c>
      <c r="O9" s="113">
        <f t="shared" ref="O9" si="5">IF(I9=0,0,N9/I9)</f>
        <v>3.3428019052350731E-2</v>
      </c>
      <c r="P9" s="113">
        <f>M9/M10</f>
        <v>0.84863588378359323</v>
      </c>
      <c r="Q9" s="114">
        <f t="shared" ref="Q9:Q10" si="6">P9-J9</f>
        <v>3.7674032271062252E-5</v>
      </c>
      <c r="R9" s="114"/>
      <c r="T9" s="4">
        <f>L9/H9-1</f>
        <v>3.3428019052350821E-2</v>
      </c>
    </row>
    <row r="10" spans="1:23" s="5" customFormat="1" ht="20.399999999999999" customHeight="1" x14ac:dyDescent="0.3">
      <c r="A10" s="31">
        <f t="shared" si="1"/>
        <v>4</v>
      </c>
      <c r="C10" s="13"/>
      <c r="D10" s="15" t="s">
        <v>6</v>
      </c>
      <c r="E10" s="116"/>
      <c r="F10" s="116"/>
      <c r="G10" s="16">
        <f>SUM(G8:G9)</f>
        <v>19873685.625135999</v>
      </c>
      <c r="H10" s="116"/>
      <c r="I10" s="16">
        <f>SUM(I8:I9)</f>
        <v>20368372.097416002</v>
      </c>
      <c r="J10" s="117">
        <f>SUM(J8:J9)</f>
        <v>1</v>
      </c>
      <c r="K10" s="118">
        <f>I10+Summary!I8</f>
        <v>21049274.747416001</v>
      </c>
      <c r="L10" s="116"/>
      <c r="M10" s="16">
        <f>SUM(M8:M9)</f>
        <v>21048311.975376002</v>
      </c>
      <c r="N10" s="16">
        <f>SUM(N8:N9)</f>
        <v>679939.87795999972</v>
      </c>
      <c r="O10" s="117">
        <f t="shared" ref="O10" si="7">N10/I10</f>
        <v>3.3382141425345381E-2</v>
      </c>
      <c r="P10" s="117">
        <f>SUM(P8:P9)</f>
        <v>1</v>
      </c>
      <c r="Q10" s="119">
        <f t="shared" si="6"/>
        <v>0</v>
      </c>
      <c r="R10" s="120">
        <f>M10-K10</f>
        <v>-962.77203999832273</v>
      </c>
      <c r="S10" s="74">
        <f>K10/I10</f>
        <v>1.0334294094168861</v>
      </c>
    </row>
    <row r="11" spans="1:23" x14ac:dyDescent="0.25">
      <c r="A11" s="31">
        <f t="shared" si="1"/>
        <v>5</v>
      </c>
      <c r="D11" s="2" t="s">
        <v>29</v>
      </c>
      <c r="G11" s="112">
        <v>-813058.84999999986</v>
      </c>
      <c r="I11" s="121">
        <f>G11+(0.00161*E9)</f>
        <v>-512496.69551999983</v>
      </c>
      <c r="K11" s="121"/>
      <c r="M11" s="112">
        <f>I11</f>
        <v>-512496.69551999983</v>
      </c>
      <c r="N11" s="112">
        <f t="shared" si="0"/>
        <v>0</v>
      </c>
      <c r="O11" s="101">
        <v>0</v>
      </c>
      <c r="R11" s="122"/>
    </row>
    <row r="12" spans="1:23" x14ac:dyDescent="0.25">
      <c r="A12" s="31">
        <f t="shared" si="1"/>
        <v>6</v>
      </c>
      <c r="D12" s="2" t="s">
        <v>30</v>
      </c>
      <c r="G12" s="112">
        <v>1927691.1633019997</v>
      </c>
      <c r="I12" s="121">
        <f>G12</f>
        <v>1927691.1633019997</v>
      </c>
      <c r="M12" s="112">
        <f t="shared" ref="M12:M14" si="8">I12</f>
        <v>1927691.1633019997</v>
      </c>
      <c r="N12" s="112">
        <f t="shared" si="0"/>
        <v>0</v>
      </c>
      <c r="O12" s="101">
        <v>0</v>
      </c>
    </row>
    <row r="13" spans="1:23" x14ac:dyDescent="0.25">
      <c r="A13" s="31">
        <f t="shared" si="1"/>
        <v>7</v>
      </c>
      <c r="D13" s="2" t="s">
        <v>32</v>
      </c>
      <c r="G13" s="112"/>
      <c r="I13" s="121">
        <f>G13</f>
        <v>0</v>
      </c>
      <c r="M13" s="112">
        <f t="shared" si="8"/>
        <v>0</v>
      </c>
      <c r="N13" s="112">
        <f t="shared" si="0"/>
        <v>0</v>
      </c>
      <c r="O13" s="101">
        <v>0</v>
      </c>
    </row>
    <row r="14" spans="1:23" x14ac:dyDescent="0.25">
      <c r="A14" s="31">
        <f t="shared" si="1"/>
        <v>8</v>
      </c>
      <c r="D14" s="2" t="s">
        <v>42</v>
      </c>
      <c r="G14" s="112">
        <v>0</v>
      </c>
      <c r="I14" s="121">
        <f>G14</f>
        <v>0</v>
      </c>
      <c r="M14" s="112">
        <f t="shared" si="8"/>
        <v>0</v>
      </c>
      <c r="N14" s="112"/>
      <c r="O14" s="101">
        <v>0</v>
      </c>
    </row>
    <row r="15" spans="1:23" x14ac:dyDescent="0.25">
      <c r="A15" s="31">
        <f t="shared" si="1"/>
        <v>9</v>
      </c>
      <c r="D15" s="11" t="s">
        <v>8</v>
      </c>
      <c r="E15" s="123"/>
      <c r="F15" s="123"/>
      <c r="G15" s="124">
        <f>SUM(G11:G14)</f>
        <v>1114632.3133019998</v>
      </c>
      <c r="H15" s="123"/>
      <c r="I15" s="124">
        <f>SUM(I11:I14)</f>
        <v>1415194.4677819998</v>
      </c>
      <c r="J15" s="123"/>
      <c r="K15" s="123"/>
      <c r="L15" s="123"/>
      <c r="M15" s="124">
        <f>SUM(M11:M14)</f>
        <v>1415194.4677819998</v>
      </c>
      <c r="N15" s="124">
        <f>M15-I15</f>
        <v>0</v>
      </c>
      <c r="O15" s="125">
        <v>0</v>
      </c>
    </row>
    <row r="16" spans="1:23" s="5" customFormat="1" ht="26.4" customHeight="1" thickBot="1" x14ac:dyDescent="0.3">
      <c r="A16" s="31">
        <f t="shared" si="1"/>
        <v>10</v>
      </c>
      <c r="C16" s="13"/>
      <c r="D16" s="6" t="s">
        <v>19</v>
      </c>
      <c r="E16" s="126"/>
      <c r="F16" s="126"/>
      <c r="G16" s="127">
        <f>G10+G15</f>
        <v>20988317.938437998</v>
      </c>
      <c r="H16" s="126"/>
      <c r="I16" s="128">
        <f>I15+I10</f>
        <v>21783566.565198001</v>
      </c>
      <c r="J16" s="126"/>
      <c r="K16" s="126"/>
      <c r="L16" s="126"/>
      <c r="M16" s="127">
        <f>M15+M10</f>
        <v>22463506.443158001</v>
      </c>
      <c r="N16" s="127">
        <f>M16-I16</f>
        <v>679939.87796000019</v>
      </c>
      <c r="O16" s="129">
        <f>N16/I16</f>
        <v>3.1213432195547355E-2</v>
      </c>
      <c r="P16" s="100"/>
      <c r="Q16" s="100"/>
      <c r="R16" s="100"/>
      <c r="W16" s="2"/>
    </row>
    <row r="17" spans="1:23" ht="13.8" thickTop="1" x14ac:dyDescent="0.25">
      <c r="A17" s="31">
        <f t="shared" si="1"/>
        <v>11</v>
      </c>
      <c r="D17" s="2" t="s">
        <v>18</v>
      </c>
      <c r="E17" s="101">
        <f>E9/E8</f>
        <v>968.59243117600056</v>
      </c>
      <c r="G17" s="130">
        <f>G16/E8</f>
        <v>108.89558851102532</v>
      </c>
      <c r="I17" s="130">
        <f>I16/E8</f>
        <v>113.02164889745666</v>
      </c>
      <c r="M17" s="130">
        <f>M16/E8</f>
        <v>116.54944247194638</v>
      </c>
      <c r="N17" s="130">
        <f>M17-I17</f>
        <v>3.5277935744897206</v>
      </c>
      <c r="O17" s="113">
        <f>N17/I17</f>
        <v>3.1213432195547335E-2</v>
      </c>
    </row>
    <row r="18" spans="1:23" ht="13.8" thickBot="1" x14ac:dyDescent="0.3">
      <c r="A18" s="31">
        <f t="shared" si="1"/>
        <v>12</v>
      </c>
    </row>
    <row r="19" spans="1:23" x14ac:dyDescent="0.25">
      <c r="A19" s="31">
        <f t="shared" si="1"/>
        <v>13</v>
      </c>
      <c r="B19" s="21" t="s">
        <v>66</v>
      </c>
      <c r="C19" s="22" t="s">
        <v>64</v>
      </c>
      <c r="D19" s="2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23" x14ac:dyDescent="0.25">
      <c r="A20" s="31">
        <f t="shared" si="1"/>
        <v>14</v>
      </c>
      <c r="C20" s="2"/>
      <c r="D20" s="2" t="s">
        <v>17</v>
      </c>
      <c r="E20" s="111">
        <v>10360</v>
      </c>
      <c r="F20" s="101">
        <v>28.75</v>
      </c>
      <c r="G20" s="112">
        <f>F20*E20</f>
        <v>297850</v>
      </c>
      <c r="H20" s="101">
        <v>28.75</v>
      </c>
      <c r="I20" s="112">
        <f>H20*E20</f>
        <v>297850</v>
      </c>
      <c r="J20" s="113">
        <f>I20/I22</f>
        <v>0.27512953603830664</v>
      </c>
      <c r="K20" s="113"/>
      <c r="L20" s="101">
        <f>ROUND(H20*S22,2)</f>
        <v>29.71</v>
      </c>
      <c r="M20" s="112">
        <f>L20*E20</f>
        <v>307795.60000000003</v>
      </c>
      <c r="N20" s="112">
        <f>M20-I20</f>
        <v>9945.6000000000349</v>
      </c>
      <c r="O20" s="113">
        <f>IF(I20=0,0,N20/I20)</f>
        <v>3.3391304347826202E-2</v>
      </c>
      <c r="P20" s="113">
        <f>M20/M$22</f>
        <v>0.27512195949138391</v>
      </c>
      <c r="Q20" s="114">
        <f>P20-J20</f>
        <v>-7.5765469227384585E-6</v>
      </c>
      <c r="R20" s="114"/>
    </row>
    <row r="21" spans="1:23" x14ac:dyDescent="0.25">
      <c r="A21" s="31">
        <f t="shared" si="1"/>
        <v>15</v>
      </c>
      <c r="D21" s="2" t="s">
        <v>50</v>
      </c>
      <c r="E21" s="111">
        <v>9952200</v>
      </c>
      <c r="F21" s="131">
        <v>8.0460000000000004E-2</v>
      </c>
      <c r="G21" s="112">
        <f t="shared" ref="G21" si="9">F21*E21</f>
        <v>800754.01199999999</v>
      </c>
      <c r="H21" s="131">
        <v>7.8850000000000003E-2</v>
      </c>
      <c r="I21" s="112">
        <f t="shared" ref="I21" si="10">H21*E21</f>
        <v>784730.97000000009</v>
      </c>
      <c r="J21" s="113">
        <f>I21/I22</f>
        <v>0.7248704639616933</v>
      </c>
      <c r="K21" s="113"/>
      <c r="L21" s="115">
        <f>ROUND(H21*S22,6)</f>
        <v>8.1486000000000003E-2</v>
      </c>
      <c r="M21" s="112">
        <f t="shared" ref="M21" si="11">L21*E21</f>
        <v>810964.96920000005</v>
      </c>
      <c r="N21" s="112">
        <f t="shared" ref="N21" si="12">M21-I21</f>
        <v>26233.999199999962</v>
      </c>
      <c r="O21" s="113">
        <f t="shared" ref="O21" si="13">IF(I21=0,0,N21/I21)</f>
        <v>3.3430564362713959E-2</v>
      </c>
      <c r="P21" s="113">
        <f>M21/M$22</f>
        <v>0.72487804050861615</v>
      </c>
      <c r="Q21" s="114">
        <f t="shared" ref="Q21" si="14">P21-J21</f>
        <v>7.5765469228494808E-6</v>
      </c>
      <c r="R21" s="114"/>
      <c r="T21" s="4">
        <f>L21/H21-1</f>
        <v>3.3430564362713966E-2</v>
      </c>
    </row>
    <row r="22" spans="1:23" s="5" customFormat="1" ht="20.399999999999999" customHeight="1" x14ac:dyDescent="0.25">
      <c r="A22" s="31">
        <f t="shared" si="1"/>
        <v>16</v>
      </c>
      <c r="C22" s="13"/>
      <c r="D22" s="15" t="s">
        <v>6</v>
      </c>
      <c r="E22" s="116"/>
      <c r="F22" s="116"/>
      <c r="G22" s="16">
        <f>SUM(G20:G21)</f>
        <v>1098604.0120000001</v>
      </c>
      <c r="H22" s="116"/>
      <c r="I22" s="16">
        <f>SUM(I20:I21)</f>
        <v>1082580.9700000002</v>
      </c>
      <c r="J22" s="117">
        <f>SUM(J20:J21)</f>
        <v>1</v>
      </c>
      <c r="K22" s="118">
        <f>I22+Summary!I9</f>
        <v>1118771.0100000002</v>
      </c>
      <c r="L22" s="116"/>
      <c r="M22" s="16">
        <f>SUM(M20:M21)</f>
        <v>1118760.5692</v>
      </c>
      <c r="N22" s="16">
        <f>SUM(N20:N21)</f>
        <v>36179.599199999997</v>
      </c>
      <c r="O22" s="117">
        <f t="shared" ref="O22" si="15">N22/I22</f>
        <v>3.3419762773033032E-2</v>
      </c>
      <c r="P22" s="117">
        <f>SUM(P20:P21)</f>
        <v>1</v>
      </c>
      <c r="Q22" s="119">
        <f t="shared" ref="Q22" si="16">P22-J22</f>
        <v>0</v>
      </c>
      <c r="R22" s="120">
        <f>M22-K22</f>
        <v>-10.440800000214949</v>
      </c>
      <c r="S22" s="74">
        <f>K22/I22</f>
        <v>1.0334294071324752</v>
      </c>
      <c r="W22" s="2"/>
    </row>
    <row r="23" spans="1:23" x14ac:dyDescent="0.25">
      <c r="A23" s="31">
        <f t="shared" si="1"/>
        <v>17</v>
      </c>
      <c r="D23" s="2" t="s">
        <v>29</v>
      </c>
      <c r="G23" s="112">
        <v>0</v>
      </c>
      <c r="I23" s="121">
        <f>G23+(0.00161*E21)</f>
        <v>16023.042000000001</v>
      </c>
      <c r="K23" s="121"/>
      <c r="M23" s="112">
        <f>I23</f>
        <v>16023.042000000001</v>
      </c>
      <c r="N23" s="112">
        <f t="shared" ref="N23:N28" si="17">M23-I23</f>
        <v>0</v>
      </c>
      <c r="O23" s="101">
        <v>0</v>
      </c>
    </row>
    <row r="24" spans="1:23" x14ac:dyDescent="0.25">
      <c r="A24" s="31">
        <f t="shared" si="1"/>
        <v>18</v>
      </c>
      <c r="D24" s="2" t="s">
        <v>30</v>
      </c>
      <c r="G24" s="112">
        <v>0</v>
      </c>
      <c r="I24" s="121">
        <f t="shared" ref="I24:I26" si="18">G24</f>
        <v>0</v>
      </c>
      <c r="M24" s="112">
        <f t="shared" ref="M24:M26" si="19">I24</f>
        <v>0</v>
      </c>
      <c r="N24" s="112">
        <f t="shared" si="17"/>
        <v>0</v>
      </c>
      <c r="O24" s="101">
        <v>0</v>
      </c>
    </row>
    <row r="25" spans="1:23" x14ac:dyDescent="0.25">
      <c r="A25" s="31">
        <f t="shared" si="1"/>
        <v>19</v>
      </c>
      <c r="D25" s="2" t="s">
        <v>32</v>
      </c>
      <c r="G25" s="112">
        <v>0</v>
      </c>
      <c r="I25" s="121">
        <f t="shared" si="18"/>
        <v>0</v>
      </c>
      <c r="M25" s="112">
        <f t="shared" si="19"/>
        <v>0</v>
      </c>
      <c r="N25" s="112">
        <f t="shared" si="17"/>
        <v>0</v>
      </c>
      <c r="O25" s="101">
        <v>0</v>
      </c>
    </row>
    <row r="26" spans="1:23" x14ac:dyDescent="0.25">
      <c r="A26" s="31">
        <f t="shared" si="1"/>
        <v>20</v>
      </c>
      <c r="D26" s="2" t="s">
        <v>42</v>
      </c>
      <c r="G26" s="112">
        <v>0</v>
      </c>
      <c r="I26" s="121">
        <f t="shared" si="18"/>
        <v>0</v>
      </c>
      <c r="M26" s="112">
        <f t="shared" si="19"/>
        <v>0</v>
      </c>
      <c r="N26" s="112"/>
      <c r="O26" s="101"/>
    </row>
    <row r="27" spans="1:23" x14ac:dyDescent="0.25">
      <c r="A27" s="31">
        <f t="shared" si="1"/>
        <v>21</v>
      </c>
      <c r="D27" s="11" t="s">
        <v>8</v>
      </c>
      <c r="E27" s="123"/>
      <c r="F27" s="123"/>
      <c r="G27" s="124">
        <f>SUM(G23:G26)</f>
        <v>0</v>
      </c>
      <c r="H27" s="123"/>
      <c r="I27" s="124">
        <f>SUM(I23:I26)</f>
        <v>16023.042000000001</v>
      </c>
      <c r="J27" s="123"/>
      <c r="K27" s="123"/>
      <c r="L27" s="123"/>
      <c r="M27" s="124">
        <f>SUM(M23:M26)</f>
        <v>16023.042000000001</v>
      </c>
      <c r="N27" s="124">
        <f t="shared" si="17"/>
        <v>0</v>
      </c>
      <c r="O27" s="125">
        <f t="shared" ref="O27" si="20">N27-J27</f>
        <v>0</v>
      </c>
    </row>
    <row r="28" spans="1:23" s="5" customFormat="1" ht="26.4" customHeight="1" thickBot="1" x14ac:dyDescent="0.3">
      <c r="A28" s="31">
        <f t="shared" si="1"/>
        <v>22</v>
      </c>
      <c r="C28" s="13"/>
      <c r="D28" s="6" t="s">
        <v>19</v>
      </c>
      <c r="E28" s="126"/>
      <c r="F28" s="126"/>
      <c r="G28" s="127">
        <f>G22+G27</f>
        <v>1098604.0120000001</v>
      </c>
      <c r="H28" s="126"/>
      <c r="I28" s="128">
        <f>I27+I22</f>
        <v>1098604.0120000001</v>
      </c>
      <c r="J28" s="126"/>
      <c r="K28" s="126"/>
      <c r="L28" s="126"/>
      <c r="M28" s="127">
        <f>M27+M22</f>
        <v>1134783.6111999999</v>
      </c>
      <c r="N28" s="127">
        <f t="shared" si="17"/>
        <v>36179.599199999822</v>
      </c>
      <c r="O28" s="129">
        <f>N28/I28</f>
        <v>3.2932338499415403E-2</v>
      </c>
      <c r="P28" s="100"/>
      <c r="Q28" s="100"/>
      <c r="R28" s="100"/>
    </row>
    <row r="29" spans="1:23" ht="13.8" thickTop="1" x14ac:dyDescent="0.25">
      <c r="A29" s="31">
        <f t="shared" si="1"/>
        <v>23</v>
      </c>
      <c r="D29" s="2" t="s">
        <v>18</v>
      </c>
      <c r="E29" s="101">
        <f>E21/E20</f>
        <v>960.63706563706569</v>
      </c>
      <c r="G29" s="130">
        <f>G28/E20</f>
        <v>106.0428583011583</v>
      </c>
      <c r="I29" s="130">
        <f>I28/E20</f>
        <v>106.0428583011583</v>
      </c>
      <c r="M29" s="130">
        <f>M28/E20</f>
        <v>109.5350976061776</v>
      </c>
      <c r="N29" s="130">
        <f>M29-I29</f>
        <v>3.4922393050192966</v>
      </c>
      <c r="O29" s="113">
        <f>N29/I29</f>
        <v>3.2932338499415487E-2</v>
      </c>
    </row>
    <row r="30" spans="1:23" ht="13.8" thickBot="1" x14ac:dyDescent="0.3">
      <c r="A30" s="31">
        <f t="shared" si="1"/>
        <v>24</v>
      </c>
    </row>
    <row r="31" spans="1:23" x14ac:dyDescent="0.25">
      <c r="A31" s="31">
        <f t="shared" si="1"/>
        <v>25</v>
      </c>
      <c r="B31" s="21" t="s">
        <v>70</v>
      </c>
      <c r="C31" s="22" t="s">
        <v>69</v>
      </c>
      <c r="D31" s="21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23" x14ac:dyDescent="0.25">
      <c r="A32" s="31">
        <f t="shared" si="1"/>
        <v>26</v>
      </c>
      <c r="C32" s="2"/>
      <c r="D32" s="2" t="s">
        <v>17</v>
      </c>
      <c r="E32" s="111">
        <v>2659</v>
      </c>
      <c r="F32" s="101">
        <v>71.55</v>
      </c>
      <c r="G32" s="112">
        <f>F32*E32</f>
        <v>190251.44999999998</v>
      </c>
      <c r="H32" s="101">
        <v>71.55</v>
      </c>
      <c r="I32" s="112">
        <f>H32*E32</f>
        <v>190251.44999999998</v>
      </c>
      <c r="J32" s="113">
        <f>I32/I35</f>
        <v>5.9559785495576903E-2</v>
      </c>
      <c r="K32" s="113"/>
      <c r="L32" s="101">
        <f>ROUND(H32*S35,2)</f>
        <v>73.94</v>
      </c>
      <c r="M32" s="112">
        <f>L32*E32</f>
        <v>196606.46</v>
      </c>
      <c r="N32" s="112">
        <f>M32-I32</f>
        <v>6355.0100000000093</v>
      </c>
      <c r="O32" s="113">
        <f>IF(I32=0,0,N32/I32)</f>
        <v>3.3403214535290056E-2</v>
      </c>
      <c r="P32" s="113">
        <f>M32/M$35</f>
        <v>5.9549338641116549E-2</v>
      </c>
      <c r="Q32" s="114">
        <f>P32-J32</f>
        <v>-1.0446854460353927E-5</v>
      </c>
      <c r="R32" s="114"/>
      <c r="T32" s="4">
        <f>L32/H32-1</f>
        <v>3.3403214535290049E-2</v>
      </c>
    </row>
    <row r="33" spans="1:23" x14ac:dyDescent="0.25">
      <c r="A33" s="31">
        <f t="shared" si="1"/>
        <v>27</v>
      </c>
      <c r="B33" s="99"/>
      <c r="D33" s="2" t="s">
        <v>50</v>
      </c>
      <c r="E33" s="111">
        <v>31925800</v>
      </c>
      <c r="F33" s="102">
        <v>6.6347000000000003E-2</v>
      </c>
      <c r="G33" s="112">
        <f t="shared" ref="G33" si="21">F33*E33</f>
        <v>2118181.0526000001</v>
      </c>
      <c r="H33" s="102">
        <v>6.4737000000000003E-2</v>
      </c>
      <c r="I33" s="112">
        <f t="shared" ref="I33" si="22">H33*E33</f>
        <v>2066780.5146000001</v>
      </c>
      <c r="J33" s="113">
        <f>I33/I35</f>
        <v>0.64702268558801557</v>
      </c>
      <c r="K33" s="113"/>
      <c r="L33" s="115">
        <f>ROUND(H33*S35,6)</f>
        <v>6.6901000000000002E-2</v>
      </c>
      <c r="M33" s="112">
        <f t="shared" ref="M33" si="23">L33*E33</f>
        <v>2135867.9457999999</v>
      </c>
      <c r="N33" s="112">
        <f t="shared" ref="N33" si="24">M33-I33</f>
        <v>69087.431199999759</v>
      </c>
      <c r="O33" s="113">
        <f t="shared" ref="O33" si="25">IF(I33=0,0,N33/I33)</f>
        <v>3.3427560745786677E-2</v>
      </c>
      <c r="P33" s="113">
        <f t="shared" ref="P33:P34" si="26">M33/M$35</f>
        <v>0.64692443776847497</v>
      </c>
      <c r="Q33" s="114">
        <f t="shared" ref="Q33" si="27">P33-J33</f>
        <v>-9.8247819540597803E-5</v>
      </c>
      <c r="R33" s="114"/>
      <c r="T33" s="4">
        <f>L33/H33-1</f>
        <v>3.3427560745786788E-2</v>
      </c>
    </row>
    <row r="34" spans="1:23" x14ac:dyDescent="0.25">
      <c r="A34" s="31">
        <f t="shared" si="1"/>
        <v>28</v>
      </c>
      <c r="D34" s="2" t="s">
        <v>51</v>
      </c>
      <c r="E34" s="111">
        <v>127345.35</v>
      </c>
      <c r="F34" s="101">
        <v>7.36</v>
      </c>
      <c r="G34" s="112">
        <f t="shared" ref="G34" si="28">F34*E34</f>
        <v>937261.77600000007</v>
      </c>
      <c r="H34" s="101">
        <v>7.36</v>
      </c>
      <c r="I34" s="112">
        <f t="shared" ref="I34" si="29">H34*E34</f>
        <v>937261.77600000007</v>
      </c>
      <c r="J34" s="113">
        <f>I34/I35</f>
        <v>0.29341752891640754</v>
      </c>
      <c r="K34" s="113"/>
      <c r="L34" s="101">
        <f>ROUND(H34*S35,2)</f>
        <v>7.61</v>
      </c>
      <c r="M34" s="112">
        <f t="shared" ref="M34" si="30">L34*E34</f>
        <v>969098.11350000009</v>
      </c>
      <c r="N34" s="112">
        <f t="shared" ref="N34:N42" si="31">M34-I34</f>
        <v>31836.337500000023</v>
      </c>
      <c r="O34" s="113">
        <f t="shared" ref="O34" si="32">IF(I34=0,0,N34/I34)</f>
        <v>3.3967391304347845E-2</v>
      </c>
      <c r="P34" s="113">
        <f t="shared" si="26"/>
        <v>0.29352622359040853</v>
      </c>
      <c r="Q34" s="114">
        <f t="shared" ref="Q34:Q35" si="33">P34-J34</f>
        <v>1.0869467400098642E-4</v>
      </c>
      <c r="R34" s="114"/>
      <c r="T34" s="4">
        <f>L34/H34-1</f>
        <v>3.3967391304347894E-2</v>
      </c>
    </row>
    <row r="35" spans="1:23" s="5" customFormat="1" ht="20.399999999999999" customHeight="1" x14ac:dyDescent="0.25">
      <c r="A35" s="31">
        <f t="shared" si="1"/>
        <v>29</v>
      </c>
      <c r="C35" s="13"/>
      <c r="D35" s="15" t="s">
        <v>6</v>
      </c>
      <c r="E35" s="116"/>
      <c r="F35" s="116"/>
      <c r="G35" s="16">
        <f>SUM(G32:G34)</f>
        <v>3245694.2786000003</v>
      </c>
      <c r="H35" s="116"/>
      <c r="I35" s="16">
        <f>SUM(I32:I34)</f>
        <v>3194293.7406000001</v>
      </c>
      <c r="J35" s="117">
        <f>SUM(J32:J34)</f>
        <v>1</v>
      </c>
      <c r="K35" s="118">
        <f>I35+Summary!I10</f>
        <v>3301077.0906000002</v>
      </c>
      <c r="L35" s="116"/>
      <c r="M35" s="16">
        <f>SUM(M32:M34)</f>
        <v>3301572.5192999998</v>
      </c>
      <c r="N35" s="16">
        <f>SUM(N32:N34)</f>
        <v>107278.77869999979</v>
      </c>
      <c r="O35" s="117">
        <f t="shared" ref="O35" si="34">N35/I35</f>
        <v>3.3584506439238451E-2</v>
      </c>
      <c r="P35" s="117">
        <f>SUM(P32:P34)</f>
        <v>1</v>
      </c>
      <c r="Q35" s="119">
        <f t="shared" si="33"/>
        <v>0</v>
      </c>
      <c r="R35" s="120">
        <f>M35-K35</f>
        <v>495.42869999958202</v>
      </c>
      <c r="S35" s="74">
        <f>K35/I35</f>
        <v>1.0334294083987223</v>
      </c>
      <c r="W35" s="2"/>
    </row>
    <row r="36" spans="1:23" x14ac:dyDescent="0.25">
      <c r="A36" s="31">
        <f t="shared" si="1"/>
        <v>30</v>
      </c>
      <c r="D36" s="2" t="s">
        <v>29</v>
      </c>
      <c r="G36" s="112">
        <v>-141024.38999999998</v>
      </c>
      <c r="I36" s="121">
        <f>G36+(0.00161*(E33))</f>
        <v>-89623.851999999984</v>
      </c>
      <c r="K36" s="121"/>
      <c r="M36" s="112">
        <f>I36</f>
        <v>-89623.851999999984</v>
      </c>
      <c r="N36" s="112">
        <f t="shared" si="31"/>
        <v>0</v>
      </c>
      <c r="O36" s="101">
        <v>0</v>
      </c>
    </row>
    <row r="37" spans="1:23" x14ac:dyDescent="0.25">
      <c r="A37" s="31">
        <f t="shared" si="1"/>
        <v>31</v>
      </c>
      <c r="D37" s="2" t="s">
        <v>30</v>
      </c>
      <c r="G37" s="112">
        <v>307192.31</v>
      </c>
      <c r="I37" s="121">
        <f t="shared" ref="I37:I39" si="35">G37</f>
        <v>307192.31</v>
      </c>
      <c r="M37" s="112">
        <f t="shared" ref="M37:M39" si="36">I37</f>
        <v>307192.31</v>
      </c>
      <c r="N37" s="112">
        <f t="shared" si="31"/>
        <v>0</v>
      </c>
      <c r="O37" s="101">
        <v>0</v>
      </c>
    </row>
    <row r="38" spans="1:23" x14ac:dyDescent="0.25">
      <c r="A38" s="31">
        <f t="shared" si="1"/>
        <v>32</v>
      </c>
      <c r="D38" s="2" t="s">
        <v>32</v>
      </c>
      <c r="G38" s="112">
        <v>-598.41999999999985</v>
      </c>
      <c r="I38" s="121">
        <f t="shared" si="35"/>
        <v>-598.41999999999985</v>
      </c>
      <c r="M38" s="112">
        <f t="shared" si="36"/>
        <v>-598.41999999999985</v>
      </c>
      <c r="N38" s="112">
        <f t="shared" si="31"/>
        <v>0</v>
      </c>
      <c r="O38" s="101">
        <v>0</v>
      </c>
    </row>
    <row r="39" spans="1:23" x14ac:dyDescent="0.25">
      <c r="A39" s="31">
        <f t="shared" si="1"/>
        <v>33</v>
      </c>
      <c r="D39" s="2" t="s">
        <v>42</v>
      </c>
      <c r="G39" s="112">
        <v>0</v>
      </c>
      <c r="I39" s="121">
        <f t="shared" si="35"/>
        <v>0</v>
      </c>
      <c r="M39" s="112">
        <f t="shared" si="36"/>
        <v>0</v>
      </c>
      <c r="N39" s="112"/>
      <c r="O39" s="101"/>
    </row>
    <row r="40" spans="1:23" x14ac:dyDescent="0.25">
      <c r="A40" s="31">
        <f t="shared" si="1"/>
        <v>34</v>
      </c>
      <c r="D40" s="11" t="s">
        <v>8</v>
      </c>
      <c r="E40" s="123"/>
      <c r="F40" s="123"/>
      <c r="G40" s="124">
        <f>SUM(G36:G39)</f>
        <v>165569.5</v>
      </c>
      <c r="H40" s="123"/>
      <c r="I40" s="124">
        <f>SUM(I36:I39)</f>
        <v>216970.038</v>
      </c>
      <c r="J40" s="123"/>
      <c r="K40" s="123"/>
      <c r="L40" s="123"/>
      <c r="M40" s="124">
        <f>SUM(M36:M39)</f>
        <v>216970.038</v>
      </c>
      <c r="N40" s="124">
        <f t="shared" si="31"/>
        <v>0</v>
      </c>
      <c r="O40" s="125">
        <f t="shared" ref="O40" si="37">N40-J40</f>
        <v>0</v>
      </c>
    </row>
    <row r="41" spans="1:23" s="5" customFormat="1" ht="26.4" customHeight="1" thickBot="1" x14ac:dyDescent="0.3">
      <c r="A41" s="31">
        <f t="shared" si="1"/>
        <v>35</v>
      </c>
      <c r="C41" s="13"/>
      <c r="D41" s="6" t="s">
        <v>19</v>
      </c>
      <c r="E41" s="126"/>
      <c r="F41" s="126"/>
      <c r="G41" s="127">
        <f>G35+G40</f>
        <v>3411263.7786000003</v>
      </c>
      <c r="H41" s="126"/>
      <c r="I41" s="128">
        <f>I40+I35</f>
        <v>3411263.7786000003</v>
      </c>
      <c r="J41" s="126"/>
      <c r="K41" s="126"/>
      <c r="L41" s="126"/>
      <c r="M41" s="127">
        <f>M40+M35</f>
        <v>3518542.5573</v>
      </c>
      <c r="N41" s="127">
        <f t="shared" si="31"/>
        <v>107278.77869999968</v>
      </c>
      <c r="O41" s="129">
        <f>N41/I41</f>
        <v>3.1448397327991866E-2</v>
      </c>
      <c r="P41" s="100"/>
      <c r="Q41" s="100"/>
      <c r="R41" s="100"/>
      <c r="W41" s="2"/>
    </row>
    <row r="42" spans="1:23" ht="13.8" thickTop="1" x14ac:dyDescent="0.25">
      <c r="A42" s="31">
        <f t="shared" si="1"/>
        <v>36</v>
      </c>
      <c r="D42" s="2" t="s">
        <v>18</v>
      </c>
      <c r="E42" s="101">
        <f>(E33+E34)/E32</f>
        <v>12054.586442271531</v>
      </c>
      <c r="G42" s="130">
        <f>G41/E32</f>
        <v>1282.9122898081987</v>
      </c>
      <c r="I42" s="130">
        <f>I41/E32</f>
        <v>1282.9122898081987</v>
      </c>
      <c r="M42" s="130">
        <f>M41/E32</f>
        <v>1323.2578252350509</v>
      </c>
      <c r="N42" s="130">
        <f t="shared" si="31"/>
        <v>40.345535426852166</v>
      </c>
      <c r="O42" s="113">
        <f>N42/I42</f>
        <v>3.1448397327991928E-2</v>
      </c>
    </row>
    <row r="43" spans="1:23" ht="13.8" thickBot="1" x14ac:dyDescent="0.3">
      <c r="A43" s="31">
        <f t="shared" si="1"/>
        <v>37</v>
      </c>
    </row>
    <row r="44" spans="1:23" x14ac:dyDescent="0.25">
      <c r="A44" s="31">
        <f t="shared" si="1"/>
        <v>38</v>
      </c>
      <c r="B44" s="21" t="s">
        <v>68</v>
      </c>
      <c r="C44" s="22" t="s">
        <v>67</v>
      </c>
      <c r="D44" s="2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23" x14ac:dyDescent="0.25">
      <c r="A45" s="31">
        <f t="shared" si="1"/>
        <v>39</v>
      </c>
      <c r="C45" s="2"/>
      <c r="D45" s="2" t="s">
        <v>17</v>
      </c>
      <c r="E45" s="111">
        <v>49</v>
      </c>
      <c r="F45" s="101">
        <v>110</v>
      </c>
      <c r="G45" s="112">
        <f>F45*E45</f>
        <v>5390</v>
      </c>
      <c r="H45" s="101">
        <v>110</v>
      </c>
      <c r="I45" s="112">
        <f>H45*E45</f>
        <v>5390</v>
      </c>
      <c r="J45" s="113">
        <f>I45/I48</f>
        <v>6.88370266901496E-3</v>
      </c>
      <c r="K45" s="113"/>
      <c r="L45" s="101">
        <f>ROUND(H45*S48,2)</f>
        <v>113.68</v>
      </c>
      <c r="M45" s="112">
        <f>L45*E45</f>
        <v>5570.3200000000006</v>
      </c>
      <c r="N45" s="112">
        <f>M45-I45</f>
        <v>180.32000000000062</v>
      </c>
      <c r="O45" s="113">
        <f>IF(I45=0,0,N45/I45)</f>
        <v>3.345454545454557E-2</v>
      </c>
      <c r="P45" s="113">
        <f>M45/M$48</f>
        <v>6.8840297992524826E-3</v>
      </c>
      <c r="Q45" s="114">
        <f>P45-J45</f>
        <v>3.2713023752264231E-7</v>
      </c>
      <c r="R45" s="114"/>
    </row>
    <row r="46" spans="1:23" x14ac:dyDescent="0.25">
      <c r="A46" s="31">
        <f t="shared" si="1"/>
        <v>40</v>
      </c>
      <c r="D46" s="2" t="s">
        <v>50</v>
      </c>
      <c r="E46" s="111">
        <v>11088688</v>
      </c>
      <c r="F46" s="102">
        <v>5.7898999999999999E-2</v>
      </c>
      <c r="G46" s="112">
        <f t="shared" ref="G46" si="38">F46*E46</f>
        <v>642023.94651199994</v>
      </c>
      <c r="H46" s="102">
        <v>5.6288999999999999E-2</v>
      </c>
      <c r="I46" s="112">
        <f t="shared" ref="I46" si="39">H46*E46</f>
        <v>624171.15883199999</v>
      </c>
      <c r="J46" s="113">
        <f>I46/I48</f>
        <v>0.79714446604341349</v>
      </c>
      <c r="K46" s="113"/>
      <c r="L46" s="115">
        <f>ROUND(H46*S48,6)</f>
        <v>5.8171E-2</v>
      </c>
      <c r="M46" s="112">
        <f t="shared" ref="M46" si="40">L46*E46</f>
        <v>645040.06964800006</v>
      </c>
      <c r="N46" s="112">
        <f t="shared" ref="N46" si="41">M46-I46</f>
        <v>20868.910816000076</v>
      </c>
      <c r="O46" s="113">
        <f t="shared" ref="O46" si="42">IF(I46=0,0,N46/I46)</f>
        <v>3.3434596457567321E-2</v>
      </c>
      <c r="P46" s="113">
        <f>M46/M$48</f>
        <v>0.79716696009721677</v>
      </c>
      <c r="Q46" s="114">
        <f t="shared" ref="Q46" si="43">P46-J46</f>
        <v>2.2494053803279179E-5</v>
      </c>
      <c r="R46" s="114"/>
      <c r="T46" s="4">
        <f>L46/H46-1</f>
        <v>3.34345964575673E-2</v>
      </c>
    </row>
    <row r="47" spans="1:23" x14ac:dyDescent="0.25">
      <c r="A47" s="31">
        <f t="shared" si="1"/>
        <v>41</v>
      </c>
      <c r="D47" s="2" t="s">
        <v>51</v>
      </c>
      <c r="E47" s="111">
        <v>22206.61</v>
      </c>
      <c r="F47" s="101">
        <v>6.91</v>
      </c>
      <c r="G47" s="112">
        <f t="shared" ref="G47" si="44">F47*E47</f>
        <v>153447.67509999999</v>
      </c>
      <c r="H47" s="101">
        <v>6.91</v>
      </c>
      <c r="I47" s="112">
        <f t="shared" ref="I47" si="45">H47*E47</f>
        <v>153447.67509999999</v>
      </c>
      <c r="J47" s="113">
        <f>I47/I48</f>
        <v>0.19597183128757151</v>
      </c>
      <c r="K47" s="113"/>
      <c r="L47" s="101">
        <f>ROUND(H47*S48,2)</f>
        <v>7.14</v>
      </c>
      <c r="M47" s="112">
        <f t="shared" ref="M47" si="46">L47*E47</f>
        <v>158555.1954</v>
      </c>
      <c r="N47" s="112">
        <f t="shared" ref="N47" si="47">M47-I47</f>
        <v>5107.5203000000038</v>
      </c>
      <c r="O47" s="113">
        <f t="shared" ref="O47" si="48">IF(I47=0,0,N47/I47)</f>
        <v>3.3285094066570216E-2</v>
      </c>
      <c r="P47" s="113">
        <f>M47/M$48</f>
        <v>0.19594901010353086</v>
      </c>
      <c r="Q47" s="114">
        <f t="shared" ref="Q47" si="49">P47-J47</f>
        <v>-2.2821184040650033E-5</v>
      </c>
      <c r="R47" s="114"/>
      <c r="T47" s="4">
        <f>L47/H47-1</f>
        <v>3.3285094066570098E-2</v>
      </c>
    </row>
    <row r="48" spans="1:23" s="5" customFormat="1" ht="20.399999999999999" customHeight="1" x14ac:dyDescent="0.25">
      <c r="A48" s="31">
        <f t="shared" si="1"/>
        <v>42</v>
      </c>
      <c r="C48" s="13"/>
      <c r="D48" s="15" t="s">
        <v>6</v>
      </c>
      <c r="E48" s="116"/>
      <c r="F48" s="116"/>
      <c r="G48" s="16">
        <f>SUM(G45:G47)</f>
        <v>800861.62161199993</v>
      </c>
      <c r="H48" s="116"/>
      <c r="I48" s="16">
        <f>SUM(I45:I47)</f>
        <v>783008.83393199998</v>
      </c>
      <c r="J48" s="117">
        <f>SUM(J45:J47)</f>
        <v>1</v>
      </c>
      <c r="K48" s="118">
        <f>I48+Summary!I11</f>
        <v>809184.353932</v>
      </c>
      <c r="L48" s="116"/>
      <c r="M48" s="16">
        <f>SUM(M45:M47)</f>
        <v>809165.58504799998</v>
      </c>
      <c r="N48" s="16">
        <f>SUM(N45:N47)</f>
        <v>26156.751116000079</v>
      </c>
      <c r="O48" s="117">
        <f t="shared" ref="O48" si="50">N48/I48</f>
        <v>3.3405435523185492E-2</v>
      </c>
      <c r="P48" s="117">
        <f>SUM(P45:P47)</f>
        <v>1.0000000000000002</v>
      </c>
      <c r="Q48" s="119">
        <f t="shared" ref="Q48" si="51">P48-J48</f>
        <v>0</v>
      </c>
      <c r="R48" s="120">
        <f>M48-K48</f>
        <v>-18.76888400001917</v>
      </c>
      <c r="S48" s="74">
        <f>K48/I48</f>
        <v>1.0334294057303997</v>
      </c>
      <c r="W48" s="2"/>
    </row>
    <row r="49" spans="1:20" x14ac:dyDescent="0.25">
      <c r="A49" s="31">
        <f t="shared" si="1"/>
        <v>43</v>
      </c>
      <c r="D49" s="2" t="s">
        <v>29</v>
      </c>
      <c r="G49" s="112">
        <v>-49285.829999999994</v>
      </c>
      <c r="I49" s="121">
        <f>G49+(0.00161*E46)</f>
        <v>-31433.042319999993</v>
      </c>
      <c r="K49" s="121"/>
      <c r="M49" s="112">
        <f>I49</f>
        <v>-31433.042319999993</v>
      </c>
      <c r="N49" s="112">
        <f t="shared" ref="N49:N55" si="52">M49-I49</f>
        <v>0</v>
      </c>
      <c r="O49" s="101">
        <v>0</v>
      </c>
    </row>
    <row r="50" spans="1:20" x14ac:dyDescent="0.25">
      <c r="A50" s="31">
        <f t="shared" si="1"/>
        <v>44</v>
      </c>
      <c r="D50" s="2" t="s">
        <v>30</v>
      </c>
      <c r="G50" s="112">
        <v>72091.819999999992</v>
      </c>
      <c r="I50" s="121">
        <f t="shared" ref="I50:I52" si="53">G50</f>
        <v>72091.819999999992</v>
      </c>
      <c r="M50" s="112">
        <f t="shared" ref="M50:M52" si="54">I50</f>
        <v>72091.819999999992</v>
      </c>
      <c r="N50" s="112">
        <f t="shared" si="52"/>
        <v>0</v>
      </c>
      <c r="O50" s="101">
        <v>0</v>
      </c>
    </row>
    <row r="51" spans="1:20" x14ac:dyDescent="0.25">
      <c r="A51" s="31">
        <f t="shared" si="1"/>
        <v>45</v>
      </c>
      <c r="D51" s="2" t="s">
        <v>32</v>
      </c>
      <c r="G51" s="112">
        <v>-30870.260000000002</v>
      </c>
      <c r="I51" s="121">
        <f t="shared" si="53"/>
        <v>-30870.260000000002</v>
      </c>
      <c r="M51" s="112">
        <f t="shared" si="54"/>
        <v>-30870.260000000002</v>
      </c>
      <c r="N51" s="112">
        <f t="shared" si="52"/>
        <v>0</v>
      </c>
      <c r="O51" s="101">
        <v>0</v>
      </c>
    </row>
    <row r="52" spans="1:20" x14ac:dyDescent="0.25">
      <c r="A52" s="31">
        <f t="shared" si="1"/>
        <v>46</v>
      </c>
      <c r="D52" s="2" t="s">
        <v>42</v>
      </c>
      <c r="G52" s="112">
        <v>0</v>
      </c>
      <c r="I52" s="121">
        <f t="shared" si="53"/>
        <v>0</v>
      </c>
      <c r="M52" s="112">
        <f t="shared" si="54"/>
        <v>0</v>
      </c>
      <c r="N52" s="112"/>
      <c r="O52" s="101"/>
    </row>
    <row r="53" spans="1:20" x14ac:dyDescent="0.25">
      <c r="A53" s="31">
        <f t="shared" si="1"/>
        <v>47</v>
      </c>
      <c r="D53" s="11" t="s">
        <v>8</v>
      </c>
      <c r="E53" s="123"/>
      <c r="F53" s="123"/>
      <c r="G53" s="124">
        <f>SUM(G49:G52)</f>
        <v>-8064.2700000000041</v>
      </c>
      <c r="H53" s="123"/>
      <c r="I53" s="124">
        <f>SUM(I49:I52)</f>
        <v>9788.5176799999972</v>
      </c>
      <c r="J53" s="123"/>
      <c r="K53" s="123"/>
      <c r="L53" s="123"/>
      <c r="M53" s="124">
        <f>SUM(M49:M52)</f>
        <v>9788.5176799999972</v>
      </c>
      <c r="N53" s="124">
        <f t="shared" si="52"/>
        <v>0</v>
      </c>
      <c r="O53" s="125">
        <f t="shared" ref="O53" si="55">N53-J53</f>
        <v>0</v>
      </c>
    </row>
    <row r="54" spans="1:20" s="5" customFormat="1" ht="26.4" customHeight="1" thickBot="1" x14ac:dyDescent="0.3">
      <c r="A54" s="31">
        <f t="shared" si="1"/>
        <v>48</v>
      </c>
      <c r="C54" s="13"/>
      <c r="D54" s="6" t="s">
        <v>19</v>
      </c>
      <c r="E54" s="126"/>
      <c r="F54" s="126"/>
      <c r="G54" s="127">
        <f>G48+G53</f>
        <v>792797.35161199991</v>
      </c>
      <c r="H54" s="126"/>
      <c r="I54" s="128">
        <f>I53+I48</f>
        <v>792797.35161200003</v>
      </c>
      <c r="J54" s="126"/>
      <c r="K54" s="126"/>
      <c r="L54" s="126"/>
      <c r="M54" s="127">
        <f>M53+M48</f>
        <v>818954.10272800003</v>
      </c>
      <c r="N54" s="127">
        <f t="shared" si="52"/>
        <v>26156.751115999999</v>
      </c>
      <c r="O54" s="129">
        <f>N54/I54</f>
        <v>3.2992984982625519E-2</v>
      </c>
      <c r="P54" s="100"/>
      <c r="Q54" s="100"/>
      <c r="R54" s="100"/>
    </row>
    <row r="55" spans="1:20" ht="13.8" thickTop="1" x14ac:dyDescent="0.25">
      <c r="A55" s="31">
        <f t="shared" si="1"/>
        <v>49</v>
      </c>
      <c r="D55" s="2" t="s">
        <v>18</v>
      </c>
      <c r="E55" s="101">
        <f>E47/E45</f>
        <v>453.19612244897962</v>
      </c>
      <c r="G55" s="130">
        <f>G54/E45</f>
        <v>16179.537787999998</v>
      </c>
      <c r="I55" s="130">
        <f>I54/E45</f>
        <v>16179.537788000001</v>
      </c>
      <c r="M55" s="130">
        <f>M54/E45</f>
        <v>16713.349035265306</v>
      </c>
      <c r="N55" s="130">
        <f t="shared" si="52"/>
        <v>533.8112472653047</v>
      </c>
      <c r="O55" s="113">
        <f>N55/I55</f>
        <v>3.2992984982625428E-2</v>
      </c>
    </row>
    <row r="56" spans="1:20" ht="13.8" thickBot="1" x14ac:dyDescent="0.3">
      <c r="A56" s="31">
        <f t="shared" si="1"/>
        <v>50</v>
      </c>
    </row>
    <row r="57" spans="1:20" x14ac:dyDescent="0.25">
      <c r="A57" s="31">
        <f t="shared" si="1"/>
        <v>51</v>
      </c>
      <c r="B57" s="21" t="s">
        <v>33</v>
      </c>
      <c r="C57" s="22" t="s">
        <v>80</v>
      </c>
      <c r="D57" s="21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:20" x14ac:dyDescent="0.25">
      <c r="A58" s="31">
        <f t="shared" si="1"/>
        <v>52</v>
      </c>
      <c r="B58" s="28"/>
      <c r="C58" s="25"/>
      <c r="D58" s="2" t="s">
        <v>71</v>
      </c>
      <c r="E58" s="111">
        <v>1611</v>
      </c>
      <c r="F58" s="101">
        <v>1</v>
      </c>
      <c r="G58" s="112">
        <f t="shared" ref="G58" si="56">F58*E58</f>
        <v>1611</v>
      </c>
      <c r="H58" s="101">
        <v>3.06</v>
      </c>
      <c r="I58" s="112">
        <f t="shared" ref="I58" si="57">H58*E58</f>
        <v>4929.66</v>
      </c>
      <c r="J58" s="113">
        <f t="shared" ref="J58:J66" si="58">I58/I$67</f>
        <v>4.8424537991169202E-3</v>
      </c>
      <c r="K58" s="113"/>
      <c r="L58" s="101">
        <f t="shared" ref="L58:L66" si="59">ROUND(H58*S$67,2)</f>
        <v>3.16</v>
      </c>
      <c r="M58" s="112">
        <f t="shared" ref="M58" si="60">L58*E58</f>
        <v>5090.76</v>
      </c>
      <c r="N58" s="112">
        <f t="shared" ref="N58" si="61">M58-I58</f>
        <v>161.10000000000036</v>
      </c>
      <c r="O58" s="113">
        <f t="shared" ref="O58" si="62">IF(I58=0,0,N58/I58)</f>
        <v>3.2679738562091581E-2</v>
      </c>
      <c r="P58" s="113">
        <f t="shared" ref="P58:P66" si="63">M58/M$67</f>
        <v>4.8394783615828109E-3</v>
      </c>
      <c r="Q58" s="114">
        <f t="shared" ref="Q58" si="64">P58-J58</f>
        <v>-2.9754375341093167E-6</v>
      </c>
      <c r="R58" s="114"/>
      <c r="T58" s="4">
        <f>L58/H58-1</f>
        <v>3.2679738562091609E-2</v>
      </c>
    </row>
    <row r="59" spans="1:20" x14ac:dyDescent="0.25">
      <c r="A59" s="31">
        <f t="shared" si="1"/>
        <v>53</v>
      </c>
      <c r="B59" s="28"/>
      <c r="C59" s="25"/>
      <c r="D59" s="2" t="s">
        <v>72</v>
      </c>
      <c r="E59" s="111">
        <v>383</v>
      </c>
      <c r="F59" s="101">
        <v>1</v>
      </c>
      <c r="G59" s="112">
        <f t="shared" ref="G59:G61" si="65">F59*E59</f>
        <v>383</v>
      </c>
      <c r="H59" s="101">
        <v>3.54</v>
      </c>
      <c r="I59" s="112">
        <f t="shared" ref="I59:I61" si="66">H59*E59</f>
        <v>1355.82</v>
      </c>
      <c r="J59" s="113">
        <f t="shared" si="58"/>
        <v>1.3318354024250561E-3</v>
      </c>
      <c r="K59" s="113"/>
      <c r="L59" s="101">
        <f t="shared" si="59"/>
        <v>3.66</v>
      </c>
      <c r="M59" s="112">
        <f t="shared" ref="M59:M61" si="67">L59*E59</f>
        <v>1401.78</v>
      </c>
      <c r="N59" s="112">
        <f t="shared" ref="N59:N61" si="68">M59-I59</f>
        <v>45.960000000000036</v>
      </c>
      <c r="O59" s="113">
        <f t="shared" ref="O59:O61" si="69">IF(I59=0,0,N59/I59)</f>
        <v>3.389830508474579E-2</v>
      </c>
      <c r="P59" s="113">
        <f t="shared" si="63"/>
        <v>1.3325876642582939E-3</v>
      </c>
      <c r="Q59" s="114">
        <f t="shared" ref="Q59:Q61" si="70">P59-J59</f>
        <v>7.5226183323773115E-7</v>
      </c>
      <c r="R59" s="114"/>
      <c r="T59" s="4">
        <f t="shared" ref="T59:T66" si="71">L59/H59-1</f>
        <v>3.3898305084745894E-2</v>
      </c>
    </row>
    <row r="60" spans="1:20" x14ac:dyDescent="0.25">
      <c r="A60" s="31">
        <f t="shared" si="1"/>
        <v>54</v>
      </c>
      <c r="B60" s="28"/>
      <c r="C60" s="25"/>
      <c r="D60" s="2" t="s">
        <v>73</v>
      </c>
      <c r="E60" s="111">
        <v>55094</v>
      </c>
      <c r="F60" s="101">
        <v>1</v>
      </c>
      <c r="G60" s="112">
        <f t="shared" si="65"/>
        <v>55094</v>
      </c>
      <c r="H60" s="101">
        <v>10.24</v>
      </c>
      <c r="I60" s="112">
        <f t="shared" si="66"/>
        <v>564162.56000000006</v>
      </c>
      <c r="J60" s="113">
        <f t="shared" si="58"/>
        <v>0.55418246532043336</v>
      </c>
      <c r="K60" s="113"/>
      <c r="L60" s="101">
        <f t="shared" si="59"/>
        <v>10.58</v>
      </c>
      <c r="M60" s="112">
        <f t="shared" si="67"/>
        <v>582894.52</v>
      </c>
      <c r="N60" s="112">
        <f t="shared" si="68"/>
        <v>18731.959999999963</v>
      </c>
      <c r="O60" s="113">
        <f t="shared" si="69"/>
        <v>3.3203124999999931E-2</v>
      </c>
      <c r="P60" s="113">
        <f t="shared" si="63"/>
        <v>0.55412264900038477</v>
      </c>
      <c r="Q60" s="114">
        <f t="shared" si="70"/>
        <v>-5.9816320048589056E-5</v>
      </c>
      <c r="R60" s="114"/>
      <c r="T60" s="4">
        <f t="shared" si="71"/>
        <v>3.3203125E-2</v>
      </c>
    </row>
    <row r="61" spans="1:20" x14ac:dyDescent="0.25">
      <c r="A61" s="31">
        <f t="shared" si="1"/>
        <v>55</v>
      </c>
      <c r="B61" s="28"/>
      <c r="C61" s="25"/>
      <c r="D61" s="2" t="s">
        <v>74</v>
      </c>
      <c r="E61" s="111">
        <v>9853</v>
      </c>
      <c r="F61" s="101">
        <v>1</v>
      </c>
      <c r="G61" s="112">
        <f t="shared" si="65"/>
        <v>9853</v>
      </c>
      <c r="H61" s="101">
        <v>10.37</v>
      </c>
      <c r="I61" s="112">
        <f t="shared" si="66"/>
        <v>102175.60999999999</v>
      </c>
      <c r="J61" s="113">
        <f t="shared" si="58"/>
        <v>0.10036811277483411</v>
      </c>
      <c r="K61" s="113"/>
      <c r="L61" s="101">
        <f t="shared" si="59"/>
        <v>10.72</v>
      </c>
      <c r="M61" s="112">
        <f t="shared" si="67"/>
        <v>105624.16</v>
      </c>
      <c r="N61" s="112">
        <f t="shared" si="68"/>
        <v>3448.5500000000175</v>
      </c>
      <c r="O61" s="113">
        <f t="shared" si="69"/>
        <v>3.3751205400193038E-2</v>
      </c>
      <c r="P61" s="113">
        <f t="shared" si="63"/>
        <v>0.10041051567552992</v>
      </c>
      <c r="Q61" s="114">
        <f t="shared" si="70"/>
        <v>4.2402900695806545E-5</v>
      </c>
      <c r="R61" s="114"/>
      <c r="T61" s="4">
        <f t="shared" si="71"/>
        <v>3.3751205400192941E-2</v>
      </c>
    </row>
    <row r="62" spans="1:20" x14ac:dyDescent="0.25">
      <c r="A62" s="31">
        <f t="shared" si="1"/>
        <v>56</v>
      </c>
      <c r="B62" s="28"/>
      <c r="C62" s="25"/>
      <c r="D62" s="2" t="s">
        <v>75</v>
      </c>
      <c r="E62" s="111">
        <v>462</v>
      </c>
      <c r="F62" s="101">
        <v>1</v>
      </c>
      <c r="G62" s="112">
        <f t="shared" ref="G62:G66" si="72">F62*E62</f>
        <v>462</v>
      </c>
      <c r="H62" s="101">
        <v>15.85</v>
      </c>
      <c r="I62" s="112">
        <f t="shared" ref="I62:I66" si="73">H62*E62</f>
        <v>7322.7</v>
      </c>
      <c r="J62" s="113">
        <f t="shared" si="58"/>
        <v>7.1931606712822933E-3</v>
      </c>
      <c r="K62" s="113"/>
      <c r="L62" s="101">
        <f t="shared" si="59"/>
        <v>16.38</v>
      </c>
      <c r="M62" s="112">
        <f t="shared" ref="M62:M66" si="74">L62*E62</f>
        <v>7567.5599999999995</v>
      </c>
      <c r="N62" s="112">
        <f t="shared" ref="N62:N66" si="75">M62-I62</f>
        <v>244.85999999999967</v>
      </c>
      <c r="O62" s="113">
        <f t="shared" ref="O62:O66" si="76">IF(I62=0,0,N62/I62)</f>
        <v>3.3438485804416357E-2</v>
      </c>
      <c r="P62" s="113">
        <f t="shared" si="63"/>
        <v>7.1940226744100317E-3</v>
      </c>
      <c r="Q62" s="114">
        <f t="shared" ref="Q62:Q66" si="77">P62-J62</f>
        <v>8.6200312773843102E-7</v>
      </c>
      <c r="R62" s="114"/>
      <c r="T62" s="4">
        <f t="shared" si="71"/>
        <v>3.3438485804416329E-2</v>
      </c>
    </row>
    <row r="63" spans="1:20" x14ac:dyDescent="0.25">
      <c r="A63" s="31">
        <f t="shared" si="1"/>
        <v>57</v>
      </c>
      <c r="B63" s="28"/>
      <c r="C63" s="25"/>
      <c r="D63" s="2" t="s">
        <v>76</v>
      </c>
      <c r="E63" s="111">
        <v>408</v>
      </c>
      <c r="F63" s="101">
        <v>1</v>
      </c>
      <c r="G63" s="112">
        <f t="shared" si="72"/>
        <v>408</v>
      </c>
      <c r="H63" s="101">
        <v>21.78</v>
      </c>
      <c r="I63" s="112">
        <f t="shared" si="73"/>
        <v>8886.24</v>
      </c>
      <c r="J63" s="113">
        <f t="shared" si="58"/>
        <v>8.7290414851865523E-3</v>
      </c>
      <c r="K63" s="113"/>
      <c r="L63" s="101">
        <f t="shared" si="59"/>
        <v>22.51</v>
      </c>
      <c r="M63" s="112">
        <f t="shared" si="74"/>
        <v>9184.08</v>
      </c>
      <c r="N63" s="112">
        <f t="shared" si="75"/>
        <v>297.84000000000015</v>
      </c>
      <c r="O63" s="113">
        <f t="shared" si="76"/>
        <v>3.3516988062442625E-2</v>
      </c>
      <c r="P63" s="113">
        <f t="shared" si="63"/>
        <v>8.7307506995115587E-3</v>
      </c>
      <c r="Q63" s="114">
        <f t="shared" si="77"/>
        <v>1.709214325006439E-6</v>
      </c>
      <c r="R63" s="114"/>
      <c r="T63" s="4">
        <f t="shared" si="71"/>
        <v>3.3516988062442632E-2</v>
      </c>
    </row>
    <row r="64" spans="1:20" x14ac:dyDescent="0.25">
      <c r="A64" s="31">
        <f t="shared" si="1"/>
        <v>58</v>
      </c>
      <c r="B64" s="28"/>
      <c r="C64" s="25"/>
      <c r="D64" s="2" t="s">
        <v>77</v>
      </c>
      <c r="E64" s="111">
        <v>35425</v>
      </c>
      <c r="F64" s="101">
        <v>1</v>
      </c>
      <c r="G64" s="112">
        <f t="shared" si="72"/>
        <v>35425</v>
      </c>
      <c r="H64" s="101">
        <v>9.2899999999999991</v>
      </c>
      <c r="I64" s="112">
        <f t="shared" si="73"/>
        <v>329098.24999999994</v>
      </c>
      <c r="J64" s="113">
        <f t="shared" si="58"/>
        <v>0.32327646754446143</v>
      </c>
      <c r="K64" s="113"/>
      <c r="L64" s="101">
        <f t="shared" si="59"/>
        <v>9.6</v>
      </c>
      <c r="M64" s="112">
        <f t="shared" si="74"/>
        <v>340080</v>
      </c>
      <c r="N64" s="112">
        <f t="shared" si="75"/>
        <v>10981.750000000058</v>
      </c>
      <c r="O64" s="113">
        <f t="shared" si="76"/>
        <v>3.3369214208826881E-2</v>
      </c>
      <c r="P64" s="113">
        <f t="shared" si="63"/>
        <v>0.32329353597637334</v>
      </c>
      <c r="Q64" s="114">
        <f t="shared" si="77"/>
        <v>1.7068431911904103E-5</v>
      </c>
      <c r="R64" s="114"/>
      <c r="T64" s="4">
        <f t="shared" si="71"/>
        <v>3.3369214208826659E-2</v>
      </c>
    </row>
    <row r="65" spans="1:25" x14ac:dyDescent="0.25">
      <c r="A65" s="31">
        <f t="shared" si="1"/>
        <v>59</v>
      </c>
      <c r="B65" s="28"/>
      <c r="C65" s="25"/>
      <c r="D65" s="2" t="s">
        <v>78</v>
      </c>
      <c r="E65" s="111">
        <v>7</v>
      </c>
      <c r="F65" s="101">
        <v>1</v>
      </c>
      <c r="G65" s="112">
        <f t="shared" si="72"/>
        <v>7</v>
      </c>
      <c r="H65" s="101">
        <v>11.12</v>
      </c>
      <c r="I65" s="112">
        <f t="shared" si="73"/>
        <v>77.839999999999989</v>
      </c>
      <c r="J65" s="113">
        <f t="shared" si="58"/>
        <v>7.6463002260452245E-5</v>
      </c>
      <c r="K65" s="113"/>
      <c r="L65" s="101">
        <f t="shared" si="59"/>
        <v>11.49</v>
      </c>
      <c r="M65" s="112">
        <f t="shared" si="74"/>
        <v>80.430000000000007</v>
      </c>
      <c r="N65" s="112">
        <f t="shared" si="75"/>
        <v>2.5900000000000176</v>
      </c>
      <c r="O65" s="113">
        <f t="shared" si="76"/>
        <v>3.3273381294964259E-2</v>
      </c>
      <c r="P65" s="113">
        <f t="shared" si="63"/>
        <v>7.6459947949246383E-5</v>
      </c>
      <c r="Q65" s="114">
        <f t="shared" si="77"/>
        <v>-3.0543112058620259E-9</v>
      </c>
      <c r="R65" s="114"/>
      <c r="T65" s="4">
        <f t="shared" si="71"/>
        <v>3.3273381294964155E-2</v>
      </c>
    </row>
    <row r="66" spans="1:25" x14ac:dyDescent="0.25">
      <c r="A66" s="31">
        <f t="shared" si="1"/>
        <v>60</v>
      </c>
      <c r="B66" s="28"/>
      <c r="C66" s="25"/>
      <c r="D66" s="2" t="s">
        <v>79</v>
      </c>
      <c r="E66" s="111">
        <v>0</v>
      </c>
      <c r="F66" s="101">
        <v>1</v>
      </c>
      <c r="G66" s="112">
        <f t="shared" si="72"/>
        <v>0</v>
      </c>
      <c r="H66" s="101">
        <v>17.5</v>
      </c>
      <c r="I66" s="112">
        <f t="shared" si="73"/>
        <v>0</v>
      </c>
      <c r="J66" s="113">
        <f t="shared" si="58"/>
        <v>0</v>
      </c>
      <c r="K66" s="113"/>
      <c r="L66" s="101">
        <f t="shared" si="59"/>
        <v>18.09</v>
      </c>
      <c r="M66" s="112">
        <f t="shared" si="74"/>
        <v>0</v>
      </c>
      <c r="N66" s="112">
        <f t="shared" si="75"/>
        <v>0</v>
      </c>
      <c r="O66" s="113">
        <f t="shared" si="76"/>
        <v>0</v>
      </c>
      <c r="P66" s="113">
        <f t="shared" si="63"/>
        <v>0</v>
      </c>
      <c r="Q66" s="114">
        <f t="shared" si="77"/>
        <v>0</v>
      </c>
      <c r="R66" s="114"/>
      <c r="T66" s="4">
        <f t="shared" si="71"/>
        <v>3.3714285714285808E-2</v>
      </c>
    </row>
    <row r="67" spans="1:25" s="5" customFormat="1" ht="24.6" customHeight="1" x14ac:dyDescent="0.3">
      <c r="A67" s="31">
        <f t="shared" si="1"/>
        <v>61</v>
      </c>
      <c r="C67" s="13"/>
      <c r="D67" s="15" t="s">
        <v>6</v>
      </c>
      <c r="E67" s="116"/>
      <c r="F67" s="116"/>
      <c r="G67" s="16">
        <f>SUM(G58:G66)</f>
        <v>103243</v>
      </c>
      <c r="H67" s="116"/>
      <c r="I67" s="16">
        <f>SUM(I58:I66)</f>
        <v>1018008.6799999998</v>
      </c>
      <c r="J67" s="117">
        <f>SUM(J58:J66)</f>
        <v>1.0000000000000002</v>
      </c>
      <c r="K67" s="118">
        <f>I67+Summary!I12</f>
        <v>1052040.1099999999</v>
      </c>
      <c r="L67" s="116"/>
      <c r="M67" s="16">
        <f>SUM(M58:M66)</f>
        <v>1051923.29</v>
      </c>
      <c r="N67" s="16">
        <f>SUM(N58:N66)</f>
        <v>33914.610000000037</v>
      </c>
      <c r="O67" s="117">
        <f t="shared" ref="O67" si="78">N67/I67</f>
        <v>3.3314657002728155E-2</v>
      </c>
      <c r="P67" s="117">
        <f>SUM(P58:P66)</f>
        <v>1</v>
      </c>
      <c r="Q67" s="119">
        <f t="shared" ref="Q67" si="79">P67-J67</f>
        <v>0</v>
      </c>
      <c r="R67" s="120">
        <f>M67-K67</f>
        <v>-116.81999999983236</v>
      </c>
      <c r="S67" s="74">
        <f>K67/I67</f>
        <v>1.0334294104447126</v>
      </c>
    </row>
    <row r="68" spans="1:25" x14ac:dyDescent="0.25">
      <c r="A68" s="31">
        <f t="shared" si="1"/>
        <v>62</v>
      </c>
      <c r="D68" s="2" t="s">
        <v>29</v>
      </c>
      <c r="G68" s="112">
        <v>1</v>
      </c>
      <c r="I68" s="121">
        <v>0</v>
      </c>
      <c r="K68" s="121"/>
      <c r="M68" s="112">
        <f>I68</f>
        <v>0</v>
      </c>
      <c r="N68" s="112">
        <f>M68-I68</f>
        <v>0</v>
      </c>
      <c r="O68" s="101">
        <v>0</v>
      </c>
    </row>
    <row r="69" spans="1:25" x14ac:dyDescent="0.25">
      <c r="A69" s="31">
        <f t="shared" si="1"/>
        <v>63</v>
      </c>
      <c r="D69" s="2" t="s">
        <v>30</v>
      </c>
      <c r="G69" s="112">
        <v>1</v>
      </c>
      <c r="I69" s="121">
        <v>0</v>
      </c>
      <c r="M69" s="112">
        <f t="shared" ref="M69:M70" si="80">I69</f>
        <v>0</v>
      </c>
      <c r="N69" s="112">
        <f>M69-I69</f>
        <v>0</v>
      </c>
      <c r="O69" s="101">
        <v>0</v>
      </c>
    </row>
    <row r="70" spans="1:25" x14ac:dyDescent="0.25">
      <c r="A70" s="31">
        <f t="shared" si="1"/>
        <v>64</v>
      </c>
      <c r="D70" s="2" t="s">
        <v>32</v>
      </c>
      <c r="G70" s="112">
        <v>0</v>
      </c>
      <c r="I70" s="121">
        <v>0</v>
      </c>
      <c r="M70" s="112">
        <f t="shared" si="80"/>
        <v>0</v>
      </c>
      <c r="N70" s="112">
        <f>M70-I70</f>
        <v>0</v>
      </c>
      <c r="O70" s="101">
        <v>0</v>
      </c>
    </row>
    <row r="71" spans="1:25" x14ac:dyDescent="0.25">
      <c r="A71" s="31">
        <f t="shared" si="1"/>
        <v>65</v>
      </c>
      <c r="D71" s="2" t="s">
        <v>42</v>
      </c>
      <c r="G71" s="112"/>
      <c r="I71" s="121"/>
      <c r="M71" s="112"/>
      <c r="N71" s="112"/>
      <c r="O71" s="101"/>
    </row>
    <row r="72" spans="1:25" x14ac:dyDescent="0.25">
      <c r="A72" s="31">
        <f t="shared" si="1"/>
        <v>66</v>
      </c>
      <c r="D72" s="11" t="s">
        <v>8</v>
      </c>
      <c r="E72" s="123"/>
      <c r="F72" s="123"/>
      <c r="G72" s="124">
        <f>SUM(G68:G70)</f>
        <v>2</v>
      </c>
      <c r="H72" s="123"/>
      <c r="I72" s="124">
        <f>SUM(I68:I70)</f>
        <v>0</v>
      </c>
      <c r="J72" s="123"/>
      <c r="K72" s="123"/>
      <c r="L72" s="123"/>
      <c r="M72" s="124">
        <f>SUM(M68:M70)</f>
        <v>0</v>
      </c>
      <c r="N72" s="124">
        <f>M72-I72</f>
        <v>0</v>
      </c>
      <c r="O72" s="125">
        <f>N72-J72</f>
        <v>0</v>
      </c>
    </row>
    <row r="73" spans="1:25" s="5" customFormat="1" ht="26.4" customHeight="1" thickBot="1" x14ac:dyDescent="0.3">
      <c r="A73" s="31">
        <f t="shared" ref="A73:A86" si="81">A72+1</f>
        <v>67</v>
      </c>
      <c r="C73" s="13"/>
      <c r="D73" s="6" t="s">
        <v>19</v>
      </c>
      <c r="E73" s="126"/>
      <c r="F73" s="126"/>
      <c r="G73" s="127">
        <f>G67+G72</f>
        <v>103245</v>
      </c>
      <c r="H73" s="126"/>
      <c r="I73" s="128">
        <f>I72+I67</f>
        <v>1018008.6799999998</v>
      </c>
      <c r="J73" s="126"/>
      <c r="K73" s="126"/>
      <c r="L73" s="126"/>
      <c r="M73" s="127">
        <f>M72+M67</f>
        <v>1051923.29</v>
      </c>
      <c r="N73" s="127">
        <f>M73-I73</f>
        <v>33914.610000000219</v>
      </c>
      <c r="O73" s="129">
        <f>N73/I73</f>
        <v>3.3314657002728329E-2</v>
      </c>
      <c r="P73" s="100"/>
      <c r="Q73" s="100"/>
      <c r="R73" s="100"/>
    </row>
    <row r="74" spans="1:25" ht="13.8" thickTop="1" x14ac:dyDescent="0.25">
      <c r="A74" s="31">
        <f t="shared" si="81"/>
        <v>68</v>
      </c>
      <c r="G74" s="130"/>
      <c r="I74" s="130"/>
      <c r="M74" s="130"/>
      <c r="N74" s="130"/>
      <c r="O74" s="113"/>
      <c r="X74" s="5"/>
      <c r="Y74" s="5"/>
    </row>
    <row r="75" spans="1:25" x14ac:dyDescent="0.25">
      <c r="A75" s="31">
        <f t="shared" si="81"/>
        <v>69</v>
      </c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25" x14ac:dyDescent="0.25">
      <c r="A76" s="31">
        <f t="shared" si="81"/>
        <v>70</v>
      </c>
    </row>
    <row r="77" spans="1:25" s="5" customFormat="1" ht="19.95" customHeight="1" x14ac:dyDescent="0.3">
      <c r="A77" s="31">
        <f t="shared" si="81"/>
        <v>71</v>
      </c>
      <c r="B77" s="5" t="s">
        <v>31</v>
      </c>
      <c r="C77" s="33"/>
      <c r="D77" s="15" t="s">
        <v>6</v>
      </c>
      <c r="E77" s="116"/>
      <c r="F77" s="116"/>
      <c r="G77" s="132">
        <f>G10+G22+G35+G48+G67</f>
        <v>25122088.537347998</v>
      </c>
      <c r="H77" s="132"/>
      <c r="I77" s="132">
        <f>I10+I22+I35+I48+I67</f>
        <v>26446264.321948003</v>
      </c>
      <c r="J77" s="116"/>
      <c r="K77" s="116"/>
      <c r="L77" s="116"/>
      <c r="M77" s="132">
        <f>M10+M22+M35+M48+M67</f>
        <v>27329733.938924003</v>
      </c>
      <c r="N77" s="132">
        <f>N10+N22+N35+N48+N67</f>
        <v>883469.61697599967</v>
      </c>
      <c r="O77" s="117">
        <f>N77/I77</f>
        <v>3.340621594872286E-2</v>
      </c>
      <c r="P77" s="133"/>
      <c r="Q77" s="133"/>
      <c r="R77" s="133"/>
    </row>
    <row r="78" spans="1:25" x14ac:dyDescent="0.25">
      <c r="A78" s="31">
        <f t="shared" si="81"/>
        <v>72</v>
      </c>
      <c r="C78" s="26"/>
      <c r="D78" s="2" t="s">
        <v>29</v>
      </c>
      <c r="G78" s="121">
        <f t="shared" ref="G78:I82" si="82">G11+G23+G36+G49+G68</f>
        <v>-1003368.0699999998</v>
      </c>
      <c r="H78" s="121"/>
      <c r="I78" s="121">
        <f t="shared" si="82"/>
        <v>-617530.54783999978</v>
      </c>
      <c r="M78" s="121">
        <f t="shared" ref="M78:N78" si="83">M11+M23+M36+M49+M68</f>
        <v>-617530.54783999978</v>
      </c>
      <c r="N78" s="121">
        <f t="shared" si="83"/>
        <v>0</v>
      </c>
    </row>
    <row r="79" spans="1:25" x14ac:dyDescent="0.25">
      <c r="A79" s="31">
        <f t="shared" si="81"/>
        <v>73</v>
      </c>
      <c r="C79" s="26"/>
      <c r="D79" s="2" t="s">
        <v>30</v>
      </c>
      <c r="G79" s="121">
        <f t="shared" si="82"/>
        <v>2306976.2933019996</v>
      </c>
      <c r="H79" s="121"/>
      <c r="I79" s="121">
        <f t="shared" si="82"/>
        <v>2306975.2933019996</v>
      </c>
      <c r="M79" s="121">
        <f t="shared" ref="M79:N79" si="84">M12+M24+M37+M50+M69</f>
        <v>2306975.2933019996</v>
      </c>
      <c r="N79" s="121">
        <f t="shared" si="84"/>
        <v>0</v>
      </c>
    </row>
    <row r="80" spans="1:25" x14ac:dyDescent="0.25">
      <c r="A80" s="31">
        <f t="shared" si="81"/>
        <v>74</v>
      </c>
      <c r="C80" s="26"/>
      <c r="D80" s="2" t="s">
        <v>32</v>
      </c>
      <c r="G80" s="121">
        <f t="shared" si="82"/>
        <v>-31468.68</v>
      </c>
      <c r="H80" s="121"/>
      <c r="I80" s="121">
        <f t="shared" si="82"/>
        <v>-31468.68</v>
      </c>
      <c r="M80" s="121">
        <f t="shared" ref="M80:N80" si="85">M13+M25+M38+M51+M70</f>
        <v>-31468.68</v>
      </c>
      <c r="N80" s="121">
        <f t="shared" si="85"/>
        <v>0</v>
      </c>
    </row>
    <row r="81" spans="1:20" x14ac:dyDescent="0.25">
      <c r="A81" s="31">
        <f t="shared" si="81"/>
        <v>75</v>
      </c>
      <c r="C81" s="26"/>
      <c r="D81" s="2" t="s">
        <v>42</v>
      </c>
      <c r="G81" s="121">
        <f t="shared" si="82"/>
        <v>0</v>
      </c>
      <c r="I81" s="121">
        <f t="shared" si="82"/>
        <v>0</v>
      </c>
      <c r="M81" s="121">
        <f t="shared" ref="M81:N81" si="86">M14+M26+M39+M52+M71</f>
        <v>0</v>
      </c>
      <c r="N81" s="121">
        <f t="shared" si="86"/>
        <v>0</v>
      </c>
      <c r="O81" s="101"/>
    </row>
    <row r="82" spans="1:20" x14ac:dyDescent="0.25">
      <c r="A82" s="31">
        <f t="shared" si="81"/>
        <v>76</v>
      </c>
      <c r="C82" s="26"/>
      <c r="D82" s="11" t="s">
        <v>8</v>
      </c>
      <c r="E82" s="123"/>
      <c r="F82" s="123"/>
      <c r="G82" s="134">
        <f t="shared" si="82"/>
        <v>1272139.5433019998</v>
      </c>
      <c r="H82" s="134"/>
      <c r="I82" s="134">
        <f t="shared" si="82"/>
        <v>1657976.0654619997</v>
      </c>
      <c r="J82" s="123"/>
      <c r="K82" s="123"/>
      <c r="L82" s="123"/>
      <c r="M82" s="134">
        <f t="shared" ref="M82:N82" si="87">M15+M27+M40+M53+M72</f>
        <v>1657976.0654619997</v>
      </c>
      <c r="N82" s="134">
        <f t="shared" si="87"/>
        <v>0</v>
      </c>
      <c r="O82" s="123"/>
    </row>
    <row r="83" spans="1:20" s="5" customFormat="1" ht="21" customHeight="1" thickBot="1" x14ac:dyDescent="0.35">
      <c r="A83" s="31">
        <f t="shared" si="81"/>
        <v>77</v>
      </c>
      <c r="C83" s="33"/>
      <c r="D83" s="6" t="s">
        <v>19</v>
      </c>
      <c r="E83" s="126"/>
      <c r="F83" s="126"/>
      <c r="G83" s="128">
        <f>G82+G77</f>
        <v>26394228.080649998</v>
      </c>
      <c r="H83" s="128"/>
      <c r="I83" s="128">
        <f>I82+I77</f>
        <v>28104240.387410004</v>
      </c>
      <c r="J83" s="126"/>
      <c r="K83" s="126"/>
      <c r="L83" s="126"/>
      <c r="M83" s="128">
        <f>M82+M77</f>
        <v>28987710.004386004</v>
      </c>
      <c r="N83" s="128">
        <f>N82+N77</f>
        <v>883469.61697599967</v>
      </c>
      <c r="O83" s="129">
        <f>N83/I83</f>
        <v>3.1435456173075291E-2</v>
      </c>
      <c r="P83" s="133"/>
      <c r="Q83" s="133"/>
      <c r="R83" s="133"/>
    </row>
    <row r="84" spans="1:20" ht="13.8" thickTop="1" x14ac:dyDescent="0.25">
      <c r="A84" s="31">
        <f t="shared" si="81"/>
        <v>78</v>
      </c>
      <c r="C84" s="26"/>
    </row>
    <row r="85" spans="1:20" x14ac:dyDescent="0.25">
      <c r="A85" s="31">
        <f t="shared" si="81"/>
        <v>79</v>
      </c>
      <c r="D85" s="2" t="s">
        <v>40</v>
      </c>
      <c r="N85" s="121">
        <f>N83-Summary!L4</f>
        <v>-613.3830240003299</v>
      </c>
    </row>
    <row r="86" spans="1:20" x14ac:dyDescent="0.25">
      <c r="A86" s="31">
        <f t="shared" si="81"/>
        <v>80</v>
      </c>
      <c r="N86" s="121"/>
    </row>
    <row r="87" spans="1:20" x14ac:dyDescent="0.25">
      <c r="A87" s="31"/>
      <c r="B87" s="1"/>
      <c r="N87" s="121"/>
    </row>
    <row r="88" spans="1:20" x14ac:dyDescent="0.25">
      <c r="A88" s="31"/>
      <c r="B88" s="1"/>
      <c r="N88" s="121"/>
    </row>
    <row r="89" spans="1:20" x14ac:dyDescent="0.25">
      <c r="A89" s="31"/>
      <c r="B89" s="1"/>
      <c r="N89" s="121"/>
    </row>
    <row r="90" spans="1:20" ht="12.6" customHeight="1" x14ac:dyDescent="0.25">
      <c r="A90" s="31"/>
      <c r="B90" s="1"/>
      <c r="N90" s="121"/>
      <c r="T90" s="4"/>
    </row>
    <row r="91" spans="1:20" x14ac:dyDescent="0.25">
      <c r="A91" s="31"/>
      <c r="B91" s="1"/>
      <c r="N91" s="121"/>
      <c r="T91" s="4"/>
    </row>
    <row r="92" spans="1:20" x14ac:dyDescent="0.25">
      <c r="A92" s="31"/>
      <c r="B92" s="1"/>
      <c r="N92" s="121"/>
      <c r="T92" s="4"/>
    </row>
    <row r="93" spans="1:20" x14ac:dyDescent="0.25">
      <c r="A93" s="31"/>
      <c r="B93" s="1"/>
      <c r="N93" s="121"/>
      <c r="T93" s="4"/>
    </row>
    <row r="94" spans="1:20" x14ac:dyDescent="0.25">
      <c r="A94" s="31"/>
      <c r="B94" s="1"/>
      <c r="N94" s="121"/>
      <c r="T94" s="4"/>
    </row>
    <row r="95" spans="1:20" x14ac:dyDescent="0.25">
      <c r="A95" s="31"/>
      <c r="B95" s="1"/>
      <c r="N95" s="121"/>
    </row>
    <row r="96" spans="1:20" ht="12.6" customHeight="1" x14ac:dyDescent="0.25">
      <c r="A96" s="31"/>
      <c r="B96" s="1"/>
      <c r="N96" s="121"/>
      <c r="T96" s="4"/>
    </row>
    <row r="97" spans="1:20" x14ac:dyDescent="0.25">
      <c r="A97" s="31"/>
      <c r="B97" s="1"/>
      <c r="N97" s="121"/>
      <c r="T97" s="4"/>
    </row>
    <row r="98" spans="1:20" x14ac:dyDescent="0.25">
      <c r="A98" s="31"/>
      <c r="B98" s="1"/>
      <c r="N98" s="121"/>
      <c r="T98" s="4"/>
    </row>
    <row r="99" spans="1:20" x14ac:dyDescent="0.25">
      <c r="A99" s="31"/>
      <c r="B99" s="1"/>
      <c r="N99" s="121"/>
      <c r="T99" s="4"/>
    </row>
    <row r="100" spans="1:20" x14ac:dyDescent="0.25">
      <c r="A100" s="31"/>
      <c r="B100" s="1"/>
      <c r="N100" s="121"/>
      <c r="T100" s="4"/>
    </row>
    <row r="101" spans="1:20" x14ac:dyDescent="0.25">
      <c r="A101" s="31"/>
      <c r="B101" s="1"/>
      <c r="N101" s="121"/>
    </row>
    <row r="102" spans="1:20" ht="12.6" customHeight="1" x14ac:dyDescent="0.25">
      <c r="A102" s="31"/>
      <c r="B102" s="1"/>
      <c r="N102" s="121"/>
      <c r="T102" s="4"/>
    </row>
    <row r="103" spans="1:20" x14ac:dyDescent="0.25">
      <c r="A103" s="31"/>
      <c r="B103" s="1"/>
      <c r="N103" s="121"/>
      <c r="T103" s="4"/>
    </row>
    <row r="104" spans="1:20" x14ac:dyDescent="0.25">
      <c r="A104" s="31"/>
      <c r="B104" s="1"/>
      <c r="N104" s="121"/>
      <c r="T104" s="4"/>
    </row>
    <row r="105" spans="1:20" x14ac:dyDescent="0.25">
      <c r="A105" s="31"/>
      <c r="B105" s="1"/>
      <c r="N105" s="121"/>
      <c r="T105" s="4"/>
    </row>
    <row r="106" spans="1:20" x14ac:dyDescent="0.25">
      <c r="A106" s="31"/>
      <c r="B106" s="1"/>
      <c r="N106" s="121"/>
      <c r="T106" s="4"/>
    </row>
    <row r="107" spans="1:20" x14ac:dyDescent="0.25">
      <c r="A107" s="31"/>
      <c r="B107" s="1"/>
      <c r="N107" s="121"/>
    </row>
    <row r="108" spans="1:20" ht="12.6" customHeight="1" x14ac:dyDescent="0.25">
      <c r="A108" s="31"/>
      <c r="B108" s="1"/>
      <c r="N108" s="121"/>
      <c r="T108" s="4"/>
    </row>
    <row r="109" spans="1:20" x14ac:dyDescent="0.25">
      <c r="A109" s="31"/>
      <c r="B109" s="1"/>
      <c r="N109" s="121"/>
      <c r="T109" s="4"/>
    </row>
    <row r="110" spans="1:20" x14ac:dyDescent="0.25">
      <c r="A110" s="31"/>
      <c r="B110" s="1"/>
      <c r="N110" s="121"/>
      <c r="T110" s="4"/>
    </row>
    <row r="111" spans="1:20" x14ac:dyDescent="0.25">
      <c r="A111" s="31"/>
      <c r="B111" s="1"/>
      <c r="N111" s="121"/>
      <c r="T111" s="4"/>
    </row>
    <row r="112" spans="1:20" x14ac:dyDescent="0.25">
      <c r="A112" s="31"/>
      <c r="B112" s="1"/>
      <c r="N112" s="121"/>
      <c r="T112" s="4"/>
    </row>
    <row r="113" spans="1:20" x14ac:dyDescent="0.25">
      <c r="A113" s="31"/>
      <c r="B113" s="1"/>
      <c r="N113" s="121"/>
    </row>
    <row r="114" spans="1:20" ht="12.6" customHeight="1" x14ac:dyDescent="0.25">
      <c r="A114" s="31"/>
      <c r="B114" s="1"/>
      <c r="N114" s="121"/>
      <c r="T114" s="4"/>
    </row>
    <row r="115" spans="1:20" x14ac:dyDescent="0.25">
      <c r="A115" s="31"/>
      <c r="B115" s="1"/>
      <c r="N115" s="121"/>
      <c r="T115" s="4"/>
    </row>
    <row r="116" spans="1:20" x14ac:dyDescent="0.25">
      <c r="A116" s="31"/>
      <c r="B116" s="1"/>
      <c r="N116" s="121"/>
      <c r="T116" s="4"/>
    </row>
    <row r="117" spans="1:20" x14ac:dyDescent="0.25">
      <c r="A117" s="31"/>
      <c r="B117" s="1"/>
      <c r="N117" s="121"/>
      <c r="T117" s="4"/>
    </row>
    <row r="118" spans="1:20" x14ac:dyDescent="0.25">
      <c r="A118" s="31"/>
      <c r="B118" s="1"/>
      <c r="N118" s="121"/>
      <c r="T118" s="4"/>
    </row>
  </sheetData>
  <phoneticPr fontId="8" type="noConversion"/>
  <printOptions horizontalCentered="1"/>
  <pageMargins left="0.7" right="0.7" top="0.75" bottom="0.75" header="0.3" footer="0.3"/>
  <pageSetup scale="56" fitToHeight="3" orientation="landscape" r:id="rId1"/>
  <headerFooter>
    <oddHeader>&amp;R&amp;"Arial,Bold"&amp;10Exhibit 3
Page &amp;P of &amp;N</oddHeader>
  </headerFooter>
  <rowBreaks count="1" manualBreakCount="1">
    <brk id="56" max="17" man="1"/>
  </rowBreaks>
  <ignoredErrors>
    <ignoredError sqref="M10:N10 N22 N35 N48 N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50"/>
  <sheetViews>
    <sheetView topLeftCell="A28" zoomScale="85" zoomScaleNormal="85" workbookViewId="0">
      <selection activeCell="Q9" sqref="Q9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2" customWidth="1"/>
    <col min="4" max="4" width="30.33203125" style="12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LICKING VALLEY RECC</v>
      </c>
      <c r="G1" s="142" t="s">
        <v>83</v>
      </c>
    </row>
    <row r="2" spans="1:10" x14ac:dyDescent="0.25">
      <c r="A2" s="1" t="s">
        <v>81</v>
      </c>
    </row>
    <row r="4" spans="1:10" x14ac:dyDescent="0.25">
      <c r="C4" s="65" t="s">
        <v>62</v>
      </c>
      <c r="D4" s="64"/>
      <c r="E4" s="64" t="s">
        <v>2</v>
      </c>
      <c r="F4" s="68" t="s">
        <v>48</v>
      </c>
      <c r="G4" s="68" t="s">
        <v>49</v>
      </c>
    </row>
    <row r="5" spans="1:10" x14ac:dyDescent="0.25">
      <c r="C5" s="12" t="str">
        <f>'Billing Detail'!C7</f>
        <v>A</v>
      </c>
      <c r="D5" s="93" t="str">
        <f>'Billing Detail'!B7</f>
        <v>Schedule A - Residential, Farm, Hall &amp; Church Service</v>
      </c>
    </row>
    <row r="6" spans="1:10" x14ac:dyDescent="0.25">
      <c r="D6" s="93"/>
      <c r="E6" s="2" t="str">
        <f>'Billing Detail'!D8</f>
        <v>Customer Charge</v>
      </c>
      <c r="F6" s="138">
        <f>'Billing Detail'!H8</f>
        <v>16</v>
      </c>
      <c r="G6" s="143">
        <f>'Billing Detail'!L8</f>
        <v>16.53</v>
      </c>
      <c r="J6" s="4">
        <f>G6/F6-1</f>
        <v>3.3125000000000071E-2</v>
      </c>
    </row>
    <row r="7" spans="1:10" x14ac:dyDescent="0.25">
      <c r="D7" s="93"/>
      <c r="E7" s="2" t="str">
        <f>'Billing Detail'!D9</f>
        <v>Energy Charge per kWh</v>
      </c>
      <c r="F7" s="76">
        <f>'Billing Detail'!H9</f>
        <v>9.2587000000000003E-2</v>
      </c>
      <c r="G7" s="76">
        <f>'Billing Detail'!L9</f>
        <v>9.5682000000000003E-2</v>
      </c>
      <c r="J7" s="4">
        <f t="shared" ref="J7:J28" si="0">G7/F7-1</f>
        <v>3.3428019052350821E-2</v>
      </c>
    </row>
    <row r="8" spans="1:10" x14ac:dyDescent="0.25">
      <c r="C8" s="12" t="str">
        <f>'Billing Detail'!C19</f>
        <v>B</v>
      </c>
      <c r="D8" s="93" t="str">
        <f>'Billing Detail'!B19</f>
        <v>Schedule B - Commercial and Small Power Service</v>
      </c>
      <c r="F8" s="66"/>
      <c r="G8" s="66"/>
      <c r="J8" s="4"/>
    </row>
    <row r="9" spans="1:10" x14ac:dyDescent="0.25">
      <c r="D9" s="93"/>
      <c r="E9" s="2" t="str">
        <f>'Billing Detail'!D20</f>
        <v>Customer Charge</v>
      </c>
      <c r="F9" s="66">
        <f>'Billing Detail'!H20</f>
        <v>28.75</v>
      </c>
      <c r="G9" s="66">
        <f>'Billing Detail'!L20</f>
        <v>29.71</v>
      </c>
      <c r="J9" s="4">
        <f t="shared" si="0"/>
        <v>3.3391304347826223E-2</v>
      </c>
    </row>
    <row r="10" spans="1:10" x14ac:dyDescent="0.25">
      <c r="D10" s="93"/>
      <c r="E10" s="2" t="str">
        <f>'Billing Detail'!D21</f>
        <v>Energy Charge per kWh</v>
      </c>
      <c r="F10" s="67">
        <f>'Billing Detail'!H21</f>
        <v>7.8850000000000003E-2</v>
      </c>
      <c r="G10" s="76">
        <f>'Billing Detail'!L21</f>
        <v>8.1486000000000003E-2</v>
      </c>
      <c r="J10" s="4">
        <f t="shared" si="0"/>
        <v>3.3430564362713966E-2</v>
      </c>
    </row>
    <row r="11" spans="1:10" x14ac:dyDescent="0.25">
      <c r="C11" s="12" t="str">
        <f>'Billing Detail'!C31</f>
        <v xml:space="preserve">LP </v>
      </c>
      <c r="D11" s="93" t="str">
        <f>'Billing Detail'!B31</f>
        <v>Large Power Service</v>
      </c>
      <c r="F11" s="67"/>
      <c r="G11" s="67"/>
      <c r="J11" s="4"/>
    </row>
    <row r="12" spans="1:10" x14ac:dyDescent="0.25">
      <c r="D12" s="93"/>
      <c r="E12" s="2" t="str">
        <f>'Billing Detail'!D32</f>
        <v>Customer Charge</v>
      </c>
      <c r="F12" s="66">
        <f>'Billing Detail'!H32</f>
        <v>71.55</v>
      </c>
      <c r="G12" s="66">
        <f>'Billing Detail'!L32</f>
        <v>73.94</v>
      </c>
      <c r="J12" s="4">
        <f t="shared" si="0"/>
        <v>3.3403214535290049E-2</v>
      </c>
    </row>
    <row r="13" spans="1:10" x14ac:dyDescent="0.25">
      <c r="D13" s="93"/>
      <c r="E13" s="2" t="str">
        <f>'Billing Detail'!D33</f>
        <v>Energy Charge per kWh</v>
      </c>
      <c r="F13" s="76">
        <f>'Billing Detail'!H33</f>
        <v>6.4737000000000003E-2</v>
      </c>
      <c r="G13" s="76">
        <f>'Billing Detail'!L33</f>
        <v>6.6901000000000002E-2</v>
      </c>
      <c r="J13" s="4">
        <f t="shared" si="0"/>
        <v>3.3427560745786788E-2</v>
      </c>
    </row>
    <row r="14" spans="1:10" x14ac:dyDescent="0.25">
      <c r="D14" s="93"/>
      <c r="E14" s="2" t="str">
        <f>'Billing Detail'!D34</f>
        <v>Demand Charge per kW</v>
      </c>
      <c r="F14" s="77">
        <f>'Billing Detail'!H34</f>
        <v>7.36</v>
      </c>
      <c r="G14" s="77">
        <f>'Billing Detail'!L34</f>
        <v>7.61</v>
      </c>
      <c r="J14" s="4">
        <f t="shared" si="0"/>
        <v>3.3967391304347894E-2</v>
      </c>
    </row>
    <row r="15" spans="1:10" x14ac:dyDescent="0.25">
      <c r="C15" s="12" t="str">
        <f>'Billing Detail'!C44</f>
        <v>LPR</v>
      </c>
      <c r="D15" s="93" t="str">
        <f>'Billing Detail'!B44</f>
        <v xml:space="preserve">Large Power Rate </v>
      </c>
      <c r="F15" s="66"/>
      <c r="G15" s="66"/>
      <c r="J15" s="4"/>
    </row>
    <row r="16" spans="1:10" x14ac:dyDescent="0.25">
      <c r="D16" s="93"/>
      <c r="E16" s="2" t="str">
        <f>'Billing Detail'!D45</f>
        <v>Customer Charge</v>
      </c>
      <c r="F16" s="66">
        <f>'Billing Detail'!H45</f>
        <v>110</v>
      </c>
      <c r="G16" s="66">
        <f>'Billing Detail'!L45</f>
        <v>113.68</v>
      </c>
      <c r="J16" s="4">
        <f t="shared" si="0"/>
        <v>3.3454545454545626E-2</v>
      </c>
    </row>
    <row r="17" spans="3:10" x14ac:dyDescent="0.25">
      <c r="D17" s="93"/>
      <c r="E17" s="2" t="str">
        <f>'Billing Detail'!D46</f>
        <v>Energy Charge per kWh</v>
      </c>
      <c r="F17" s="76">
        <f>'Billing Detail'!H46</f>
        <v>5.6288999999999999E-2</v>
      </c>
      <c r="G17" s="76">
        <f>'Billing Detail'!L46</f>
        <v>5.8171E-2</v>
      </c>
      <c r="J17" s="4">
        <f t="shared" si="0"/>
        <v>3.34345964575673E-2</v>
      </c>
    </row>
    <row r="18" spans="3:10" x14ac:dyDescent="0.25">
      <c r="D18" s="93"/>
      <c r="E18" s="2" t="str">
        <f>'Billing Detail'!D47</f>
        <v>Demand Charge per kW</v>
      </c>
      <c r="F18" s="66">
        <f>'Billing Detail'!H47</f>
        <v>6.91</v>
      </c>
      <c r="G18" s="66">
        <f>'Billing Detail'!L47</f>
        <v>7.14</v>
      </c>
      <c r="J18" s="4">
        <f t="shared" si="0"/>
        <v>3.3285094066570098E-2</v>
      </c>
    </row>
    <row r="19" spans="3:10" x14ac:dyDescent="0.25">
      <c r="C19" s="12" t="str">
        <f>'Billing Detail'!C57</f>
        <v>SL</v>
      </c>
      <c r="D19" s="93" t="str">
        <f>'Billing Detail'!B57</f>
        <v>Lighting</v>
      </c>
      <c r="F19" s="66"/>
      <c r="G19" s="66"/>
      <c r="J19" s="4"/>
    </row>
    <row r="20" spans="3:10" x14ac:dyDescent="0.25">
      <c r="D20" s="93"/>
      <c r="E20" s="2" t="str">
        <f>'Billing Detail'!D58</f>
        <v>25ft Wood Pole</v>
      </c>
      <c r="F20" s="66">
        <f>'Billing Detail'!H58</f>
        <v>3.06</v>
      </c>
      <c r="G20" s="66">
        <f>'Billing Detail'!L58</f>
        <v>3.16</v>
      </c>
      <c r="J20" s="4">
        <f t="shared" si="0"/>
        <v>3.2679738562091609E-2</v>
      </c>
    </row>
    <row r="21" spans="3:10" x14ac:dyDescent="0.25">
      <c r="D21" s="2"/>
      <c r="E21" s="2" t="str">
        <f>'Billing Detail'!D59</f>
        <v>30ft Wood Pole</v>
      </c>
      <c r="F21" s="66">
        <f>'Billing Detail'!H59</f>
        <v>3.54</v>
      </c>
      <c r="G21" s="66">
        <f>'Billing Detail'!L59</f>
        <v>3.66</v>
      </c>
      <c r="J21" s="4">
        <f t="shared" si="0"/>
        <v>3.3898305084745894E-2</v>
      </c>
    </row>
    <row r="22" spans="3:10" x14ac:dyDescent="0.25">
      <c r="D22" s="2"/>
      <c r="E22" s="2" t="str">
        <f>'Billing Detail'!D60</f>
        <v>175 Watt MV</v>
      </c>
      <c r="F22" s="66">
        <f>'Billing Detail'!H60</f>
        <v>10.24</v>
      </c>
      <c r="G22" s="66">
        <f>'Billing Detail'!L60</f>
        <v>10.58</v>
      </c>
      <c r="J22" s="4">
        <f t="shared" si="0"/>
        <v>3.3203125E-2</v>
      </c>
    </row>
    <row r="23" spans="3:10" x14ac:dyDescent="0.25">
      <c r="D23" s="2"/>
      <c r="E23" s="2" t="str">
        <f>'Billing Detail'!D61</f>
        <v>100 Watt Metal Halide</v>
      </c>
      <c r="F23" s="66">
        <f>'Billing Detail'!H61</f>
        <v>10.37</v>
      </c>
      <c r="G23" s="66">
        <f>'Billing Detail'!L61</f>
        <v>10.72</v>
      </c>
      <c r="J23" s="4">
        <f t="shared" si="0"/>
        <v>3.3751205400192941E-2</v>
      </c>
    </row>
    <row r="24" spans="3:10" x14ac:dyDescent="0.25">
      <c r="D24" s="2"/>
      <c r="E24" s="2" t="str">
        <f>'Billing Detail'!D62</f>
        <v>250 Watt Metal Halide</v>
      </c>
      <c r="F24" s="66">
        <f>'Billing Detail'!H62</f>
        <v>15.85</v>
      </c>
      <c r="G24" s="66">
        <f>'Billing Detail'!L62</f>
        <v>16.38</v>
      </c>
      <c r="J24" s="4">
        <f t="shared" si="0"/>
        <v>3.3438485804416329E-2</v>
      </c>
    </row>
    <row r="25" spans="3:10" x14ac:dyDescent="0.25">
      <c r="D25" s="2"/>
      <c r="E25" s="2" t="str">
        <f>'Billing Detail'!D63</f>
        <v>400 Watt Metal Halide</v>
      </c>
      <c r="F25" s="66">
        <f>'Billing Detail'!H63</f>
        <v>21.78</v>
      </c>
      <c r="G25" s="66">
        <f>'Billing Detail'!L63</f>
        <v>22.51</v>
      </c>
      <c r="J25" s="4">
        <f t="shared" si="0"/>
        <v>3.3516988062442632E-2</v>
      </c>
    </row>
    <row r="26" spans="3:10" x14ac:dyDescent="0.25">
      <c r="D26" s="2"/>
      <c r="E26" s="2" t="str">
        <f>'Billing Detail'!D64</f>
        <v>68 Watt LED</v>
      </c>
      <c r="F26" s="66">
        <f>'Billing Detail'!H64</f>
        <v>9.2899999999999991</v>
      </c>
      <c r="G26" s="66">
        <f>'Billing Detail'!L64</f>
        <v>9.6</v>
      </c>
      <c r="J26" s="4">
        <f t="shared" si="0"/>
        <v>3.3369214208826659E-2</v>
      </c>
    </row>
    <row r="27" spans="3:10" x14ac:dyDescent="0.25">
      <c r="D27" s="2"/>
      <c r="E27" s="2" t="str">
        <f>'Billing Detail'!D65</f>
        <v>108 Watt LED</v>
      </c>
      <c r="F27" s="66">
        <f>'Billing Detail'!H65</f>
        <v>11.12</v>
      </c>
      <c r="G27" s="66">
        <f>'Billing Detail'!L65</f>
        <v>11.49</v>
      </c>
      <c r="J27" s="4">
        <f t="shared" si="0"/>
        <v>3.3273381294964155E-2</v>
      </c>
    </row>
    <row r="28" spans="3:10" x14ac:dyDescent="0.25">
      <c r="D28" s="2"/>
      <c r="E28" s="2" t="str">
        <f>'Billing Detail'!D66</f>
        <v>202 Watt LED</v>
      </c>
      <c r="F28" s="66">
        <f>'Billing Detail'!H66</f>
        <v>17.5</v>
      </c>
      <c r="G28" s="66">
        <f>'Billing Detail'!L66</f>
        <v>18.09</v>
      </c>
      <c r="J28" s="4">
        <f t="shared" si="0"/>
        <v>3.3714285714285808E-2</v>
      </c>
    </row>
    <row r="29" spans="3:10" x14ac:dyDescent="0.25">
      <c r="F29" s="66"/>
      <c r="G29" s="66"/>
    </row>
    <row r="30" spans="3:10" x14ac:dyDescent="0.25">
      <c r="F30" s="66"/>
      <c r="G30" s="66"/>
    </row>
    <row r="31" spans="3:10" x14ac:dyDescent="0.25">
      <c r="F31" s="66"/>
      <c r="G31" s="66"/>
    </row>
    <row r="32" spans="3:10" ht="41.4" customHeight="1" x14ac:dyDescent="0.25">
      <c r="C32" s="139" t="s">
        <v>53</v>
      </c>
      <c r="D32" s="139"/>
      <c r="E32" s="139"/>
      <c r="F32" s="139"/>
      <c r="G32" s="139"/>
    </row>
    <row r="33" spans="3:8" x14ac:dyDescent="0.25">
      <c r="D33" s="2"/>
      <c r="F33" s="140" t="s">
        <v>54</v>
      </c>
      <c r="G33" s="140"/>
    </row>
    <row r="34" spans="3:8" x14ac:dyDescent="0.25">
      <c r="C34" s="89" t="s">
        <v>55</v>
      </c>
      <c r="D34" s="78"/>
      <c r="E34" s="79"/>
      <c r="F34" s="80" t="s">
        <v>56</v>
      </c>
      <c r="G34" s="80" t="s">
        <v>57</v>
      </c>
    </row>
    <row r="35" spans="3:8" x14ac:dyDescent="0.25">
      <c r="C35" s="90" t="str">
        <f>Summary!C8</f>
        <v>A</v>
      </c>
      <c r="D35" s="3" t="str">
        <f>Summary!B8</f>
        <v>Schedule A - Residential, Farm, Hall &amp; Church Service</v>
      </c>
      <c r="F35" s="81">
        <f>Summary!L8</f>
        <v>679939.87795999972</v>
      </c>
      <c r="G35" s="82">
        <f>Summary!N8</f>
        <v>3.1213432195547355E-2</v>
      </c>
    </row>
    <row r="36" spans="3:8" x14ac:dyDescent="0.25">
      <c r="C36" s="90" t="str">
        <f>Summary!C9</f>
        <v>B</v>
      </c>
      <c r="D36" s="3" t="str">
        <f>Summary!B9</f>
        <v>Schedule B - Commercial and Small Power Service</v>
      </c>
      <c r="F36" s="81">
        <f>Summary!L9</f>
        <v>36179.599199999997</v>
      </c>
      <c r="G36" s="82">
        <f>Summary!N9</f>
        <v>3.2932338499415403E-2</v>
      </c>
      <c r="H36" s="1"/>
    </row>
    <row r="37" spans="3:8" x14ac:dyDescent="0.25">
      <c r="C37" s="90" t="str">
        <f>Summary!C10</f>
        <v xml:space="preserve">LP </v>
      </c>
      <c r="D37" s="3" t="str">
        <f>Summary!B10</f>
        <v>Large Power Service</v>
      </c>
      <c r="F37" s="81">
        <f>Summary!L10</f>
        <v>107278.77869999979</v>
      </c>
      <c r="G37" s="82">
        <f>Summary!N10</f>
        <v>3.1448397327991866E-2</v>
      </c>
      <c r="H37" s="1"/>
    </row>
    <row r="38" spans="3:8" x14ac:dyDescent="0.25">
      <c r="C38" s="90" t="str">
        <f>Summary!C11</f>
        <v>LPR</v>
      </c>
      <c r="D38" s="3" t="str">
        <f>Summary!B11</f>
        <v xml:space="preserve">Large Power Rate </v>
      </c>
      <c r="F38" s="81">
        <f>Summary!L11</f>
        <v>26156.751116000079</v>
      </c>
      <c r="G38" s="82">
        <f>Summary!N11</f>
        <v>3.2992984982625519E-2</v>
      </c>
      <c r="H38" s="1"/>
    </row>
    <row r="39" spans="3:8" x14ac:dyDescent="0.25">
      <c r="C39" s="90" t="str">
        <f>Summary!C12</f>
        <v>SL</v>
      </c>
      <c r="D39" s="3" t="str">
        <f>Summary!B12</f>
        <v>Lighting</v>
      </c>
      <c r="F39" s="81">
        <f>Summary!L12</f>
        <v>33914.610000000219</v>
      </c>
      <c r="G39" s="82">
        <f>Summary!N12</f>
        <v>3.3314657002728329E-2</v>
      </c>
      <c r="H39" s="1"/>
    </row>
    <row r="40" spans="3:8" x14ac:dyDescent="0.25">
      <c r="C40" s="94" t="s">
        <v>58</v>
      </c>
      <c r="D40" s="83"/>
      <c r="E40" s="83"/>
      <c r="F40" s="84">
        <f>Summary!L24</f>
        <v>883469.61697600037</v>
      </c>
      <c r="G40" s="85">
        <f>Summary!N24</f>
        <v>3.1435456173075312E-2</v>
      </c>
    </row>
    <row r="41" spans="3:8" x14ac:dyDescent="0.25">
      <c r="C41" s="90"/>
      <c r="D41" s="2"/>
      <c r="F41" s="86"/>
      <c r="G41" s="87"/>
    </row>
    <row r="42" spans="3:8" x14ac:dyDescent="0.25">
      <c r="D42" s="2"/>
    </row>
    <row r="43" spans="3:8" ht="40.200000000000003" customHeight="1" x14ac:dyDescent="0.25">
      <c r="C43" s="139" t="s">
        <v>59</v>
      </c>
      <c r="D43" s="139"/>
      <c r="E43" s="139"/>
      <c r="F43" s="139"/>
      <c r="G43" s="139"/>
      <c r="H43" s="139"/>
    </row>
    <row r="44" spans="3:8" x14ac:dyDescent="0.25">
      <c r="D44" s="2"/>
      <c r="E44" s="88" t="s">
        <v>18</v>
      </c>
      <c r="F44" s="140" t="s">
        <v>54</v>
      </c>
      <c r="G44" s="140"/>
    </row>
    <row r="45" spans="3:8" x14ac:dyDescent="0.25">
      <c r="C45" s="89" t="s">
        <v>55</v>
      </c>
      <c r="D45" s="79"/>
      <c r="E45" s="89" t="s">
        <v>60</v>
      </c>
      <c r="F45" s="80" t="s">
        <v>56</v>
      </c>
      <c r="G45" s="80" t="s">
        <v>57</v>
      </c>
    </row>
    <row r="46" spans="3:8" x14ac:dyDescent="0.25">
      <c r="C46" s="12" t="str">
        <f>Summary!C8</f>
        <v>A</v>
      </c>
      <c r="D46" s="98" t="str">
        <f>Summary!B8</f>
        <v>Schedule A - Residential, Farm, Hall &amp; Church Service</v>
      </c>
      <c r="E46" s="91">
        <f>'Billing Detail'!E17</f>
        <v>968.59243117600056</v>
      </c>
      <c r="F46" s="66">
        <f>'Billing Detail'!N17</f>
        <v>3.5277935744897206</v>
      </c>
      <c r="G46" s="4">
        <f>Summary!N8</f>
        <v>3.1213432195547355E-2</v>
      </c>
    </row>
    <row r="47" spans="3:8" x14ac:dyDescent="0.25">
      <c r="C47" s="12" t="str">
        <f>Summary!C9</f>
        <v>B</v>
      </c>
      <c r="D47" s="98" t="str">
        <f>Summary!B9</f>
        <v>Schedule B - Commercial and Small Power Service</v>
      </c>
      <c r="E47" s="92">
        <f>'Billing Detail'!E29</f>
        <v>960.63706563706569</v>
      </c>
      <c r="F47" s="66">
        <f>'Billing Detail'!N29</f>
        <v>3.4922393050192966</v>
      </c>
      <c r="G47" s="4">
        <f>Summary!N9</f>
        <v>3.2932338499415403E-2</v>
      </c>
    </row>
    <row r="48" spans="3:8" x14ac:dyDescent="0.25">
      <c r="C48" s="12" t="str">
        <f>Summary!C10</f>
        <v xml:space="preserve">LP </v>
      </c>
      <c r="D48" s="98" t="str">
        <f>Summary!B10</f>
        <v>Large Power Service</v>
      </c>
      <c r="E48" s="91">
        <f>'Billing Detail'!E42</f>
        <v>12054.586442271531</v>
      </c>
      <c r="F48" s="66">
        <f>'Billing Detail'!N42</f>
        <v>40.345535426852166</v>
      </c>
      <c r="G48" s="4">
        <f>Summary!N10</f>
        <v>3.1448397327991866E-2</v>
      </c>
    </row>
    <row r="49" spans="3:7" x14ac:dyDescent="0.25">
      <c r="C49" s="12" t="str">
        <f>Summary!C11</f>
        <v>LPR</v>
      </c>
      <c r="D49" s="98" t="str">
        <f>Summary!B11</f>
        <v xml:space="preserve">Large Power Rate </v>
      </c>
      <c r="E49" s="91">
        <f>'Billing Detail'!E55</f>
        <v>453.19612244897962</v>
      </c>
      <c r="F49" s="66">
        <f>'Billing Detail'!N55</f>
        <v>533.8112472653047</v>
      </c>
      <c r="G49" s="4">
        <f>Summary!N11</f>
        <v>3.2992984982625519E-2</v>
      </c>
    </row>
    <row r="50" spans="3:7" x14ac:dyDescent="0.25">
      <c r="C50" s="12" t="str">
        <f>Summary!C12</f>
        <v>SL</v>
      </c>
      <c r="D50" s="98" t="str">
        <f>Summary!B12</f>
        <v>Lighting</v>
      </c>
      <c r="E50" s="96" t="s">
        <v>61</v>
      </c>
      <c r="F50" s="95" t="s">
        <v>61</v>
      </c>
      <c r="G50" s="4">
        <f>Summary!N12</f>
        <v>3.3314657002728329E-2</v>
      </c>
    </row>
  </sheetData>
  <mergeCells count="4">
    <mergeCell ref="C32:G32"/>
    <mergeCell ref="F33:G33"/>
    <mergeCell ref="C43:H43"/>
    <mergeCell ref="F44:G44"/>
  </mergeCells>
  <printOptions horizontalCentered="1"/>
  <pageMargins left="0.7" right="0.7" top="0.75" bottom="0.75" header="0.3" footer="0.3"/>
  <pageSetup paperSize="9" scale="85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2021-05-24T00:53:30Z</cp:lastPrinted>
  <dcterms:created xsi:type="dcterms:W3CDTF">2021-02-09T02:13:44Z</dcterms:created>
  <dcterms:modified xsi:type="dcterms:W3CDTF">2021-07-27T13:32:09Z</dcterms:modified>
</cp:coreProperties>
</file>