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Inter-County\Analysis\"/>
    </mc:Choice>
  </mc:AlternateContent>
  <xr:revisionPtr revIDLastSave="0" documentId="13_ncr:1_{873EB8E7-B630-4918-84F4-07714FAB5298}" xr6:coauthVersionLast="47" xr6:coauthVersionMax="47" xr10:uidLastSave="{00000000-0000-0000-0000-000000000000}"/>
  <bookViews>
    <workbookView xWindow="-108" yWindow="-108" windowWidth="23256" windowHeight="12576" activeTab="1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Detail'!$A$1:$R$175</definedName>
    <definedName name="_xlnm.Print_Area" localSheetId="2">'Notice Table'!$A$1:$G$67</definedName>
    <definedName name="_xlnm.Print_Area" localSheetId="0">Summary!$A$1:$O$31</definedName>
    <definedName name="_xlnm.Print_Titles" localSheetId="1">'Billing Detail'!$1:$5</definedName>
    <definedName name="_xlnm.Print_Titles" localSheetId="2">'Notice Table'!$1:$4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2" i="1" l="1"/>
  <c r="M182" i="1"/>
  <c r="O184" i="1"/>
  <c r="O183" i="1"/>
  <c r="L173" i="1"/>
  <c r="L171" i="1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32" i="3"/>
  <c r="I98" i="1" l="1"/>
  <c r="I84" i="1"/>
  <c r="I73" i="1"/>
  <c r="I61" i="1"/>
  <c r="I48" i="1"/>
  <c r="I35" i="1"/>
  <c r="I23" i="1"/>
  <c r="I125" i="1"/>
  <c r="G125" i="1"/>
  <c r="I124" i="1"/>
  <c r="G124" i="1"/>
  <c r="I123" i="1"/>
  <c r="G123" i="1"/>
  <c r="I122" i="1"/>
  <c r="G122" i="1"/>
  <c r="I121" i="1"/>
  <c r="G121" i="1"/>
  <c r="E28" i="3" l="1"/>
  <c r="F28" i="3"/>
  <c r="E29" i="3"/>
  <c r="F29" i="3"/>
  <c r="E30" i="3"/>
  <c r="F30" i="3"/>
  <c r="E25" i="3"/>
  <c r="F25" i="3"/>
  <c r="F24" i="3"/>
  <c r="E24" i="3"/>
  <c r="E21" i="3"/>
  <c r="F21" i="3"/>
  <c r="E22" i="3"/>
  <c r="F22" i="3"/>
  <c r="E17" i="3"/>
  <c r="F17" i="3"/>
  <c r="E18" i="3"/>
  <c r="F18" i="3"/>
  <c r="F16" i="3"/>
  <c r="E16" i="3"/>
  <c r="E66" i="3"/>
  <c r="F66" i="3"/>
  <c r="E67" i="3"/>
  <c r="F67" i="3"/>
  <c r="F65" i="3"/>
  <c r="E65" i="3"/>
  <c r="D64" i="3"/>
  <c r="C64" i="3"/>
  <c r="E79" i="1"/>
  <c r="E95" i="3" s="1"/>
  <c r="A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N140" i="1"/>
  <c r="G140" i="1"/>
  <c r="F8" i="3"/>
  <c r="G8" i="3" s="1"/>
  <c r="J8" i="3" s="1"/>
  <c r="G13" i="1"/>
  <c r="G12" i="1"/>
  <c r="G138" i="1" s="1"/>
  <c r="G11" i="1"/>
  <c r="E9" i="1"/>
  <c r="E8" i="1"/>
  <c r="H82" i="1"/>
  <c r="H32" i="1"/>
  <c r="H21" i="1"/>
  <c r="H20" i="1"/>
  <c r="F33" i="1"/>
  <c r="E29" i="1"/>
  <c r="F95" i="1"/>
  <c r="F94" i="1"/>
  <c r="G94" i="1" s="1"/>
  <c r="F93" i="1"/>
  <c r="F70" i="1"/>
  <c r="F58" i="1"/>
  <c r="G58" i="1" s="1"/>
  <c r="F57" i="1"/>
  <c r="F45" i="1"/>
  <c r="G45" i="1" s="1"/>
  <c r="F44" i="1"/>
  <c r="F96" i="1"/>
  <c r="F71" i="1"/>
  <c r="F59" i="1"/>
  <c r="F46" i="1"/>
  <c r="F9" i="1"/>
  <c r="F21" i="1" s="1"/>
  <c r="F8" i="1"/>
  <c r="F20" i="1" s="1"/>
  <c r="I94" i="1"/>
  <c r="I58" i="1"/>
  <c r="I45" i="1"/>
  <c r="G110" i="1"/>
  <c r="I110" i="1"/>
  <c r="G111" i="1"/>
  <c r="I111" i="1"/>
  <c r="G112" i="1"/>
  <c r="I112" i="1"/>
  <c r="G113" i="1"/>
  <c r="I113" i="1"/>
  <c r="G114" i="1"/>
  <c r="I114" i="1"/>
  <c r="G115" i="1"/>
  <c r="I115" i="1"/>
  <c r="G116" i="1"/>
  <c r="I116" i="1"/>
  <c r="G117" i="1"/>
  <c r="I117" i="1"/>
  <c r="G118" i="1"/>
  <c r="I118" i="1"/>
  <c r="G119" i="1"/>
  <c r="I119" i="1"/>
  <c r="G120" i="1"/>
  <c r="I120" i="1"/>
  <c r="G137" i="1" l="1"/>
  <c r="I11" i="1"/>
  <c r="F82" i="1"/>
  <c r="F32" i="1"/>
  <c r="E62" i="3" l="1"/>
  <c r="F62" i="3"/>
  <c r="E63" i="3"/>
  <c r="F63" i="3"/>
  <c r="F61" i="3"/>
  <c r="E61" i="3"/>
  <c r="D60" i="3"/>
  <c r="C60" i="3"/>
  <c r="E58" i="3"/>
  <c r="F58" i="3"/>
  <c r="E59" i="3"/>
  <c r="F59" i="3"/>
  <c r="F57" i="3"/>
  <c r="E57" i="3"/>
  <c r="D56" i="3"/>
  <c r="C56" i="3"/>
  <c r="E54" i="3"/>
  <c r="F54" i="3"/>
  <c r="E55" i="3"/>
  <c r="F55" i="3"/>
  <c r="F53" i="3"/>
  <c r="E53" i="3"/>
  <c r="D52" i="3"/>
  <c r="C52" i="3"/>
  <c r="E49" i="3"/>
  <c r="F49" i="3"/>
  <c r="E50" i="3"/>
  <c r="F50" i="3"/>
  <c r="E51" i="3"/>
  <c r="F51" i="3"/>
  <c r="F48" i="3"/>
  <c r="E48" i="3"/>
  <c r="D47" i="3"/>
  <c r="C47" i="3"/>
  <c r="E44" i="3"/>
  <c r="F44" i="3"/>
  <c r="E45" i="3"/>
  <c r="F45" i="3"/>
  <c r="E46" i="3"/>
  <c r="F46" i="3"/>
  <c r="F43" i="3"/>
  <c r="E43" i="3"/>
  <c r="D42" i="3"/>
  <c r="C42" i="3"/>
  <c r="I70" i="1" l="1"/>
  <c r="G70" i="1"/>
  <c r="E104" i="1"/>
  <c r="E97" i="3" s="1"/>
  <c r="E96" i="3"/>
  <c r="E67" i="1"/>
  <c r="E94" i="3" s="1"/>
  <c r="E54" i="1"/>
  <c r="E93" i="3" s="1"/>
  <c r="E41" i="1"/>
  <c r="E92" i="3" s="1"/>
  <c r="E91" i="3"/>
  <c r="E17" i="1" l="1"/>
  <c r="E90" i="3" s="1"/>
  <c r="F32" i="3" l="1"/>
  <c r="C31" i="3"/>
  <c r="D31" i="3"/>
  <c r="F27" i="3"/>
  <c r="E27" i="3"/>
  <c r="C26" i="3"/>
  <c r="D26" i="3"/>
  <c r="C23" i="3"/>
  <c r="D23" i="3"/>
  <c r="F20" i="3"/>
  <c r="E20" i="3"/>
  <c r="C19" i="3"/>
  <c r="D19" i="3"/>
  <c r="C15" i="3"/>
  <c r="D15" i="3"/>
  <c r="E14" i="3"/>
  <c r="E13" i="3"/>
  <c r="C12" i="3"/>
  <c r="D12" i="3"/>
  <c r="E11" i="3"/>
  <c r="F11" i="3"/>
  <c r="F10" i="3"/>
  <c r="E10" i="3"/>
  <c r="C9" i="3"/>
  <c r="D9" i="3"/>
  <c r="E7" i="3"/>
  <c r="F7" i="3"/>
  <c r="F6" i="3"/>
  <c r="E6" i="3"/>
  <c r="C5" i="3"/>
  <c r="D5" i="3"/>
  <c r="F14" i="3" l="1"/>
  <c r="F13" i="3"/>
  <c r="H19" i="2"/>
  <c r="I137" i="1" l="1"/>
  <c r="A1" i="3"/>
  <c r="L29" i="2" l="1"/>
  <c r="G75" i="1" l="1"/>
  <c r="G139" i="1" s="1"/>
  <c r="C12" i="2" l="1"/>
  <c r="B12" i="2"/>
  <c r="C10" i="2"/>
  <c r="I95" i="1"/>
  <c r="G95" i="1"/>
  <c r="I71" i="1"/>
  <c r="G71" i="1"/>
  <c r="I59" i="1"/>
  <c r="G59" i="1"/>
  <c r="C94" i="3" l="1"/>
  <c r="C79" i="3"/>
  <c r="C92" i="3"/>
  <c r="C77" i="3"/>
  <c r="D94" i="3"/>
  <c r="D79" i="3"/>
  <c r="I46" i="1"/>
  <c r="G46" i="1"/>
  <c r="G65" i="1" l="1"/>
  <c r="I64" i="1"/>
  <c r="M64" i="1" s="1"/>
  <c r="I63" i="1"/>
  <c r="M63" i="1" s="1"/>
  <c r="N63" i="1" s="1"/>
  <c r="I62" i="1"/>
  <c r="M62" i="1" s="1"/>
  <c r="N62" i="1" s="1"/>
  <c r="M61" i="1"/>
  <c r="I57" i="1"/>
  <c r="G57" i="1"/>
  <c r="I33" i="1"/>
  <c r="G33" i="1"/>
  <c r="I21" i="1"/>
  <c r="G21" i="1"/>
  <c r="I60" i="1" l="1"/>
  <c r="J58" i="1" s="1"/>
  <c r="G60" i="1"/>
  <c r="N61" i="1"/>
  <c r="M65" i="1"/>
  <c r="I65" i="1"/>
  <c r="G66" i="1" l="1"/>
  <c r="G67" i="1" s="1"/>
  <c r="D12" i="2"/>
  <c r="E12" i="2"/>
  <c r="J59" i="1"/>
  <c r="I66" i="1"/>
  <c r="I67" i="1" s="1"/>
  <c r="J57" i="1"/>
  <c r="N65" i="1"/>
  <c r="O65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16" i="1" l="1"/>
  <c r="A117" i="1" s="1"/>
  <c r="A118" i="1" s="1"/>
  <c r="A119" i="1" s="1"/>
  <c r="A120" i="1" s="1"/>
  <c r="G12" i="2"/>
  <c r="J60" i="1"/>
  <c r="I51" i="1"/>
  <c r="M51" i="1" s="1"/>
  <c r="I50" i="1"/>
  <c r="M50" i="1" s="1"/>
  <c r="I49" i="1"/>
  <c r="M49" i="1" s="1"/>
  <c r="I101" i="1"/>
  <c r="M101" i="1" s="1"/>
  <c r="I99" i="1"/>
  <c r="M99" i="1" s="1"/>
  <c r="I87" i="1"/>
  <c r="M87" i="1" s="1"/>
  <c r="I86" i="1"/>
  <c r="I85" i="1"/>
  <c r="I76" i="1"/>
  <c r="M76" i="1" s="1"/>
  <c r="I75" i="1"/>
  <c r="I74" i="1"/>
  <c r="M74" i="1" s="1"/>
  <c r="I38" i="1"/>
  <c r="M38" i="1" s="1"/>
  <c r="I37" i="1"/>
  <c r="M37" i="1" s="1"/>
  <c r="I36" i="1"/>
  <c r="M36" i="1" s="1"/>
  <c r="I26" i="1"/>
  <c r="M26" i="1" s="1"/>
  <c r="I24" i="1"/>
  <c r="I14" i="1"/>
  <c r="I13" i="1"/>
  <c r="I12" i="1"/>
  <c r="B25" i="2"/>
  <c r="I138" i="1" l="1"/>
  <c r="I140" i="1"/>
  <c r="E25" i="2" s="1"/>
  <c r="M13" i="1"/>
  <c r="M12" i="1"/>
  <c r="M86" i="1"/>
  <c r="M14" i="1"/>
  <c r="M140" i="1" s="1"/>
  <c r="M85" i="1"/>
  <c r="M75" i="1"/>
  <c r="I39" i="1"/>
  <c r="M24" i="1"/>
  <c r="G27" i="1"/>
  <c r="G102" i="1"/>
  <c r="I25" i="1"/>
  <c r="M25" i="1" s="1"/>
  <c r="I100" i="1"/>
  <c r="G15" i="1"/>
  <c r="G52" i="1"/>
  <c r="D25" i="2"/>
  <c r="G88" i="1"/>
  <c r="G77" i="1"/>
  <c r="G39" i="1"/>
  <c r="I139" i="1" l="1"/>
  <c r="J25" i="2"/>
  <c r="I88" i="1"/>
  <c r="I15" i="1"/>
  <c r="I52" i="1"/>
  <c r="I77" i="1"/>
  <c r="I102" i="1"/>
  <c r="M100" i="1"/>
  <c r="I27" i="1"/>
  <c r="I109" i="1"/>
  <c r="G109" i="1"/>
  <c r="I108" i="1"/>
  <c r="G108" i="1"/>
  <c r="E24" i="2" l="1"/>
  <c r="E23" i="2"/>
  <c r="D24" i="2"/>
  <c r="D23" i="2"/>
  <c r="C9" i="2"/>
  <c r="C13" i="2"/>
  <c r="C14" i="2"/>
  <c r="C15" i="2"/>
  <c r="C11" i="2"/>
  <c r="C16" i="2"/>
  <c r="B16" i="2"/>
  <c r="B11" i="2"/>
  <c r="B15" i="2"/>
  <c r="B14" i="2"/>
  <c r="B13" i="2"/>
  <c r="B10" i="2"/>
  <c r="B9" i="2"/>
  <c r="C8" i="2"/>
  <c r="B8" i="2"/>
  <c r="N75" i="1"/>
  <c r="N74" i="1"/>
  <c r="M73" i="1"/>
  <c r="N37" i="1"/>
  <c r="N36" i="1"/>
  <c r="M35" i="1"/>
  <c r="I32" i="1"/>
  <c r="G32" i="1"/>
  <c r="N24" i="1"/>
  <c r="M23" i="1"/>
  <c r="I20" i="1"/>
  <c r="G20" i="1"/>
  <c r="N86" i="1"/>
  <c r="N85" i="1"/>
  <c r="M84" i="1"/>
  <c r="I82" i="1"/>
  <c r="G82" i="1"/>
  <c r="N100" i="1"/>
  <c r="N99" i="1"/>
  <c r="M98" i="1"/>
  <c r="I96" i="1"/>
  <c r="G96" i="1"/>
  <c r="I93" i="1"/>
  <c r="G93" i="1"/>
  <c r="N50" i="1"/>
  <c r="N49" i="1"/>
  <c r="M48" i="1"/>
  <c r="I44" i="1"/>
  <c r="G44" i="1"/>
  <c r="G47" i="1" s="1"/>
  <c r="C91" i="3" l="1"/>
  <c r="C76" i="3"/>
  <c r="C75" i="3"/>
  <c r="C90" i="3"/>
  <c r="D98" i="3"/>
  <c r="D83" i="3"/>
  <c r="C98" i="3"/>
  <c r="C83" i="3"/>
  <c r="D91" i="3"/>
  <c r="D76" i="3"/>
  <c r="C82" i="3"/>
  <c r="C97" i="3"/>
  <c r="C81" i="3"/>
  <c r="C96" i="3"/>
  <c r="C80" i="3"/>
  <c r="C95" i="3"/>
  <c r="C93" i="3"/>
  <c r="C78" i="3"/>
  <c r="D97" i="3"/>
  <c r="D82" i="3"/>
  <c r="D81" i="3"/>
  <c r="D96" i="3"/>
  <c r="D93" i="3"/>
  <c r="D78" i="3"/>
  <c r="D95" i="3"/>
  <c r="D80" i="3"/>
  <c r="D92" i="3"/>
  <c r="D77" i="3"/>
  <c r="D75" i="3"/>
  <c r="D90" i="3"/>
  <c r="N48" i="1"/>
  <c r="M52" i="1"/>
  <c r="N98" i="1"/>
  <c r="M102" i="1"/>
  <c r="N84" i="1"/>
  <c r="M88" i="1"/>
  <c r="N73" i="1"/>
  <c r="M77" i="1"/>
  <c r="N35" i="1"/>
  <c r="M39" i="1"/>
  <c r="N23" i="1"/>
  <c r="M27" i="1"/>
  <c r="N27" i="1" s="1"/>
  <c r="O27" i="1" s="1"/>
  <c r="E22" i="2"/>
  <c r="E26" i="2" s="1"/>
  <c r="G34" i="1"/>
  <c r="D10" i="2" s="1"/>
  <c r="D22" i="2"/>
  <c r="D26" i="2" s="1"/>
  <c r="G72" i="1"/>
  <c r="I72" i="1"/>
  <c r="J70" i="1" s="1"/>
  <c r="I34" i="1"/>
  <c r="G22" i="1"/>
  <c r="N25" i="1"/>
  <c r="I22" i="1"/>
  <c r="G83" i="1"/>
  <c r="I47" i="1"/>
  <c r="J45" i="1" s="1"/>
  <c r="G97" i="1"/>
  <c r="D15" i="2" s="1"/>
  <c r="I83" i="1"/>
  <c r="I97" i="1"/>
  <c r="J94" i="1" s="1"/>
  <c r="G107" i="1"/>
  <c r="I107" i="1"/>
  <c r="G131" i="1"/>
  <c r="G141" i="1" s="1"/>
  <c r="M129" i="1"/>
  <c r="M139" i="1" s="1"/>
  <c r="M128" i="1"/>
  <c r="M138" i="1" s="1"/>
  <c r="M127" i="1"/>
  <c r="B23" i="2"/>
  <c r="B24" i="2"/>
  <c r="B22" i="2"/>
  <c r="M11" i="1"/>
  <c r="I9" i="1"/>
  <c r="I8" i="1"/>
  <c r="G9" i="1"/>
  <c r="G8" i="1"/>
  <c r="A2" i="1"/>
  <c r="A1" i="1"/>
  <c r="A8" i="2"/>
  <c r="M137" i="1" l="1"/>
  <c r="J93" i="1"/>
  <c r="J71" i="1"/>
  <c r="J82" i="1"/>
  <c r="M15" i="1"/>
  <c r="N127" i="1"/>
  <c r="J95" i="1"/>
  <c r="E10" i="2"/>
  <c r="J33" i="1"/>
  <c r="N128" i="1"/>
  <c r="J96" i="1"/>
  <c r="N129" i="1"/>
  <c r="J24" i="2"/>
  <c r="J21" i="1"/>
  <c r="J46" i="1"/>
  <c r="J32" i="1"/>
  <c r="J20" i="1"/>
  <c r="J44" i="1"/>
  <c r="G40" i="1"/>
  <c r="G41" i="1" s="1"/>
  <c r="N12" i="1"/>
  <c r="J23" i="2"/>
  <c r="N13" i="1"/>
  <c r="N139" i="1" s="1"/>
  <c r="G78" i="1"/>
  <c r="G79" i="1" s="1"/>
  <c r="D13" i="2"/>
  <c r="G28" i="1"/>
  <c r="G29" i="1" s="1"/>
  <c r="D9" i="2"/>
  <c r="I40" i="1"/>
  <c r="I41" i="1" s="1"/>
  <c r="G53" i="1"/>
  <c r="G54" i="1" s="1"/>
  <c r="D11" i="2"/>
  <c r="I53" i="1"/>
  <c r="I54" i="1" s="1"/>
  <c r="E11" i="2"/>
  <c r="I28" i="1"/>
  <c r="I29" i="1" s="1"/>
  <c r="E9" i="2"/>
  <c r="I89" i="1"/>
  <c r="E14" i="2"/>
  <c r="I103" i="1"/>
  <c r="I104" i="1" s="1"/>
  <c r="E15" i="2"/>
  <c r="G103" i="1"/>
  <c r="G104" i="1" s="1"/>
  <c r="G89" i="1"/>
  <c r="D14" i="2"/>
  <c r="I78" i="1"/>
  <c r="I79" i="1" s="1"/>
  <c r="E13" i="2"/>
  <c r="N39" i="1"/>
  <c r="O39" i="1" s="1"/>
  <c r="N77" i="1"/>
  <c r="O77" i="1" s="1"/>
  <c r="N88" i="1"/>
  <c r="O88" i="1" s="1"/>
  <c r="N102" i="1"/>
  <c r="O102" i="1" s="1"/>
  <c r="N52" i="1"/>
  <c r="O52" i="1" s="1"/>
  <c r="G10" i="1"/>
  <c r="I10" i="1"/>
  <c r="I131" i="1"/>
  <c r="I141" i="1" s="1"/>
  <c r="I126" i="1"/>
  <c r="G126" i="1"/>
  <c r="N11" i="1"/>
  <c r="J123" i="1" l="1"/>
  <c r="J125" i="1"/>
  <c r="J124" i="1"/>
  <c r="J122" i="1"/>
  <c r="J121" i="1"/>
  <c r="G136" i="1"/>
  <c r="G142" i="1" s="1"/>
  <c r="I136" i="1"/>
  <c r="I142" i="1" s="1"/>
  <c r="N137" i="1"/>
  <c r="N138" i="1"/>
  <c r="J113" i="1"/>
  <c r="J119" i="1"/>
  <c r="J115" i="1"/>
  <c r="J118" i="1"/>
  <c r="J117" i="1"/>
  <c r="J112" i="1"/>
  <c r="J111" i="1"/>
  <c r="J110" i="1"/>
  <c r="J116" i="1"/>
  <c r="J114" i="1"/>
  <c r="J120" i="1"/>
  <c r="G11" i="2"/>
  <c r="G13" i="2"/>
  <c r="G15" i="2"/>
  <c r="G10" i="2"/>
  <c r="G14" i="2"/>
  <c r="G9" i="2"/>
  <c r="D16" i="2"/>
  <c r="J47" i="1"/>
  <c r="J97" i="1"/>
  <c r="J34" i="1"/>
  <c r="J22" i="2"/>
  <c r="J26" i="2" s="1"/>
  <c r="J22" i="1"/>
  <c r="E16" i="2"/>
  <c r="J83" i="1"/>
  <c r="J109" i="1"/>
  <c r="J108" i="1"/>
  <c r="J9" i="1"/>
  <c r="J8" i="1"/>
  <c r="J72" i="1"/>
  <c r="G132" i="1"/>
  <c r="E8" i="2"/>
  <c r="G16" i="1"/>
  <c r="D8" i="2"/>
  <c r="J107" i="1"/>
  <c r="I132" i="1"/>
  <c r="M131" i="1"/>
  <c r="M141" i="1" s="1"/>
  <c r="I16" i="1"/>
  <c r="I17" i="1" s="1"/>
  <c r="N15" i="1"/>
  <c r="G16" i="2" l="1"/>
  <c r="G8" i="2"/>
  <c r="D17" i="2"/>
  <c r="D19" i="2" s="1"/>
  <c r="D28" i="2" s="1"/>
  <c r="E17" i="2"/>
  <c r="G17" i="1"/>
  <c r="J126" i="1"/>
  <c r="N131" i="1"/>
  <c r="O131" i="1" s="1"/>
  <c r="J10" i="1"/>
  <c r="N141" i="1" l="1"/>
  <c r="G17" i="2"/>
  <c r="E19" i="2"/>
  <c r="F12" i="2"/>
  <c r="F8" i="2"/>
  <c r="F10" i="2"/>
  <c r="F16" i="2"/>
  <c r="F17" i="2"/>
  <c r="F19" i="2" s="1"/>
  <c r="F9" i="2"/>
  <c r="F15" i="2"/>
  <c r="F11" i="2"/>
  <c r="F14" i="2"/>
  <c r="F13" i="2"/>
  <c r="H8" i="2" l="1"/>
  <c r="I8" i="2" s="1"/>
  <c r="K10" i="1" s="1"/>
  <c r="H9" i="2"/>
  <c r="I9" i="2" s="1"/>
  <c r="K22" i="1" s="1"/>
  <c r="H10" i="2"/>
  <c r="I10" i="2" s="1"/>
  <c r="K34" i="1" s="1"/>
  <c r="H16" i="2"/>
  <c r="I16" i="2" s="1"/>
  <c r="K126" i="1" s="1"/>
  <c r="H11" i="2"/>
  <c r="I11" i="2" s="1"/>
  <c r="K47" i="1" s="1"/>
  <c r="H15" i="2"/>
  <c r="I15" i="2" s="1"/>
  <c r="K97" i="1" s="1"/>
  <c r="G19" i="2"/>
  <c r="H14" i="2"/>
  <c r="I14" i="2" s="1"/>
  <c r="K83" i="1" s="1"/>
  <c r="H12" i="2"/>
  <c r="I12" i="2" s="1"/>
  <c r="K60" i="1" s="1"/>
  <c r="H13" i="2"/>
  <c r="I13" i="2" s="1"/>
  <c r="K72" i="1" s="1"/>
  <c r="E28" i="2"/>
  <c r="S72" i="1" l="1"/>
  <c r="S126" i="1"/>
  <c r="S22" i="1"/>
  <c r="S10" i="1"/>
  <c r="L9" i="1" s="1"/>
  <c r="S97" i="1"/>
  <c r="S47" i="1"/>
  <c r="L46" i="1" s="1"/>
  <c r="G18" i="3" s="1"/>
  <c r="J18" i="3" s="1"/>
  <c r="S83" i="1"/>
  <c r="L82" i="1" s="1"/>
  <c r="S34" i="1"/>
  <c r="L33" i="1" s="1"/>
  <c r="S60" i="1"/>
  <c r="L59" i="1" s="1"/>
  <c r="G22" i="3" s="1"/>
  <c r="J22" i="3" s="1"/>
  <c r="I17" i="2"/>
  <c r="I19" i="2" s="1"/>
  <c r="L124" i="1" l="1"/>
  <c r="G41" i="3" s="1"/>
  <c r="J41" i="3" s="1"/>
  <c r="L121" i="1"/>
  <c r="G39" i="3" s="1"/>
  <c r="J39" i="3" s="1"/>
  <c r="L123" i="1"/>
  <c r="G40" i="3" s="1"/>
  <c r="J40" i="3" s="1"/>
  <c r="L125" i="1"/>
  <c r="L122" i="1"/>
  <c r="L94" i="1"/>
  <c r="L93" i="1"/>
  <c r="L159" i="1" s="1"/>
  <c r="L96" i="1"/>
  <c r="G30" i="3" s="1"/>
  <c r="J30" i="3" s="1"/>
  <c r="L70" i="1"/>
  <c r="L71" i="1"/>
  <c r="L45" i="1"/>
  <c r="G17" i="3" s="1"/>
  <c r="J17" i="3" s="1"/>
  <c r="G7" i="3"/>
  <c r="J7" i="3" s="1"/>
  <c r="L21" i="1"/>
  <c r="G11" i="3" s="1"/>
  <c r="J11" i="3" s="1"/>
  <c r="L57" i="1"/>
  <c r="G20" i="3" s="1"/>
  <c r="J20" i="3" s="1"/>
  <c r="L58" i="1"/>
  <c r="G21" i="3" s="1"/>
  <c r="J21" i="3" s="1"/>
  <c r="L115" i="1"/>
  <c r="T115" i="1" s="1"/>
  <c r="L120" i="1"/>
  <c r="L116" i="1"/>
  <c r="L117" i="1"/>
  <c r="T117" i="1" s="1"/>
  <c r="L112" i="1"/>
  <c r="L110" i="1"/>
  <c r="L118" i="1"/>
  <c r="L111" i="1"/>
  <c r="T111" i="1" s="1"/>
  <c r="L119" i="1"/>
  <c r="L113" i="1"/>
  <c r="T113" i="1" s="1"/>
  <c r="L114" i="1"/>
  <c r="L95" i="1"/>
  <c r="G29" i="3" s="1"/>
  <c r="J29" i="3" s="1"/>
  <c r="L8" i="1"/>
  <c r="L107" i="1"/>
  <c r="G32" i="3" s="1"/>
  <c r="J32" i="3" s="1"/>
  <c r="L108" i="1"/>
  <c r="L109" i="1"/>
  <c r="L44" i="1"/>
  <c r="G14" i="3"/>
  <c r="J14" i="3" s="1"/>
  <c r="M46" i="1"/>
  <c r="N46" i="1" s="1"/>
  <c r="O46" i="1" s="1"/>
  <c r="M9" i="1"/>
  <c r="N9" i="1" s="1"/>
  <c r="O9" i="1" s="1"/>
  <c r="T46" i="1"/>
  <c r="T9" i="1"/>
  <c r="M118" i="1" l="1"/>
  <c r="T118" i="1"/>
  <c r="M110" i="1"/>
  <c r="T110" i="1"/>
  <c r="M112" i="1"/>
  <c r="T112" i="1"/>
  <c r="M119" i="1"/>
  <c r="T119" i="1"/>
  <c r="M114" i="1"/>
  <c r="T114" i="1"/>
  <c r="M116" i="1"/>
  <c r="T116" i="1"/>
  <c r="M111" i="1"/>
  <c r="N111" i="1" s="1"/>
  <c r="O111" i="1" s="1"/>
  <c r="G34" i="3"/>
  <c r="M115" i="1"/>
  <c r="G36" i="3"/>
  <c r="J36" i="3" s="1"/>
  <c r="G33" i="3"/>
  <c r="J33" i="3" s="1"/>
  <c r="M117" i="1"/>
  <c r="N117" i="1" s="1"/>
  <c r="O117" i="1" s="1"/>
  <c r="G37" i="3"/>
  <c r="J37" i="3" s="1"/>
  <c r="M113" i="1"/>
  <c r="N113" i="1" s="1"/>
  <c r="O113" i="1" s="1"/>
  <c r="G35" i="3"/>
  <c r="J35" i="3" s="1"/>
  <c r="M120" i="1"/>
  <c r="N120" i="1" s="1"/>
  <c r="O120" i="1" s="1"/>
  <c r="G38" i="3"/>
  <c r="J38" i="3" s="1"/>
  <c r="T122" i="1"/>
  <c r="M122" i="1"/>
  <c r="T125" i="1"/>
  <c r="M125" i="1"/>
  <c r="M123" i="1"/>
  <c r="T123" i="1"/>
  <c r="M121" i="1"/>
  <c r="T121" i="1"/>
  <c r="M124" i="1"/>
  <c r="T124" i="1"/>
  <c r="M44" i="1"/>
  <c r="N44" i="1" s="1"/>
  <c r="O44" i="1" s="1"/>
  <c r="G16" i="3"/>
  <c r="J16" i="3" s="1"/>
  <c r="G28" i="3"/>
  <c r="J28" i="3" s="1"/>
  <c r="L160" i="1"/>
  <c r="G27" i="3"/>
  <c r="J27" i="3" s="1"/>
  <c r="G25" i="3"/>
  <c r="J25" i="3" s="1"/>
  <c r="M70" i="1"/>
  <c r="N70" i="1" s="1"/>
  <c r="O70" i="1" s="1"/>
  <c r="G24" i="3"/>
  <c r="J24" i="3" s="1"/>
  <c r="M71" i="1"/>
  <c r="N71" i="1" s="1"/>
  <c r="O71" i="1" s="1"/>
  <c r="T71" i="1"/>
  <c r="M58" i="1"/>
  <c r="N58" i="1" s="1"/>
  <c r="O58" i="1" s="1"/>
  <c r="T58" i="1"/>
  <c r="G6" i="3"/>
  <c r="J6" i="3" s="1"/>
  <c r="L20" i="1"/>
  <c r="L32" i="1"/>
  <c r="M32" i="1" s="1"/>
  <c r="N32" i="1" s="1"/>
  <c r="M45" i="1"/>
  <c r="N45" i="1" s="1"/>
  <c r="O45" i="1" s="1"/>
  <c r="T45" i="1"/>
  <c r="M57" i="1"/>
  <c r="N57" i="1" s="1"/>
  <c r="O57" i="1" s="1"/>
  <c r="T57" i="1"/>
  <c r="M96" i="1"/>
  <c r="N96" i="1" s="1"/>
  <c r="O96" i="1" s="1"/>
  <c r="T96" i="1"/>
  <c r="M94" i="1"/>
  <c r="T94" i="1"/>
  <c r="J34" i="3"/>
  <c r="N112" i="1"/>
  <c r="O112" i="1" s="1"/>
  <c r="N114" i="1"/>
  <c r="O114" i="1" s="1"/>
  <c r="N119" i="1"/>
  <c r="O119" i="1" s="1"/>
  <c r="N116" i="1"/>
  <c r="O116" i="1" s="1"/>
  <c r="N118" i="1"/>
  <c r="O118" i="1" s="1"/>
  <c r="N110" i="1"/>
  <c r="O110" i="1" s="1"/>
  <c r="N115" i="1"/>
  <c r="O115" i="1" s="1"/>
  <c r="M93" i="1"/>
  <c r="N93" i="1" s="1"/>
  <c r="T109" i="1"/>
  <c r="M95" i="1"/>
  <c r="N95" i="1" s="1"/>
  <c r="O95" i="1" s="1"/>
  <c r="M8" i="1"/>
  <c r="N8" i="1" s="1"/>
  <c r="N10" i="1" s="1"/>
  <c r="T21" i="1"/>
  <c r="T93" i="1"/>
  <c r="T95" i="1"/>
  <c r="M59" i="1"/>
  <c r="N59" i="1" s="1"/>
  <c r="O59" i="1" s="1"/>
  <c r="M109" i="1"/>
  <c r="N109" i="1" s="1"/>
  <c r="O109" i="1" s="1"/>
  <c r="M21" i="1"/>
  <c r="N21" i="1" s="1"/>
  <c r="O21" i="1" s="1"/>
  <c r="T120" i="1"/>
  <c r="T59" i="1"/>
  <c r="T8" i="1"/>
  <c r="M107" i="1"/>
  <c r="N107" i="1" s="1"/>
  <c r="O107" i="1" s="1"/>
  <c r="T107" i="1"/>
  <c r="M108" i="1"/>
  <c r="N108" i="1" s="1"/>
  <c r="O108" i="1" s="1"/>
  <c r="T108" i="1"/>
  <c r="T33" i="1"/>
  <c r="M33" i="1"/>
  <c r="T82" i="1"/>
  <c r="M82" i="1"/>
  <c r="N123" i="1" l="1"/>
  <c r="O123" i="1" s="1"/>
  <c r="N121" i="1"/>
  <c r="O121" i="1" s="1"/>
  <c r="N125" i="1"/>
  <c r="O125" i="1" s="1"/>
  <c r="N122" i="1"/>
  <c r="O122" i="1" s="1"/>
  <c r="N124" i="1"/>
  <c r="O124" i="1" s="1"/>
  <c r="M72" i="1"/>
  <c r="J13" i="2" s="1"/>
  <c r="O13" i="2" s="1"/>
  <c r="L168" i="1"/>
  <c r="L164" i="1"/>
  <c r="N72" i="1"/>
  <c r="L13" i="2" s="1"/>
  <c r="F80" i="3" s="1"/>
  <c r="M47" i="1"/>
  <c r="J11" i="2" s="1"/>
  <c r="O11" i="2" s="1"/>
  <c r="N47" i="1"/>
  <c r="L11" i="2" s="1"/>
  <c r="G10" i="3"/>
  <c r="J10" i="3" s="1"/>
  <c r="T20" i="1"/>
  <c r="M20" i="1"/>
  <c r="N20" i="1" s="1"/>
  <c r="O20" i="1" s="1"/>
  <c r="N94" i="1"/>
  <c r="O94" i="1" s="1"/>
  <c r="M60" i="1"/>
  <c r="N60" i="1"/>
  <c r="O8" i="1"/>
  <c r="G13" i="3"/>
  <c r="J13" i="3" s="1"/>
  <c r="M10" i="1"/>
  <c r="M97" i="1"/>
  <c r="P95" i="1" s="1"/>
  <c r="Q95" i="1" s="1"/>
  <c r="M126" i="1"/>
  <c r="P123" i="1" s="1"/>
  <c r="Q123" i="1" s="1"/>
  <c r="M34" i="1"/>
  <c r="P32" i="1" s="1"/>
  <c r="Q32" i="1" s="1"/>
  <c r="O93" i="1"/>
  <c r="O32" i="1"/>
  <c r="N33" i="1"/>
  <c r="O33" i="1" s="1"/>
  <c r="O10" i="1"/>
  <c r="N82" i="1"/>
  <c r="M83" i="1"/>
  <c r="R72" i="1" l="1"/>
  <c r="M78" i="1"/>
  <c r="M79" i="1" s="1"/>
  <c r="N79" i="1" s="1"/>
  <c r="F95" i="3" s="1"/>
  <c r="P71" i="1"/>
  <c r="Q71" i="1" s="1"/>
  <c r="P122" i="1"/>
  <c r="Q122" i="1" s="1"/>
  <c r="P125" i="1"/>
  <c r="Q125" i="1" s="1"/>
  <c r="N126" i="1"/>
  <c r="O126" i="1" s="1"/>
  <c r="P121" i="1"/>
  <c r="Q121" i="1" s="1"/>
  <c r="P124" i="1"/>
  <c r="Q124" i="1" s="1"/>
  <c r="O72" i="1"/>
  <c r="N13" i="2" s="1"/>
  <c r="M53" i="1"/>
  <c r="M54" i="1" s="1"/>
  <c r="N54" i="1" s="1"/>
  <c r="F93" i="3" s="1"/>
  <c r="P44" i="1"/>
  <c r="Q44" i="1" s="1"/>
  <c r="P46" i="1"/>
  <c r="Q46" i="1" s="1"/>
  <c r="R47" i="1"/>
  <c r="P45" i="1"/>
  <c r="Q45" i="1" s="1"/>
  <c r="N22" i="1"/>
  <c r="O22" i="1" s="1"/>
  <c r="M22" i="1"/>
  <c r="R22" i="1" s="1"/>
  <c r="P8" i="1"/>
  <c r="Q8" i="1" s="1"/>
  <c r="N97" i="1"/>
  <c r="L15" i="2" s="1"/>
  <c r="M15" i="2" s="1"/>
  <c r="P94" i="1"/>
  <c r="Q94" i="1" s="1"/>
  <c r="R60" i="1"/>
  <c r="P58" i="1"/>
  <c r="Q58" i="1" s="1"/>
  <c r="P112" i="1"/>
  <c r="Q112" i="1" s="1"/>
  <c r="P111" i="1"/>
  <c r="Q111" i="1" s="1"/>
  <c r="P117" i="1"/>
  <c r="Q117" i="1" s="1"/>
  <c r="P119" i="1"/>
  <c r="Q119" i="1" s="1"/>
  <c r="P115" i="1"/>
  <c r="Q115" i="1" s="1"/>
  <c r="P118" i="1"/>
  <c r="Q118" i="1" s="1"/>
  <c r="P114" i="1"/>
  <c r="Q114" i="1" s="1"/>
  <c r="P116" i="1"/>
  <c r="Q116" i="1" s="1"/>
  <c r="P113" i="1"/>
  <c r="Q113" i="1" s="1"/>
  <c r="P120" i="1"/>
  <c r="Q120" i="1" s="1"/>
  <c r="P110" i="1"/>
  <c r="Q110" i="1" s="1"/>
  <c r="P57" i="1"/>
  <c r="Q57" i="1" s="1"/>
  <c r="P70" i="1"/>
  <c r="Q70" i="1" s="1"/>
  <c r="G95" i="3"/>
  <c r="G80" i="3"/>
  <c r="M66" i="1"/>
  <c r="M67" i="1" s="1"/>
  <c r="N67" i="1" s="1"/>
  <c r="P9" i="1"/>
  <c r="Q9" i="1" s="1"/>
  <c r="J8" i="2"/>
  <c r="O8" i="2" s="1"/>
  <c r="J12" i="2"/>
  <c r="O12" i="2" s="1"/>
  <c r="P59" i="1"/>
  <c r="Q59" i="1" s="1"/>
  <c r="M103" i="1"/>
  <c r="M104" i="1" s="1"/>
  <c r="N104" i="1" s="1"/>
  <c r="F97" i="3" s="1"/>
  <c r="P21" i="1"/>
  <c r="Q21" i="1" s="1"/>
  <c r="P20" i="1"/>
  <c r="Q20" i="1" s="1"/>
  <c r="R97" i="1"/>
  <c r="P93" i="1"/>
  <c r="Q93" i="1" s="1"/>
  <c r="P96" i="1"/>
  <c r="Q96" i="1" s="1"/>
  <c r="J15" i="2"/>
  <c r="O15" i="2" s="1"/>
  <c r="J16" i="2"/>
  <c r="L16" i="2" s="1"/>
  <c r="F83" i="3" s="1"/>
  <c r="R10" i="1"/>
  <c r="M16" i="1"/>
  <c r="M17" i="1" s="1"/>
  <c r="N17" i="1" s="1"/>
  <c r="O17" i="1" s="1"/>
  <c r="P109" i="1"/>
  <c r="Q109" i="1" s="1"/>
  <c r="P108" i="1"/>
  <c r="Q108" i="1" s="1"/>
  <c r="P107" i="1"/>
  <c r="Q107" i="1" s="1"/>
  <c r="M132" i="1"/>
  <c r="N132" i="1" s="1"/>
  <c r="O132" i="1" s="1"/>
  <c r="N16" i="2" s="1"/>
  <c r="R126" i="1"/>
  <c r="J10" i="2"/>
  <c r="O10" i="2" s="1"/>
  <c r="M40" i="1"/>
  <c r="M41" i="1" s="1"/>
  <c r="N41" i="1" s="1"/>
  <c r="P33" i="1"/>
  <c r="Q33" i="1" s="1"/>
  <c r="R34" i="1"/>
  <c r="N34" i="1"/>
  <c r="O34" i="1" s="1"/>
  <c r="M11" i="2"/>
  <c r="F78" i="3"/>
  <c r="O82" i="1"/>
  <c r="N83" i="1"/>
  <c r="M13" i="2"/>
  <c r="O47" i="1"/>
  <c r="L8" i="2"/>
  <c r="N78" i="1"/>
  <c r="O78" i="1" s="1"/>
  <c r="R83" i="1"/>
  <c r="P82" i="1"/>
  <c r="Q82" i="1" s="1"/>
  <c r="J14" i="2"/>
  <c r="O14" i="2" s="1"/>
  <c r="M89" i="1"/>
  <c r="O60" i="1"/>
  <c r="L12" i="2"/>
  <c r="O79" i="1" l="1"/>
  <c r="O54" i="1"/>
  <c r="M28" i="1"/>
  <c r="M29" i="1" s="1"/>
  <c r="N29" i="1" s="1"/>
  <c r="O29" i="1" s="1"/>
  <c r="N53" i="1"/>
  <c r="J9" i="2"/>
  <c r="O9" i="2" s="1"/>
  <c r="P47" i="1"/>
  <c r="Q47" i="1" s="1"/>
  <c r="L9" i="2"/>
  <c r="F76" i="3" s="1"/>
  <c r="N136" i="1"/>
  <c r="N142" i="1" s="1"/>
  <c r="M136" i="1"/>
  <c r="M142" i="1" s="1"/>
  <c r="O97" i="1"/>
  <c r="F82" i="3"/>
  <c r="P72" i="1"/>
  <c r="Q72" i="1" s="1"/>
  <c r="N66" i="1"/>
  <c r="O66" i="1" s="1"/>
  <c r="N12" i="2" s="1"/>
  <c r="P60" i="1"/>
  <c r="Q60" i="1" s="1"/>
  <c r="N28" i="1"/>
  <c r="O28" i="1" s="1"/>
  <c r="N9" i="2" s="1"/>
  <c r="P10" i="1"/>
  <c r="Q10" i="1" s="1"/>
  <c r="M16" i="2"/>
  <c r="O16" i="2"/>
  <c r="P22" i="1"/>
  <c r="Q22" i="1" s="1"/>
  <c r="N16" i="1"/>
  <c r="O16" i="1" s="1"/>
  <c r="N8" i="2" s="1"/>
  <c r="F90" i="3"/>
  <c r="O104" i="1"/>
  <c r="N103" i="1"/>
  <c r="O103" i="1" s="1"/>
  <c r="N15" i="2" s="1"/>
  <c r="P97" i="1"/>
  <c r="Q97" i="1" s="1"/>
  <c r="P126" i="1"/>
  <c r="Q126" i="1" s="1"/>
  <c r="P34" i="1"/>
  <c r="Q34" i="1" s="1"/>
  <c r="N89" i="1"/>
  <c r="O89" i="1" s="1"/>
  <c r="N14" i="2" s="1"/>
  <c r="F96" i="3"/>
  <c r="O41" i="1"/>
  <c r="F92" i="3"/>
  <c r="O67" i="1"/>
  <c r="F94" i="3"/>
  <c r="N40" i="1"/>
  <c r="O40" i="1" s="1"/>
  <c r="N10" i="2" s="1"/>
  <c r="L10" i="2"/>
  <c r="M10" i="2" s="1"/>
  <c r="M8" i="2"/>
  <c r="F75" i="3"/>
  <c r="M12" i="2"/>
  <c r="F79" i="3"/>
  <c r="O53" i="1"/>
  <c r="N11" i="2" s="1"/>
  <c r="G83" i="3"/>
  <c r="G98" i="3"/>
  <c r="L14" i="2"/>
  <c r="O83" i="1"/>
  <c r="P83" i="1"/>
  <c r="Q83" i="1" s="1"/>
  <c r="F91" i="3" l="1"/>
  <c r="M9" i="2"/>
  <c r="F77" i="3"/>
  <c r="G91" i="3"/>
  <c r="G76" i="3"/>
  <c r="G94" i="3"/>
  <c r="G79" i="3"/>
  <c r="M14" i="2"/>
  <c r="F81" i="3"/>
  <c r="G93" i="3"/>
  <c r="G78" i="3"/>
  <c r="G92" i="3"/>
  <c r="G77" i="3"/>
  <c r="G75" i="3"/>
  <c r="G90" i="3"/>
  <c r="G82" i="3"/>
  <c r="G97" i="3"/>
  <c r="G81" i="3"/>
  <c r="G96" i="3"/>
  <c r="J17" i="2" l="1"/>
  <c r="O136" i="1"/>
  <c r="S157" i="1" s="1"/>
  <c r="L157" i="1" s="1"/>
  <c r="T157" i="1" s="1"/>
  <c r="S165" i="1" l="1"/>
  <c r="L165" i="1" s="1"/>
  <c r="S160" i="1"/>
  <c r="S154" i="1"/>
  <c r="L154" i="1" s="1"/>
  <c r="S164" i="1"/>
  <c r="S156" i="1"/>
  <c r="L156" i="1" s="1"/>
  <c r="S163" i="1"/>
  <c r="L163" i="1" s="1"/>
  <c r="S159" i="1"/>
  <c r="S150" i="1"/>
  <c r="L150" i="1" s="1"/>
  <c r="S155" i="1"/>
  <c r="L155" i="1" s="1"/>
  <c r="S169" i="1"/>
  <c r="L169" i="1" s="1"/>
  <c r="S151" i="1"/>
  <c r="L151" i="1" s="1"/>
  <c r="S167" i="1"/>
  <c r="L167" i="1" s="1"/>
  <c r="S168" i="1"/>
  <c r="S152" i="1"/>
  <c r="L152" i="1" s="1"/>
  <c r="S161" i="1"/>
  <c r="L161" i="1" s="1"/>
  <c r="S149" i="1"/>
  <c r="L149" i="1" s="1"/>
  <c r="O17" i="2"/>
  <c r="O19" i="2" s="1"/>
  <c r="K11" i="2"/>
  <c r="K9" i="2"/>
  <c r="K16" i="2"/>
  <c r="K12" i="2"/>
  <c r="J19" i="2"/>
  <c r="J28" i="2" s="1"/>
  <c r="L28" i="2" s="1"/>
  <c r="F84" i="3" s="1"/>
  <c r="K14" i="2"/>
  <c r="K17" i="2"/>
  <c r="K19" i="2" s="1"/>
  <c r="K13" i="2"/>
  <c r="K10" i="2"/>
  <c r="K8" i="2"/>
  <c r="L17" i="2"/>
  <c r="L19" i="2" s="1"/>
  <c r="K15" i="2"/>
  <c r="N144" i="1"/>
  <c r="O142" i="1"/>
  <c r="T172" i="1" l="1"/>
  <c r="G66" i="3"/>
  <c r="J66" i="3" s="1"/>
  <c r="T171" i="1"/>
  <c r="G65" i="3"/>
  <c r="J65" i="3" s="1"/>
  <c r="T173" i="1"/>
  <c r="G67" i="3"/>
  <c r="J67" i="3" s="1"/>
  <c r="G55" i="3"/>
  <c r="J55" i="3" s="1"/>
  <c r="T161" i="1"/>
  <c r="T151" i="1"/>
  <c r="G45" i="3"/>
  <c r="J45" i="3" s="1"/>
  <c r="T156" i="1"/>
  <c r="G50" i="3"/>
  <c r="J50" i="3" s="1"/>
  <c r="T152" i="1"/>
  <c r="G46" i="3"/>
  <c r="J46" i="3" s="1"/>
  <c r="T169" i="1"/>
  <c r="G63" i="3"/>
  <c r="J63" i="3" s="1"/>
  <c r="G51" i="3"/>
  <c r="J51" i="3" s="1"/>
  <c r="T155" i="1"/>
  <c r="G49" i="3"/>
  <c r="J49" i="3" s="1"/>
  <c r="T164" i="1"/>
  <c r="G58" i="3"/>
  <c r="J58" i="3" s="1"/>
  <c r="T168" i="1"/>
  <c r="G62" i="3"/>
  <c r="J62" i="3" s="1"/>
  <c r="T150" i="1"/>
  <c r="G44" i="3"/>
  <c r="J44" i="3" s="1"/>
  <c r="T159" i="1"/>
  <c r="G53" i="3"/>
  <c r="J53" i="3" s="1"/>
  <c r="T154" i="1"/>
  <c r="G48" i="3"/>
  <c r="J48" i="3" s="1"/>
  <c r="T163" i="1"/>
  <c r="G57" i="3"/>
  <c r="J57" i="3" s="1"/>
  <c r="T160" i="1"/>
  <c r="G54" i="3"/>
  <c r="J54" i="3" s="1"/>
  <c r="T149" i="1"/>
  <c r="G43" i="3"/>
  <c r="J43" i="3" s="1"/>
  <c r="T167" i="1"/>
  <c r="G61" i="3"/>
  <c r="J61" i="3" s="1"/>
  <c r="T165" i="1"/>
  <c r="G59" i="3"/>
  <c r="J59" i="3" s="1"/>
  <c r="M17" i="2"/>
  <c r="M19" i="2" s="1"/>
  <c r="L30" i="2"/>
  <c r="L31" i="2" s="1"/>
  <c r="N28" i="2"/>
  <c r="G8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Wolfram</author>
  </authors>
  <commentList>
    <comment ref="H173" authorId="0" shapeId="0" xr:uid="{7926B322-17D6-4A42-A139-600BC98324FA}">
      <text>
        <r>
          <rPr>
            <b/>
            <sz val="9"/>
            <color indexed="81"/>
            <rFont val="Tahoma"/>
            <family val="2"/>
          </rPr>
          <t>John Wolfram:</t>
        </r>
        <r>
          <rPr>
            <sz val="9"/>
            <color indexed="81"/>
            <rFont val="Tahoma"/>
            <family val="2"/>
          </rPr>
          <t xml:space="preserve">
Present Rate = EKPC Rate + I-C Margin, or 0.036947 + 0.002430
</t>
        </r>
      </text>
    </comment>
    <comment ref="L173" authorId="0" shapeId="0" xr:uid="{A54EC4B8-005E-414F-A27E-A166F9A8DE0B}">
      <text>
        <r>
          <rPr>
            <b/>
            <sz val="9"/>
            <color indexed="81"/>
            <rFont val="Tahoma"/>
            <family val="2"/>
          </rPr>
          <t>John Wolfram:</t>
        </r>
        <r>
          <rPr>
            <sz val="9"/>
            <color indexed="81"/>
            <rFont val="Tahoma"/>
            <family val="2"/>
          </rPr>
          <t xml:space="preserve">
Proposed Rate = EKPC Proposed Rate + I-C Margin, or 0.037780 + 0.002430</t>
        </r>
      </text>
    </comment>
  </commentList>
</comments>
</file>

<file path=xl/sharedStrings.xml><?xml version="1.0" encoding="utf-8"?>
<sst xmlns="http://schemas.openxmlformats.org/spreadsheetml/2006/main" count="241" uniqueCount="110">
  <si>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</si>
  <si>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</si>
  <si>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</si>
  <si>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</si>
  <si>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</si>
  <si>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</si>
  <si>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</si>
  <si>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</si>
  <si>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</si>
  <si>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</si>
  <si>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</si>
  <si>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</si>
  <si>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</si>
  <si>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</si>
  <si>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</si>
  <si>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</si>
  <si>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</si>
  <si>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</si>
  <si>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</si>
  <si>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</si>
  <si>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</si>
  <si>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</si>
  <si>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</si>
  <si>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</si>
  <si>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</si>
  <si>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</si>
  <si>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</si>
  <si>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</si>
  <si>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</si>
  <si>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</si>
  <si>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</si>
  <si>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</si>
  <si>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</si>
  <si>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</si>
  <si>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</si>
  <si>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</si>
  <si>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</si>
  <si>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</si>
  <si>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</si>
  <si>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</si>
  <si>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</si>
  <si>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</si>
  <si>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</si>
  <si>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>TOTAL Base Rates</t>
  </si>
  <si>
    <t>SubTotal Base Rates</t>
  </si>
  <si>
    <t>Base %</t>
  </si>
  <si>
    <t>Total %</t>
  </si>
  <si>
    <t>Base Rate Increase</t>
  </si>
  <si>
    <t>Present</t>
  </si>
  <si>
    <t>Proposed</t>
  </si>
  <si>
    <t>Energy Charge per kWh</t>
  </si>
  <si>
    <t>Energy Charge - Off Peak per kWh</t>
  </si>
  <si>
    <t>Demand Charge per kW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</si>
  <si>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</si>
  <si>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</si>
  <si>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</si>
  <si>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</si>
  <si>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</si>
  <si>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</si>
  <si>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</si>
  <si>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</si>
  <si>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</si>
  <si>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</si>
  <si>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</si>
  <si>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RATES WITH NO CURRENT MEMBERS</t>
  </si>
  <si>
    <t>9,500 Lumen Security</t>
  </si>
  <si>
    <t>Pole Charge</t>
  </si>
  <si>
    <t>4,000 Lumen Deocrative Colonial</t>
  </si>
  <si>
    <t>9,550 Lumen Decorative Colonial</t>
  </si>
  <si>
    <t>27,500 Lumen directional flood</t>
  </si>
  <si>
    <t>50,000 Lumen Directional flood</t>
  </si>
  <si>
    <t>107,800 Lumen Directional Flood</t>
  </si>
  <si>
    <t>27,500 Lumen Cobra head</t>
  </si>
  <si>
    <t>7,000 Lumen Lamp</t>
  </si>
  <si>
    <t>6,000 Lumen Security LED</t>
  </si>
  <si>
    <t>Schedule 1 - Rates for Farm and Home Service</t>
  </si>
  <si>
    <t>Schedule NM - Net Metering</t>
  </si>
  <si>
    <t>Schedule 1-A - Farm and Home Marketing Rate (ETS)</t>
  </si>
  <si>
    <t>Schedule 2 - Small Commercial and Small Power</t>
  </si>
  <si>
    <t>Schedule 4 - Large Power Rate (LPR)</t>
  </si>
  <si>
    <t>Schedule 5 - All Electric School Rate</t>
  </si>
  <si>
    <t>Schedule 6 - Outdoor Lighting Service - Security Lights</t>
  </si>
  <si>
    <t>Demand Charge-Excess per kW</t>
  </si>
  <si>
    <t>Demand Charge-Contract per kW</t>
  </si>
  <si>
    <t xml:space="preserve">    Prepay Fee</t>
  </si>
  <si>
    <t>Prepay fee</t>
  </si>
  <si>
    <t>11,12</t>
  </si>
  <si>
    <t>Schedule B-2 - Large Industrial Rate</t>
  </si>
  <si>
    <t>Schedule B-3 - Large Industrial Rate</t>
  </si>
  <si>
    <t>Schedule C-1 - Large Industrial Rate</t>
  </si>
  <si>
    <t>Schedule C-2 - Large Industrial Rate</t>
  </si>
  <si>
    <t>Schedule C-3 - Large Industrial Rate</t>
  </si>
  <si>
    <t>Schedule G - Large Industrial Rate</t>
  </si>
  <si>
    <t>G</t>
  </si>
  <si>
    <t>B1</t>
  </si>
  <si>
    <t>Schedule B1 - Large Industrial Rate</t>
  </si>
  <si>
    <t>B2</t>
  </si>
  <si>
    <t>B3</t>
  </si>
  <si>
    <t>C2</t>
  </si>
  <si>
    <t>C3</t>
  </si>
  <si>
    <t>C1</t>
  </si>
  <si>
    <t>Excess Demand Charge per kW</t>
  </si>
  <si>
    <t>Facility Charge</t>
  </si>
  <si>
    <t>INTER-COUNTY ENERGY COOPERATIVE</t>
  </si>
  <si>
    <t>Present &amp; Proposed Rates</t>
  </si>
  <si>
    <t>See Note</t>
  </si>
  <si>
    <t>Note:  Schedule G was vacant for 2019 test year but has since attracted a large special contract customer under EKPC Rate G.  This is reflected in the Notice in Exhibit 5.</t>
  </si>
  <si>
    <t>EKPC</t>
  </si>
  <si>
    <t xml:space="preserve">IC Adder </t>
  </si>
  <si>
    <t>IC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</si>
</sst>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* #,##0.0000_);_(* \(#,##0.0000\);_(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&quot;$&quot;#,##0"/>
    <numFmt numFmtId="174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43" fontId="3" fillId="0" borderId="0" xfId="1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Fill="1"/>
    <xf numFmtId="165" fontId="7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68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2" borderId="0" xfId="1" applyNumberFormat="1" applyFont="1" applyFill="1" applyAlignment="1"/>
    <xf numFmtId="0" fontId="3" fillId="2" borderId="0" xfId="0" applyFont="1" applyFill="1" applyAlignment="1"/>
    <xf numFmtId="165" fontId="3" fillId="2" borderId="0" xfId="2" applyNumberFormat="1" applyFont="1" applyFill="1" applyAlignment="1"/>
    <xf numFmtId="0" fontId="3" fillId="2" borderId="2" xfId="0" applyFont="1" applyFill="1" applyBorder="1" applyAlignment="1"/>
    <xf numFmtId="165" fontId="3" fillId="2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10" fontId="3" fillId="0" borderId="0" xfId="3" applyNumberFormat="1" applyFont="1" applyFill="1" applyAlignment="1"/>
    <xf numFmtId="43" fontId="3" fillId="0" borderId="0" xfId="0" applyNumberFormat="1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1" fontId="3" fillId="0" borderId="0" xfId="2" applyNumberFormat="1" applyFont="1"/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172" fontId="3" fillId="0" borderId="0" xfId="2" applyNumberFormat="1" applyFont="1"/>
    <xf numFmtId="44" fontId="3" fillId="0" borderId="0" xfId="2" applyNumberFormat="1" applyFont="1"/>
    <xf numFmtId="0" fontId="9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3" fontId="3" fillId="0" borderId="2" xfId="0" applyNumberFormat="1" applyFont="1" applyBorder="1"/>
    <xf numFmtId="10" fontId="3" fillId="0" borderId="2" xfId="3" applyNumberFormat="1" applyFont="1" applyBorder="1"/>
    <xf numFmtId="173" fontId="3" fillId="0" borderId="0" xfId="0" applyNumberFormat="1" applyFont="1"/>
    <xf numFmtId="10" fontId="3" fillId="0" borderId="0" xfId="3" applyNumberFormat="1" applyFont="1" applyBorder="1"/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0" fillId="0" borderId="0" xfId="0" applyFont="1"/>
    <xf numFmtId="0" fontId="7" fillId="0" borderId="2" xfId="0" applyFont="1" applyBorder="1" applyAlignment="1">
      <alignment horizontal="center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70" fontId="7" fillId="0" borderId="0" xfId="1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10" fontId="3" fillId="0" borderId="5" xfId="3" applyNumberFormat="1" applyFont="1" applyBorder="1" applyAlignment="1"/>
    <xf numFmtId="0" fontId="7" fillId="0" borderId="0" xfId="0" applyFont="1" applyFill="1"/>
    <xf numFmtId="165" fontId="7" fillId="0" borderId="0" xfId="2" applyNumberFormat="1" applyFont="1" applyFill="1" applyAlignment="1">
      <alignment horizontal="center"/>
    </xf>
    <xf numFmtId="10" fontId="7" fillId="0" borderId="0" xfId="3" applyNumberFormat="1" applyFont="1" applyFill="1" applyAlignment="1"/>
    <xf numFmtId="165" fontId="7" fillId="0" borderId="0" xfId="2" applyNumberFormat="1" applyFont="1" applyFill="1" applyAlignment="1"/>
    <xf numFmtId="165" fontId="7" fillId="0" borderId="0" xfId="2" applyNumberFormat="1" applyFont="1" applyFill="1"/>
    <xf numFmtId="43" fontId="7" fillId="0" borderId="0" xfId="1" applyFont="1" applyFill="1"/>
    <xf numFmtId="167" fontId="7" fillId="0" borderId="0" xfId="1" applyNumberFormat="1" applyFont="1" applyFill="1"/>
    <xf numFmtId="0" fontId="7" fillId="0" borderId="5" xfId="0" applyFont="1" applyFill="1" applyBorder="1" applyAlignment="1">
      <alignment vertical="center"/>
    </xf>
    <xf numFmtId="165" fontId="7" fillId="0" borderId="0" xfId="0" applyNumberFormat="1" applyFont="1" applyFill="1"/>
    <xf numFmtId="165" fontId="7" fillId="0" borderId="5" xfId="2" applyNumberFormat="1" applyFont="1" applyFill="1" applyBorder="1"/>
    <xf numFmtId="0" fontId="7" fillId="0" borderId="5" xfId="0" applyFont="1" applyFill="1" applyBorder="1"/>
    <xf numFmtId="165" fontId="7" fillId="0" borderId="3" xfId="2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9" fillId="0" borderId="4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7" fillId="0" borderId="6" xfId="0" applyFont="1" applyFill="1" applyBorder="1"/>
    <xf numFmtId="10" fontId="7" fillId="0" borderId="0" xfId="3" applyNumberFormat="1" applyFont="1" applyFill="1"/>
    <xf numFmtId="165" fontId="7" fillId="0" borderId="5" xfId="3" applyNumberFormat="1" applyFont="1" applyFill="1" applyBorder="1" applyAlignment="1">
      <alignment vertical="center"/>
    </xf>
    <xf numFmtId="164" fontId="7" fillId="0" borderId="0" xfId="1" applyNumberFormat="1" applyFont="1" applyFill="1"/>
    <xf numFmtId="168" fontId="7" fillId="0" borderId="0" xfId="1" applyNumberFormat="1" applyFont="1" applyFill="1"/>
    <xf numFmtId="0" fontId="7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4" xfId="0" applyFont="1" applyFill="1" applyBorder="1" applyAlignment="1">
      <alignment horizont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10" fontId="7" fillId="0" borderId="0" xfId="0" applyNumberFormat="1" applyFont="1" applyFill="1"/>
    <xf numFmtId="174" fontId="7" fillId="0" borderId="0" xfId="0" applyNumberFormat="1" applyFont="1" applyFill="1"/>
    <xf numFmtId="10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69" fontId="7" fillId="0" borderId="0" xfId="3" applyNumberFormat="1" applyFont="1" applyFill="1"/>
    <xf numFmtId="43" fontId="7" fillId="0" borderId="5" xfId="1" applyFont="1" applyFill="1" applyBorder="1"/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43" fontId="7" fillId="0" borderId="0" xfId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7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5" xfId="0" applyNumberFormat="1" applyFont="1" applyFill="1" applyBorder="1"/>
    <xf numFmtId="166" fontId="7" fillId="0" borderId="0" xfId="0" applyNumberFormat="1" applyFont="1" applyFill="1"/>
    <xf numFmtId="0" fontId="5" fillId="0" borderId="0" xfId="0" applyFont="1"/>
    <xf numFmtId="6" fontId="4" fillId="4" borderId="1" xfId="0" applyNumberFormat="1" applyFont="1" applyFill="1" applyBorder="1"/>
    <xf numFmtId="168" fontId="4" fillId="4" borderId="0" xfId="1" applyNumberFormat="1" applyFont="1" applyFill="1"/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43" fontId="4" fillId="4" borderId="0" xfId="1" applyFont="1" applyFill="1"/>
    <xf numFmtId="0" fontId="7" fillId="0" borderId="0" xfId="0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W32"/>
  <sheetViews>
    <sheetView zoomScale="75" zoomScaleNormal="75" workbookViewId="0">
      <selection activeCell="P3" sqref="P3"/>
    </sheetView>
  </sheetViews>
  <sheetFormatPr defaultColWidth="8.88671875" defaultRowHeight="13.2" x14ac:dyDescent="0.25"/>
  <cols>
    <col min="1" max="1" width="9" style="2" bestFit="1" customWidth="1"/>
    <col min="2" max="2" width="47.6640625" style="2" customWidth="1"/>
    <col min="3" max="3" width="7.33203125" style="13" bestFit="1" customWidth="1"/>
    <col min="4" max="4" width="15.1093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1.6640625" style="2" bestFit="1" customWidth="1"/>
    <col min="10" max="10" width="12.6640625" style="2" bestFit="1" customWidth="1"/>
    <col min="11" max="11" width="10.21875" style="2" customWidth="1"/>
    <col min="12" max="12" width="11.6640625" style="2" bestFit="1" customWidth="1"/>
    <col min="13" max="13" width="7.6640625" style="2" bestFit="1" customWidth="1"/>
    <col min="14" max="14" width="7.77734375" style="2" bestFit="1" customWidth="1"/>
    <col min="15" max="15" width="10" style="2" bestFit="1" customWidth="1"/>
    <col min="16" max="16" width="36.44140625" style="2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3" x14ac:dyDescent="0.25">
      <c r="A1" s="1" t="s">
        <v>103</v>
      </c>
    </row>
    <row r="2" spans="1:23" x14ac:dyDescent="0.25">
      <c r="A2" s="1" t="s">
        <v>0</v>
      </c>
    </row>
    <row r="3" spans="1:23" x14ac:dyDescent="0.25">
      <c r="A3" s="1"/>
    </row>
    <row r="4" spans="1:23" x14ac:dyDescent="0.25">
      <c r="A4" s="1"/>
      <c r="K4" s="24" t="s">
        <v>39</v>
      </c>
      <c r="L4" s="146">
        <v>1651912</v>
      </c>
      <c r="M4" s="4"/>
      <c r="N4" s="4"/>
    </row>
    <row r="5" spans="1:23" x14ac:dyDescent="0.25">
      <c r="M5" s="4"/>
      <c r="N5" s="4"/>
    </row>
    <row r="6" spans="1:23" s="9" customFormat="1" ht="31.95" customHeight="1" x14ac:dyDescent="0.25">
      <c r="A6" s="7" t="s">
        <v>1</v>
      </c>
      <c r="B6" s="7" t="s">
        <v>2</v>
      </c>
      <c r="C6" s="8" t="s">
        <v>11</v>
      </c>
      <c r="D6" s="28" t="s">
        <v>21</v>
      </c>
      <c r="E6" s="28" t="s">
        <v>3</v>
      </c>
      <c r="F6" s="28" t="s">
        <v>22</v>
      </c>
      <c r="G6" s="28" t="s">
        <v>34</v>
      </c>
      <c r="H6" s="28" t="s">
        <v>35</v>
      </c>
      <c r="I6" s="28" t="s">
        <v>36</v>
      </c>
      <c r="J6" s="28" t="s">
        <v>4</v>
      </c>
      <c r="K6" s="28" t="s">
        <v>24</v>
      </c>
      <c r="L6" s="28" t="s">
        <v>47</v>
      </c>
      <c r="M6" s="77" t="s">
        <v>45</v>
      </c>
      <c r="N6" s="77" t="s">
        <v>46</v>
      </c>
      <c r="O6" s="10" t="s">
        <v>38</v>
      </c>
      <c r="Q6" s="2"/>
      <c r="R6" s="2"/>
      <c r="S6" s="2"/>
      <c r="T6" s="2"/>
      <c r="U6" s="2"/>
      <c r="V6" s="2"/>
      <c r="W6" s="2"/>
    </row>
    <row r="7" spans="1:23" s="39" customFormat="1" x14ac:dyDescent="0.25">
      <c r="A7" s="3">
        <v>1</v>
      </c>
      <c r="B7" s="35" t="s">
        <v>5</v>
      </c>
      <c r="C7" s="72"/>
      <c r="D7" s="35"/>
      <c r="E7" s="36"/>
      <c r="F7" s="37"/>
      <c r="G7" s="37"/>
      <c r="H7" s="9"/>
      <c r="I7" s="9"/>
      <c r="J7" s="36"/>
      <c r="K7" s="37"/>
      <c r="L7" s="36"/>
      <c r="M7" s="38"/>
      <c r="N7" s="38"/>
      <c r="Q7" s="2"/>
      <c r="R7" s="2"/>
      <c r="S7" s="2"/>
      <c r="T7" s="2"/>
      <c r="U7" s="2"/>
      <c r="V7" s="2"/>
      <c r="W7" s="2"/>
    </row>
    <row r="8" spans="1:23" s="39" customFormat="1" x14ac:dyDescent="0.25">
      <c r="A8" s="3">
        <f>A7+1</f>
        <v>2</v>
      </c>
      <c r="B8" s="39" t="str">
        <f>'Billing Detail'!B7</f>
        <v>Schedule 1 - Rates for Farm and Home Service</v>
      </c>
      <c r="C8" s="13">
        <f>'Billing Detail'!C7</f>
        <v>1</v>
      </c>
      <c r="D8" s="40">
        <f>'Billing Detail'!G10</f>
        <v>38049723.367760003</v>
      </c>
      <c r="E8" s="40">
        <f>'Billing Detail'!I10</f>
        <v>37478968.260920003</v>
      </c>
      <c r="F8" s="38">
        <f t="shared" ref="F8:F17" si="0">E8/E$17</f>
        <v>0.7482679314556504</v>
      </c>
      <c r="G8" s="104">
        <f>E8</f>
        <v>37478968.260920003</v>
      </c>
      <c r="H8" s="105">
        <f t="shared" ref="H8:H16" si="1">G8/G$17</f>
        <v>0.7482679314556504</v>
      </c>
      <c r="I8" s="106">
        <f t="shared" ref="I8:I16" si="2">ROUND(L$4*H8,2)</f>
        <v>1236072.78</v>
      </c>
      <c r="J8" s="40">
        <f>'Billing Detail'!M10</f>
        <v>38716009.117480002</v>
      </c>
      <c r="K8" s="38">
        <f t="shared" ref="K8:K17" si="3">J8/J$17</f>
        <v>0.74825114249486369</v>
      </c>
      <c r="L8" s="40">
        <f>'Billing Detail'!N10</f>
        <v>1237040.8565599993</v>
      </c>
      <c r="M8" s="38">
        <f>IF(E8=0,0,L8/E8)</f>
        <v>3.3006267620495952E-2</v>
      </c>
      <c r="N8" s="38">
        <f>'Billing Detail'!O16</f>
        <v>3.0667440351511449E-2</v>
      </c>
      <c r="O8" s="42">
        <f>J8-I8-E8</f>
        <v>968.07655999809504</v>
      </c>
      <c r="Q8" s="2"/>
      <c r="R8" s="2"/>
      <c r="S8" s="2"/>
      <c r="T8" s="2"/>
      <c r="U8" s="2"/>
      <c r="V8" s="2"/>
      <c r="W8" s="2"/>
    </row>
    <row r="9" spans="1:23" s="39" customFormat="1" x14ac:dyDescent="0.25">
      <c r="A9" s="3">
        <f t="shared" ref="A9:A31" si="4">A8+1</f>
        <v>3</v>
      </c>
      <c r="B9" s="39" t="str">
        <f>'Billing Detail'!B19</f>
        <v>Schedule NM - Net Metering</v>
      </c>
      <c r="C9" s="13">
        <f>'Billing Detail'!C19</f>
        <v>8</v>
      </c>
      <c r="D9" s="40">
        <f>'Billing Detail'!G22</f>
        <v>38400.630899999996</v>
      </c>
      <c r="E9" s="40">
        <f>'Billing Detail'!I22</f>
        <v>37827.491549999999</v>
      </c>
      <c r="F9" s="38">
        <f t="shared" si="0"/>
        <v>7.5522620199203379E-4</v>
      </c>
      <c r="G9" s="104">
        <f t="shared" ref="G9:G16" si="5">E9</f>
        <v>37827.491549999999</v>
      </c>
      <c r="H9" s="105">
        <f t="shared" si="1"/>
        <v>7.5522620199203379E-4</v>
      </c>
      <c r="I9" s="106">
        <f t="shared" si="2"/>
        <v>1247.57</v>
      </c>
      <c r="J9" s="40">
        <f>'Billing Detail'!M22</f>
        <v>39076.014449999995</v>
      </c>
      <c r="K9" s="38">
        <f t="shared" si="3"/>
        <v>7.552088431335048E-4</v>
      </c>
      <c r="L9" s="40">
        <f>'Billing Detail'!N22</f>
        <v>1248.5228999999963</v>
      </c>
      <c r="M9" s="38">
        <f t="shared" ref="M9:M16" si="6">IF(E9=0,0,L9/E9)</f>
        <v>3.3005701642936362E-2</v>
      </c>
      <c r="N9" s="38">
        <f>'Billing Detail'!O28</f>
        <v>3.2120508256029565E-2</v>
      </c>
      <c r="O9" s="42">
        <f t="shared" ref="O9:O17" si="7">J9-I9-E9</f>
        <v>0.95289999999658903</v>
      </c>
      <c r="Q9" s="2"/>
      <c r="R9" s="2"/>
      <c r="S9" s="2"/>
      <c r="T9" s="2"/>
      <c r="U9" s="2"/>
      <c r="V9" s="2"/>
      <c r="W9" s="2"/>
    </row>
    <row r="10" spans="1:23" s="39" customFormat="1" x14ac:dyDescent="0.25">
      <c r="A10" s="3">
        <f t="shared" si="4"/>
        <v>4</v>
      </c>
      <c r="B10" s="39" t="str">
        <f>'Billing Detail'!B31</f>
        <v>Schedule 1-A - Farm and Home Marketing Rate (ETS)</v>
      </c>
      <c r="C10" s="13" t="str">
        <f>'Billing Detail'!C31</f>
        <v>11,12</v>
      </c>
      <c r="D10" s="40">
        <f>'Billing Detail'!G34</f>
        <v>31526.713739999999</v>
      </c>
      <c r="E10" s="40">
        <f>'Billing Detail'!I34</f>
        <v>31002.290400000002</v>
      </c>
      <c r="F10" s="38">
        <f t="shared" si="0"/>
        <v>6.1896100091379412E-4</v>
      </c>
      <c r="G10" s="104">
        <f t="shared" si="5"/>
        <v>31002.290400000002</v>
      </c>
      <c r="H10" s="105">
        <f t="shared" si="1"/>
        <v>6.1896100091379412E-4</v>
      </c>
      <c r="I10" s="106">
        <f t="shared" si="2"/>
        <v>1022.47</v>
      </c>
      <c r="J10" s="40">
        <f>'Billing Detail'!M34</f>
        <v>32023.14414</v>
      </c>
      <c r="K10" s="38">
        <f t="shared" si="3"/>
        <v>6.1890041704257986E-4</v>
      </c>
      <c r="L10" s="40">
        <f>'Billing Detail'!N34</f>
        <v>1020.8537399999987</v>
      </c>
      <c r="M10" s="38">
        <f t="shared" si="6"/>
        <v>3.2928332933749908E-2</v>
      </c>
      <c r="N10" s="38">
        <f>'Billing Detail'!O40</f>
        <v>3.07730083801083E-2</v>
      </c>
      <c r="O10" s="42">
        <f t="shared" si="7"/>
        <v>-1.6162600000025122</v>
      </c>
      <c r="Q10" s="2"/>
      <c r="R10" s="2"/>
      <c r="S10" s="2"/>
      <c r="T10" s="2"/>
      <c r="U10" s="2"/>
      <c r="V10" s="2"/>
      <c r="W10" s="2"/>
    </row>
    <row r="11" spans="1:23" s="39" customFormat="1" x14ac:dyDescent="0.25">
      <c r="A11" s="3">
        <f t="shared" si="4"/>
        <v>5</v>
      </c>
      <c r="B11" s="39" t="str">
        <f>'Billing Detail'!B43</f>
        <v>Schedule 2 - Small Commercial and Small Power</v>
      </c>
      <c r="C11" s="13">
        <f>'Billing Detail'!C43</f>
        <v>2</v>
      </c>
      <c r="D11" s="40">
        <f>'Billing Detail'!G47</f>
        <v>2143307.6366299996</v>
      </c>
      <c r="E11" s="40">
        <f>'Billing Detail'!I47</f>
        <v>2115379.48061</v>
      </c>
      <c r="F11" s="38">
        <f t="shared" si="0"/>
        <v>4.2233569963297538E-2</v>
      </c>
      <c r="G11" s="104">
        <f t="shared" si="5"/>
        <v>2115379.48061</v>
      </c>
      <c r="H11" s="105">
        <f t="shared" si="1"/>
        <v>4.2233569963297538E-2</v>
      </c>
      <c r="I11" s="106">
        <f t="shared" si="2"/>
        <v>69766.14</v>
      </c>
      <c r="J11" s="40">
        <f>'Billing Detail'!M47</f>
        <v>2184951.4425400002</v>
      </c>
      <c r="K11" s="38">
        <f t="shared" si="3"/>
        <v>4.2227813518057399E-2</v>
      </c>
      <c r="L11" s="40">
        <f>'Billing Detail'!N47</f>
        <v>69571.961930000223</v>
      </c>
      <c r="M11" s="38">
        <f>IF(E11=0,0,L11/E11)</f>
        <v>3.2888643653638049E-2</v>
      </c>
      <c r="N11" s="38">
        <f>'Billing Detail'!O53</f>
        <v>3.0832379932907206E-2</v>
      </c>
      <c r="O11" s="42">
        <f>J11-I11-E11</f>
        <v>-194.17806999990717</v>
      </c>
      <c r="Q11" s="2"/>
      <c r="R11" s="2"/>
      <c r="S11" s="2"/>
      <c r="T11" s="2"/>
      <c r="U11" s="2"/>
      <c r="V11" s="2"/>
      <c r="W11" s="2"/>
    </row>
    <row r="12" spans="1:23" s="39" customFormat="1" x14ac:dyDescent="0.25">
      <c r="A12" s="3">
        <f t="shared" si="4"/>
        <v>6</v>
      </c>
      <c r="B12" s="39" t="str">
        <f>'Billing Detail'!B56</f>
        <v>Schedule 4 - Large Power Rate (LPR)</v>
      </c>
      <c r="C12" s="13">
        <f>'Billing Detail'!C56</f>
        <v>4</v>
      </c>
      <c r="D12" s="40">
        <f>'Billing Detail'!G60</f>
        <v>2106436.1792899999</v>
      </c>
      <c r="E12" s="40">
        <f>'Billing Detail'!I60</f>
        <v>2070902.6430500001</v>
      </c>
      <c r="F12" s="38">
        <f t="shared" si="0"/>
        <v>4.1345589509646348E-2</v>
      </c>
      <c r="G12" s="104">
        <f t="shared" si="5"/>
        <v>2070902.6430500001</v>
      </c>
      <c r="H12" s="105">
        <f t="shared" si="1"/>
        <v>4.1345589509646348E-2</v>
      </c>
      <c r="I12" s="106">
        <f t="shared" si="2"/>
        <v>68299.28</v>
      </c>
      <c r="J12" s="40">
        <f>'Billing Detail'!M60</f>
        <v>2138815.4400399998</v>
      </c>
      <c r="K12" s="38">
        <f t="shared" si="3"/>
        <v>4.133615868669243E-2</v>
      </c>
      <c r="L12" s="40">
        <f>'Billing Detail'!N60</f>
        <v>67912.796990000017</v>
      </c>
      <c r="M12" s="38">
        <f t="shared" ref="M12" si="8">IF(E12=0,0,L12/E12)</f>
        <v>3.2793814435418789E-2</v>
      </c>
      <c r="N12" s="38">
        <f>'Billing Detail'!O66</f>
        <v>3.0633062439274206E-2</v>
      </c>
      <c r="O12" s="42">
        <f t="shared" ref="O12" si="9">J12-I12-E12</f>
        <v>-386.48301000031643</v>
      </c>
      <c r="Q12" s="2"/>
      <c r="R12" s="2"/>
      <c r="S12" s="2"/>
      <c r="T12" s="2"/>
      <c r="U12" s="2"/>
      <c r="V12" s="2"/>
      <c r="W12" s="2"/>
    </row>
    <row r="13" spans="1:23" s="39" customFormat="1" x14ac:dyDescent="0.25">
      <c r="A13" s="3">
        <f t="shared" si="4"/>
        <v>7</v>
      </c>
      <c r="B13" s="39" t="str">
        <f>'Billing Detail'!B69</f>
        <v>Schedule 5 - All Electric School Rate</v>
      </c>
      <c r="C13" s="13">
        <f>'Billing Detail'!C69</f>
        <v>5</v>
      </c>
      <c r="D13" s="40">
        <f>'Billing Detail'!G72</f>
        <v>391221.96311999991</v>
      </c>
      <c r="E13" s="40">
        <f>'Billing Detail'!I72</f>
        <v>384026.75678999996</v>
      </c>
      <c r="F13" s="38">
        <f t="shared" si="0"/>
        <v>7.6670975819391899E-3</v>
      </c>
      <c r="G13" s="104">
        <f t="shared" si="5"/>
        <v>384026.75678999996</v>
      </c>
      <c r="H13" s="105">
        <f t="shared" si="1"/>
        <v>7.6670975819391899E-3</v>
      </c>
      <c r="I13" s="106">
        <f t="shared" si="2"/>
        <v>12665.37</v>
      </c>
      <c r="J13" s="40">
        <f>'Billing Detail'!M72</f>
        <v>396710.01464999997</v>
      </c>
      <c r="K13" s="38">
        <f t="shared" si="3"/>
        <v>7.6670795484185383E-3</v>
      </c>
      <c r="L13" s="40">
        <f>'Billing Detail'!N72</f>
        <v>12683.257859999991</v>
      </c>
      <c r="M13" s="38">
        <f t="shared" si="6"/>
        <v>3.3027016049654231E-2</v>
      </c>
      <c r="N13" s="38">
        <f>'Billing Detail'!O72</f>
        <v>3.3027016049654231E-2</v>
      </c>
      <c r="O13" s="42">
        <f t="shared" si="7"/>
        <v>17.887860000017099</v>
      </c>
      <c r="Q13" s="2"/>
      <c r="R13" s="2"/>
      <c r="S13" s="2"/>
      <c r="T13" s="2"/>
      <c r="U13" s="2"/>
      <c r="V13" s="2"/>
      <c r="W13" s="2"/>
    </row>
    <row r="14" spans="1:23" s="39" customFormat="1" x14ac:dyDescent="0.25">
      <c r="A14" s="3">
        <f t="shared" si="4"/>
        <v>8</v>
      </c>
      <c r="B14" s="39" t="str">
        <f>'Billing Detail'!B81</f>
        <v>Schedule 6 - Outdoor Lighting Service - Security Lights</v>
      </c>
      <c r="C14" s="13">
        <f>'Billing Detail'!C81</f>
        <v>6</v>
      </c>
      <c r="D14" s="40">
        <f>'Billing Detail'!G83</f>
        <v>35129.19384</v>
      </c>
      <c r="E14" s="40">
        <f>'Billing Detail'!I83</f>
        <v>34536.626280000004</v>
      </c>
      <c r="F14" s="38">
        <f t="shared" si="0"/>
        <v>6.895240478895214E-4</v>
      </c>
      <c r="G14" s="104">
        <f t="shared" si="5"/>
        <v>34536.626280000004</v>
      </c>
      <c r="H14" s="105">
        <f t="shared" si="1"/>
        <v>6.895240478895214E-4</v>
      </c>
      <c r="I14" s="106">
        <f t="shared" si="2"/>
        <v>1139.03</v>
      </c>
      <c r="J14" s="40">
        <f>'Billing Detail'!M83</f>
        <v>35677.039319999996</v>
      </c>
      <c r="K14" s="38">
        <f t="shared" si="3"/>
        <v>6.8951800664731721E-4</v>
      </c>
      <c r="L14" s="40">
        <f>'Billing Detail'!N83</f>
        <v>1140.4130399999922</v>
      </c>
      <c r="M14" s="38">
        <f t="shared" ref="M14:M15" si="10">IF(E14=0,0,L14/E14)</f>
        <v>3.3020394949821716E-2</v>
      </c>
      <c r="N14" s="65">
        <f>'Billing Detail'!O89</f>
        <v>2.6282633724972058E-2</v>
      </c>
      <c r="O14" s="42">
        <f t="shared" si="7"/>
        <v>1.3830399999933434</v>
      </c>
      <c r="Q14" s="2"/>
      <c r="R14" s="2"/>
      <c r="S14" s="2"/>
      <c r="T14" s="2"/>
      <c r="U14" s="2"/>
      <c r="V14" s="2"/>
      <c r="W14" s="2"/>
    </row>
    <row r="15" spans="1:23" s="39" customFormat="1" x14ac:dyDescent="0.25">
      <c r="A15" s="3">
        <f t="shared" si="4"/>
        <v>9</v>
      </c>
      <c r="B15" s="39" t="str">
        <f>'Billing Detail'!B92</f>
        <v>Schedule B1 - Large Industrial Rate</v>
      </c>
      <c r="C15" s="13" t="str">
        <f>'Billing Detail'!C92</f>
        <v>B1</v>
      </c>
      <c r="D15" s="40">
        <f>'Billing Detail'!G97</f>
        <v>6907944.6928170007</v>
      </c>
      <c r="E15" s="40">
        <f>'Billing Detail'!I97</f>
        <v>6802620.2657970004</v>
      </c>
      <c r="F15" s="38">
        <f t="shared" si="0"/>
        <v>0.13581437352622733</v>
      </c>
      <c r="G15" s="104">
        <f t="shared" si="5"/>
        <v>6802620.2657970004</v>
      </c>
      <c r="H15" s="105">
        <f t="shared" si="1"/>
        <v>0.13581437352622733</v>
      </c>
      <c r="I15" s="106">
        <f t="shared" si="2"/>
        <v>224353.39</v>
      </c>
      <c r="J15" s="40">
        <f>'Billing Detail'!M97</f>
        <v>7028882.8160610013</v>
      </c>
      <c r="K15" s="38">
        <f t="shared" si="3"/>
        <v>0.13584482795272385</v>
      </c>
      <c r="L15" s="40">
        <f>'Billing Detail'!N97</f>
        <v>226262.55026400034</v>
      </c>
      <c r="M15" s="38">
        <f t="shared" si="10"/>
        <v>3.3261087848990969E-2</v>
      </c>
      <c r="N15" s="38">
        <f>'Billing Detail'!O103</f>
        <v>3.2216933371804951E-2</v>
      </c>
      <c r="O15" s="42">
        <f t="shared" si="7"/>
        <v>1909.1602640012279</v>
      </c>
      <c r="Q15" s="2"/>
      <c r="R15" s="2"/>
      <c r="S15" s="2"/>
      <c r="T15" s="2"/>
      <c r="U15" s="2"/>
      <c r="V15" s="2"/>
      <c r="W15" s="2"/>
    </row>
    <row r="16" spans="1:23" s="39" customFormat="1" x14ac:dyDescent="0.25">
      <c r="A16" s="3">
        <f t="shared" si="4"/>
        <v>10</v>
      </c>
      <c r="B16" s="39" t="str">
        <f>'Billing Detail'!B106</f>
        <v>Lighting</v>
      </c>
      <c r="C16" s="13">
        <f>'Billing Detail'!C106</f>
        <v>6</v>
      </c>
      <c r="D16" s="40">
        <f>'Billing Detail'!G126</f>
        <v>1139594.46</v>
      </c>
      <c r="E16" s="40">
        <f>'Billing Detail'!I126</f>
        <v>1132367.48</v>
      </c>
      <c r="F16" s="38">
        <f t="shared" si="0"/>
        <v>2.2607726712444147E-2</v>
      </c>
      <c r="G16" s="104">
        <f t="shared" si="5"/>
        <v>1132367.48</v>
      </c>
      <c r="H16" s="105">
        <f t="shared" si="1"/>
        <v>2.2607726712444147E-2</v>
      </c>
      <c r="I16" s="106">
        <f t="shared" si="2"/>
        <v>37345.980000000003</v>
      </c>
      <c r="J16" s="40">
        <f>'Billing Detail'!M126</f>
        <v>1169852.97</v>
      </c>
      <c r="K16" s="38">
        <f t="shared" si="3"/>
        <v>2.2609350532420913E-2</v>
      </c>
      <c r="L16" s="40">
        <f t="shared" ref="L16:L17" si="11">J16-E16</f>
        <v>37485.489999999991</v>
      </c>
      <c r="M16" s="38">
        <f t="shared" si="6"/>
        <v>3.3103644057316084E-2</v>
      </c>
      <c r="N16" s="38">
        <f>'Billing Detail'!O132</f>
        <v>3.3103644057316084E-2</v>
      </c>
      <c r="O16" s="42">
        <f t="shared" si="7"/>
        <v>139.51000000000931</v>
      </c>
      <c r="Q16" s="2"/>
      <c r="R16" s="2"/>
      <c r="S16" s="2"/>
      <c r="T16" s="2"/>
      <c r="U16" s="2"/>
      <c r="V16" s="2"/>
      <c r="W16" s="2"/>
    </row>
    <row r="17" spans="1:23" s="39" customFormat="1" ht="16.2" customHeight="1" x14ac:dyDescent="0.25">
      <c r="A17" s="3">
        <f t="shared" si="4"/>
        <v>11</v>
      </c>
      <c r="B17" s="43" t="s">
        <v>44</v>
      </c>
      <c r="C17" s="73"/>
      <c r="D17" s="44">
        <f>SUM(D8:D16)</f>
        <v>50843284.838096999</v>
      </c>
      <c r="E17" s="44">
        <f>SUM(E8:E16)</f>
        <v>50087631.295396991</v>
      </c>
      <c r="F17" s="45">
        <f t="shared" si="0"/>
        <v>1</v>
      </c>
      <c r="G17" s="44">
        <f>SUM(G8:G16)</f>
        <v>50087631.295396991</v>
      </c>
      <c r="H17" s="45">
        <v>1</v>
      </c>
      <c r="I17" s="44">
        <f>SUM(I8:I16)</f>
        <v>1651912.0100000002</v>
      </c>
      <c r="J17" s="44">
        <f>SUM(J8:J16)</f>
        <v>51741997.998680994</v>
      </c>
      <c r="K17" s="45">
        <f t="shared" si="3"/>
        <v>1</v>
      </c>
      <c r="L17" s="44">
        <f t="shared" si="11"/>
        <v>1654366.7032840028</v>
      </c>
      <c r="M17" s="45">
        <f t="shared" ref="M17" si="12">L17/E17</f>
        <v>3.3029445803240402E-2</v>
      </c>
      <c r="N17" s="45"/>
      <c r="O17" s="46">
        <f t="shared" si="7"/>
        <v>2454.6932840049267</v>
      </c>
      <c r="Q17" s="2"/>
      <c r="R17" s="2"/>
      <c r="S17" s="2"/>
      <c r="T17" s="2"/>
      <c r="U17" s="2"/>
      <c r="V17" s="2"/>
      <c r="W17" s="2"/>
    </row>
    <row r="18" spans="1:23" s="39" customFormat="1" ht="16.2" customHeight="1" x14ac:dyDescent="0.25">
      <c r="A18" s="3">
        <f t="shared" si="4"/>
        <v>12</v>
      </c>
      <c r="B18" s="47"/>
      <c r="C18" s="74"/>
      <c r="D18" s="48"/>
      <c r="E18" s="48"/>
      <c r="F18" s="49"/>
      <c r="G18" s="48"/>
      <c r="H18" s="49"/>
      <c r="I18" s="48"/>
      <c r="J18" s="48"/>
      <c r="K18" s="49"/>
      <c r="L18" s="48"/>
      <c r="M18" s="49"/>
      <c r="N18" s="49"/>
      <c r="O18" s="50"/>
      <c r="Q18" s="2"/>
      <c r="R18" s="2"/>
      <c r="S18" s="2"/>
      <c r="T18" s="2"/>
      <c r="U18" s="2"/>
      <c r="V18" s="2"/>
      <c r="W18" s="2"/>
    </row>
    <row r="19" spans="1:23" s="39" customFormat="1" ht="16.2" customHeight="1" x14ac:dyDescent="0.25">
      <c r="A19" s="3">
        <f t="shared" si="4"/>
        <v>13</v>
      </c>
      <c r="B19" s="51" t="s">
        <v>43</v>
      </c>
      <c r="C19" s="75"/>
      <c r="D19" s="52">
        <f>D17</f>
        <v>50843284.838096999</v>
      </c>
      <c r="E19" s="52">
        <f t="shared" ref="E19:O19" si="13">E17</f>
        <v>50087631.295396991</v>
      </c>
      <c r="F19" s="102">
        <f t="shared" si="13"/>
        <v>1</v>
      </c>
      <c r="G19" s="52">
        <f t="shared" si="13"/>
        <v>50087631.295396991</v>
      </c>
      <c r="H19" s="102">
        <f t="shared" si="13"/>
        <v>1</v>
      </c>
      <c r="I19" s="52">
        <f t="shared" si="13"/>
        <v>1651912.0100000002</v>
      </c>
      <c r="J19" s="52">
        <f t="shared" si="13"/>
        <v>51741997.998680994</v>
      </c>
      <c r="K19" s="102">
        <f t="shared" si="13"/>
        <v>1</v>
      </c>
      <c r="L19" s="52">
        <f t="shared" si="13"/>
        <v>1654366.7032840028</v>
      </c>
      <c r="M19" s="102">
        <f t="shared" si="13"/>
        <v>3.3029445803240402E-2</v>
      </c>
      <c r="N19" s="52"/>
      <c r="O19" s="52">
        <f t="shared" si="13"/>
        <v>2454.6932840049267</v>
      </c>
      <c r="Q19" s="2"/>
      <c r="R19" s="2"/>
      <c r="S19" s="2"/>
      <c r="T19" s="2"/>
      <c r="U19" s="2"/>
      <c r="V19" s="2"/>
      <c r="W19" s="2"/>
    </row>
    <row r="20" spans="1:23" s="39" customFormat="1" ht="12.6" customHeight="1" x14ac:dyDescent="0.25">
      <c r="A20" s="3">
        <f t="shared" si="4"/>
        <v>14</v>
      </c>
      <c r="C20" s="13"/>
      <c r="Q20" s="2"/>
      <c r="R20" s="2"/>
      <c r="S20" s="2"/>
      <c r="T20" s="2"/>
      <c r="U20" s="2"/>
      <c r="V20" s="2"/>
      <c r="W20" s="2"/>
    </row>
    <row r="21" spans="1:23" s="39" customFormat="1" x14ac:dyDescent="0.25">
      <c r="A21" s="3">
        <f t="shared" si="4"/>
        <v>15</v>
      </c>
      <c r="B21" s="35" t="s">
        <v>7</v>
      </c>
      <c r="C21" s="72"/>
      <c r="D21" s="35"/>
    </row>
    <row r="22" spans="1:23" s="39" customFormat="1" x14ac:dyDescent="0.25">
      <c r="A22" s="3">
        <f t="shared" si="4"/>
        <v>16</v>
      </c>
      <c r="B22" s="39" t="str">
        <f>'Billing Detail'!D11</f>
        <v xml:space="preserve">    FAC</v>
      </c>
      <c r="C22" s="13"/>
      <c r="D22" s="40">
        <f>'Billing Detail'!G137</f>
        <v>-2053632.7600000002</v>
      </c>
      <c r="E22" s="40">
        <f>'Billing Detail'!I137</f>
        <v>-1305206.1973000001</v>
      </c>
      <c r="F22" s="53"/>
      <c r="G22" s="54"/>
      <c r="H22" s="54"/>
      <c r="I22" s="54"/>
      <c r="J22" s="40">
        <f>'Billing Detail'!M137</f>
        <v>-1305206.1973000001</v>
      </c>
      <c r="K22" s="55"/>
      <c r="L22" s="55"/>
      <c r="M22" s="54"/>
      <c r="N22" s="54"/>
    </row>
    <row r="23" spans="1:23" s="39" customFormat="1" x14ac:dyDescent="0.25">
      <c r="A23" s="3">
        <f t="shared" si="4"/>
        <v>17</v>
      </c>
      <c r="B23" s="39" t="str">
        <f>'Billing Detail'!D12</f>
        <v xml:space="preserve">    ES</v>
      </c>
      <c r="C23" s="13"/>
      <c r="D23" s="40">
        <f>'Billing Detail'!G138</f>
        <v>4692538.0500000007</v>
      </c>
      <c r="E23" s="40">
        <f>'Billing Detail'!I138</f>
        <v>4692538.0500000007</v>
      </c>
      <c r="F23" s="54"/>
      <c r="G23" s="54"/>
      <c r="H23" s="54"/>
      <c r="I23" s="54"/>
      <c r="J23" s="40">
        <f>'Billing Detail'!M138</f>
        <v>4692538.0500000007</v>
      </c>
      <c r="K23" s="55"/>
      <c r="L23" s="55"/>
      <c r="M23" s="54"/>
      <c r="N23" s="54"/>
    </row>
    <row r="24" spans="1:23" s="39" customFormat="1" x14ac:dyDescent="0.25">
      <c r="A24" s="3">
        <f t="shared" si="4"/>
        <v>18</v>
      </c>
      <c r="B24" s="39" t="str">
        <f>'Billing Detail'!D13</f>
        <v xml:space="preserve">    Prepay Fee</v>
      </c>
      <c r="C24" s="13"/>
      <c r="D24" s="40">
        <f>'Billing Detail'!G139</f>
        <v>15588.199999999999</v>
      </c>
      <c r="E24" s="40">
        <f>'Billing Detail'!I139</f>
        <v>15588.199999999999</v>
      </c>
      <c r="F24" s="54"/>
      <c r="G24" s="54"/>
      <c r="H24" s="54"/>
      <c r="I24" s="54"/>
      <c r="J24" s="40">
        <f>'Billing Detail'!M139</f>
        <v>15588.199999999999</v>
      </c>
      <c r="K24" s="55"/>
      <c r="L24" s="55"/>
      <c r="M24" s="54"/>
      <c r="N24" s="54"/>
    </row>
    <row r="25" spans="1:23" s="39" customFormat="1" x14ac:dyDescent="0.25">
      <c r="A25" s="3">
        <f t="shared" si="4"/>
        <v>19</v>
      </c>
      <c r="B25" s="39" t="str">
        <f>'Billing Detail'!D14</f>
        <v xml:space="preserve">    Other</v>
      </c>
      <c r="C25" s="13"/>
      <c r="D25" s="40">
        <f>'Billing Detail'!G140</f>
        <v>0</v>
      </c>
      <c r="E25" s="40">
        <f>'Billing Detail'!I140</f>
        <v>0</v>
      </c>
      <c r="F25" s="54"/>
      <c r="G25" s="54"/>
      <c r="H25" s="54"/>
      <c r="I25" s="54"/>
      <c r="J25" s="40">
        <f>'Billing Detail'!M140</f>
        <v>0</v>
      </c>
      <c r="K25" s="55"/>
      <c r="L25" s="55"/>
      <c r="M25" s="54"/>
      <c r="N25" s="64"/>
    </row>
    <row r="26" spans="1:23" s="39" customFormat="1" x14ac:dyDescent="0.25">
      <c r="A26" s="3">
        <f t="shared" si="4"/>
        <v>20</v>
      </c>
      <c r="B26" s="43" t="s">
        <v>8</v>
      </c>
      <c r="C26" s="73"/>
      <c r="D26" s="44">
        <f>SUM(D22:D25)</f>
        <v>2654493.4900000007</v>
      </c>
      <c r="E26" s="44">
        <f>SUM(E22:E25)</f>
        <v>3402920.0527000008</v>
      </c>
      <c r="F26" s="56"/>
      <c r="G26" s="56"/>
      <c r="H26" s="56"/>
      <c r="I26" s="56"/>
      <c r="J26" s="44">
        <f>SUM(J22:J25)</f>
        <v>3402920.0527000008</v>
      </c>
      <c r="K26" s="57"/>
      <c r="L26" s="57"/>
      <c r="M26" s="56"/>
      <c r="N26" s="63"/>
    </row>
    <row r="27" spans="1:23" s="39" customFormat="1" x14ac:dyDescent="0.25">
      <c r="A27" s="3">
        <f t="shared" si="4"/>
        <v>21</v>
      </c>
      <c r="C27" s="13"/>
    </row>
    <row r="28" spans="1:23" s="39" customFormat="1" ht="18" customHeight="1" thickBot="1" x14ac:dyDescent="0.3">
      <c r="A28" s="3">
        <f t="shared" si="4"/>
        <v>22</v>
      </c>
      <c r="B28" s="58" t="s">
        <v>9</v>
      </c>
      <c r="C28" s="76"/>
      <c r="D28" s="59">
        <f>D19+D26</f>
        <v>53497778.328097001</v>
      </c>
      <c r="E28" s="59">
        <f>E19+E26</f>
        <v>53490551.348096989</v>
      </c>
      <c r="F28" s="60"/>
      <c r="G28" s="60"/>
      <c r="H28" s="60"/>
      <c r="I28" s="60"/>
      <c r="J28" s="59">
        <f>J19+J26</f>
        <v>55144918.051380992</v>
      </c>
      <c r="K28" s="61"/>
      <c r="L28" s="60">
        <f t="shared" ref="L28" si="14">J28-E28</f>
        <v>1654366.7032840028</v>
      </c>
      <c r="M28" s="58"/>
      <c r="N28" s="62">
        <f>L28/E28</f>
        <v>3.0928204357401141E-2</v>
      </c>
    </row>
    <row r="29" spans="1:23" s="39" customFormat="1" ht="18" customHeight="1" thickTop="1" x14ac:dyDescent="0.25">
      <c r="A29" s="3">
        <f t="shared" si="4"/>
        <v>23</v>
      </c>
      <c r="B29" s="39" t="s">
        <v>10</v>
      </c>
      <c r="C29" s="13"/>
      <c r="D29" s="41"/>
      <c r="L29" s="48">
        <f>L4</f>
        <v>1651912</v>
      </c>
    </row>
    <row r="30" spans="1:23" s="39" customFormat="1" ht="15" customHeight="1" x14ac:dyDescent="0.25">
      <c r="A30" s="3">
        <f t="shared" si="4"/>
        <v>24</v>
      </c>
      <c r="B30" s="43" t="s">
        <v>40</v>
      </c>
      <c r="C30" s="73"/>
      <c r="D30" s="44"/>
      <c r="E30" s="43"/>
      <c r="F30" s="43"/>
      <c r="G30" s="43"/>
      <c r="H30" s="43"/>
      <c r="I30" s="43"/>
      <c r="J30" s="43"/>
      <c r="K30" s="43"/>
      <c r="L30" s="44">
        <f>L28-L29</f>
        <v>2454.7032840028405</v>
      </c>
    </row>
    <row r="31" spans="1:23" s="39" customFormat="1" ht="15" customHeight="1" x14ac:dyDescent="0.25">
      <c r="A31" s="3">
        <f t="shared" si="4"/>
        <v>25</v>
      </c>
      <c r="B31" s="39" t="s">
        <v>40</v>
      </c>
      <c r="C31" s="13"/>
      <c r="D31" s="38"/>
      <c r="L31" s="38">
        <f>L30/L29</f>
        <v>1.4859770278337107E-3</v>
      </c>
    </row>
    <row r="32" spans="1:23" x14ac:dyDescent="0.25">
      <c r="A32" s="3"/>
    </row>
  </sheetData>
  <printOptions horizontalCentered="1"/>
  <pageMargins left="0.7" right="0.7" top="0.75" bottom="0.75" header="0.3" footer="0.3"/>
  <pageSetup scale="68" orientation="landscape" r:id="rId1"/>
  <headerFooter>
    <oddHeader>&amp;R&amp;"Arial,Bold"&amp;10Exhibit 3
 Page &amp;P of &amp;N</oddHeader>
  </headerFooter>
  <ignoredErrors>
    <ignoredError sqref="J17 F17 J14:J15 J8 G8 G16 J9:J10 G9:G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T184"/>
  <sheetViews>
    <sheetView tabSelected="1" view="pageBreakPreview" zoomScale="75" zoomScaleNormal="75" zoomScaleSheetLayoutView="75" workbookViewId="0">
      <pane xSplit="4" ySplit="5" topLeftCell="E159" activePane="bottomRight" state="frozen"/>
      <selection activeCell="C25" sqref="C25"/>
      <selection pane="topRight" activeCell="C25" sqref="C25"/>
      <selection pane="bottomLeft" activeCell="C25" sqref="C25"/>
      <selection pane="bottomRight" activeCell="N179" sqref="N179"/>
    </sheetView>
  </sheetViews>
  <sheetFormatPr defaultColWidth="8.88671875" defaultRowHeight="13.2" x14ac:dyDescent="0.25"/>
  <cols>
    <col min="1" max="1" width="7.44140625" style="5" customWidth="1"/>
    <col min="2" max="2" width="32.21875" style="2" customWidth="1"/>
    <col min="3" max="3" width="6.6640625" style="13" customWidth="1"/>
    <col min="4" max="4" width="30.44140625" style="2" customWidth="1"/>
    <col min="5" max="5" width="12.6640625" style="103" bestFit="1" customWidth="1"/>
    <col min="6" max="6" width="10" style="103" hidden="1" customWidth="1"/>
    <col min="7" max="7" width="12.6640625" style="103" hidden="1" customWidth="1"/>
    <col min="8" max="8" width="17.33203125" style="103" bestFit="1" customWidth="1"/>
    <col min="9" max="9" width="15.33203125" style="103" customWidth="1"/>
    <col min="10" max="10" width="8.5546875" style="103" bestFit="1" customWidth="1"/>
    <col min="11" max="11" width="12.6640625" style="103" customWidth="1"/>
    <col min="12" max="12" width="10" style="103" bestFit="1" customWidth="1"/>
    <col min="13" max="13" width="12.6640625" style="103" bestFit="1" customWidth="1"/>
    <col min="14" max="14" width="11.6640625" style="103" bestFit="1" customWidth="1"/>
    <col min="15" max="15" width="13" style="103" customWidth="1"/>
    <col min="16" max="16" width="10.21875" style="103" customWidth="1"/>
    <col min="17" max="17" width="9.44140625" style="103" bestFit="1" customWidth="1"/>
    <col min="18" max="18" width="11.21875" style="103" bestFit="1" customWidth="1"/>
    <col min="19" max="19" width="12.6640625" style="2" customWidth="1"/>
    <col min="20" max="20" width="14.109375" style="2" customWidth="1"/>
    <col min="21" max="21" width="8.88671875" style="2" customWidth="1"/>
    <col min="22" max="16384" width="8.88671875" style="2"/>
  </cols>
  <sheetData>
    <row r="1" spans="1:20" x14ac:dyDescent="0.25">
      <c r="A1" s="30" t="str">
        <f>Summary!A1</f>
        <v>INTER-COUNTY ENERGY COOPERATIVE</v>
      </c>
      <c r="F1" s="108"/>
      <c r="G1" s="108"/>
    </row>
    <row r="2" spans="1:20" ht="14.4" customHeight="1" x14ac:dyDescent="0.25">
      <c r="A2" s="30" t="str">
        <f>Summary!A2</f>
        <v>Billing Analysis for Pass-Through Rate Increase</v>
      </c>
      <c r="F2" s="124"/>
      <c r="G2" s="124"/>
      <c r="H2" s="117"/>
      <c r="I2" s="125"/>
      <c r="P2" s="126"/>
      <c r="S2" s="25"/>
      <c r="T2" s="25"/>
    </row>
    <row r="3" spans="1:20" x14ac:dyDescent="0.25">
      <c r="S3" s="25"/>
      <c r="T3" s="25"/>
    </row>
    <row r="4" spans="1:20" x14ac:dyDescent="0.25">
      <c r="D4" s="25"/>
      <c r="S4" s="25"/>
      <c r="T4" s="25"/>
    </row>
    <row r="5" spans="1:20" ht="38.4" customHeight="1" x14ac:dyDescent="0.25">
      <c r="A5" s="15" t="s">
        <v>1</v>
      </c>
      <c r="B5" s="15" t="s">
        <v>12</v>
      </c>
      <c r="C5" s="8" t="s">
        <v>11</v>
      </c>
      <c r="D5" s="15" t="s">
        <v>13</v>
      </c>
      <c r="E5" s="118" t="s">
        <v>14</v>
      </c>
      <c r="F5" s="118" t="s">
        <v>20</v>
      </c>
      <c r="G5" s="118" t="s">
        <v>25</v>
      </c>
      <c r="H5" s="118" t="s">
        <v>26</v>
      </c>
      <c r="I5" s="118" t="s">
        <v>27</v>
      </c>
      <c r="J5" s="118" t="s">
        <v>53</v>
      </c>
      <c r="K5" s="118" t="s">
        <v>10</v>
      </c>
      <c r="L5" s="118" t="s">
        <v>23</v>
      </c>
      <c r="M5" s="118" t="s">
        <v>4</v>
      </c>
      <c r="N5" s="118" t="s">
        <v>15</v>
      </c>
      <c r="O5" s="127" t="s">
        <v>16</v>
      </c>
      <c r="P5" s="118" t="s">
        <v>24</v>
      </c>
      <c r="Q5" s="118" t="s">
        <v>28</v>
      </c>
      <c r="R5" s="118" t="s">
        <v>41</v>
      </c>
      <c r="T5" s="10" t="s">
        <v>37</v>
      </c>
    </row>
    <row r="6" spans="1:20" ht="30.6" customHeight="1" thickBot="1" x14ac:dyDescent="0.3">
      <c r="A6" s="31"/>
      <c r="B6" s="20"/>
      <c r="C6" s="21"/>
      <c r="D6" s="20"/>
      <c r="E6" s="128"/>
      <c r="F6" s="119"/>
      <c r="G6" s="119"/>
      <c r="H6" s="119"/>
      <c r="I6" s="119"/>
      <c r="J6" s="119"/>
      <c r="K6" s="119"/>
      <c r="L6" s="119"/>
      <c r="M6" s="119"/>
      <c r="N6" s="119"/>
      <c r="O6" s="129"/>
      <c r="P6" s="119"/>
      <c r="Q6" s="119"/>
      <c r="R6" s="119"/>
    </row>
    <row r="7" spans="1:20" x14ac:dyDescent="0.25">
      <c r="A7" s="32">
        <v>1</v>
      </c>
      <c r="B7" s="148" t="s">
        <v>75</v>
      </c>
      <c r="C7" s="23">
        <v>1</v>
      </c>
      <c r="D7" s="22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</row>
    <row r="8" spans="1:20" x14ac:dyDescent="0.25">
      <c r="A8" s="32">
        <f>A7+1</f>
        <v>2</v>
      </c>
      <c r="B8" s="149"/>
      <c r="C8" s="2"/>
      <c r="D8" s="2" t="s">
        <v>17</v>
      </c>
      <c r="E8" s="123">
        <f>275312+1901</f>
        <v>277213</v>
      </c>
      <c r="F8" s="108">
        <f>H8</f>
        <v>15.2</v>
      </c>
      <c r="G8" s="107">
        <f>F8*E8</f>
        <v>4213637.5999999996</v>
      </c>
      <c r="H8" s="108">
        <v>15.2</v>
      </c>
      <c r="I8" s="107">
        <f>H8*E8</f>
        <v>4213637.5999999996</v>
      </c>
      <c r="J8" s="121">
        <f>I8/I10</f>
        <v>0.11242672345368791</v>
      </c>
      <c r="K8" s="121"/>
      <c r="L8" s="108">
        <f>ROUND(H8*S10,2)</f>
        <v>15.7</v>
      </c>
      <c r="M8" s="107">
        <f>L8*E8</f>
        <v>4352244.0999999996</v>
      </c>
      <c r="N8" s="107">
        <f t="shared" ref="N8:N13" si="0">M8-I8</f>
        <v>138606.5</v>
      </c>
      <c r="O8" s="121">
        <f>IF(I8=0,0,N8/I8)</f>
        <v>3.2894736842105268E-2</v>
      </c>
      <c r="P8" s="121">
        <f>M8/M10</f>
        <v>0.11241458505688265</v>
      </c>
      <c r="Q8" s="130">
        <f>P8-J8</f>
        <v>-1.2138396805264073E-5</v>
      </c>
      <c r="R8" s="130"/>
      <c r="T8" s="4">
        <f>L8/H8-1</f>
        <v>3.289473684210531E-2</v>
      </c>
    </row>
    <row r="9" spans="1:20" x14ac:dyDescent="0.25">
      <c r="A9" s="32">
        <f t="shared" ref="A9:A72" si="1">A8+1</f>
        <v>3</v>
      </c>
      <c r="B9" s="33"/>
      <c r="D9" s="2" t="s">
        <v>50</v>
      </c>
      <c r="E9" s="123">
        <f>356169364+2796112</f>
        <v>358965476</v>
      </c>
      <c r="F9" s="109">
        <f>H9+0.00159</f>
        <v>9.4259999999999997E-2</v>
      </c>
      <c r="G9" s="107">
        <f t="shared" ref="G9" si="2">F9*E9</f>
        <v>33836085.767760001</v>
      </c>
      <c r="H9" s="109">
        <v>9.2670000000000002E-2</v>
      </c>
      <c r="I9" s="107">
        <f t="shared" ref="I9" si="3">H9*E9</f>
        <v>33265330.660920002</v>
      </c>
      <c r="J9" s="121">
        <f>I9/I10</f>
        <v>0.88757327654631202</v>
      </c>
      <c r="K9" s="121"/>
      <c r="L9" s="131">
        <f>ROUND(H9*S10,5)</f>
        <v>9.5729999999999996E-2</v>
      </c>
      <c r="M9" s="107">
        <f t="shared" ref="M9" si="4">L9*E9</f>
        <v>34363765.017480001</v>
      </c>
      <c r="N9" s="107">
        <f t="shared" si="0"/>
        <v>1098434.3565599993</v>
      </c>
      <c r="O9" s="121">
        <f t="shared" ref="O9" si="5">IF(I9=0,0,N9/I9)</f>
        <v>3.3020394949821924E-2</v>
      </c>
      <c r="P9" s="121">
        <f>M9/M10</f>
        <v>0.88758541494311727</v>
      </c>
      <c r="Q9" s="130">
        <f t="shared" ref="Q9:Q10" si="6">P9-J9</f>
        <v>1.2138396805250196E-5</v>
      </c>
      <c r="R9" s="130"/>
      <c r="T9" s="4">
        <f>L9/H9-1</f>
        <v>3.3020394949821785E-2</v>
      </c>
    </row>
    <row r="10" spans="1:20" s="5" customFormat="1" ht="20.399999999999999" customHeight="1" x14ac:dyDescent="0.3">
      <c r="A10" s="32">
        <f t="shared" si="1"/>
        <v>4</v>
      </c>
      <c r="C10" s="14"/>
      <c r="D10" s="16" t="s">
        <v>6</v>
      </c>
      <c r="E10" s="110"/>
      <c r="F10" s="110"/>
      <c r="G10" s="17">
        <f>SUM(G8:G9)</f>
        <v>38049723.367760003</v>
      </c>
      <c r="H10" s="110"/>
      <c r="I10" s="17">
        <f>SUM(I8:I9)</f>
        <v>37478968.260920003</v>
      </c>
      <c r="J10" s="132">
        <f>SUM(J8:J9)</f>
        <v>0.99999999999999989</v>
      </c>
      <c r="K10" s="122">
        <f>I10+Summary!I8</f>
        <v>38715041.040920004</v>
      </c>
      <c r="L10" s="110"/>
      <c r="M10" s="17">
        <f>SUM(M8:M9)</f>
        <v>38716009.117480002</v>
      </c>
      <c r="N10" s="17">
        <f>SUM(N8:N9)</f>
        <v>1237040.8565599993</v>
      </c>
      <c r="O10" s="132">
        <f t="shared" ref="O10" si="7">N10/I10</f>
        <v>3.3006267620495952E-2</v>
      </c>
      <c r="P10" s="132">
        <f>SUM(P8:P9)</f>
        <v>0.99999999999999989</v>
      </c>
      <c r="Q10" s="133">
        <f t="shared" si="6"/>
        <v>0</v>
      </c>
      <c r="R10" s="134">
        <f>M10-K10</f>
        <v>968.07655999809504</v>
      </c>
      <c r="S10" s="5">
        <f>K10/I10</f>
        <v>1.0329804377589784</v>
      </c>
    </row>
    <row r="11" spans="1:20" x14ac:dyDescent="0.25">
      <c r="A11" s="32">
        <f t="shared" si="1"/>
        <v>5</v>
      </c>
      <c r="D11" s="2" t="s">
        <v>29</v>
      </c>
      <c r="G11" s="107">
        <f>-1542205.77-12983.35</f>
        <v>-1555189.12</v>
      </c>
      <c r="I11" s="111">
        <f>G11+(0.00159*E9)</f>
        <v>-984434.01316000009</v>
      </c>
      <c r="K11" s="111"/>
      <c r="M11" s="107">
        <f>I11</f>
        <v>-984434.01316000009</v>
      </c>
      <c r="N11" s="107">
        <f t="shared" si="0"/>
        <v>0</v>
      </c>
      <c r="O11" s="108">
        <v>0</v>
      </c>
      <c r="R11" s="135"/>
    </row>
    <row r="12" spans="1:20" x14ac:dyDescent="0.25">
      <c r="A12" s="32">
        <f t="shared" si="1"/>
        <v>6</v>
      </c>
      <c r="D12" s="2" t="s">
        <v>30</v>
      </c>
      <c r="G12" s="107">
        <f>3795849.88+31298.81</f>
        <v>3827148.69</v>
      </c>
      <c r="I12" s="111">
        <f>G12</f>
        <v>3827148.69</v>
      </c>
      <c r="M12" s="107">
        <f t="shared" ref="M12:M14" si="8">I12</f>
        <v>3827148.69</v>
      </c>
      <c r="N12" s="107">
        <f t="shared" si="0"/>
        <v>0</v>
      </c>
      <c r="O12" s="108">
        <v>0</v>
      </c>
    </row>
    <row r="13" spans="1:20" x14ac:dyDescent="0.25">
      <c r="A13" s="32">
        <f t="shared" si="1"/>
        <v>7</v>
      </c>
      <c r="D13" s="2" t="s">
        <v>84</v>
      </c>
      <c r="E13" s="103">
        <v>1901</v>
      </c>
      <c r="F13" s="108">
        <v>8.1999999999999993</v>
      </c>
      <c r="G13" s="107">
        <f>F13*E13</f>
        <v>15588.199999999999</v>
      </c>
      <c r="I13" s="111">
        <f>G13</f>
        <v>15588.199999999999</v>
      </c>
      <c r="M13" s="107">
        <f t="shared" si="8"/>
        <v>15588.199999999999</v>
      </c>
      <c r="N13" s="107">
        <f t="shared" si="0"/>
        <v>0</v>
      </c>
      <c r="O13" s="108">
        <v>0</v>
      </c>
    </row>
    <row r="14" spans="1:20" x14ac:dyDescent="0.25">
      <c r="A14" s="32">
        <f t="shared" si="1"/>
        <v>8</v>
      </c>
      <c r="D14" s="2" t="s">
        <v>42</v>
      </c>
      <c r="G14" s="107">
        <v>0</v>
      </c>
      <c r="I14" s="111">
        <f>G14</f>
        <v>0</v>
      </c>
      <c r="M14" s="107">
        <f t="shared" si="8"/>
        <v>0</v>
      </c>
      <c r="N14" s="107"/>
      <c r="O14" s="108">
        <v>0</v>
      </c>
    </row>
    <row r="15" spans="1:20" x14ac:dyDescent="0.25">
      <c r="A15" s="32">
        <f t="shared" si="1"/>
        <v>9</v>
      </c>
      <c r="D15" s="12" t="s">
        <v>8</v>
      </c>
      <c r="E15" s="113"/>
      <c r="F15" s="113"/>
      <c r="G15" s="112">
        <f>SUM(G11:G14)</f>
        <v>2287547.77</v>
      </c>
      <c r="H15" s="113"/>
      <c r="I15" s="112">
        <f>SUM(I11:I14)</f>
        <v>2858302.87684</v>
      </c>
      <c r="J15" s="113"/>
      <c r="K15" s="113"/>
      <c r="L15" s="113"/>
      <c r="M15" s="112">
        <f>SUM(M11:M14)</f>
        <v>2858302.87684</v>
      </c>
      <c r="N15" s="112">
        <f>M15-I15</f>
        <v>0</v>
      </c>
      <c r="O15" s="136">
        <v>0</v>
      </c>
    </row>
    <row r="16" spans="1:20" s="5" customFormat="1" ht="26.4" customHeight="1" thickBot="1" x14ac:dyDescent="0.3">
      <c r="A16" s="32">
        <f t="shared" si="1"/>
        <v>10</v>
      </c>
      <c r="C16" s="14"/>
      <c r="D16" s="6" t="s">
        <v>19</v>
      </c>
      <c r="E16" s="115"/>
      <c r="F16" s="115"/>
      <c r="G16" s="114">
        <f>G10+G15</f>
        <v>40337271.137760006</v>
      </c>
      <c r="H16" s="115"/>
      <c r="I16" s="116">
        <f>I15+I10</f>
        <v>40337271.137760006</v>
      </c>
      <c r="J16" s="115"/>
      <c r="K16" s="115"/>
      <c r="L16" s="115"/>
      <c r="M16" s="114">
        <f>M15+M10</f>
        <v>41574311.994320005</v>
      </c>
      <c r="N16" s="114">
        <f>M16-I16</f>
        <v>1237040.8565599993</v>
      </c>
      <c r="O16" s="137">
        <f>N16/I16</f>
        <v>3.0667440351511449E-2</v>
      </c>
      <c r="P16" s="103"/>
      <c r="Q16" s="103"/>
      <c r="R16" s="103"/>
    </row>
    <row r="17" spans="1:20" ht="13.8" thickTop="1" x14ac:dyDescent="0.25">
      <c r="A17" s="32">
        <f t="shared" si="1"/>
        <v>11</v>
      </c>
      <c r="D17" s="2" t="s">
        <v>18</v>
      </c>
      <c r="E17" s="108">
        <f>E9/E8</f>
        <v>1294.9085216061296</v>
      </c>
      <c r="G17" s="138">
        <f>G16/E8</f>
        <v>145.51002708300118</v>
      </c>
      <c r="I17" s="138">
        <f>I16/E8</f>
        <v>145.51002708300118</v>
      </c>
      <c r="M17" s="138">
        <f>M16/E8</f>
        <v>149.97244715911594</v>
      </c>
      <c r="N17" s="138">
        <f>M17-I17</f>
        <v>4.4624200761147677</v>
      </c>
      <c r="O17" s="121">
        <f>N17/I17</f>
        <v>3.0667440351511543E-2</v>
      </c>
    </row>
    <row r="18" spans="1:20" ht="13.8" thickBot="1" x14ac:dyDescent="0.3">
      <c r="A18" s="32">
        <f t="shared" si="1"/>
        <v>12</v>
      </c>
    </row>
    <row r="19" spans="1:20" x14ac:dyDescent="0.25">
      <c r="A19" s="32">
        <f t="shared" si="1"/>
        <v>13</v>
      </c>
      <c r="B19" s="148" t="s">
        <v>76</v>
      </c>
      <c r="C19" s="23">
        <v>8</v>
      </c>
      <c r="D19" s="22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1:20" x14ac:dyDescent="0.25">
      <c r="A20" s="32">
        <f t="shared" si="1"/>
        <v>14</v>
      </c>
      <c r="B20" s="149"/>
      <c r="C20" s="2"/>
      <c r="D20" s="2" t="s">
        <v>17</v>
      </c>
      <c r="E20" s="123">
        <v>291</v>
      </c>
      <c r="F20" s="108">
        <f>F8</f>
        <v>15.2</v>
      </c>
      <c r="G20" s="107">
        <f>F20*E20</f>
        <v>4423.2</v>
      </c>
      <c r="H20" s="108">
        <f>H8</f>
        <v>15.2</v>
      </c>
      <c r="I20" s="107">
        <f>H20*E20</f>
        <v>4423.2</v>
      </c>
      <c r="J20" s="121">
        <f>I20/I22</f>
        <v>0.11693083042933096</v>
      </c>
      <c r="K20" s="121"/>
      <c r="L20" s="108">
        <f>L8</f>
        <v>15.7</v>
      </c>
      <c r="M20" s="107">
        <f>L20*E20</f>
        <v>4568.7</v>
      </c>
      <c r="N20" s="107">
        <f>M20-I20</f>
        <v>145.5</v>
      </c>
      <c r="O20" s="121">
        <f>IF(I20=0,0,N20/I20)</f>
        <v>3.2894736842105261E-2</v>
      </c>
      <c r="P20" s="121">
        <f>M20/M$22</f>
        <v>0.11691826979555231</v>
      </c>
      <c r="Q20" s="130">
        <f>P20-J20</f>
        <v>-1.2560633778649355E-5</v>
      </c>
      <c r="R20" s="130"/>
      <c r="T20" s="4">
        <f>L20/H20-1</f>
        <v>3.289473684210531E-2</v>
      </c>
    </row>
    <row r="21" spans="1:20" x14ac:dyDescent="0.25">
      <c r="A21" s="32">
        <f t="shared" si="1"/>
        <v>15</v>
      </c>
      <c r="B21" s="25"/>
      <c r="D21" s="2" t="s">
        <v>50</v>
      </c>
      <c r="E21" s="123">
        <v>360465</v>
      </c>
      <c r="F21" s="124">
        <f>F9</f>
        <v>9.4259999999999997E-2</v>
      </c>
      <c r="G21" s="107">
        <f t="shared" ref="G21" si="9">F21*E21</f>
        <v>33977.430899999999</v>
      </c>
      <c r="H21" s="124">
        <f>H9</f>
        <v>9.2670000000000002E-2</v>
      </c>
      <c r="I21" s="107">
        <f t="shared" ref="I21" si="10">H21*E21</f>
        <v>33404.291550000002</v>
      </c>
      <c r="J21" s="121">
        <f>I21/I22</f>
        <v>0.88306916957066905</v>
      </c>
      <c r="K21" s="121"/>
      <c r="L21" s="131">
        <f>L9</f>
        <v>9.5729999999999996E-2</v>
      </c>
      <c r="M21" s="107">
        <f t="shared" ref="M21" si="11">L21*E21</f>
        <v>34507.314449999998</v>
      </c>
      <c r="N21" s="107">
        <f t="shared" ref="N21" si="12">M21-I21</f>
        <v>1103.0228999999963</v>
      </c>
      <c r="O21" s="121">
        <f t="shared" ref="O21" si="13">IF(I21=0,0,N21/I21)</f>
        <v>3.3020394949821834E-2</v>
      </c>
      <c r="P21" s="121">
        <f>M21/M$22</f>
        <v>0.8830817302044478</v>
      </c>
      <c r="Q21" s="130">
        <f t="shared" ref="Q21" si="14">P21-J21</f>
        <v>1.2560633778746499E-5</v>
      </c>
      <c r="R21" s="130"/>
      <c r="T21" s="4">
        <f>L21/H21-1</f>
        <v>3.3020394949821785E-2</v>
      </c>
    </row>
    <row r="22" spans="1:20" s="5" customFormat="1" ht="20.399999999999999" customHeight="1" x14ac:dyDescent="0.3">
      <c r="A22" s="32">
        <f t="shared" si="1"/>
        <v>16</v>
      </c>
      <c r="B22" s="101"/>
      <c r="C22" s="14"/>
      <c r="D22" s="16" t="s">
        <v>6</v>
      </c>
      <c r="E22" s="110"/>
      <c r="F22" s="110"/>
      <c r="G22" s="17">
        <f>SUM(G20:G21)</f>
        <v>38400.630899999996</v>
      </c>
      <c r="H22" s="110"/>
      <c r="I22" s="17">
        <f>SUM(I20:I21)</f>
        <v>37827.491549999999</v>
      </c>
      <c r="J22" s="132">
        <f>SUM(J20:J21)</f>
        <v>1</v>
      </c>
      <c r="K22" s="122">
        <f>I22+Summary!I9</f>
        <v>39075.061549999999</v>
      </c>
      <c r="L22" s="110"/>
      <c r="M22" s="17">
        <f>SUM(M20:M21)</f>
        <v>39076.014449999995</v>
      </c>
      <c r="N22" s="17">
        <f>SUM(N20:N21)</f>
        <v>1248.5228999999963</v>
      </c>
      <c r="O22" s="132">
        <f t="shared" ref="O22" si="15">N22/I22</f>
        <v>3.3005701642936362E-2</v>
      </c>
      <c r="P22" s="132">
        <f>SUM(P20:P21)</f>
        <v>1</v>
      </c>
      <c r="Q22" s="133">
        <f t="shared" ref="Q22" si="16">P22-J22</f>
        <v>0</v>
      </c>
      <c r="R22" s="134">
        <f>M22-K22</f>
        <v>0.95289999999658903</v>
      </c>
      <c r="S22" s="5">
        <f>K22/I22</f>
        <v>1.0329805109691446</v>
      </c>
    </row>
    <row r="23" spans="1:20" x14ac:dyDescent="0.25">
      <c r="A23" s="32">
        <f t="shared" si="1"/>
        <v>17</v>
      </c>
      <c r="B23" s="25"/>
      <c r="D23" s="2" t="s">
        <v>29</v>
      </c>
      <c r="G23" s="107">
        <v>-1603.34</v>
      </c>
      <c r="I23" s="111">
        <f>G23+(0.00159*(E21))</f>
        <v>-1030.2006499999998</v>
      </c>
      <c r="K23" s="111"/>
      <c r="M23" s="107">
        <f>I23</f>
        <v>-1030.2006499999998</v>
      </c>
      <c r="N23" s="107">
        <f t="shared" ref="N23:N29" si="17">M23-I23</f>
        <v>0</v>
      </c>
      <c r="O23" s="108">
        <v>0</v>
      </c>
    </row>
    <row r="24" spans="1:20" x14ac:dyDescent="0.25">
      <c r="A24" s="32">
        <f t="shared" si="1"/>
        <v>18</v>
      </c>
      <c r="B24" s="25"/>
      <c r="D24" s="2" t="s">
        <v>30</v>
      </c>
      <c r="G24" s="107">
        <v>2072.67</v>
      </c>
      <c r="I24" s="111">
        <f t="shared" ref="I24:I26" si="18">G24</f>
        <v>2072.67</v>
      </c>
      <c r="M24" s="107">
        <f t="shared" ref="M24:M26" si="19">I24</f>
        <v>2072.67</v>
      </c>
      <c r="N24" s="107">
        <f t="shared" si="17"/>
        <v>0</v>
      </c>
      <c r="O24" s="108">
        <v>0</v>
      </c>
    </row>
    <row r="25" spans="1:20" x14ac:dyDescent="0.25">
      <c r="A25" s="32">
        <f t="shared" si="1"/>
        <v>19</v>
      </c>
      <c r="B25" s="25"/>
      <c r="D25" s="2" t="s">
        <v>32</v>
      </c>
      <c r="G25" s="107">
        <v>0</v>
      </c>
      <c r="I25" s="111">
        <f t="shared" si="18"/>
        <v>0</v>
      </c>
      <c r="M25" s="107">
        <f t="shared" si="19"/>
        <v>0</v>
      </c>
      <c r="N25" s="107">
        <f t="shared" si="17"/>
        <v>0</v>
      </c>
      <c r="O25" s="108">
        <v>0</v>
      </c>
    </row>
    <row r="26" spans="1:20" x14ac:dyDescent="0.25">
      <c r="A26" s="32">
        <f t="shared" si="1"/>
        <v>20</v>
      </c>
      <c r="B26" s="25"/>
      <c r="D26" s="2" t="s">
        <v>42</v>
      </c>
      <c r="G26" s="107">
        <v>0</v>
      </c>
      <c r="I26" s="111">
        <f t="shared" si="18"/>
        <v>0</v>
      </c>
      <c r="M26" s="107">
        <f t="shared" si="19"/>
        <v>0</v>
      </c>
      <c r="N26" s="107"/>
      <c r="O26" s="108"/>
    </row>
    <row r="27" spans="1:20" x14ac:dyDescent="0.25">
      <c r="A27" s="32">
        <f t="shared" si="1"/>
        <v>21</v>
      </c>
      <c r="B27" s="25"/>
      <c r="D27" s="12" t="s">
        <v>8</v>
      </c>
      <c r="E27" s="113"/>
      <c r="F27" s="113"/>
      <c r="G27" s="112">
        <f>SUM(G23:G26)</f>
        <v>469.33000000000015</v>
      </c>
      <c r="H27" s="113"/>
      <c r="I27" s="112">
        <f>SUM(I23:I26)</f>
        <v>1042.4693500000003</v>
      </c>
      <c r="J27" s="113"/>
      <c r="K27" s="113"/>
      <c r="L27" s="113"/>
      <c r="M27" s="112">
        <f>SUM(M23:M26)</f>
        <v>1042.4693500000003</v>
      </c>
      <c r="N27" s="112">
        <f t="shared" si="17"/>
        <v>0</v>
      </c>
      <c r="O27" s="136">
        <f t="shared" ref="O27" si="20">N27-J27</f>
        <v>0</v>
      </c>
    </row>
    <row r="28" spans="1:20" s="5" customFormat="1" ht="26.4" customHeight="1" thickBot="1" x14ac:dyDescent="0.3">
      <c r="A28" s="32">
        <f t="shared" si="1"/>
        <v>22</v>
      </c>
      <c r="B28" s="101"/>
      <c r="C28" s="14"/>
      <c r="D28" s="6" t="s">
        <v>19</v>
      </c>
      <c r="E28" s="115"/>
      <c r="F28" s="115"/>
      <c r="G28" s="114">
        <f>G22+G27</f>
        <v>38869.960899999998</v>
      </c>
      <c r="H28" s="115"/>
      <c r="I28" s="116">
        <f>I27+I22</f>
        <v>38869.960899999998</v>
      </c>
      <c r="J28" s="115"/>
      <c r="K28" s="115"/>
      <c r="L28" s="115"/>
      <c r="M28" s="114">
        <f>M27+M22</f>
        <v>40118.483799999995</v>
      </c>
      <c r="N28" s="114">
        <f t="shared" si="17"/>
        <v>1248.5228999999963</v>
      </c>
      <c r="O28" s="137">
        <f>N28/I28</f>
        <v>3.2120508256029565E-2</v>
      </c>
      <c r="P28" s="103"/>
      <c r="Q28" s="103"/>
      <c r="R28" s="103"/>
    </row>
    <row r="29" spans="1:20" ht="13.8" thickTop="1" x14ac:dyDescent="0.25">
      <c r="A29" s="32">
        <f t="shared" si="1"/>
        <v>23</v>
      </c>
      <c r="D29" s="2" t="s">
        <v>18</v>
      </c>
      <c r="E29" s="108">
        <f>E21/E20</f>
        <v>1238.7113402061855</v>
      </c>
      <c r="G29" s="138">
        <f>G28/E20</f>
        <v>133.57374879725086</v>
      </c>
      <c r="I29" s="138">
        <f>I28/E20</f>
        <v>133.57374879725086</v>
      </c>
      <c r="M29" s="138">
        <f>M28/E20</f>
        <v>137.86420549828176</v>
      </c>
      <c r="N29" s="138">
        <f t="shared" si="17"/>
        <v>4.2904567010309052</v>
      </c>
      <c r="O29" s="121">
        <f>N29/I29</f>
        <v>3.2120508256029488E-2</v>
      </c>
    </row>
    <row r="30" spans="1:20" ht="13.8" thickBot="1" x14ac:dyDescent="0.3">
      <c r="A30" s="32">
        <f t="shared" si="1"/>
        <v>24</v>
      </c>
    </row>
    <row r="31" spans="1:20" x14ac:dyDescent="0.25">
      <c r="A31" s="32">
        <f t="shared" si="1"/>
        <v>25</v>
      </c>
      <c r="B31" s="148" t="s">
        <v>77</v>
      </c>
      <c r="C31" s="23" t="s">
        <v>86</v>
      </c>
      <c r="D31" s="22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</row>
    <row r="32" spans="1:20" x14ac:dyDescent="0.25">
      <c r="A32" s="32">
        <f t="shared" si="1"/>
        <v>26</v>
      </c>
      <c r="B32" s="149"/>
      <c r="C32" s="2"/>
      <c r="D32" s="2" t="s">
        <v>17</v>
      </c>
      <c r="E32" s="123">
        <v>729</v>
      </c>
      <c r="F32" s="108">
        <f>F8</f>
        <v>15.2</v>
      </c>
      <c r="G32" s="107">
        <f>F32*E32</f>
        <v>11080.8</v>
      </c>
      <c r="H32" s="108">
        <f>H8</f>
        <v>15.2</v>
      </c>
      <c r="I32" s="107">
        <f>H32*E32</f>
        <v>11080.8</v>
      </c>
      <c r="J32" s="121">
        <f>I32/I34</f>
        <v>0.35741875380923466</v>
      </c>
      <c r="K32" s="121"/>
      <c r="L32" s="108">
        <f>L8</f>
        <v>15.7</v>
      </c>
      <c r="M32" s="107">
        <f>L32*E32</f>
        <v>11445.3</v>
      </c>
      <c r="N32" s="107">
        <f>M32-I32</f>
        <v>364.5</v>
      </c>
      <c r="O32" s="121">
        <f>IF(I32=0,0,N32/I32)</f>
        <v>3.2894736842105268E-2</v>
      </c>
      <c r="P32" s="121">
        <f>M32/M$34</f>
        <v>0.35740712873048947</v>
      </c>
      <c r="Q32" s="130">
        <f>P32-J32</f>
        <v>-1.1625078745192141E-5</v>
      </c>
      <c r="R32" s="130"/>
    </row>
    <row r="33" spans="1:20" x14ac:dyDescent="0.25">
      <c r="A33" s="32">
        <f t="shared" si="1"/>
        <v>27</v>
      </c>
      <c r="B33" s="25"/>
      <c r="D33" s="2" t="s">
        <v>50</v>
      </c>
      <c r="E33" s="123">
        <v>329826</v>
      </c>
      <c r="F33" s="124">
        <f>H33+0.00159</f>
        <v>6.1990000000000003E-2</v>
      </c>
      <c r="G33" s="107">
        <f t="shared" ref="G33" si="21">F33*E33</f>
        <v>20445.91374</v>
      </c>
      <c r="H33" s="124">
        <v>6.0400000000000002E-2</v>
      </c>
      <c r="I33" s="107">
        <f t="shared" ref="I33" si="22">H33*E33</f>
        <v>19921.490400000002</v>
      </c>
      <c r="J33" s="121">
        <f>I33/I34</f>
        <v>0.6425812461907654</v>
      </c>
      <c r="K33" s="121"/>
      <c r="L33" s="131">
        <f>ROUND(H33*S34,5)</f>
        <v>6.2390000000000001E-2</v>
      </c>
      <c r="M33" s="107">
        <f t="shared" ref="M33" si="23">L33*E33</f>
        <v>20577.844140000001</v>
      </c>
      <c r="N33" s="107">
        <f t="shared" ref="N33" si="24">M33-I33</f>
        <v>656.35373999999865</v>
      </c>
      <c r="O33" s="121">
        <f t="shared" ref="O33" si="25">IF(I33=0,0,N33/I33)</f>
        <v>3.2947019867549596E-2</v>
      </c>
      <c r="P33" s="121">
        <f>M33/M$34</f>
        <v>0.64259287126951059</v>
      </c>
      <c r="Q33" s="130">
        <f t="shared" ref="Q33" si="26">P33-J33</f>
        <v>1.1625078745192141E-5</v>
      </c>
      <c r="R33" s="130"/>
      <c r="T33" s="4">
        <f>L33/H33-1</f>
        <v>3.2947019867549665E-2</v>
      </c>
    </row>
    <row r="34" spans="1:20" s="5" customFormat="1" ht="20.399999999999999" customHeight="1" x14ac:dyDescent="0.3">
      <c r="A34" s="32">
        <f t="shared" si="1"/>
        <v>28</v>
      </c>
      <c r="B34" s="101"/>
      <c r="C34" s="14"/>
      <c r="D34" s="16" t="s">
        <v>6</v>
      </c>
      <c r="E34" s="110"/>
      <c r="F34" s="110"/>
      <c r="G34" s="17">
        <f>SUM(G32:G33)</f>
        <v>31526.713739999999</v>
      </c>
      <c r="H34" s="110"/>
      <c r="I34" s="17">
        <f>SUM(I32:I33)</f>
        <v>31002.290400000002</v>
      </c>
      <c r="J34" s="132">
        <f>SUM(J32:J33)</f>
        <v>1</v>
      </c>
      <c r="K34" s="122">
        <f>I34+Summary!I10</f>
        <v>32024.760400000003</v>
      </c>
      <c r="L34" s="110"/>
      <c r="M34" s="17">
        <f>SUM(M32:M33)</f>
        <v>32023.14414</v>
      </c>
      <c r="N34" s="17">
        <f>SUM(N32:N33)</f>
        <v>1020.8537399999987</v>
      </c>
      <c r="O34" s="132">
        <f t="shared" ref="O34" si="27">N34/I34</f>
        <v>3.2928332933749908E-2</v>
      </c>
      <c r="P34" s="132">
        <f>SUM(P32:P33)</f>
        <v>1</v>
      </c>
      <c r="Q34" s="133">
        <f t="shared" ref="Q34" si="28">P34-J34</f>
        <v>0</v>
      </c>
      <c r="R34" s="134">
        <f>M34-K34</f>
        <v>-1.6162600000025122</v>
      </c>
      <c r="S34" s="5">
        <f>K34/I34</f>
        <v>1.032980466501275</v>
      </c>
    </row>
    <row r="35" spans="1:20" x14ac:dyDescent="0.25">
      <c r="A35" s="32">
        <f t="shared" si="1"/>
        <v>29</v>
      </c>
      <c r="B35" s="25"/>
      <c r="D35" s="2" t="s">
        <v>29</v>
      </c>
      <c r="G35" s="107">
        <v>-238.71</v>
      </c>
      <c r="I35" s="111">
        <f>G35+(0.00159*E33)</f>
        <v>285.71334000000002</v>
      </c>
      <c r="K35" s="111"/>
      <c r="M35" s="107">
        <f>I35</f>
        <v>285.71334000000002</v>
      </c>
      <c r="N35" s="107">
        <f t="shared" ref="N35:N41" si="29">M35-I35</f>
        <v>0</v>
      </c>
      <c r="O35" s="108">
        <v>0</v>
      </c>
    </row>
    <row r="36" spans="1:20" x14ac:dyDescent="0.25">
      <c r="A36" s="32">
        <f t="shared" si="1"/>
        <v>30</v>
      </c>
      <c r="B36" s="25"/>
      <c r="D36" s="2" t="s">
        <v>30</v>
      </c>
      <c r="G36" s="107">
        <v>1885.6699999999998</v>
      </c>
      <c r="I36" s="111">
        <f t="shared" ref="I36:I38" si="30">G36</f>
        <v>1885.6699999999998</v>
      </c>
      <c r="M36" s="107">
        <f t="shared" ref="M36:M38" si="31">I36</f>
        <v>1885.6699999999998</v>
      </c>
      <c r="N36" s="107">
        <f t="shared" si="29"/>
        <v>0</v>
      </c>
      <c r="O36" s="108">
        <v>0</v>
      </c>
    </row>
    <row r="37" spans="1:20" x14ac:dyDescent="0.25">
      <c r="A37" s="32">
        <f t="shared" si="1"/>
        <v>31</v>
      </c>
      <c r="B37" s="25"/>
      <c r="D37" s="2" t="s">
        <v>32</v>
      </c>
      <c r="G37" s="107">
        <v>0</v>
      </c>
      <c r="I37" s="111">
        <f t="shared" si="30"/>
        <v>0</v>
      </c>
      <c r="M37" s="107">
        <f t="shared" si="31"/>
        <v>0</v>
      </c>
      <c r="N37" s="107">
        <f t="shared" si="29"/>
        <v>0</v>
      </c>
      <c r="O37" s="108">
        <v>0</v>
      </c>
    </row>
    <row r="38" spans="1:20" x14ac:dyDescent="0.25">
      <c r="A38" s="32">
        <f t="shared" si="1"/>
        <v>32</v>
      </c>
      <c r="B38" s="25"/>
      <c r="D38" s="2" t="s">
        <v>42</v>
      </c>
      <c r="G38" s="107">
        <v>0</v>
      </c>
      <c r="I38" s="111">
        <f t="shared" si="30"/>
        <v>0</v>
      </c>
      <c r="M38" s="107">
        <f t="shared" si="31"/>
        <v>0</v>
      </c>
      <c r="N38" s="107"/>
      <c r="O38" s="108"/>
    </row>
    <row r="39" spans="1:20" x14ac:dyDescent="0.25">
      <c r="A39" s="32">
        <f t="shared" si="1"/>
        <v>33</v>
      </c>
      <c r="B39" s="25"/>
      <c r="D39" s="12" t="s">
        <v>8</v>
      </c>
      <c r="E39" s="113"/>
      <c r="F39" s="113"/>
      <c r="G39" s="112">
        <f>SUM(G35:G38)</f>
        <v>1646.9599999999998</v>
      </c>
      <c r="H39" s="113"/>
      <c r="I39" s="112">
        <f>SUM(I35:I38)</f>
        <v>2171.3833399999999</v>
      </c>
      <c r="J39" s="113"/>
      <c r="K39" s="113"/>
      <c r="L39" s="113"/>
      <c r="M39" s="112">
        <f>SUM(M35:M38)</f>
        <v>2171.3833399999999</v>
      </c>
      <c r="N39" s="112">
        <f t="shared" si="29"/>
        <v>0</v>
      </c>
      <c r="O39" s="136">
        <f t="shared" ref="O39" si="32">N39-J39</f>
        <v>0</v>
      </c>
    </row>
    <row r="40" spans="1:20" s="5" customFormat="1" ht="26.4" customHeight="1" thickBot="1" x14ac:dyDescent="0.3">
      <c r="A40" s="32">
        <f t="shared" si="1"/>
        <v>34</v>
      </c>
      <c r="B40" s="101"/>
      <c r="C40" s="14"/>
      <c r="D40" s="6" t="s">
        <v>19</v>
      </c>
      <c r="E40" s="115"/>
      <c r="F40" s="115"/>
      <c r="G40" s="114">
        <f>G34+G39</f>
        <v>33173.673739999998</v>
      </c>
      <c r="H40" s="115"/>
      <c r="I40" s="116">
        <f>I39+I34</f>
        <v>33173.673739999998</v>
      </c>
      <c r="J40" s="115"/>
      <c r="K40" s="115"/>
      <c r="L40" s="115"/>
      <c r="M40" s="114">
        <f>M39+M34</f>
        <v>34194.527479999997</v>
      </c>
      <c r="N40" s="114">
        <f t="shared" si="29"/>
        <v>1020.8537399999987</v>
      </c>
      <c r="O40" s="137">
        <f>N40/I40</f>
        <v>3.07730083801083E-2</v>
      </c>
      <c r="P40" s="103"/>
      <c r="Q40" s="103"/>
      <c r="R40" s="103"/>
    </row>
    <row r="41" spans="1:20" ht="13.8" thickTop="1" x14ac:dyDescent="0.25">
      <c r="A41" s="32">
        <f t="shared" si="1"/>
        <v>35</v>
      </c>
      <c r="D41" s="2" t="s">
        <v>18</v>
      </c>
      <c r="E41" s="108">
        <f>E33/E32</f>
        <v>452.43621399176953</v>
      </c>
      <c r="G41" s="138">
        <f>G40/E32</f>
        <v>45.505725294924552</v>
      </c>
      <c r="I41" s="138">
        <f>I40/E32</f>
        <v>45.505725294924552</v>
      </c>
      <c r="M41" s="138">
        <f>M40/E32</f>
        <v>46.906073360768168</v>
      </c>
      <c r="N41" s="138">
        <f t="shared" si="29"/>
        <v>1.400348065843616</v>
      </c>
      <c r="O41" s="121">
        <f>N41/I41</f>
        <v>3.0773008380108224E-2</v>
      </c>
    </row>
    <row r="42" spans="1:20" ht="13.8" thickBot="1" x14ac:dyDescent="0.3">
      <c r="A42" s="32">
        <f t="shared" si="1"/>
        <v>36</v>
      </c>
    </row>
    <row r="43" spans="1:20" x14ac:dyDescent="0.25">
      <c r="A43" s="32">
        <f t="shared" si="1"/>
        <v>37</v>
      </c>
      <c r="B43" s="148" t="s">
        <v>78</v>
      </c>
      <c r="C43" s="23">
        <v>2</v>
      </c>
      <c r="D43" s="22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</row>
    <row r="44" spans="1:20" x14ac:dyDescent="0.25">
      <c r="A44" s="32">
        <f t="shared" si="1"/>
        <v>38</v>
      </c>
      <c r="B44" s="149"/>
      <c r="C44" s="2"/>
      <c r="D44" s="2" t="s">
        <v>17</v>
      </c>
      <c r="E44" s="123">
        <v>10129</v>
      </c>
      <c r="F44" s="108">
        <f>H44</f>
        <v>18</v>
      </c>
      <c r="G44" s="107">
        <f>F44*E44</f>
        <v>182322</v>
      </c>
      <c r="H44" s="108">
        <v>18</v>
      </c>
      <c r="I44" s="107">
        <f>H44*E44</f>
        <v>182322</v>
      </c>
      <c r="J44" s="121">
        <f>I44/I47</f>
        <v>8.6188791028371348E-2</v>
      </c>
      <c r="K44" s="121"/>
      <c r="L44" s="108">
        <f>ROUND(H44*S47,2)</f>
        <v>18.59</v>
      </c>
      <c r="M44" s="107">
        <f>L44*E44</f>
        <v>188298.11</v>
      </c>
      <c r="N44" s="107">
        <f>M44-I44</f>
        <v>5976.109999999986</v>
      </c>
      <c r="O44" s="121">
        <f>IF(I44=0,0,N44/I44)</f>
        <v>3.2777777777777704E-2</v>
      </c>
      <c r="P44" s="121">
        <f>M44/M$47</f>
        <v>8.6179539889959259E-2</v>
      </c>
      <c r="Q44" s="130">
        <f>P44-J44</f>
        <v>-9.2511384120891327E-6</v>
      </c>
      <c r="R44" s="130"/>
      <c r="T44" s="4"/>
    </row>
    <row r="45" spans="1:20" x14ac:dyDescent="0.25">
      <c r="A45" s="32">
        <f t="shared" si="1"/>
        <v>39</v>
      </c>
      <c r="D45" s="2" t="s">
        <v>52</v>
      </c>
      <c r="E45" s="123">
        <v>77713.111000000004</v>
      </c>
      <c r="F45" s="108">
        <f>H45</f>
        <v>5.85</v>
      </c>
      <c r="G45" s="107">
        <f t="shared" ref="G45" si="33">F45*E45</f>
        <v>454621.69935000001</v>
      </c>
      <c r="H45" s="108">
        <v>5.85</v>
      </c>
      <c r="I45" s="107">
        <f t="shared" ref="I45" si="34">H45*E45</f>
        <v>454621.69935000001</v>
      </c>
      <c r="J45" s="121">
        <f>I45/I47</f>
        <v>0.2149125977240279</v>
      </c>
      <c r="K45" s="121"/>
      <c r="L45" s="131">
        <f>ROUND(H45*S47,2)</f>
        <v>6.04</v>
      </c>
      <c r="M45" s="107">
        <f t="shared" ref="M45" si="35">L45*E45</f>
        <v>469387.19044000003</v>
      </c>
      <c r="N45" s="107">
        <f t="shared" ref="N45" si="36">M45-I45</f>
        <v>14765.491090000025</v>
      </c>
      <c r="O45" s="121">
        <f t="shared" ref="O45" si="37">IF(I45=0,0,N45/I45)</f>
        <v>3.247863247863253E-2</v>
      </c>
      <c r="P45" s="121">
        <f>M45/M$47</f>
        <v>0.21482728691413785</v>
      </c>
      <c r="Q45" s="130">
        <f t="shared" ref="Q45" si="38">P45-J45</f>
        <v>-8.5310809890049022E-5</v>
      </c>
      <c r="R45" s="130"/>
      <c r="T45" s="4">
        <f>L45/H45-1</f>
        <v>3.2478632478632585E-2</v>
      </c>
    </row>
    <row r="46" spans="1:20" x14ac:dyDescent="0.25">
      <c r="A46" s="32">
        <f t="shared" si="1"/>
        <v>40</v>
      </c>
      <c r="D46" s="2" t="s">
        <v>51</v>
      </c>
      <c r="E46" s="123">
        <v>17564878</v>
      </c>
      <c r="F46" s="109">
        <f>H46+0.00159</f>
        <v>8.5759999999999989E-2</v>
      </c>
      <c r="G46" s="107">
        <f t="shared" ref="G46" si="39">F46*E46</f>
        <v>1506363.9372799997</v>
      </c>
      <c r="H46" s="109">
        <v>8.4169999999999995E-2</v>
      </c>
      <c r="I46" s="107">
        <f t="shared" ref="I46" si="40">H46*E46</f>
        <v>1478435.7812599998</v>
      </c>
      <c r="J46" s="121">
        <f>I46/I47</f>
        <v>0.69889861124760067</v>
      </c>
      <c r="K46" s="121"/>
      <c r="L46" s="131">
        <f>ROUND(H46*S47,5)</f>
        <v>8.695E-2</v>
      </c>
      <c r="M46" s="107">
        <f t="shared" ref="M46" si="41">L46*E46</f>
        <v>1527266.1421000001</v>
      </c>
      <c r="N46" s="107">
        <f t="shared" ref="N46" si="42">M46-I46</f>
        <v>48830.360840000212</v>
      </c>
      <c r="O46" s="121">
        <f t="shared" ref="O46" si="43">IF(I46=0,0,N46/I46)</f>
        <v>3.3028394915053015E-2</v>
      </c>
      <c r="P46" s="121">
        <f>M46/M$47</f>
        <v>0.69899317319590282</v>
      </c>
      <c r="Q46" s="130">
        <f t="shared" ref="Q46" si="44">P46-J46</f>
        <v>9.4561948302152032E-5</v>
      </c>
      <c r="R46" s="130"/>
      <c r="T46" s="4">
        <f>L46/H46-1</f>
        <v>3.3028394915052939E-2</v>
      </c>
    </row>
    <row r="47" spans="1:20" s="5" customFormat="1" ht="20.399999999999999" customHeight="1" x14ac:dyDescent="0.3">
      <c r="A47" s="32">
        <f t="shared" si="1"/>
        <v>41</v>
      </c>
      <c r="C47" s="14"/>
      <c r="D47" s="16" t="s">
        <v>6</v>
      </c>
      <c r="E47" s="110"/>
      <c r="F47" s="110"/>
      <c r="G47" s="17">
        <f>SUM(G44:G46)</f>
        <v>2143307.6366299996</v>
      </c>
      <c r="H47" s="110"/>
      <c r="I47" s="17">
        <f>SUM(I44:I46)</f>
        <v>2115379.48061</v>
      </c>
      <c r="J47" s="132">
        <f>SUM(J44:J46)</f>
        <v>0.99999999999999989</v>
      </c>
      <c r="K47" s="122">
        <f>I47+Summary!I11</f>
        <v>2185145.6206100001</v>
      </c>
      <c r="L47" s="110"/>
      <c r="M47" s="17">
        <f>SUM(M44:M46)</f>
        <v>2184951.4425400002</v>
      </c>
      <c r="N47" s="17">
        <f>SUM(N44:N46)</f>
        <v>69571.961930000223</v>
      </c>
      <c r="O47" s="132">
        <f t="shared" ref="O47" si="45">N47/I47</f>
        <v>3.2888643653638049E-2</v>
      </c>
      <c r="P47" s="132">
        <f>SUM(P44:P46)</f>
        <v>1</v>
      </c>
      <c r="Q47" s="133">
        <f t="shared" ref="Q47" si="46">P47-J47</f>
        <v>0</v>
      </c>
      <c r="R47" s="134">
        <f>M47-K47</f>
        <v>-194.17806999990717</v>
      </c>
      <c r="S47" s="5">
        <f>K47/I47</f>
        <v>1.0329804371459073</v>
      </c>
    </row>
    <row r="48" spans="1:20" x14ac:dyDescent="0.25">
      <c r="A48" s="32">
        <f t="shared" si="1"/>
        <v>42</v>
      </c>
      <c r="D48" s="2" t="s">
        <v>29</v>
      </c>
      <c r="G48" s="107">
        <v>-79443.14</v>
      </c>
      <c r="I48" s="111">
        <f>G48+(0.00159*(E46))</f>
        <v>-51514.983979999997</v>
      </c>
      <c r="K48" s="111"/>
      <c r="M48" s="107">
        <f>I48</f>
        <v>-51514.983979999997</v>
      </c>
      <c r="N48" s="107">
        <f t="shared" ref="N48:N54" si="47">M48-I48</f>
        <v>0</v>
      </c>
      <c r="O48" s="108">
        <v>0</v>
      </c>
    </row>
    <row r="49" spans="1:20" x14ac:dyDescent="0.25">
      <c r="A49" s="32">
        <f t="shared" si="1"/>
        <v>43</v>
      </c>
      <c r="D49" s="2" t="s">
        <v>30</v>
      </c>
      <c r="G49" s="107">
        <v>192593.23</v>
      </c>
      <c r="I49" s="111">
        <f t="shared" ref="I49:I51" si="48">G49</f>
        <v>192593.23</v>
      </c>
      <c r="M49" s="107">
        <f t="shared" ref="M49:M51" si="49">I49</f>
        <v>192593.23</v>
      </c>
      <c r="N49" s="107">
        <f t="shared" si="47"/>
        <v>0</v>
      </c>
      <c r="O49" s="108">
        <v>0</v>
      </c>
    </row>
    <row r="50" spans="1:20" x14ac:dyDescent="0.25">
      <c r="A50" s="32">
        <f t="shared" si="1"/>
        <v>44</v>
      </c>
      <c r="D50" s="2" t="s">
        <v>32</v>
      </c>
      <c r="G50" s="107">
        <v>0</v>
      </c>
      <c r="I50" s="111">
        <f t="shared" si="48"/>
        <v>0</v>
      </c>
      <c r="M50" s="107">
        <f t="shared" si="49"/>
        <v>0</v>
      </c>
      <c r="N50" s="107">
        <f t="shared" si="47"/>
        <v>0</v>
      </c>
      <c r="O50" s="108">
        <v>0</v>
      </c>
    </row>
    <row r="51" spans="1:20" x14ac:dyDescent="0.25">
      <c r="A51" s="32">
        <f t="shared" si="1"/>
        <v>45</v>
      </c>
      <c r="D51" s="2" t="s">
        <v>42</v>
      </c>
      <c r="G51" s="107">
        <v>0</v>
      </c>
      <c r="I51" s="111">
        <f t="shared" si="48"/>
        <v>0</v>
      </c>
      <c r="M51" s="107">
        <f t="shared" si="49"/>
        <v>0</v>
      </c>
      <c r="N51" s="107"/>
      <c r="O51" s="108"/>
    </row>
    <row r="52" spans="1:20" x14ac:dyDescent="0.25">
      <c r="A52" s="32">
        <f t="shared" si="1"/>
        <v>46</v>
      </c>
      <c r="D52" s="12" t="s">
        <v>8</v>
      </c>
      <c r="E52" s="113"/>
      <c r="F52" s="113"/>
      <c r="G52" s="112">
        <f>SUM(G48:G51)</f>
        <v>113150.09000000001</v>
      </c>
      <c r="H52" s="113"/>
      <c r="I52" s="112">
        <f>SUM(I48:I51)</f>
        <v>141078.24602000002</v>
      </c>
      <c r="J52" s="113"/>
      <c r="K52" s="113"/>
      <c r="L52" s="113"/>
      <c r="M52" s="112">
        <f>SUM(M48:M51)</f>
        <v>141078.24602000002</v>
      </c>
      <c r="N52" s="112">
        <f t="shared" si="47"/>
        <v>0</v>
      </c>
      <c r="O52" s="136">
        <f t="shared" ref="O52" si="50">N52-J52</f>
        <v>0</v>
      </c>
    </row>
    <row r="53" spans="1:20" s="5" customFormat="1" ht="26.4" customHeight="1" thickBot="1" x14ac:dyDescent="0.3">
      <c r="A53" s="32">
        <f t="shared" si="1"/>
        <v>47</v>
      </c>
      <c r="C53" s="14"/>
      <c r="D53" s="6" t="s">
        <v>19</v>
      </c>
      <c r="E53" s="115"/>
      <c r="F53" s="115"/>
      <c r="G53" s="114">
        <f>G47+G52</f>
        <v>2256457.7266299995</v>
      </c>
      <c r="H53" s="115"/>
      <c r="I53" s="116">
        <f>I52+I47</f>
        <v>2256457.7266299999</v>
      </c>
      <c r="J53" s="115"/>
      <c r="K53" s="115"/>
      <c r="L53" s="115"/>
      <c r="M53" s="114">
        <f>M52+M47</f>
        <v>2326029.6885600002</v>
      </c>
      <c r="N53" s="114">
        <f t="shared" si="47"/>
        <v>69571.961930000223</v>
      </c>
      <c r="O53" s="137">
        <f>N53/I53</f>
        <v>3.0832379932907206E-2</v>
      </c>
      <c r="P53" s="103"/>
      <c r="Q53" s="103"/>
      <c r="R53" s="103"/>
    </row>
    <row r="54" spans="1:20" ht="13.8" thickTop="1" x14ac:dyDescent="0.25">
      <c r="A54" s="32">
        <f t="shared" si="1"/>
        <v>48</v>
      </c>
      <c r="D54" s="2" t="s">
        <v>18</v>
      </c>
      <c r="E54" s="108">
        <f>E46/E44</f>
        <v>1734.1176819034456</v>
      </c>
      <c r="G54" s="138">
        <f>G53/E44</f>
        <v>222.77201368644481</v>
      </c>
      <c r="I54" s="138">
        <f>I53/E44</f>
        <v>222.77201368644486</v>
      </c>
      <c r="M54" s="138">
        <f>M53/E44</f>
        <v>229.64060505084413</v>
      </c>
      <c r="N54" s="138">
        <f t="shared" si="47"/>
        <v>6.8685913643992649</v>
      </c>
      <c r="O54" s="121">
        <f>N54/I54</f>
        <v>3.0832379932907175E-2</v>
      </c>
    </row>
    <row r="55" spans="1:20" ht="13.8" thickBot="1" x14ac:dyDescent="0.3">
      <c r="A55" s="32">
        <f t="shared" si="1"/>
        <v>49</v>
      </c>
      <c r="B55" s="25"/>
      <c r="C55" s="27"/>
      <c r="D55" s="25"/>
    </row>
    <row r="56" spans="1:20" x14ac:dyDescent="0.25">
      <c r="A56" s="32">
        <f t="shared" si="1"/>
        <v>50</v>
      </c>
      <c r="B56" s="148" t="s">
        <v>79</v>
      </c>
      <c r="C56" s="23">
        <v>4</v>
      </c>
      <c r="D56" s="22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</row>
    <row r="57" spans="1:20" x14ac:dyDescent="0.25">
      <c r="A57" s="32">
        <f t="shared" si="1"/>
        <v>51</v>
      </c>
      <c r="B57" s="149"/>
      <c r="C57" s="2"/>
      <c r="D57" s="2" t="s">
        <v>17</v>
      </c>
      <c r="E57" s="123">
        <v>1223</v>
      </c>
      <c r="F57" s="108">
        <f>H57</f>
        <v>31.65</v>
      </c>
      <c r="G57" s="107">
        <f>F57*E57</f>
        <v>38707.949999999997</v>
      </c>
      <c r="H57" s="108">
        <v>31.65</v>
      </c>
      <c r="I57" s="107">
        <f>H57*E57</f>
        <v>38707.949999999997</v>
      </c>
      <c r="J57" s="121">
        <f>I57/I60</f>
        <v>1.8691342217319981E-2</v>
      </c>
      <c r="K57" s="121"/>
      <c r="L57" s="108">
        <f>ROUND(H57*S60,2)</f>
        <v>32.69</v>
      </c>
      <c r="M57" s="107">
        <f>L57*E57</f>
        <v>39979.869999999995</v>
      </c>
      <c r="N57" s="107">
        <f>M57-I57</f>
        <v>1271.9199999999983</v>
      </c>
      <c r="O57" s="121">
        <f>IF(I57=0,0,N57/I57)</f>
        <v>3.2859399684044194E-2</v>
      </c>
      <c r="P57" s="121">
        <f>M57/M$60</f>
        <v>1.8692529168974157E-2</v>
      </c>
      <c r="Q57" s="130">
        <f>P57-J57</f>
        <v>1.186951654175844E-6</v>
      </c>
      <c r="R57" s="130"/>
      <c r="T57" s="4">
        <f>L57/H57-1</f>
        <v>3.2859399684044277E-2</v>
      </c>
    </row>
    <row r="58" spans="1:20" x14ac:dyDescent="0.25">
      <c r="A58" s="32">
        <f t="shared" si="1"/>
        <v>52</v>
      </c>
      <c r="D58" s="2" t="s">
        <v>52</v>
      </c>
      <c r="E58" s="123">
        <v>93149.785000000003</v>
      </c>
      <c r="F58" s="108">
        <f>H58</f>
        <v>5.85</v>
      </c>
      <c r="G58" s="107">
        <f t="shared" ref="G58" si="51">F58*E58</f>
        <v>544926.24225000001</v>
      </c>
      <c r="H58" s="108">
        <v>5.85</v>
      </c>
      <c r="I58" s="107">
        <f t="shared" ref="I58" si="52">H58*E58</f>
        <v>544926.24225000001</v>
      </c>
      <c r="J58" s="121">
        <f>I58/I60</f>
        <v>0.26313465004199293</v>
      </c>
      <c r="K58" s="121"/>
      <c r="L58" s="108">
        <f>ROUND(H58*S60,2)</f>
        <v>6.04</v>
      </c>
      <c r="M58" s="107">
        <f t="shared" ref="M58" si="53">L58*E58</f>
        <v>562624.70140000002</v>
      </c>
      <c r="N58" s="107">
        <f t="shared" ref="N58" si="54">M58-I58</f>
        <v>17698.45915000001</v>
      </c>
      <c r="O58" s="121">
        <f t="shared" ref="O58" si="55">IF(I58=0,0,N58/I58)</f>
        <v>3.2478632478632495E-2</v>
      </c>
      <c r="P58" s="121">
        <f>M58/M$60</f>
        <v>0.26305434815333012</v>
      </c>
      <c r="Q58" s="130">
        <f t="shared" ref="Q58" si="56">P58-J58</f>
        <v>-8.0301888662814846E-5</v>
      </c>
      <c r="R58" s="130"/>
      <c r="T58" s="4">
        <f>L58/H58-1</f>
        <v>3.2478632478632585E-2</v>
      </c>
    </row>
    <row r="59" spans="1:20" x14ac:dyDescent="0.25">
      <c r="A59" s="32">
        <f t="shared" si="1"/>
        <v>53</v>
      </c>
      <c r="D59" s="2" t="s">
        <v>50</v>
      </c>
      <c r="E59" s="123">
        <v>22348136</v>
      </c>
      <c r="F59" s="109">
        <f>H59+0.00159</f>
        <v>6.8139999999999992E-2</v>
      </c>
      <c r="G59" s="107">
        <f t="shared" ref="G59" si="57">F59*E59</f>
        <v>1522801.9870399998</v>
      </c>
      <c r="H59" s="109">
        <v>6.6549999999999998E-2</v>
      </c>
      <c r="I59" s="107">
        <f t="shared" ref="I59" si="58">H59*E59</f>
        <v>1487268.4508</v>
      </c>
      <c r="J59" s="121">
        <f>I59/I60</f>
        <v>0.71817400774068707</v>
      </c>
      <c r="K59" s="121"/>
      <c r="L59" s="131">
        <f>ROUND(H59*S60,5)</f>
        <v>6.8739999999999996E-2</v>
      </c>
      <c r="M59" s="107">
        <f t="shared" ref="M59" si="59">L59*E59</f>
        <v>1536210.86864</v>
      </c>
      <c r="N59" s="107">
        <f t="shared" ref="N59" si="60">M59-I59</f>
        <v>48942.417840000009</v>
      </c>
      <c r="O59" s="121">
        <f t="shared" ref="O59" si="61">IF(I59=0,0,N59/I59)</f>
        <v>3.2907588279489114E-2</v>
      </c>
      <c r="P59" s="121">
        <f>M59/M$60</f>
        <v>0.71825312267769581</v>
      </c>
      <c r="Q59" s="130">
        <f t="shared" ref="Q59" si="62">P59-J59</f>
        <v>7.9114937008739616E-5</v>
      </c>
      <c r="R59" s="130"/>
      <c r="T59" s="4">
        <f>L59/H59-1</f>
        <v>3.2907588279489142E-2</v>
      </c>
    </row>
    <row r="60" spans="1:20" s="5" customFormat="1" ht="20.399999999999999" customHeight="1" x14ac:dyDescent="0.3">
      <c r="A60" s="32">
        <f t="shared" si="1"/>
        <v>54</v>
      </c>
      <c r="C60" s="14"/>
      <c r="D60" s="16" t="s">
        <v>6</v>
      </c>
      <c r="E60" s="110"/>
      <c r="F60" s="110"/>
      <c r="G60" s="17">
        <f>SUM(G57:G59)</f>
        <v>2106436.1792899999</v>
      </c>
      <c r="H60" s="110"/>
      <c r="I60" s="17">
        <f>SUM(I57:I59)</f>
        <v>2070902.6430500001</v>
      </c>
      <c r="J60" s="132">
        <f>SUM(J57:J59)</f>
        <v>1</v>
      </c>
      <c r="K60" s="122">
        <f>I60+Summary!I12</f>
        <v>2139201.9230499999</v>
      </c>
      <c r="L60" s="110"/>
      <c r="M60" s="17">
        <f>SUM(M57:M59)</f>
        <v>2138815.4400399998</v>
      </c>
      <c r="N60" s="17">
        <f>SUM(N57:N59)</f>
        <v>67912.796990000017</v>
      </c>
      <c r="O60" s="132">
        <f t="shared" ref="O60" si="63">N60/I60</f>
        <v>3.2793814435418789E-2</v>
      </c>
      <c r="P60" s="132">
        <f>SUM(P57:P59)</f>
        <v>1</v>
      </c>
      <c r="Q60" s="133">
        <f t="shared" ref="Q60" si="64">P60-J60</f>
        <v>0</v>
      </c>
      <c r="R60" s="134">
        <f>M60-K60</f>
        <v>-386.4830100000836</v>
      </c>
      <c r="S60" s="5">
        <f>K60/I60</f>
        <v>1.0329804398237714</v>
      </c>
    </row>
    <row r="61" spans="1:20" x14ac:dyDescent="0.25">
      <c r="A61" s="32">
        <f t="shared" si="1"/>
        <v>55</v>
      </c>
      <c r="D61" s="2" t="s">
        <v>29</v>
      </c>
      <c r="G61" s="107">
        <v>-99664.84</v>
      </c>
      <c r="I61" s="111">
        <f>G61+(0.00159*(E59))</f>
        <v>-64131.303759999995</v>
      </c>
      <c r="K61" s="111"/>
      <c r="M61" s="107">
        <f>I61</f>
        <v>-64131.303759999995</v>
      </c>
      <c r="N61" s="107">
        <f t="shared" ref="N61:N63" si="65">M61-I61</f>
        <v>0</v>
      </c>
      <c r="O61" s="108">
        <v>0</v>
      </c>
    </row>
    <row r="62" spans="1:20" x14ac:dyDescent="0.25">
      <c r="A62" s="32">
        <f t="shared" si="1"/>
        <v>56</v>
      </c>
      <c r="D62" s="2" t="s">
        <v>30</v>
      </c>
      <c r="G62" s="107">
        <v>210205.73</v>
      </c>
      <c r="I62" s="111">
        <f t="shared" ref="I62:I64" si="66">G62</f>
        <v>210205.73</v>
      </c>
      <c r="M62" s="107">
        <f t="shared" ref="M62:M64" si="67">I62</f>
        <v>210205.73</v>
      </c>
      <c r="N62" s="107">
        <f t="shared" si="65"/>
        <v>0</v>
      </c>
      <c r="O62" s="108">
        <v>0</v>
      </c>
    </row>
    <row r="63" spans="1:20" x14ac:dyDescent="0.25">
      <c r="A63" s="32">
        <f t="shared" si="1"/>
        <v>57</v>
      </c>
      <c r="D63" s="2" t="s">
        <v>32</v>
      </c>
      <c r="G63" s="107">
        <v>0</v>
      </c>
      <c r="I63" s="111">
        <f t="shared" si="66"/>
        <v>0</v>
      </c>
      <c r="M63" s="107">
        <f t="shared" si="67"/>
        <v>0</v>
      </c>
      <c r="N63" s="107">
        <f t="shared" si="65"/>
        <v>0</v>
      </c>
      <c r="O63" s="108">
        <v>0</v>
      </c>
    </row>
    <row r="64" spans="1:20" x14ac:dyDescent="0.25">
      <c r="A64" s="32">
        <f t="shared" si="1"/>
        <v>58</v>
      </c>
      <c r="D64" s="2" t="s">
        <v>42</v>
      </c>
      <c r="G64" s="107">
        <v>0</v>
      </c>
      <c r="I64" s="111">
        <f t="shared" si="66"/>
        <v>0</v>
      </c>
      <c r="M64" s="107">
        <f t="shared" si="67"/>
        <v>0</v>
      </c>
      <c r="N64" s="107"/>
      <c r="O64" s="108"/>
    </row>
    <row r="65" spans="1:20" x14ac:dyDescent="0.25">
      <c r="A65" s="32">
        <f t="shared" si="1"/>
        <v>59</v>
      </c>
      <c r="D65" s="12" t="s">
        <v>8</v>
      </c>
      <c r="E65" s="113"/>
      <c r="F65" s="113"/>
      <c r="G65" s="112">
        <f>SUM(G61:G64)</f>
        <v>110540.89000000001</v>
      </c>
      <c r="H65" s="113"/>
      <c r="I65" s="112">
        <f>SUM(I61:I64)</f>
        <v>146074.42624</v>
      </c>
      <c r="J65" s="113"/>
      <c r="K65" s="113"/>
      <c r="L65" s="113"/>
      <c r="M65" s="112">
        <f>SUM(M61:M64)</f>
        <v>146074.42624</v>
      </c>
      <c r="N65" s="112">
        <f t="shared" ref="N65:N67" si="68">M65-I65</f>
        <v>0</v>
      </c>
      <c r="O65" s="136">
        <f t="shared" ref="O65" si="69">N65-J65</f>
        <v>0</v>
      </c>
    </row>
    <row r="66" spans="1:20" s="5" customFormat="1" ht="26.4" customHeight="1" thickBot="1" x14ac:dyDescent="0.3">
      <c r="A66" s="32">
        <f t="shared" si="1"/>
        <v>60</v>
      </c>
      <c r="C66" s="14"/>
      <c r="D66" s="6" t="s">
        <v>19</v>
      </c>
      <c r="E66" s="115"/>
      <c r="F66" s="115"/>
      <c r="G66" s="114">
        <f>G60+G65</f>
        <v>2216977.06929</v>
      </c>
      <c r="H66" s="115"/>
      <c r="I66" s="116">
        <f>I65+I60</f>
        <v>2216977.06929</v>
      </c>
      <c r="J66" s="115"/>
      <c r="K66" s="115"/>
      <c r="L66" s="115"/>
      <c r="M66" s="114">
        <f>M65+M60</f>
        <v>2284889.8662799997</v>
      </c>
      <c r="N66" s="114">
        <f t="shared" si="68"/>
        <v>67912.796989999712</v>
      </c>
      <c r="O66" s="137">
        <f>N66/I66</f>
        <v>3.0633062439274206E-2</v>
      </c>
      <c r="P66" s="103"/>
      <c r="Q66" s="103"/>
      <c r="R66" s="103"/>
    </row>
    <row r="67" spans="1:20" ht="13.8" thickTop="1" x14ac:dyDescent="0.25">
      <c r="A67" s="32">
        <f t="shared" si="1"/>
        <v>61</v>
      </c>
      <c r="D67" s="2" t="s">
        <v>18</v>
      </c>
      <c r="E67" s="108">
        <f>E59/E57</f>
        <v>18273.210139002455</v>
      </c>
      <c r="G67" s="138">
        <f>G66/E57</f>
        <v>1812.7367696565823</v>
      </c>
      <c r="I67" s="138">
        <f>I66/E57</f>
        <v>1812.7367696565823</v>
      </c>
      <c r="M67" s="138">
        <f>M66/E57</f>
        <v>1868.2664483074404</v>
      </c>
      <c r="N67" s="138">
        <f t="shared" si="68"/>
        <v>55.529678650858159</v>
      </c>
      <c r="O67" s="121">
        <f>N67/I67</f>
        <v>3.0633062439274123E-2</v>
      </c>
    </row>
    <row r="68" spans="1:20" ht="13.8" thickBot="1" x14ac:dyDescent="0.3">
      <c r="A68" s="32">
        <f t="shared" si="1"/>
        <v>62</v>
      </c>
    </row>
    <row r="69" spans="1:20" x14ac:dyDescent="0.25">
      <c r="A69" s="32">
        <f t="shared" si="1"/>
        <v>63</v>
      </c>
      <c r="B69" s="148" t="s">
        <v>80</v>
      </c>
      <c r="C69" s="23">
        <v>5</v>
      </c>
      <c r="D69" s="22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</row>
    <row r="70" spans="1:20" x14ac:dyDescent="0.25">
      <c r="A70" s="32">
        <f t="shared" si="1"/>
        <v>64</v>
      </c>
      <c r="B70" s="149"/>
      <c r="C70" s="2"/>
      <c r="D70" s="2" t="s">
        <v>17</v>
      </c>
      <c r="E70" s="123">
        <v>99</v>
      </c>
      <c r="F70" s="108">
        <f>H70</f>
        <v>31.65</v>
      </c>
      <c r="G70" s="107">
        <f>F70*E70</f>
        <v>3133.35</v>
      </c>
      <c r="H70" s="108">
        <v>31.65</v>
      </c>
      <c r="I70" s="107">
        <f>H70*E70</f>
        <v>3133.35</v>
      </c>
      <c r="J70" s="121">
        <f>I70/I72</f>
        <v>8.1591970991579423E-3</v>
      </c>
      <c r="K70" s="121"/>
      <c r="L70" s="108">
        <f>ROUND(H70*S72,2)</f>
        <v>32.69</v>
      </c>
      <c r="M70" s="107">
        <f>L70*E70</f>
        <v>3236.31</v>
      </c>
      <c r="N70" s="107">
        <f>M70-I70</f>
        <v>102.96000000000004</v>
      </c>
      <c r="O70" s="121">
        <f>IF(I70=0,0,N70/I70)</f>
        <v>3.2859399684044249E-2</v>
      </c>
      <c r="P70" s="121">
        <f>M70/M$60</f>
        <v>1.513131960530206E-3</v>
      </c>
      <c r="Q70" s="130">
        <f>P70-J70</f>
        <v>-6.6460651386277365E-3</v>
      </c>
      <c r="R70" s="130"/>
      <c r="T70" s="4"/>
    </row>
    <row r="71" spans="1:20" x14ac:dyDescent="0.25">
      <c r="A71" s="32">
        <f t="shared" si="1"/>
        <v>65</v>
      </c>
      <c r="D71" s="2" t="s">
        <v>50</v>
      </c>
      <c r="E71" s="123">
        <v>4525287</v>
      </c>
      <c r="F71" s="109">
        <f>H71+0.00159</f>
        <v>8.5759999999999989E-2</v>
      </c>
      <c r="G71" s="107">
        <f t="shared" ref="G71" si="70">F71*E71</f>
        <v>388088.61311999994</v>
      </c>
      <c r="H71" s="109">
        <v>8.4169999999999995E-2</v>
      </c>
      <c r="I71" s="107">
        <f t="shared" ref="I71" si="71">H71*E71</f>
        <v>380893.40678999998</v>
      </c>
      <c r="J71" s="121">
        <f>IF(I72=0,0,I71/I72)</f>
        <v>0.99184080290084209</v>
      </c>
      <c r="K71" s="121"/>
      <c r="L71" s="131">
        <f>ROUND(H71*S72,5)</f>
        <v>8.695E-2</v>
      </c>
      <c r="M71" s="107">
        <f t="shared" ref="M71" si="72">L71*E71</f>
        <v>393473.70464999997</v>
      </c>
      <c r="N71" s="107">
        <f t="shared" ref="N71" si="73">M71-I71</f>
        <v>12580.297859999991</v>
      </c>
      <c r="O71" s="121">
        <f t="shared" ref="O71" si="74">IF(I71=0,0,N71/I71)</f>
        <v>3.3028394915052849E-2</v>
      </c>
      <c r="P71" s="121">
        <f>IF(M72=0,0,M71/M72)</f>
        <v>0.99184212679164341</v>
      </c>
      <c r="Q71" s="130">
        <f t="shared" ref="Q71" si="75">P71-J71</f>
        <v>1.3238908013191164E-6</v>
      </c>
      <c r="R71" s="130"/>
      <c r="T71" s="4">
        <f>L71/H71-1</f>
        <v>3.3028394915052939E-2</v>
      </c>
    </row>
    <row r="72" spans="1:20" s="5" customFormat="1" ht="20.399999999999999" customHeight="1" x14ac:dyDescent="0.3">
      <c r="A72" s="32">
        <f t="shared" si="1"/>
        <v>66</v>
      </c>
      <c r="C72" s="14"/>
      <c r="D72" s="16" t="s">
        <v>6</v>
      </c>
      <c r="E72" s="110"/>
      <c r="F72" s="110"/>
      <c r="G72" s="17">
        <f>SUM(G70:G71)</f>
        <v>391221.96311999991</v>
      </c>
      <c r="H72" s="110"/>
      <c r="I72" s="17">
        <f>SUM(I70:I71)</f>
        <v>384026.75678999996</v>
      </c>
      <c r="J72" s="132">
        <f>SUM(J70:J71)</f>
        <v>1</v>
      </c>
      <c r="K72" s="122">
        <f>I72+Summary!I13</f>
        <v>396692.12678999995</v>
      </c>
      <c r="L72" s="110"/>
      <c r="M72" s="17">
        <f>SUM(M70:M71)</f>
        <v>396710.01464999997</v>
      </c>
      <c r="N72" s="17">
        <f>SUM(N70:N71)</f>
        <v>12683.257859999991</v>
      </c>
      <c r="O72" s="132">
        <f>IF(I72=0,0,N72/I72)</f>
        <v>3.3027016049654231E-2</v>
      </c>
      <c r="P72" s="132">
        <f>SUM(P70:P71)</f>
        <v>0.99335525875217356</v>
      </c>
      <c r="Q72" s="133">
        <f t="shared" ref="Q72" si="76">P72-J72</f>
        <v>-6.6447412478264356E-3</v>
      </c>
      <c r="R72" s="134">
        <f>M72-K72</f>
        <v>17.887860000017099</v>
      </c>
      <c r="S72" s="5">
        <f>K72/I72</f>
        <v>1.0329804363265394</v>
      </c>
    </row>
    <row r="73" spans="1:20" x14ac:dyDescent="0.25">
      <c r="A73" s="32">
        <f t="shared" ref="A73:A136" si="77">A72+1</f>
        <v>67</v>
      </c>
      <c r="D73" s="2" t="s">
        <v>29</v>
      </c>
      <c r="G73" s="107">
        <v>-19743.61</v>
      </c>
      <c r="I73" s="111">
        <f>G73+(0.00159*(E71))</f>
        <v>-12548.40367</v>
      </c>
      <c r="K73" s="111"/>
      <c r="M73" s="107">
        <f>I73</f>
        <v>-12548.40367</v>
      </c>
      <c r="N73" s="107">
        <f t="shared" ref="N73:N78" si="78">M73-I73</f>
        <v>0</v>
      </c>
      <c r="O73" s="108">
        <v>0</v>
      </c>
    </row>
    <row r="74" spans="1:20" x14ac:dyDescent="0.25">
      <c r="A74" s="32">
        <f t="shared" si="77"/>
        <v>68</v>
      </c>
      <c r="D74" s="2" t="s">
        <v>30</v>
      </c>
      <c r="G74" s="107">
        <v>37471.620000000003</v>
      </c>
      <c r="I74" s="111">
        <f t="shared" ref="I74:I76" si="79">G74</f>
        <v>37471.620000000003</v>
      </c>
      <c r="M74" s="107">
        <f t="shared" ref="M74:M76" si="80">I74</f>
        <v>37471.620000000003</v>
      </c>
      <c r="N74" s="107">
        <f t="shared" si="78"/>
        <v>0</v>
      </c>
      <c r="O74" s="108">
        <v>0</v>
      </c>
    </row>
    <row r="75" spans="1:20" x14ac:dyDescent="0.25">
      <c r="A75" s="32">
        <f t="shared" si="77"/>
        <v>69</v>
      </c>
      <c r="D75" s="2" t="s">
        <v>32</v>
      </c>
      <c r="F75" s="108"/>
      <c r="G75" s="107">
        <f>F75*E75</f>
        <v>0</v>
      </c>
      <c r="I75" s="111">
        <f t="shared" si="79"/>
        <v>0</v>
      </c>
      <c r="M75" s="107">
        <f t="shared" si="80"/>
        <v>0</v>
      </c>
      <c r="N75" s="107">
        <f t="shared" si="78"/>
        <v>0</v>
      </c>
      <c r="O75" s="108">
        <v>0</v>
      </c>
    </row>
    <row r="76" spans="1:20" x14ac:dyDescent="0.25">
      <c r="A76" s="32">
        <f t="shared" si="77"/>
        <v>70</v>
      </c>
      <c r="D76" s="2" t="s">
        <v>42</v>
      </c>
      <c r="G76" s="107">
        <v>0</v>
      </c>
      <c r="I76" s="111">
        <f t="shared" si="79"/>
        <v>0</v>
      </c>
      <c r="M76" s="107">
        <f t="shared" si="80"/>
        <v>0</v>
      </c>
      <c r="N76" s="107"/>
      <c r="O76" s="108"/>
    </row>
    <row r="77" spans="1:20" x14ac:dyDescent="0.25">
      <c r="A77" s="32">
        <f t="shared" si="77"/>
        <v>71</v>
      </c>
      <c r="D77" s="12" t="s">
        <v>8</v>
      </c>
      <c r="E77" s="113"/>
      <c r="F77" s="113"/>
      <c r="G77" s="112">
        <f>SUM(G73:G76)</f>
        <v>17728.010000000002</v>
      </c>
      <c r="H77" s="113"/>
      <c r="I77" s="112">
        <f>SUM(I73:I76)</f>
        <v>24923.216330000003</v>
      </c>
      <c r="J77" s="113"/>
      <c r="K77" s="113"/>
      <c r="L77" s="113"/>
      <c r="M77" s="112">
        <f>SUM(M73:M76)</f>
        <v>24923.216330000003</v>
      </c>
      <c r="N77" s="112">
        <f t="shared" si="78"/>
        <v>0</v>
      </c>
      <c r="O77" s="136">
        <f t="shared" ref="O77" si="81">N77-J77</f>
        <v>0</v>
      </c>
    </row>
    <row r="78" spans="1:20" s="5" customFormat="1" ht="26.4" customHeight="1" thickBot="1" x14ac:dyDescent="0.3">
      <c r="A78" s="32">
        <f t="shared" si="77"/>
        <v>72</v>
      </c>
      <c r="C78" s="14"/>
      <c r="D78" s="6" t="s">
        <v>19</v>
      </c>
      <c r="E78" s="115"/>
      <c r="F78" s="115"/>
      <c r="G78" s="114">
        <f>G72+G77</f>
        <v>408949.97311999992</v>
      </c>
      <c r="H78" s="115"/>
      <c r="I78" s="116">
        <f>I77+I72</f>
        <v>408949.97311999998</v>
      </c>
      <c r="J78" s="115"/>
      <c r="K78" s="115"/>
      <c r="L78" s="115"/>
      <c r="M78" s="114">
        <f>M77+M72</f>
        <v>421633.23097999999</v>
      </c>
      <c r="N78" s="114">
        <f t="shared" si="78"/>
        <v>12683.257860000012</v>
      </c>
      <c r="O78" s="137">
        <f>IF(I78=0,0,N78/I78)</f>
        <v>3.1014203921412922E-2</v>
      </c>
      <c r="P78" s="103"/>
      <c r="Q78" s="103"/>
      <c r="R78" s="103"/>
    </row>
    <row r="79" spans="1:20" ht="13.8" thickTop="1" x14ac:dyDescent="0.25">
      <c r="A79" s="32">
        <f t="shared" si="77"/>
        <v>73</v>
      </c>
      <c r="D79" s="2" t="s">
        <v>18</v>
      </c>
      <c r="E79" s="108">
        <f>E71/E70</f>
        <v>45709.969696969696</v>
      </c>
      <c r="G79" s="138">
        <f>G78/E70</f>
        <v>4130.8078092929281</v>
      </c>
      <c r="I79" s="138">
        <f>I78/E70</f>
        <v>4130.8078092929291</v>
      </c>
      <c r="M79" s="138">
        <f>M78/E70</f>
        <v>4258.9215250505049</v>
      </c>
      <c r="N79" s="138">
        <f>M79-I79</f>
        <v>128.11371575757585</v>
      </c>
      <c r="O79" s="121">
        <f>N79/I79</f>
        <v>3.1014203921412912E-2</v>
      </c>
    </row>
    <row r="80" spans="1:20" ht="13.8" thickBot="1" x14ac:dyDescent="0.3">
      <c r="A80" s="32">
        <f t="shared" si="77"/>
        <v>74</v>
      </c>
    </row>
    <row r="81" spans="1:20" x14ac:dyDescent="0.25">
      <c r="A81" s="32">
        <f t="shared" si="77"/>
        <v>75</v>
      </c>
      <c r="B81" s="148" t="s">
        <v>81</v>
      </c>
      <c r="C81" s="23">
        <v>6</v>
      </c>
      <c r="D81" s="22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</row>
    <row r="82" spans="1:20" x14ac:dyDescent="0.25">
      <c r="A82" s="32">
        <f t="shared" si="77"/>
        <v>76</v>
      </c>
      <c r="B82" s="149"/>
      <c r="C82" s="27"/>
      <c r="D82" s="2" t="s">
        <v>50</v>
      </c>
      <c r="E82" s="123">
        <v>372684</v>
      </c>
      <c r="F82" s="124">
        <f>F9</f>
        <v>9.4259999999999997E-2</v>
      </c>
      <c r="G82" s="107">
        <f t="shared" ref="G82" si="82">F82*E82</f>
        <v>35129.19384</v>
      </c>
      <c r="H82" s="124">
        <f>H9</f>
        <v>9.2670000000000002E-2</v>
      </c>
      <c r="I82" s="107">
        <f t="shared" ref="I82" si="83">H82*E82</f>
        <v>34536.626280000004</v>
      </c>
      <c r="J82" s="121">
        <f>IF(I84=0,0,I82/I$83)</f>
        <v>1</v>
      </c>
      <c r="K82" s="121"/>
      <c r="L82" s="131">
        <f>ROUND(H82*S83,5)</f>
        <v>9.5729999999999996E-2</v>
      </c>
      <c r="M82" s="107">
        <f t="shared" ref="M82" si="84">L82*E82</f>
        <v>35677.039319999996</v>
      </c>
      <c r="N82" s="107">
        <f t="shared" ref="N82:N89" si="85">M82-I82</f>
        <v>1140.4130399999922</v>
      </c>
      <c r="O82" s="121">
        <f t="shared" ref="O82" si="86">IF(I82=0,0,N82/I82)</f>
        <v>3.3020394949821716E-2</v>
      </c>
      <c r="P82" s="121">
        <f>IF(M$83=0,0,M82/M$83)</f>
        <v>1</v>
      </c>
      <c r="Q82" s="130">
        <f t="shared" ref="Q82:Q83" si="87">P82-J82</f>
        <v>0</v>
      </c>
      <c r="R82" s="130"/>
      <c r="T82" s="4">
        <f t="shared" ref="T82" si="88">L82/H82-1</f>
        <v>3.3020394949821785E-2</v>
      </c>
    </row>
    <row r="83" spans="1:20" s="5" customFormat="1" ht="20.399999999999999" customHeight="1" x14ac:dyDescent="0.3">
      <c r="A83" s="32">
        <f t="shared" si="77"/>
        <v>77</v>
      </c>
      <c r="B83" s="101"/>
      <c r="C83" s="14"/>
      <c r="D83" s="16" t="s">
        <v>6</v>
      </c>
      <c r="E83" s="110"/>
      <c r="F83" s="110"/>
      <c r="G83" s="17">
        <f>SUM(G82:G82)</f>
        <v>35129.19384</v>
      </c>
      <c r="H83" s="110"/>
      <c r="I83" s="17">
        <f>SUM(I82:I82)</f>
        <v>34536.626280000004</v>
      </c>
      <c r="J83" s="132">
        <f>SUM(J82:J82)</f>
        <v>1</v>
      </c>
      <c r="K83" s="122">
        <f>I83+Summary!I14</f>
        <v>35675.656280000003</v>
      </c>
      <c r="L83" s="110"/>
      <c r="M83" s="17">
        <f>SUM(M82:M82)</f>
        <v>35677.039319999996</v>
      </c>
      <c r="N83" s="17">
        <f>SUM(N82:N82)</f>
        <v>1140.4130399999922</v>
      </c>
      <c r="O83" s="132">
        <f>IF(I83=0,0,N83/I83)</f>
        <v>3.3020394949821716E-2</v>
      </c>
      <c r="P83" s="132">
        <f>SUM(P82:P82)</f>
        <v>1</v>
      </c>
      <c r="Q83" s="133">
        <f t="shared" si="87"/>
        <v>0</v>
      </c>
      <c r="R83" s="134">
        <f>M83-K83</f>
        <v>1.3830399999933434</v>
      </c>
      <c r="S83" s="5">
        <f>IF(I83=0,0,K83/I83)</f>
        <v>1.0329803493475449</v>
      </c>
    </row>
    <row r="84" spans="1:20" x14ac:dyDescent="0.25">
      <c r="A84" s="32">
        <f t="shared" si="77"/>
        <v>78</v>
      </c>
      <c r="B84" s="25"/>
      <c r="D84" s="2" t="s">
        <v>29</v>
      </c>
      <c r="G84" s="107">
        <v>-1683.03</v>
      </c>
      <c r="I84" s="111">
        <f>G84+(0.00159*(E82))</f>
        <v>-1090.4624399999998</v>
      </c>
      <c r="K84" s="111"/>
      <c r="M84" s="107">
        <f>I84</f>
        <v>-1090.4624399999998</v>
      </c>
      <c r="N84" s="107">
        <f t="shared" si="85"/>
        <v>0</v>
      </c>
      <c r="O84" s="108">
        <v>0</v>
      </c>
    </row>
    <row r="85" spans="1:20" x14ac:dyDescent="0.25">
      <c r="A85" s="32">
        <f t="shared" si="77"/>
        <v>79</v>
      </c>
      <c r="B85" s="25"/>
      <c r="D85" s="2" t="s">
        <v>30</v>
      </c>
      <c r="G85" s="107">
        <v>9944.2000000000007</v>
      </c>
      <c r="I85" s="111">
        <f t="shared" ref="I85:I87" si="89">G85</f>
        <v>9944.2000000000007</v>
      </c>
      <c r="M85" s="107">
        <f t="shared" ref="M85:M87" si="90">I85</f>
        <v>9944.2000000000007</v>
      </c>
      <c r="N85" s="107">
        <f t="shared" si="85"/>
        <v>0</v>
      </c>
      <c r="O85" s="108">
        <v>0</v>
      </c>
    </row>
    <row r="86" spans="1:20" x14ac:dyDescent="0.25">
      <c r="A86" s="32">
        <f t="shared" si="77"/>
        <v>80</v>
      </c>
      <c r="B86" s="25"/>
      <c r="D86" s="2" t="s">
        <v>32</v>
      </c>
      <c r="G86" s="107">
        <v>0</v>
      </c>
      <c r="I86" s="111">
        <f t="shared" si="89"/>
        <v>0</v>
      </c>
      <c r="M86" s="107">
        <f t="shared" si="90"/>
        <v>0</v>
      </c>
      <c r="N86" s="107">
        <f t="shared" si="85"/>
        <v>0</v>
      </c>
      <c r="O86" s="108">
        <v>0</v>
      </c>
    </row>
    <row r="87" spans="1:20" x14ac:dyDescent="0.25">
      <c r="A87" s="32">
        <f t="shared" si="77"/>
        <v>81</v>
      </c>
      <c r="B87" s="25"/>
      <c r="D87" s="2" t="s">
        <v>42</v>
      </c>
      <c r="G87" s="107">
        <v>0</v>
      </c>
      <c r="I87" s="111">
        <f t="shared" si="89"/>
        <v>0</v>
      </c>
      <c r="M87" s="107">
        <f t="shared" si="90"/>
        <v>0</v>
      </c>
      <c r="N87" s="107"/>
      <c r="O87" s="108"/>
    </row>
    <row r="88" spans="1:20" x14ac:dyDescent="0.25">
      <c r="A88" s="32">
        <f t="shared" si="77"/>
        <v>82</v>
      </c>
      <c r="B88" s="25"/>
      <c r="D88" s="12" t="s">
        <v>8</v>
      </c>
      <c r="E88" s="113"/>
      <c r="F88" s="113"/>
      <c r="G88" s="112">
        <f>SUM(G84:G87)</f>
        <v>8261.17</v>
      </c>
      <c r="H88" s="113"/>
      <c r="I88" s="112">
        <f>SUM(I84:I87)</f>
        <v>8853.7375600000014</v>
      </c>
      <c r="J88" s="113"/>
      <c r="K88" s="113"/>
      <c r="L88" s="113"/>
      <c r="M88" s="112">
        <f>SUM(M84:M87)</f>
        <v>8853.7375600000014</v>
      </c>
      <c r="N88" s="112">
        <f t="shared" si="85"/>
        <v>0</v>
      </c>
      <c r="O88" s="136">
        <f t="shared" ref="O88" si="91">N88-J88</f>
        <v>0</v>
      </c>
    </row>
    <row r="89" spans="1:20" s="5" customFormat="1" ht="26.4" customHeight="1" thickBot="1" x14ac:dyDescent="0.3">
      <c r="A89" s="32">
        <f t="shared" si="77"/>
        <v>83</v>
      </c>
      <c r="B89" s="101"/>
      <c r="C89" s="14"/>
      <c r="D89" s="6" t="s">
        <v>19</v>
      </c>
      <c r="E89" s="115"/>
      <c r="F89" s="115"/>
      <c r="G89" s="114">
        <f>G83+G88</f>
        <v>43390.363839999998</v>
      </c>
      <c r="H89" s="115"/>
      <c r="I89" s="116">
        <f>I88+I83</f>
        <v>43390.363840000005</v>
      </c>
      <c r="J89" s="115"/>
      <c r="K89" s="115"/>
      <c r="L89" s="115"/>
      <c r="M89" s="114">
        <f>M88+M83</f>
        <v>44530.776879999998</v>
      </c>
      <c r="N89" s="114">
        <f t="shared" si="85"/>
        <v>1140.4130399999922</v>
      </c>
      <c r="O89" s="137">
        <f>IF(I89=0,0,N89/I89)</f>
        <v>2.6282633724972058E-2</v>
      </c>
      <c r="P89" s="103"/>
      <c r="Q89" s="103"/>
      <c r="R89" s="103"/>
    </row>
    <row r="90" spans="1:20" ht="13.8" thickTop="1" x14ac:dyDescent="0.25">
      <c r="A90" s="32">
        <f t="shared" si="77"/>
        <v>84</v>
      </c>
      <c r="B90" s="25"/>
      <c r="D90" s="13"/>
      <c r="E90" s="139" t="s">
        <v>62</v>
      </c>
      <c r="F90" s="139"/>
      <c r="G90" s="139" t="s">
        <v>62</v>
      </c>
      <c r="H90" s="139"/>
      <c r="I90" s="139" t="s">
        <v>62</v>
      </c>
      <c r="J90" s="139"/>
      <c r="K90" s="139"/>
      <c r="L90" s="139"/>
      <c r="M90" s="139" t="s">
        <v>62</v>
      </c>
      <c r="N90" s="139" t="s">
        <v>62</v>
      </c>
      <c r="O90" s="140"/>
      <c r="P90" s="140"/>
      <c r="Q90" s="140"/>
    </row>
    <row r="91" spans="1:20" ht="13.8" thickBot="1" x14ac:dyDescent="0.3">
      <c r="A91" s="32">
        <f t="shared" si="77"/>
        <v>85</v>
      </c>
    </row>
    <row r="92" spans="1:20" x14ac:dyDescent="0.25">
      <c r="A92" s="32">
        <f t="shared" si="77"/>
        <v>86</v>
      </c>
      <c r="B92" s="148" t="s">
        <v>95</v>
      </c>
      <c r="C92" s="23" t="s">
        <v>94</v>
      </c>
      <c r="D92" s="22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</row>
    <row r="93" spans="1:20" x14ac:dyDescent="0.25">
      <c r="A93" s="32">
        <f t="shared" si="77"/>
        <v>87</v>
      </c>
      <c r="B93" s="149"/>
      <c r="C93" s="2"/>
      <c r="D93" s="2" t="s">
        <v>17</v>
      </c>
      <c r="E93" s="123">
        <v>110</v>
      </c>
      <c r="F93" s="108">
        <f>H93</f>
        <v>604.77</v>
      </c>
      <c r="G93" s="107">
        <f>F93*E93</f>
        <v>66524.7</v>
      </c>
      <c r="H93" s="108">
        <v>604.77</v>
      </c>
      <c r="I93" s="107">
        <f>H93*E93</f>
        <v>66524.7</v>
      </c>
      <c r="J93" s="121">
        <f>I93/I97</f>
        <v>9.7792758379415309E-3</v>
      </c>
      <c r="K93" s="121"/>
      <c r="L93" s="108">
        <f>ROUND(H93*S97,2)</f>
        <v>624.72</v>
      </c>
      <c r="M93" s="107">
        <f>L93*E93</f>
        <v>68719.199999999997</v>
      </c>
      <c r="N93" s="107">
        <f>M93-I93</f>
        <v>2194.5</v>
      </c>
      <c r="O93" s="121">
        <f>IF(I93=0,0,N93/I93)</f>
        <v>3.2987747408105561E-2</v>
      </c>
      <c r="P93" s="121">
        <f>M93/M$97</f>
        <v>9.7766888136158123E-3</v>
      </c>
      <c r="Q93" s="130">
        <f>P93-J93</f>
        <v>-2.5870243257185982E-6</v>
      </c>
      <c r="R93" s="130"/>
      <c r="T93" s="4">
        <f t="shared" ref="T93:T96" si="92">L93/H93-1</f>
        <v>3.2987747408105728E-2</v>
      </c>
    </row>
    <row r="94" spans="1:20" x14ac:dyDescent="0.25">
      <c r="A94" s="32">
        <f t="shared" si="77"/>
        <v>88</v>
      </c>
      <c r="D94" s="2" t="s">
        <v>83</v>
      </c>
      <c r="E94" s="123">
        <v>473008.44410000002</v>
      </c>
      <c r="F94" s="108">
        <f>H94</f>
        <v>7.17</v>
      </c>
      <c r="G94" s="107">
        <f t="shared" ref="G94" si="93">F94*E94</f>
        <v>3391470.5441970001</v>
      </c>
      <c r="H94" s="108">
        <v>7.17</v>
      </c>
      <c r="I94" s="107">
        <f t="shared" ref="I94" si="94">H94*E94</f>
        <v>3391470.5441970001</v>
      </c>
      <c r="J94" s="121">
        <f>I94/I97</f>
        <v>0.49855355902328213</v>
      </c>
      <c r="K94" s="121"/>
      <c r="L94" s="108">
        <f>ROUND(H94*S$97,2)</f>
        <v>7.41</v>
      </c>
      <c r="M94" s="107">
        <f t="shared" ref="M94" si="95">L94*E94</f>
        <v>3504992.5707810004</v>
      </c>
      <c r="N94" s="107">
        <f t="shared" ref="N94" si="96">M94-I94</f>
        <v>113522.02658400033</v>
      </c>
      <c r="O94" s="121">
        <f t="shared" ref="O94" si="97">IF(I94=0,0,N94/I94)</f>
        <v>3.3472803347280429E-2</v>
      </c>
      <c r="P94" s="121">
        <f>M94/M$97</f>
        <v>0.49865571279294774</v>
      </c>
      <c r="Q94" s="130">
        <f t="shared" ref="Q94" si="98">P94-J94</f>
        <v>1.0215376966560274E-4</v>
      </c>
      <c r="R94" s="130"/>
      <c r="T94" s="4">
        <f t="shared" si="92"/>
        <v>3.3472803347280422E-2</v>
      </c>
    </row>
    <row r="95" spans="1:20" x14ac:dyDescent="0.25">
      <c r="A95" s="32">
        <f t="shared" si="77"/>
        <v>89</v>
      </c>
      <c r="D95" s="2" t="s">
        <v>82</v>
      </c>
      <c r="E95" s="123">
        <v>21845</v>
      </c>
      <c r="F95" s="108">
        <f>H95</f>
        <v>9.98</v>
      </c>
      <c r="G95" s="107">
        <f t="shared" ref="G95" si="99">F95*E95</f>
        <v>218013.1</v>
      </c>
      <c r="H95" s="108">
        <v>9.98</v>
      </c>
      <c r="I95" s="107">
        <f t="shared" ref="I95" si="100">H95*E95</f>
        <v>218013.1</v>
      </c>
      <c r="J95" s="121">
        <f>I95/I97</f>
        <v>3.2048400687034004E-2</v>
      </c>
      <c r="K95" s="121"/>
      <c r="L95" s="108">
        <f>ROUND(H95*S$97,2)</f>
        <v>10.31</v>
      </c>
      <c r="M95" s="107">
        <f t="shared" ref="M95" si="101">L95*E95</f>
        <v>225221.95</v>
      </c>
      <c r="N95" s="107">
        <f t="shared" ref="N95" si="102">M95-I95</f>
        <v>7208.8500000000058</v>
      </c>
      <c r="O95" s="121">
        <f t="shared" ref="O95" si="103">IF(I95=0,0,N95/I95)</f>
        <v>3.3066132264529084E-2</v>
      </c>
      <c r="P95" s="121">
        <f>M95/M$97</f>
        <v>3.2042353798439734E-2</v>
      </c>
      <c r="Q95" s="130">
        <f t="shared" ref="Q95" si="104">P95-J95</f>
        <v>-6.0468885942702166E-6</v>
      </c>
      <c r="R95" s="130"/>
      <c r="T95" s="4">
        <f t="shared" ref="T95" si="105">L95/H95-1</f>
        <v>3.3066132264529147E-2</v>
      </c>
    </row>
    <row r="96" spans="1:20" x14ac:dyDescent="0.25">
      <c r="A96" s="32">
        <f t="shared" si="77"/>
        <v>90</v>
      </c>
      <c r="B96" s="66"/>
      <c r="D96" s="2" t="s">
        <v>50</v>
      </c>
      <c r="E96" s="123">
        <v>66241778</v>
      </c>
      <c r="F96" s="109">
        <f>H96+0.00159</f>
        <v>4.879E-2</v>
      </c>
      <c r="G96" s="107">
        <f t="shared" ref="G96" si="106">F96*E96</f>
        <v>3231936.3486199998</v>
      </c>
      <c r="H96" s="109">
        <v>4.7199999999999999E-2</v>
      </c>
      <c r="I96" s="107">
        <f t="shared" ref="I96" si="107">H96*E96</f>
        <v>3126611.9216</v>
      </c>
      <c r="J96" s="121">
        <f>I96/I97</f>
        <v>0.45961876445174227</v>
      </c>
      <c r="K96" s="121"/>
      <c r="L96" s="131">
        <f>ROUND(H96*S97,5)</f>
        <v>4.8759999999999998E-2</v>
      </c>
      <c r="M96" s="107">
        <f t="shared" ref="M96" si="108">L96*E96</f>
        <v>3229949.09528</v>
      </c>
      <c r="N96" s="107">
        <f t="shared" ref="N96:N104" si="109">M96-I96</f>
        <v>103337.17368000001</v>
      </c>
      <c r="O96" s="121">
        <f t="shared" ref="O96" si="110">IF(I96=0,0,N96/I96)</f>
        <v>3.3050847457627118E-2</v>
      </c>
      <c r="P96" s="121">
        <f>M96/M$97</f>
        <v>0.45952524459499661</v>
      </c>
      <c r="Q96" s="130">
        <f t="shared" ref="Q96:Q97" si="111">P96-J96</f>
        <v>-9.3519856745660768E-5</v>
      </c>
      <c r="R96" s="130"/>
      <c r="T96" s="4">
        <f t="shared" si="92"/>
        <v>3.3050847457626986E-2</v>
      </c>
    </row>
    <row r="97" spans="1:20" s="5" customFormat="1" ht="20.399999999999999" customHeight="1" x14ac:dyDescent="0.3">
      <c r="A97" s="32">
        <f t="shared" si="77"/>
        <v>91</v>
      </c>
      <c r="C97" s="14"/>
      <c r="D97" s="16" t="s">
        <v>6</v>
      </c>
      <c r="E97" s="110"/>
      <c r="F97" s="110"/>
      <c r="G97" s="17">
        <f>SUM(G93:G96)</f>
        <v>6907944.6928170007</v>
      </c>
      <c r="H97" s="110"/>
      <c r="I97" s="17">
        <f>SUM(I93:I96)</f>
        <v>6802620.2657970004</v>
      </c>
      <c r="J97" s="132">
        <f>SUM(J93:J96)</f>
        <v>1</v>
      </c>
      <c r="K97" s="122">
        <f>I97+Summary!I15</f>
        <v>7026973.655797</v>
      </c>
      <c r="L97" s="110"/>
      <c r="M97" s="17">
        <f>SUM(M93:M96)</f>
        <v>7028882.8160610013</v>
      </c>
      <c r="N97" s="17">
        <f>SUM(N93:N96)</f>
        <v>226262.55026400034</v>
      </c>
      <c r="O97" s="132">
        <f t="shared" ref="O97" si="112">N97/I97</f>
        <v>3.3261087848990969E-2</v>
      </c>
      <c r="P97" s="132">
        <f>SUM(P93:P96)</f>
        <v>1</v>
      </c>
      <c r="Q97" s="133">
        <f t="shared" si="111"/>
        <v>0</v>
      </c>
      <c r="R97" s="134">
        <f>M97-K97</f>
        <v>1909.1602640012279</v>
      </c>
      <c r="S97" s="5">
        <f>K97/I97</f>
        <v>1.0329804371306788</v>
      </c>
    </row>
    <row r="98" spans="1:20" x14ac:dyDescent="0.25">
      <c r="A98" s="32">
        <f t="shared" si="77"/>
        <v>92</v>
      </c>
      <c r="D98" s="2" t="s">
        <v>29</v>
      </c>
      <c r="G98" s="107">
        <v>-296066.96999999997</v>
      </c>
      <c r="I98" s="111">
        <f>G98+(0.00159*E96)</f>
        <v>-190742.54297999997</v>
      </c>
      <c r="K98" s="111"/>
      <c r="M98" s="107">
        <f>I98</f>
        <v>-190742.54297999997</v>
      </c>
      <c r="N98" s="107">
        <f t="shared" si="109"/>
        <v>0</v>
      </c>
      <c r="O98" s="108">
        <v>0</v>
      </c>
    </row>
    <row r="99" spans="1:20" x14ac:dyDescent="0.25">
      <c r="A99" s="32">
        <f t="shared" si="77"/>
        <v>93</v>
      </c>
      <c r="D99" s="2" t="s">
        <v>30</v>
      </c>
      <c r="G99" s="107">
        <v>411216.24</v>
      </c>
      <c r="I99" s="111">
        <f t="shared" ref="I99:I101" si="113">G99</f>
        <v>411216.24</v>
      </c>
      <c r="M99" s="107">
        <f t="shared" ref="M99:M101" si="114">I99</f>
        <v>411216.24</v>
      </c>
      <c r="N99" s="107">
        <f t="shared" si="109"/>
        <v>0</v>
      </c>
      <c r="O99" s="108">
        <v>0</v>
      </c>
    </row>
    <row r="100" spans="1:20" x14ac:dyDescent="0.25">
      <c r="A100" s="32">
        <f t="shared" si="77"/>
        <v>94</v>
      </c>
      <c r="D100" s="2" t="s">
        <v>32</v>
      </c>
      <c r="G100" s="107">
        <v>0</v>
      </c>
      <c r="I100" s="111">
        <f t="shared" si="113"/>
        <v>0</v>
      </c>
      <c r="M100" s="107">
        <f t="shared" si="114"/>
        <v>0</v>
      </c>
      <c r="N100" s="107">
        <f t="shared" si="109"/>
        <v>0</v>
      </c>
      <c r="O100" s="108">
        <v>0</v>
      </c>
    </row>
    <row r="101" spans="1:20" x14ac:dyDescent="0.25">
      <c r="A101" s="32">
        <f t="shared" si="77"/>
        <v>95</v>
      </c>
      <c r="D101" s="2" t="s">
        <v>42</v>
      </c>
      <c r="G101" s="107">
        <v>0</v>
      </c>
      <c r="I101" s="111">
        <f t="shared" si="113"/>
        <v>0</v>
      </c>
      <c r="M101" s="107">
        <f t="shared" si="114"/>
        <v>0</v>
      </c>
      <c r="N101" s="107"/>
      <c r="O101" s="108"/>
    </row>
    <row r="102" spans="1:20" x14ac:dyDescent="0.25">
      <c r="A102" s="32">
        <f t="shared" si="77"/>
        <v>96</v>
      </c>
      <c r="D102" s="12" t="s">
        <v>8</v>
      </c>
      <c r="E102" s="113"/>
      <c r="F102" s="113"/>
      <c r="G102" s="112">
        <f>SUM(G98:G101)</f>
        <v>115149.27000000002</v>
      </c>
      <c r="H102" s="113"/>
      <c r="I102" s="112">
        <f>SUM(I98:I101)</f>
        <v>220473.69702000002</v>
      </c>
      <c r="J102" s="113"/>
      <c r="K102" s="113"/>
      <c r="L102" s="113"/>
      <c r="M102" s="112">
        <f>SUM(M98:M101)</f>
        <v>220473.69702000002</v>
      </c>
      <c r="N102" s="112">
        <f t="shared" si="109"/>
        <v>0</v>
      </c>
      <c r="O102" s="136">
        <f t="shared" ref="O102" si="115">N102-J102</f>
        <v>0</v>
      </c>
    </row>
    <row r="103" spans="1:20" s="5" customFormat="1" ht="26.4" customHeight="1" thickBot="1" x14ac:dyDescent="0.3">
      <c r="A103" s="32">
        <f t="shared" si="77"/>
        <v>97</v>
      </c>
      <c r="C103" s="14"/>
      <c r="D103" s="6" t="s">
        <v>19</v>
      </c>
      <c r="E103" s="115"/>
      <c r="F103" s="115"/>
      <c r="G103" s="114">
        <f>G97+G102</f>
        <v>7023093.9628170002</v>
      </c>
      <c r="H103" s="115"/>
      <c r="I103" s="116">
        <f>I102+I97</f>
        <v>7023093.9628170002</v>
      </c>
      <c r="J103" s="115"/>
      <c r="K103" s="115"/>
      <c r="L103" s="115"/>
      <c r="M103" s="114">
        <f>M102+M97</f>
        <v>7249356.5130810011</v>
      </c>
      <c r="N103" s="114">
        <f t="shared" si="109"/>
        <v>226262.55026400089</v>
      </c>
      <c r="O103" s="137">
        <f>N103/I103</f>
        <v>3.2216933371804951E-2</v>
      </c>
      <c r="P103" s="103"/>
      <c r="Q103" s="103"/>
      <c r="R103" s="103"/>
    </row>
    <row r="104" spans="1:20" ht="13.8" thickTop="1" x14ac:dyDescent="0.25">
      <c r="A104" s="32">
        <f t="shared" si="77"/>
        <v>98</v>
      </c>
      <c r="D104" s="2" t="s">
        <v>18</v>
      </c>
      <c r="E104" s="108">
        <f>E96/E93</f>
        <v>602197.98181818181</v>
      </c>
      <c r="G104" s="138">
        <f>G103/E93</f>
        <v>63846.308752881821</v>
      </c>
      <c r="I104" s="138">
        <f>I103/E93</f>
        <v>63846.308752881821</v>
      </c>
      <c r="M104" s="138">
        <f>M103/E93</f>
        <v>65903.241028009099</v>
      </c>
      <c r="N104" s="138">
        <f t="shared" si="109"/>
        <v>2056.9322751272775</v>
      </c>
      <c r="O104" s="121">
        <f>N104/I104</f>
        <v>3.2216933371804896E-2</v>
      </c>
    </row>
    <row r="105" spans="1:20" ht="13.8" thickBot="1" x14ac:dyDescent="0.3">
      <c r="A105" s="32">
        <f t="shared" si="77"/>
        <v>99</v>
      </c>
    </row>
    <row r="106" spans="1:20" x14ac:dyDescent="0.25">
      <c r="A106" s="32">
        <f t="shared" si="77"/>
        <v>100</v>
      </c>
      <c r="B106" s="22" t="s">
        <v>33</v>
      </c>
      <c r="C106" s="23">
        <v>6</v>
      </c>
      <c r="D106" s="22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</row>
    <row r="107" spans="1:20" x14ac:dyDescent="0.25">
      <c r="A107" s="32">
        <f t="shared" si="77"/>
        <v>101</v>
      </c>
      <c r="B107" s="29"/>
      <c r="C107" s="26"/>
      <c r="D107" s="2" t="s">
        <v>65</v>
      </c>
      <c r="E107" s="123">
        <v>57996</v>
      </c>
      <c r="F107" s="108">
        <v>10.67</v>
      </c>
      <c r="G107" s="107">
        <f t="shared" ref="G107" si="116">F107*E107</f>
        <v>618817.31999999995</v>
      </c>
      <c r="H107" s="108">
        <v>10.6</v>
      </c>
      <c r="I107" s="107">
        <f t="shared" ref="I107" si="117">H107*E107</f>
        <v>614757.6</v>
      </c>
      <c r="J107" s="121">
        <f t="shared" ref="J107:J125" si="118">I107/I$126</f>
        <v>0.54289584508378852</v>
      </c>
      <c r="K107" s="121"/>
      <c r="L107" s="108">
        <f t="shared" ref="L107:L125" si="119">ROUND(H107*S$126,2)</f>
        <v>10.95</v>
      </c>
      <c r="M107" s="107">
        <f t="shared" ref="M107" si="120">L107*E107</f>
        <v>635056.19999999995</v>
      </c>
      <c r="N107" s="107">
        <f t="shared" ref="N107" si="121">M107-I107</f>
        <v>20298.599999999977</v>
      </c>
      <c r="O107" s="121">
        <f t="shared" ref="O107" si="122">IF(I107=0,0,N107/I107)</f>
        <v>3.3018867924528267E-2</v>
      </c>
      <c r="P107" s="121">
        <f t="shared" ref="P107:P125" si="123">M107/M$126</f>
        <v>0.54285129523584486</v>
      </c>
      <c r="Q107" s="130">
        <f t="shared" ref="Q107" si="124">P107-J107</f>
        <v>-4.4549847943664567E-5</v>
      </c>
      <c r="R107" s="130"/>
      <c r="T107" s="4">
        <f>L107/H107-1</f>
        <v>3.3018867924528239E-2</v>
      </c>
    </row>
    <row r="108" spans="1:20" x14ac:dyDescent="0.25">
      <c r="A108" s="32">
        <f t="shared" si="77"/>
        <v>102</v>
      </c>
      <c r="B108" s="29"/>
      <c r="C108" s="26"/>
      <c r="D108" s="2" t="s">
        <v>66</v>
      </c>
      <c r="E108" s="123">
        <v>10165</v>
      </c>
      <c r="F108" s="108">
        <v>5.61</v>
      </c>
      <c r="G108" s="107">
        <f t="shared" ref="G108:G109" si="125">F108*E108</f>
        <v>57025.65</v>
      </c>
      <c r="H108" s="108">
        <v>5.61</v>
      </c>
      <c r="I108" s="107">
        <f t="shared" ref="I108:I109" si="126">H108*E108</f>
        <v>57025.65</v>
      </c>
      <c r="J108" s="121">
        <f t="shared" si="118"/>
        <v>5.0359667693741964E-2</v>
      </c>
      <c r="K108" s="121"/>
      <c r="L108" s="108">
        <f t="shared" si="119"/>
        <v>5.8</v>
      </c>
      <c r="M108" s="107">
        <f t="shared" ref="M108:M109" si="127">L108*E108</f>
        <v>58957</v>
      </c>
      <c r="N108" s="107">
        <f t="shared" ref="N108:N109" si="128">M108-I108</f>
        <v>1931.3499999999985</v>
      </c>
      <c r="O108" s="121">
        <f t="shared" ref="O108:O109" si="129">IF(I108=0,0,N108/I108)</f>
        <v>3.3868092691622075E-2</v>
      </c>
      <c r="P108" s="121">
        <f t="shared" si="123"/>
        <v>5.039693150499075E-2</v>
      </c>
      <c r="Q108" s="130">
        <f t="shared" ref="Q108:Q109" si="130">P108-J108</f>
        <v>3.7263811248786083E-5</v>
      </c>
      <c r="R108" s="130"/>
      <c r="T108" s="4">
        <f t="shared" ref="T108:T120" si="131">L108/H108-1</f>
        <v>3.3868092691621943E-2</v>
      </c>
    </row>
    <row r="109" spans="1:20" x14ac:dyDescent="0.25">
      <c r="A109" s="32">
        <f t="shared" si="77"/>
        <v>103</v>
      </c>
      <c r="B109" s="29"/>
      <c r="C109" s="26"/>
      <c r="D109" s="2" t="s">
        <v>65</v>
      </c>
      <c r="E109" s="123">
        <v>2682</v>
      </c>
      <c r="F109" s="108">
        <v>10.67</v>
      </c>
      <c r="G109" s="107">
        <f t="shared" si="125"/>
        <v>28616.94</v>
      </c>
      <c r="H109" s="108">
        <v>10.6</v>
      </c>
      <c r="I109" s="107">
        <f t="shared" si="126"/>
        <v>28429.200000000001</v>
      </c>
      <c r="J109" s="121">
        <f t="shared" si="118"/>
        <v>2.5105984145712135E-2</v>
      </c>
      <c r="K109" s="121"/>
      <c r="L109" s="108">
        <f t="shared" si="119"/>
        <v>10.95</v>
      </c>
      <c r="M109" s="107">
        <f t="shared" si="127"/>
        <v>29367.899999999998</v>
      </c>
      <c r="N109" s="107">
        <f t="shared" si="128"/>
        <v>938.69999999999709</v>
      </c>
      <c r="O109" s="121">
        <f t="shared" si="129"/>
        <v>3.3018867924528197E-2</v>
      </c>
      <c r="P109" s="121">
        <f t="shared" si="123"/>
        <v>2.5103923957213187E-2</v>
      </c>
      <c r="Q109" s="130">
        <f t="shared" si="130"/>
        <v>-2.060188498947263E-6</v>
      </c>
      <c r="R109" s="130"/>
      <c r="T109" s="4">
        <f t="shared" si="131"/>
        <v>3.3018867924528239E-2</v>
      </c>
    </row>
    <row r="110" spans="1:20" x14ac:dyDescent="0.25">
      <c r="A110" s="32">
        <f t="shared" si="77"/>
        <v>104</v>
      </c>
      <c r="B110" s="29"/>
      <c r="C110" s="26"/>
      <c r="D110" s="2" t="s">
        <v>66</v>
      </c>
      <c r="E110" s="123">
        <v>1419</v>
      </c>
      <c r="F110" s="108">
        <v>5.61</v>
      </c>
      <c r="G110" s="107">
        <f t="shared" ref="G110:G120" si="132">F110*E110</f>
        <v>7960.59</v>
      </c>
      <c r="H110" s="108">
        <v>5.61</v>
      </c>
      <c r="I110" s="107">
        <f t="shared" ref="I110:I120" si="133">H110*E110</f>
        <v>7960.59</v>
      </c>
      <c r="J110" s="121">
        <f t="shared" si="118"/>
        <v>7.0300411664948204E-3</v>
      </c>
      <c r="K110" s="121"/>
      <c r="L110" s="108">
        <f t="shared" si="119"/>
        <v>5.8</v>
      </c>
      <c r="M110" s="107">
        <f t="shared" ref="M110:M120" si="134">L110*E110</f>
        <v>8230.1999999999989</v>
      </c>
      <c r="N110" s="107">
        <f t="shared" ref="N110:N120" si="135">M110-I110</f>
        <v>269.60999999999876</v>
      </c>
      <c r="O110" s="121">
        <f t="shared" ref="O110:O120" si="136">IF(I110=0,0,N110/I110)</f>
        <v>3.386809269162195E-2</v>
      </c>
      <c r="P110" s="121">
        <f t="shared" si="123"/>
        <v>7.0352430699047582E-3</v>
      </c>
      <c r="Q110" s="130">
        <f t="shared" ref="Q110:Q120" si="137">P110-J110</f>
        <v>5.2019034099378206E-6</v>
      </c>
      <c r="R110" s="130"/>
      <c r="T110" s="4">
        <f t="shared" si="131"/>
        <v>3.3868092691621943E-2</v>
      </c>
    </row>
    <row r="111" spans="1:20" x14ac:dyDescent="0.25">
      <c r="A111" s="32">
        <f t="shared" si="77"/>
        <v>105</v>
      </c>
      <c r="B111" s="29"/>
      <c r="C111" s="26"/>
      <c r="D111" s="2" t="s">
        <v>67</v>
      </c>
      <c r="E111" s="123">
        <v>1508</v>
      </c>
      <c r="F111" s="108">
        <v>13.24</v>
      </c>
      <c r="G111" s="107">
        <f t="shared" si="132"/>
        <v>19965.920000000002</v>
      </c>
      <c r="H111" s="108">
        <v>13.2</v>
      </c>
      <c r="I111" s="107">
        <f t="shared" si="133"/>
        <v>19905.599999999999</v>
      </c>
      <c r="J111" s="121">
        <f t="shared" si="118"/>
        <v>1.7578745726608114E-2</v>
      </c>
      <c r="K111" s="121"/>
      <c r="L111" s="108">
        <f t="shared" si="119"/>
        <v>13.64</v>
      </c>
      <c r="M111" s="107">
        <f t="shared" si="134"/>
        <v>20569.120000000003</v>
      </c>
      <c r="N111" s="107">
        <f t="shared" si="135"/>
        <v>663.52000000000407</v>
      </c>
      <c r="O111" s="121">
        <f t="shared" si="136"/>
        <v>3.3333333333333541E-2</v>
      </c>
      <c r="P111" s="121">
        <f t="shared" si="123"/>
        <v>1.7582653997963524E-2</v>
      </c>
      <c r="Q111" s="130">
        <f t="shared" si="137"/>
        <v>3.9082713554107473E-6</v>
      </c>
      <c r="R111" s="130"/>
      <c r="T111" s="4">
        <f t="shared" si="131"/>
        <v>3.3333333333333437E-2</v>
      </c>
    </row>
    <row r="112" spans="1:20" x14ac:dyDescent="0.25">
      <c r="A112" s="32">
        <f t="shared" si="77"/>
        <v>106</v>
      </c>
      <c r="B112" s="29"/>
      <c r="C112" s="26"/>
      <c r="D112" s="2" t="s">
        <v>67</v>
      </c>
      <c r="E112" s="123">
        <v>1911</v>
      </c>
      <c r="F112" s="108">
        <v>13.24</v>
      </c>
      <c r="G112" s="107">
        <f t="shared" si="132"/>
        <v>25301.64</v>
      </c>
      <c r="H112" s="108">
        <v>13.2</v>
      </c>
      <c r="I112" s="107">
        <f t="shared" si="133"/>
        <v>25225.199999999997</v>
      </c>
      <c r="J112" s="121">
        <f t="shared" si="118"/>
        <v>2.2276513981132694E-2</v>
      </c>
      <c r="K112" s="121"/>
      <c r="L112" s="108">
        <f t="shared" si="119"/>
        <v>13.64</v>
      </c>
      <c r="M112" s="107">
        <f t="shared" si="134"/>
        <v>26066.04</v>
      </c>
      <c r="N112" s="107">
        <f t="shared" si="135"/>
        <v>840.84000000000378</v>
      </c>
      <c r="O112" s="121">
        <f t="shared" si="136"/>
        <v>3.3333333333333486E-2</v>
      </c>
      <c r="P112" s="121">
        <f t="shared" si="123"/>
        <v>2.2281466704315845E-2</v>
      </c>
      <c r="Q112" s="130">
        <f t="shared" si="137"/>
        <v>4.9527231831512919E-6</v>
      </c>
      <c r="R112" s="130"/>
      <c r="T112" s="4">
        <f t="shared" si="131"/>
        <v>3.3333333333333437E-2</v>
      </c>
    </row>
    <row r="113" spans="1:20" x14ac:dyDescent="0.25">
      <c r="A113" s="32">
        <f t="shared" si="77"/>
        <v>107</v>
      </c>
      <c r="B113" s="29"/>
      <c r="C113" s="26"/>
      <c r="D113" s="2" t="s">
        <v>68</v>
      </c>
      <c r="E113" s="123">
        <v>72</v>
      </c>
      <c r="F113" s="108">
        <v>17.18</v>
      </c>
      <c r="G113" s="107">
        <f t="shared" si="132"/>
        <v>1236.96</v>
      </c>
      <c r="H113" s="108">
        <v>17.12</v>
      </c>
      <c r="I113" s="107">
        <f t="shared" si="133"/>
        <v>1232.6400000000001</v>
      </c>
      <c r="J113" s="121">
        <f t="shared" si="118"/>
        <v>1.0885512183730322E-3</v>
      </c>
      <c r="K113" s="121"/>
      <c r="L113" s="108">
        <f t="shared" si="119"/>
        <v>17.68</v>
      </c>
      <c r="M113" s="107">
        <f t="shared" si="134"/>
        <v>1272.96</v>
      </c>
      <c r="N113" s="107">
        <f t="shared" si="135"/>
        <v>40.319999999999936</v>
      </c>
      <c r="O113" s="121">
        <f t="shared" si="136"/>
        <v>3.2710280373831724E-2</v>
      </c>
      <c r="P113" s="121">
        <f t="shared" si="123"/>
        <v>1.0881367425173098E-3</v>
      </c>
      <c r="Q113" s="130">
        <f t="shared" si="137"/>
        <v>-4.1447585572246086E-7</v>
      </c>
      <c r="R113" s="130"/>
      <c r="T113" s="4">
        <f t="shared" si="131"/>
        <v>3.2710280373831724E-2</v>
      </c>
    </row>
    <row r="114" spans="1:20" x14ac:dyDescent="0.25">
      <c r="A114" s="32">
        <f t="shared" si="77"/>
        <v>108</v>
      </c>
      <c r="B114" s="29"/>
      <c r="C114" s="26"/>
      <c r="D114" s="2" t="s">
        <v>68</v>
      </c>
      <c r="E114" s="123">
        <v>628</v>
      </c>
      <c r="F114" s="108">
        <v>17.18</v>
      </c>
      <c r="G114" s="107">
        <f t="shared" si="132"/>
        <v>10789.039999999999</v>
      </c>
      <c r="H114" s="108">
        <v>17.12</v>
      </c>
      <c r="I114" s="107">
        <f t="shared" si="133"/>
        <v>10751.36</v>
      </c>
      <c r="J114" s="121">
        <f t="shared" si="118"/>
        <v>9.4945856269203349E-3</v>
      </c>
      <c r="K114" s="121"/>
      <c r="L114" s="108">
        <f t="shared" si="119"/>
        <v>17.68</v>
      </c>
      <c r="M114" s="107">
        <f t="shared" si="134"/>
        <v>11103.039999999999</v>
      </c>
      <c r="N114" s="107">
        <f t="shared" si="135"/>
        <v>351.67999999999847</v>
      </c>
      <c r="O114" s="121">
        <f t="shared" si="136"/>
        <v>3.2710280373831634E-2</v>
      </c>
      <c r="P114" s="121">
        <f t="shared" si="123"/>
        <v>9.490970476400979E-3</v>
      </c>
      <c r="Q114" s="130">
        <f t="shared" si="137"/>
        <v>-3.6151505193558753E-6</v>
      </c>
      <c r="R114" s="130"/>
      <c r="T114" s="4">
        <f t="shared" si="131"/>
        <v>3.2710280373831724E-2</v>
      </c>
    </row>
    <row r="115" spans="1:20" x14ac:dyDescent="0.25">
      <c r="A115" s="32">
        <f t="shared" si="77"/>
        <v>109</v>
      </c>
      <c r="B115" s="29"/>
      <c r="C115" s="26"/>
      <c r="D115" s="2" t="s">
        <v>69</v>
      </c>
      <c r="E115" s="123">
        <v>3872</v>
      </c>
      <c r="F115" s="108">
        <v>14.58</v>
      </c>
      <c r="G115" s="107">
        <f t="shared" si="132"/>
        <v>56453.760000000002</v>
      </c>
      <c r="H115" s="108">
        <v>14.44</v>
      </c>
      <c r="I115" s="107">
        <f t="shared" si="133"/>
        <v>55911.68</v>
      </c>
      <c r="J115" s="121">
        <f t="shared" si="118"/>
        <v>4.9375914610334803E-2</v>
      </c>
      <c r="K115" s="121"/>
      <c r="L115" s="108">
        <f t="shared" si="119"/>
        <v>14.92</v>
      </c>
      <c r="M115" s="107">
        <f t="shared" si="134"/>
        <v>57770.239999999998</v>
      </c>
      <c r="N115" s="107">
        <f t="shared" si="135"/>
        <v>1858.5599999999977</v>
      </c>
      <c r="O115" s="121">
        <f t="shared" si="136"/>
        <v>3.3240997229916858E-2</v>
      </c>
      <c r="P115" s="121">
        <f t="shared" si="123"/>
        <v>4.9382479235830806E-2</v>
      </c>
      <c r="Q115" s="130">
        <f t="shared" si="137"/>
        <v>6.564625496002785E-6</v>
      </c>
      <c r="R115" s="130"/>
      <c r="T115" s="4">
        <f t="shared" si="131"/>
        <v>3.3240997229917024E-2</v>
      </c>
    </row>
    <row r="116" spans="1:20" x14ac:dyDescent="0.25">
      <c r="A116" s="32">
        <f t="shared" si="77"/>
        <v>110</v>
      </c>
      <c r="B116" s="29"/>
      <c r="C116" s="26"/>
      <c r="D116" s="2" t="s">
        <v>69</v>
      </c>
      <c r="E116" s="123">
        <v>817</v>
      </c>
      <c r="F116" s="108">
        <v>14.58</v>
      </c>
      <c r="G116" s="107">
        <f t="shared" si="132"/>
        <v>11911.86</v>
      </c>
      <c r="H116" s="108">
        <v>14.44</v>
      </c>
      <c r="I116" s="107">
        <f t="shared" si="133"/>
        <v>11797.48</v>
      </c>
      <c r="J116" s="121">
        <f t="shared" si="118"/>
        <v>1.0418419999133144E-2</v>
      </c>
      <c r="K116" s="121"/>
      <c r="L116" s="108">
        <f t="shared" si="119"/>
        <v>14.92</v>
      </c>
      <c r="M116" s="107">
        <f t="shared" si="134"/>
        <v>12189.64</v>
      </c>
      <c r="N116" s="107">
        <f t="shared" si="135"/>
        <v>392.15999999999985</v>
      </c>
      <c r="O116" s="121">
        <f t="shared" si="136"/>
        <v>3.3240997229916885E-2</v>
      </c>
      <c r="P116" s="121">
        <f t="shared" si="123"/>
        <v>1.0419805148676077E-2</v>
      </c>
      <c r="Q116" s="130">
        <f t="shared" si="137"/>
        <v>1.3851495429331728E-6</v>
      </c>
      <c r="R116" s="130"/>
      <c r="T116" s="4">
        <f t="shared" si="131"/>
        <v>3.3240997229917024E-2</v>
      </c>
    </row>
    <row r="117" spans="1:20" x14ac:dyDescent="0.25">
      <c r="A117" s="32">
        <f t="shared" si="77"/>
        <v>111</v>
      </c>
      <c r="B117" s="29"/>
      <c r="C117" s="26"/>
      <c r="D117" s="2" t="s">
        <v>70</v>
      </c>
      <c r="E117" s="123">
        <v>1549</v>
      </c>
      <c r="F117" s="108">
        <v>20.72</v>
      </c>
      <c r="G117" s="107">
        <f t="shared" si="132"/>
        <v>32095.279999999999</v>
      </c>
      <c r="H117" s="108">
        <v>20.46</v>
      </c>
      <c r="I117" s="107">
        <f t="shared" si="133"/>
        <v>31692.54</v>
      </c>
      <c r="J117" s="121">
        <f t="shared" si="118"/>
        <v>2.7987857793302224E-2</v>
      </c>
      <c r="K117" s="121"/>
      <c r="L117" s="108">
        <f t="shared" si="119"/>
        <v>21.13</v>
      </c>
      <c r="M117" s="107">
        <f t="shared" si="134"/>
        <v>32730.37</v>
      </c>
      <c r="N117" s="107">
        <f t="shared" si="135"/>
        <v>1037.8299999999981</v>
      </c>
      <c r="O117" s="121">
        <f t="shared" si="136"/>
        <v>3.2746823069403651E-2</v>
      </c>
      <c r="P117" s="121">
        <f t="shared" si="123"/>
        <v>2.7978191139695102E-2</v>
      </c>
      <c r="Q117" s="130">
        <f t="shared" si="137"/>
        <v>-9.666653607121739E-6</v>
      </c>
      <c r="R117" s="130"/>
      <c r="T117" s="4">
        <f t="shared" si="131"/>
        <v>3.2746823069403685E-2</v>
      </c>
    </row>
    <row r="118" spans="1:20" x14ac:dyDescent="0.25">
      <c r="A118" s="32">
        <f t="shared" si="77"/>
        <v>112</v>
      </c>
      <c r="B118" s="29"/>
      <c r="C118" s="26"/>
      <c r="D118" s="2" t="s">
        <v>70</v>
      </c>
      <c r="E118" s="123">
        <v>804</v>
      </c>
      <c r="F118" s="108">
        <v>20.72</v>
      </c>
      <c r="G118" s="107">
        <f t="shared" si="132"/>
        <v>16658.879999999997</v>
      </c>
      <c r="H118" s="108">
        <v>20.46</v>
      </c>
      <c r="I118" s="107">
        <f t="shared" si="133"/>
        <v>16449.84</v>
      </c>
      <c r="J118" s="121">
        <f t="shared" si="118"/>
        <v>1.4526944910145247E-2</v>
      </c>
      <c r="K118" s="121"/>
      <c r="L118" s="108">
        <f t="shared" si="119"/>
        <v>21.13</v>
      </c>
      <c r="M118" s="107">
        <f t="shared" si="134"/>
        <v>16988.52</v>
      </c>
      <c r="N118" s="107">
        <f t="shared" si="135"/>
        <v>538.68000000000029</v>
      </c>
      <c r="O118" s="121">
        <f t="shared" si="136"/>
        <v>3.2746823069403734E-2</v>
      </c>
      <c r="P118" s="121">
        <f t="shared" si="123"/>
        <v>1.4521927486323347E-2</v>
      </c>
      <c r="Q118" s="130">
        <f t="shared" si="137"/>
        <v>-5.0174238219007072E-6</v>
      </c>
      <c r="R118" s="130"/>
      <c r="T118" s="4">
        <f t="shared" si="131"/>
        <v>3.2746823069403685E-2</v>
      </c>
    </row>
    <row r="119" spans="1:20" x14ac:dyDescent="0.25">
      <c r="A119" s="32">
        <f t="shared" si="77"/>
        <v>113</v>
      </c>
      <c r="B119" s="29"/>
      <c r="C119" s="26"/>
      <c r="D119" s="2" t="s">
        <v>71</v>
      </c>
      <c r="E119" s="123">
        <v>284</v>
      </c>
      <c r="F119" s="108">
        <v>38.69</v>
      </c>
      <c r="G119" s="107">
        <f t="shared" si="132"/>
        <v>10987.96</v>
      </c>
      <c r="H119" s="108">
        <v>38.11</v>
      </c>
      <c r="I119" s="107">
        <f t="shared" si="133"/>
        <v>10823.24</v>
      </c>
      <c r="J119" s="121">
        <f t="shared" si="118"/>
        <v>9.5580632534590267E-3</v>
      </c>
      <c r="K119" s="121"/>
      <c r="L119" s="108">
        <f t="shared" si="119"/>
        <v>39.369999999999997</v>
      </c>
      <c r="M119" s="107">
        <f t="shared" si="134"/>
        <v>11181.08</v>
      </c>
      <c r="N119" s="107">
        <f t="shared" si="135"/>
        <v>357.84000000000015</v>
      </c>
      <c r="O119" s="121">
        <f t="shared" si="136"/>
        <v>3.3062188401994243E-2</v>
      </c>
      <c r="P119" s="121">
        <f t="shared" si="123"/>
        <v>9.5576797142293869E-3</v>
      </c>
      <c r="Q119" s="130">
        <f t="shared" si="137"/>
        <v>-3.8353922963973996E-7</v>
      </c>
      <c r="R119" s="130"/>
      <c r="T119" s="4">
        <f t="shared" si="131"/>
        <v>3.3062188401994153E-2</v>
      </c>
    </row>
    <row r="120" spans="1:20" x14ac:dyDescent="0.25">
      <c r="A120" s="32">
        <f t="shared" si="77"/>
        <v>114</v>
      </c>
      <c r="B120" s="29"/>
      <c r="C120" s="26"/>
      <c r="D120" s="2" t="s">
        <v>71</v>
      </c>
      <c r="E120" s="123">
        <v>362</v>
      </c>
      <c r="F120" s="108">
        <v>38.69</v>
      </c>
      <c r="G120" s="107">
        <f t="shared" si="132"/>
        <v>14005.779999999999</v>
      </c>
      <c r="H120" s="108">
        <v>38.11</v>
      </c>
      <c r="I120" s="107">
        <f t="shared" si="133"/>
        <v>13795.82</v>
      </c>
      <c r="J120" s="121">
        <f t="shared" si="118"/>
        <v>1.2183165132930168E-2</v>
      </c>
      <c r="K120" s="121"/>
      <c r="L120" s="108">
        <f t="shared" si="119"/>
        <v>39.369999999999997</v>
      </c>
      <c r="M120" s="107">
        <f t="shared" si="134"/>
        <v>14251.939999999999</v>
      </c>
      <c r="N120" s="107">
        <f t="shared" si="135"/>
        <v>456.11999999999898</v>
      </c>
      <c r="O120" s="121">
        <f t="shared" si="136"/>
        <v>3.3062188401994153E-2</v>
      </c>
      <c r="P120" s="121">
        <f t="shared" si="123"/>
        <v>1.2182676255461402E-2</v>
      </c>
      <c r="Q120" s="130">
        <f t="shared" si="137"/>
        <v>-4.8887746876592753E-7</v>
      </c>
      <c r="R120" s="130"/>
      <c r="T120" s="4">
        <f t="shared" si="131"/>
        <v>3.3062188401994153E-2</v>
      </c>
    </row>
    <row r="121" spans="1:20" x14ac:dyDescent="0.25">
      <c r="A121" s="32">
        <f>A115+1</f>
        <v>110</v>
      </c>
      <c r="B121" s="29"/>
      <c r="C121" s="26"/>
      <c r="D121" s="2" t="s">
        <v>72</v>
      </c>
      <c r="E121" s="123">
        <v>1136</v>
      </c>
      <c r="F121" s="108">
        <v>13.62</v>
      </c>
      <c r="G121" s="107">
        <f t="shared" ref="G121:G125" si="138">F121*E121</f>
        <v>15472.32</v>
      </c>
      <c r="H121" s="108">
        <v>13.48</v>
      </c>
      <c r="I121" s="107">
        <f t="shared" ref="I121:I125" si="139">H121*E121</f>
        <v>15313.28</v>
      </c>
      <c r="J121" s="121">
        <f t="shared" si="118"/>
        <v>1.3523242472487819E-2</v>
      </c>
      <c r="K121" s="121"/>
      <c r="L121" s="108">
        <f t="shared" si="119"/>
        <v>13.92</v>
      </c>
      <c r="M121" s="107">
        <f t="shared" ref="M121:M125" si="140">L121*E121</f>
        <v>15813.12</v>
      </c>
      <c r="N121" s="107">
        <f t="shared" ref="N121:N125" si="141">M121-I121</f>
        <v>499.84000000000015</v>
      </c>
      <c r="O121" s="121">
        <f t="shared" ref="O121:O125" si="142">IF(I121=0,0,N121/I121)</f>
        <v>3.2640949554896152E-2</v>
      </c>
      <c r="P121" s="121">
        <f t="shared" si="123"/>
        <v>1.3517185839174304E-2</v>
      </c>
      <c r="Q121" s="130">
        <f t="shared" ref="Q121:Q125" si="143">P121-J121</f>
        <v>-6.0566333135152889E-6</v>
      </c>
      <c r="R121" s="130"/>
      <c r="T121" s="4">
        <f t="shared" ref="T121:T125" si="144">L121/H121-1</f>
        <v>3.2640949554896048E-2</v>
      </c>
    </row>
    <row r="122" spans="1:20" x14ac:dyDescent="0.25">
      <c r="A122" s="32">
        <f t="shared" si="77"/>
        <v>111</v>
      </c>
      <c r="B122" s="29"/>
      <c r="C122" s="26"/>
      <c r="D122" s="2" t="s">
        <v>72</v>
      </c>
      <c r="E122" s="123">
        <v>1438</v>
      </c>
      <c r="F122" s="108">
        <v>13.62</v>
      </c>
      <c r="G122" s="107">
        <f t="shared" si="138"/>
        <v>19585.559999999998</v>
      </c>
      <c r="H122" s="108">
        <v>13.48</v>
      </c>
      <c r="I122" s="107">
        <f t="shared" si="139"/>
        <v>19384.240000000002</v>
      </c>
      <c r="J122" s="121">
        <f t="shared" si="118"/>
        <v>1.7118329819927364E-2</v>
      </c>
      <c r="K122" s="121"/>
      <c r="L122" s="108">
        <f t="shared" si="119"/>
        <v>13.92</v>
      </c>
      <c r="M122" s="107">
        <f t="shared" si="140"/>
        <v>20016.96</v>
      </c>
      <c r="N122" s="107">
        <f t="shared" si="141"/>
        <v>632.71999999999753</v>
      </c>
      <c r="O122" s="121">
        <f t="shared" si="142"/>
        <v>3.2640949554896014E-2</v>
      </c>
      <c r="P122" s="121">
        <f t="shared" si="123"/>
        <v>1.7110663060504089E-2</v>
      </c>
      <c r="Q122" s="130">
        <f t="shared" si="143"/>
        <v>-7.6667594232741887E-6</v>
      </c>
      <c r="R122" s="130"/>
      <c r="T122" s="4">
        <f t="shared" si="144"/>
        <v>3.2640949554896048E-2</v>
      </c>
    </row>
    <row r="123" spans="1:20" x14ac:dyDescent="0.25">
      <c r="A123" s="32">
        <f t="shared" si="77"/>
        <v>112</v>
      </c>
      <c r="B123" s="29"/>
      <c r="C123" s="26"/>
      <c r="D123" s="2" t="s">
        <v>73</v>
      </c>
      <c r="E123" s="123">
        <v>4</v>
      </c>
      <c r="F123" s="108">
        <v>10.98</v>
      </c>
      <c r="G123" s="107">
        <f t="shared" si="138"/>
        <v>43.92</v>
      </c>
      <c r="H123" s="108">
        <v>10.85</v>
      </c>
      <c r="I123" s="107">
        <f t="shared" si="139"/>
        <v>43.4</v>
      </c>
      <c r="J123" s="121">
        <f t="shared" si="118"/>
        <v>3.8326780631319438E-5</v>
      </c>
      <c r="K123" s="121"/>
      <c r="L123" s="108">
        <f t="shared" si="119"/>
        <v>11.21</v>
      </c>
      <c r="M123" s="107">
        <f t="shared" si="140"/>
        <v>44.84</v>
      </c>
      <c r="N123" s="107">
        <f t="shared" si="141"/>
        <v>1.4400000000000048</v>
      </c>
      <c r="O123" s="121">
        <f t="shared" si="142"/>
        <v>3.3179723502304262E-2</v>
      </c>
      <c r="P123" s="121">
        <f t="shared" si="123"/>
        <v>3.8329603078239825E-5</v>
      </c>
      <c r="Q123" s="130">
        <f t="shared" si="143"/>
        <v>2.8224469203865302E-9</v>
      </c>
      <c r="R123" s="130"/>
      <c r="T123" s="4">
        <f t="shared" si="144"/>
        <v>3.3179723502304359E-2</v>
      </c>
    </row>
    <row r="124" spans="1:20" x14ac:dyDescent="0.25">
      <c r="A124" s="32">
        <f t="shared" si="77"/>
        <v>113</v>
      </c>
      <c r="B124" s="29"/>
      <c r="C124" s="26"/>
      <c r="D124" s="2" t="s">
        <v>74</v>
      </c>
      <c r="E124" s="123">
        <v>19095</v>
      </c>
      <c r="F124" s="108">
        <v>9.67</v>
      </c>
      <c r="G124" s="107">
        <f t="shared" si="138"/>
        <v>184648.65</v>
      </c>
      <c r="H124" s="108">
        <v>9.6300000000000008</v>
      </c>
      <c r="I124" s="107">
        <f t="shared" si="139"/>
        <v>183884.85</v>
      </c>
      <c r="J124" s="121">
        <f t="shared" si="118"/>
        <v>0.16238973058463319</v>
      </c>
      <c r="K124" s="121"/>
      <c r="L124" s="108">
        <f t="shared" si="119"/>
        <v>9.9499999999999993</v>
      </c>
      <c r="M124" s="107">
        <f t="shared" si="140"/>
        <v>189995.25</v>
      </c>
      <c r="N124" s="107">
        <f t="shared" si="141"/>
        <v>6110.3999999999942</v>
      </c>
      <c r="O124" s="121">
        <f t="shared" si="142"/>
        <v>3.3229491173416371E-2</v>
      </c>
      <c r="P124" s="121">
        <f t="shared" si="123"/>
        <v>0.16240951202611384</v>
      </c>
      <c r="Q124" s="130">
        <f t="shared" si="143"/>
        <v>1.9781441480654083E-5</v>
      </c>
      <c r="R124" s="130"/>
      <c r="T124" s="4">
        <f t="shared" si="144"/>
        <v>3.3229491173416337E-2</v>
      </c>
    </row>
    <row r="125" spans="1:20" x14ac:dyDescent="0.25">
      <c r="A125" s="32">
        <f t="shared" si="77"/>
        <v>114</v>
      </c>
      <c r="B125" s="29"/>
      <c r="C125" s="26"/>
      <c r="D125" s="2" t="s">
        <v>74</v>
      </c>
      <c r="E125" s="123">
        <v>829</v>
      </c>
      <c r="F125" s="108">
        <v>9.67</v>
      </c>
      <c r="G125" s="107">
        <f t="shared" si="138"/>
        <v>8016.43</v>
      </c>
      <c r="H125" s="108">
        <v>9.6300000000000008</v>
      </c>
      <c r="I125" s="107">
        <f t="shared" si="139"/>
        <v>7983.27</v>
      </c>
      <c r="J125" s="121">
        <f t="shared" si="118"/>
        <v>7.0500700002440906E-3</v>
      </c>
      <c r="K125" s="121"/>
      <c r="L125" s="108">
        <f t="shared" si="119"/>
        <v>9.9499999999999993</v>
      </c>
      <c r="M125" s="107">
        <f t="shared" si="140"/>
        <v>8248.5499999999993</v>
      </c>
      <c r="N125" s="107">
        <f t="shared" si="141"/>
        <v>265.27999999999884</v>
      </c>
      <c r="O125" s="121">
        <f t="shared" si="142"/>
        <v>3.322949117341626E-2</v>
      </c>
      <c r="P125" s="121">
        <f t="shared" si="123"/>
        <v>7.0509288017621564E-3</v>
      </c>
      <c r="Q125" s="130">
        <f t="shared" si="143"/>
        <v>8.588015180657424E-7</v>
      </c>
      <c r="R125" s="130"/>
      <c r="T125" s="4">
        <f t="shared" si="144"/>
        <v>3.3229491173416337E-2</v>
      </c>
    </row>
    <row r="126" spans="1:20" s="5" customFormat="1" ht="24.6" customHeight="1" x14ac:dyDescent="0.3">
      <c r="A126" s="32">
        <f t="shared" si="77"/>
        <v>115</v>
      </c>
      <c r="C126" s="14"/>
      <c r="D126" s="16" t="s">
        <v>6</v>
      </c>
      <c r="E126" s="110"/>
      <c r="F126" s="110"/>
      <c r="G126" s="17">
        <f>SUM(G107:G125)</f>
        <v>1139594.46</v>
      </c>
      <c r="H126" s="110"/>
      <c r="I126" s="17">
        <f>SUM(I107:I125)</f>
        <v>1132367.48</v>
      </c>
      <c r="J126" s="132">
        <f>SUM(J107:J125)</f>
        <v>1.0000000000000002</v>
      </c>
      <c r="K126" s="122">
        <f>I126+Summary!I16</f>
        <v>1169713.46</v>
      </c>
      <c r="L126" s="110"/>
      <c r="M126" s="17">
        <f>SUM(M107:M125)</f>
        <v>1169852.97</v>
      </c>
      <c r="N126" s="17">
        <f>SUM(N107:N125)</f>
        <v>37485.489999999962</v>
      </c>
      <c r="O126" s="132">
        <f t="shared" ref="O126" si="145">N126/I126</f>
        <v>3.3103644057316063E-2</v>
      </c>
      <c r="P126" s="132">
        <f>SUM(P107:P125)</f>
        <v>1.0000000000000002</v>
      </c>
      <c r="Q126" s="133">
        <f t="shared" ref="Q126" si="146">P126-J126</f>
        <v>0</v>
      </c>
      <c r="R126" s="134">
        <f>M126-K126</f>
        <v>139.51000000000931</v>
      </c>
      <c r="S126" s="5">
        <f>K126/I126</f>
        <v>1.0329804420028028</v>
      </c>
    </row>
    <row r="127" spans="1:20" x14ac:dyDescent="0.25">
      <c r="A127" s="32">
        <f t="shared" si="77"/>
        <v>116</v>
      </c>
      <c r="D127" s="2" t="s">
        <v>29</v>
      </c>
      <c r="G127" s="107">
        <v>0</v>
      </c>
      <c r="I127" s="111">
        <v>0</v>
      </c>
      <c r="K127" s="111"/>
      <c r="M127" s="107">
        <f>I127</f>
        <v>0</v>
      </c>
      <c r="N127" s="107">
        <f>M127-I127</f>
        <v>0</v>
      </c>
      <c r="O127" s="108">
        <v>0</v>
      </c>
    </row>
    <row r="128" spans="1:20" x14ac:dyDescent="0.25">
      <c r="A128" s="32">
        <f t="shared" si="77"/>
        <v>117</v>
      </c>
      <c r="D128" s="2" t="s">
        <v>30</v>
      </c>
      <c r="G128" s="107">
        <v>0</v>
      </c>
      <c r="I128" s="111">
        <v>0</v>
      </c>
      <c r="M128" s="107">
        <f t="shared" ref="M128:M129" si="147">I128</f>
        <v>0</v>
      </c>
      <c r="N128" s="107">
        <f>M128-I128</f>
        <v>0</v>
      </c>
      <c r="O128" s="108">
        <v>0</v>
      </c>
    </row>
    <row r="129" spans="1:18" x14ac:dyDescent="0.25">
      <c r="A129" s="32">
        <f t="shared" si="77"/>
        <v>118</v>
      </c>
      <c r="D129" s="2" t="s">
        <v>32</v>
      </c>
      <c r="G129" s="107">
        <v>0</v>
      </c>
      <c r="I129" s="111">
        <v>0</v>
      </c>
      <c r="M129" s="107">
        <f t="shared" si="147"/>
        <v>0</v>
      </c>
      <c r="N129" s="107">
        <f>M129-I129</f>
        <v>0</v>
      </c>
      <c r="O129" s="108">
        <v>0</v>
      </c>
    </row>
    <row r="130" spans="1:18" x14ac:dyDescent="0.25">
      <c r="A130" s="32">
        <f t="shared" si="77"/>
        <v>119</v>
      </c>
      <c r="D130" s="2" t="s">
        <v>42</v>
      </c>
      <c r="G130" s="107"/>
      <c r="I130" s="111"/>
      <c r="M130" s="107"/>
      <c r="N130" s="107"/>
      <c r="O130" s="108"/>
    </row>
    <row r="131" spans="1:18" x14ac:dyDescent="0.25">
      <c r="A131" s="32">
        <f t="shared" si="77"/>
        <v>120</v>
      </c>
      <c r="D131" s="12" t="s">
        <v>8</v>
      </c>
      <c r="E131" s="113"/>
      <c r="F131" s="113"/>
      <c r="G131" s="112">
        <f>SUM(G127:G129)</f>
        <v>0</v>
      </c>
      <c r="H131" s="113"/>
      <c r="I131" s="112">
        <f>SUM(I127:I129)</f>
        <v>0</v>
      </c>
      <c r="J131" s="113"/>
      <c r="K131" s="113"/>
      <c r="L131" s="113"/>
      <c r="M131" s="112">
        <f>SUM(M127:M129)</f>
        <v>0</v>
      </c>
      <c r="N131" s="112">
        <f>M131-I131</f>
        <v>0</v>
      </c>
      <c r="O131" s="136">
        <f>N131-J131</f>
        <v>0</v>
      </c>
    </row>
    <row r="132" spans="1:18" s="5" customFormat="1" ht="26.4" customHeight="1" thickBot="1" x14ac:dyDescent="0.3">
      <c r="A132" s="32">
        <f t="shared" si="77"/>
        <v>121</v>
      </c>
      <c r="C132" s="14"/>
      <c r="D132" s="6" t="s">
        <v>19</v>
      </c>
      <c r="E132" s="115"/>
      <c r="F132" s="115"/>
      <c r="G132" s="114">
        <f>G126+G131</f>
        <v>1139594.46</v>
      </c>
      <c r="H132" s="115"/>
      <c r="I132" s="116">
        <f>I131+I126</f>
        <v>1132367.48</v>
      </c>
      <c r="J132" s="115"/>
      <c r="K132" s="115"/>
      <c r="L132" s="115"/>
      <c r="M132" s="114">
        <f>M131+M126</f>
        <v>1169852.97</v>
      </c>
      <c r="N132" s="114">
        <f>M132-I132</f>
        <v>37485.489999999991</v>
      </c>
      <c r="O132" s="137">
        <f>N132/I132</f>
        <v>3.3103644057316084E-2</v>
      </c>
      <c r="P132" s="103"/>
      <c r="Q132" s="103"/>
      <c r="R132" s="103"/>
    </row>
    <row r="133" spans="1:18" ht="13.8" thickTop="1" x14ac:dyDescent="0.25">
      <c r="A133" s="32">
        <f t="shared" si="77"/>
        <v>122</v>
      </c>
      <c r="G133" s="138"/>
      <c r="I133" s="138"/>
      <c r="M133" s="138"/>
      <c r="N133" s="138"/>
      <c r="O133" s="121"/>
    </row>
    <row r="134" spans="1:18" x14ac:dyDescent="0.25">
      <c r="A134" s="32">
        <f t="shared" si="77"/>
        <v>123</v>
      </c>
      <c r="B134" s="18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</row>
    <row r="135" spans="1:18" x14ac:dyDescent="0.25">
      <c r="A135" s="32">
        <f t="shared" si="77"/>
        <v>124</v>
      </c>
    </row>
    <row r="136" spans="1:18" s="5" customFormat="1" ht="19.95" customHeight="1" x14ac:dyDescent="0.3">
      <c r="A136" s="32">
        <f t="shared" si="77"/>
        <v>125</v>
      </c>
      <c r="B136" s="5" t="s">
        <v>31</v>
      </c>
      <c r="C136" s="34"/>
      <c r="D136" s="16" t="s">
        <v>6</v>
      </c>
      <c r="E136" s="110"/>
      <c r="F136" s="110"/>
      <c r="G136" s="141">
        <f t="shared" ref="G136:G141" si="148">G10+G22+G34+G72+G83+G97+G47+G126+G60</f>
        <v>50843284.838096999</v>
      </c>
      <c r="H136" s="141"/>
      <c r="I136" s="141">
        <f t="shared" ref="I136:I141" si="149">I10+I22+I34+I72+I83+I97+I47+I126+I60</f>
        <v>50087631.295396991</v>
      </c>
      <c r="J136" s="110"/>
      <c r="K136" s="110"/>
      <c r="L136" s="110"/>
      <c r="M136" s="141">
        <f t="shared" ref="M136:N141" si="150">M10+M22+M34+M72+M83+M97+M47+M126+M60</f>
        <v>51741997.998680994</v>
      </c>
      <c r="N136" s="141">
        <f t="shared" si="150"/>
        <v>1654366.7032839998</v>
      </c>
      <c r="O136" s="132">
        <f>N136/I136</f>
        <v>3.302944580324034E-2</v>
      </c>
      <c r="P136" s="142"/>
      <c r="Q136" s="142"/>
      <c r="R136" s="142"/>
    </row>
    <row r="137" spans="1:18" x14ac:dyDescent="0.25">
      <c r="A137" s="32">
        <f t="shared" ref="A137:A173" si="151">A136+1</f>
        <v>126</v>
      </c>
      <c r="C137" s="27"/>
      <c r="D137" s="2" t="s">
        <v>29</v>
      </c>
      <c r="G137" s="111">
        <f t="shared" si="148"/>
        <v>-2053632.7600000002</v>
      </c>
      <c r="H137" s="111"/>
      <c r="I137" s="111">
        <f t="shared" si="149"/>
        <v>-1305206.1973000001</v>
      </c>
      <c r="M137" s="111">
        <f t="shared" si="150"/>
        <v>-1305206.1973000001</v>
      </c>
      <c r="N137" s="111">
        <f t="shared" si="150"/>
        <v>0</v>
      </c>
    </row>
    <row r="138" spans="1:18" x14ac:dyDescent="0.25">
      <c r="A138" s="32">
        <f t="shared" si="151"/>
        <v>127</v>
      </c>
      <c r="C138" s="27"/>
      <c r="D138" s="2" t="s">
        <v>30</v>
      </c>
      <c r="G138" s="111">
        <f t="shared" si="148"/>
        <v>4692538.0500000007</v>
      </c>
      <c r="H138" s="111"/>
      <c r="I138" s="111">
        <f t="shared" si="149"/>
        <v>4692538.0500000007</v>
      </c>
      <c r="M138" s="111">
        <f t="shared" si="150"/>
        <v>4692538.0500000007</v>
      </c>
      <c r="N138" s="111">
        <f t="shared" si="150"/>
        <v>0</v>
      </c>
    </row>
    <row r="139" spans="1:18" x14ac:dyDescent="0.25">
      <c r="A139" s="32">
        <f t="shared" si="151"/>
        <v>128</v>
      </c>
      <c r="C139" s="27"/>
      <c r="D139" s="2" t="s">
        <v>32</v>
      </c>
      <c r="G139" s="111">
        <f t="shared" si="148"/>
        <v>15588.199999999999</v>
      </c>
      <c r="H139" s="111"/>
      <c r="I139" s="111">
        <f t="shared" si="149"/>
        <v>15588.199999999999</v>
      </c>
      <c r="M139" s="111">
        <f t="shared" si="150"/>
        <v>15588.199999999999</v>
      </c>
      <c r="N139" s="111">
        <f t="shared" si="150"/>
        <v>0</v>
      </c>
    </row>
    <row r="140" spans="1:18" x14ac:dyDescent="0.25">
      <c r="A140" s="32">
        <f t="shared" si="151"/>
        <v>129</v>
      </c>
      <c r="C140" s="27"/>
      <c r="D140" s="2" t="s">
        <v>42</v>
      </c>
      <c r="G140" s="111">
        <f t="shared" si="148"/>
        <v>0</v>
      </c>
      <c r="I140" s="111">
        <f t="shared" si="149"/>
        <v>0</v>
      </c>
      <c r="M140" s="111">
        <f t="shared" si="150"/>
        <v>0</v>
      </c>
      <c r="N140" s="111">
        <f t="shared" si="150"/>
        <v>0</v>
      </c>
      <c r="O140" s="108"/>
    </row>
    <row r="141" spans="1:18" x14ac:dyDescent="0.25">
      <c r="A141" s="32">
        <f t="shared" si="151"/>
        <v>130</v>
      </c>
      <c r="C141" s="27"/>
      <c r="D141" s="12" t="s">
        <v>8</v>
      </c>
      <c r="E141" s="113"/>
      <c r="F141" s="113"/>
      <c r="G141" s="143">
        <f t="shared" si="148"/>
        <v>2654493.4899999998</v>
      </c>
      <c r="H141" s="143"/>
      <c r="I141" s="143">
        <f t="shared" si="149"/>
        <v>3402920.0526999999</v>
      </c>
      <c r="J141" s="113"/>
      <c r="K141" s="113"/>
      <c r="L141" s="113"/>
      <c r="M141" s="143">
        <f t="shared" si="150"/>
        <v>3402920.0526999999</v>
      </c>
      <c r="N141" s="143">
        <f t="shared" si="150"/>
        <v>0</v>
      </c>
      <c r="O141" s="113"/>
    </row>
    <row r="142" spans="1:18" s="5" customFormat="1" ht="21" customHeight="1" thickBot="1" x14ac:dyDescent="0.35">
      <c r="A142" s="32">
        <f t="shared" si="151"/>
        <v>131</v>
      </c>
      <c r="C142" s="34"/>
      <c r="D142" s="6" t="s">
        <v>19</v>
      </c>
      <c r="E142" s="115"/>
      <c r="F142" s="115"/>
      <c r="G142" s="116">
        <f>G141+G136</f>
        <v>53497778.328097001</v>
      </c>
      <c r="H142" s="116"/>
      <c r="I142" s="116">
        <f>I141+I136</f>
        <v>53490551.348096989</v>
      </c>
      <c r="J142" s="115"/>
      <c r="K142" s="115"/>
      <c r="L142" s="115"/>
      <c r="M142" s="116">
        <f>M141+M136</f>
        <v>55144918.051380992</v>
      </c>
      <c r="N142" s="116">
        <f>N141+N136</f>
        <v>1654366.7032839998</v>
      </c>
      <c r="O142" s="137">
        <f>N142/I142</f>
        <v>3.0928204357401085E-2</v>
      </c>
      <c r="P142" s="142"/>
      <c r="Q142" s="142"/>
      <c r="R142" s="142"/>
    </row>
    <row r="143" spans="1:18" ht="13.8" thickTop="1" x14ac:dyDescent="0.25">
      <c r="A143" s="32">
        <f t="shared" si="151"/>
        <v>132</v>
      </c>
      <c r="C143" s="27"/>
    </row>
    <row r="144" spans="1:18" x14ac:dyDescent="0.25">
      <c r="A144" s="32">
        <f t="shared" si="151"/>
        <v>133</v>
      </c>
      <c r="D144" s="2" t="s">
        <v>40</v>
      </c>
      <c r="N144" s="111">
        <f>N142-Summary!L4</f>
        <v>2454.7032839998137</v>
      </c>
    </row>
    <row r="145" spans="1:20" x14ac:dyDescent="0.25">
      <c r="A145" s="32">
        <f t="shared" si="151"/>
        <v>134</v>
      </c>
      <c r="N145" s="111"/>
    </row>
    <row r="146" spans="1:20" x14ac:dyDescent="0.25">
      <c r="A146" s="32">
        <f t="shared" si="151"/>
        <v>135</v>
      </c>
      <c r="B146" s="1" t="s">
        <v>64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20" ht="13.8" thickBot="1" x14ac:dyDescent="0.3">
      <c r="A147" s="32">
        <f t="shared" si="151"/>
        <v>136</v>
      </c>
      <c r="D147" s="13"/>
      <c r="E147" s="140"/>
      <c r="F147" s="140"/>
      <c r="G147" s="140"/>
    </row>
    <row r="148" spans="1:20" x14ac:dyDescent="0.25">
      <c r="A148" s="32">
        <f t="shared" si="151"/>
        <v>137</v>
      </c>
      <c r="B148" s="22" t="s">
        <v>87</v>
      </c>
      <c r="C148" s="23" t="s">
        <v>96</v>
      </c>
      <c r="D148" s="22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</row>
    <row r="149" spans="1:20" ht="12.6" customHeight="1" x14ac:dyDescent="0.25">
      <c r="A149" s="32">
        <f t="shared" si="151"/>
        <v>138</v>
      </c>
      <c r="D149" s="2" t="s">
        <v>17</v>
      </c>
      <c r="E149" s="123"/>
      <c r="F149" s="108"/>
      <c r="G149" s="107"/>
      <c r="H149" s="108">
        <v>1208.42</v>
      </c>
      <c r="I149" s="107"/>
      <c r="J149" s="121"/>
      <c r="K149" s="121"/>
      <c r="L149" s="108">
        <f>H149*S149</f>
        <v>1248.3334428975518</v>
      </c>
      <c r="M149" s="107"/>
      <c r="N149" s="107"/>
      <c r="O149" s="121"/>
      <c r="P149" s="121"/>
      <c r="Q149" s="130"/>
      <c r="R149" s="130"/>
      <c r="S149" s="99">
        <f>1+$O$136</f>
        <v>1.0330294458032403</v>
      </c>
      <c r="T149" s="4">
        <f t="shared" ref="T149:T152" si="152">L149/H149-1</f>
        <v>3.3029445803240298E-2</v>
      </c>
    </row>
    <row r="150" spans="1:20" x14ac:dyDescent="0.25">
      <c r="A150" s="32">
        <f t="shared" si="151"/>
        <v>139</v>
      </c>
      <c r="D150" s="2" t="s">
        <v>52</v>
      </c>
      <c r="E150" s="123"/>
      <c r="F150" s="131"/>
      <c r="G150" s="107"/>
      <c r="H150" s="108">
        <v>7.17</v>
      </c>
      <c r="I150" s="107"/>
      <c r="J150" s="121"/>
      <c r="K150" s="121"/>
      <c r="L150" s="108">
        <f>H150*S150</f>
        <v>7.4068211264092332</v>
      </c>
      <c r="M150" s="107"/>
      <c r="N150" s="107"/>
      <c r="O150" s="121"/>
      <c r="P150" s="121"/>
      <c r="Q150" s="130"/>
      <c r="R150" s="130"/>
      <c r="S150" s="99">
        <f t="shared" ref="S150:S152" si="153">1+$O$136</f>
        <v>1.0330294458032403</v>
      </c>
      <c r="T150" s="4">
        <f t="shared" si="152"/>
        <v>3.3029445803240298E-2</v>
      </c>
    </row>
    <row r="151" spans="1:20" x14ac:dyDescent="0.25">
      <c r="A151" s="32">
        <f t="shared" si="151"/>
        <v>140</v>
      </c>
      <c r="D151" s="2" t="s">
        <v>101</v>
      </c>
      <c r="E151" s="123"/>
      <c r="F151" s="131"/>
      <c r="G151" s="107"/>
      <c r="H151" s="108">
        <v>9.98</v>
      </c>
      <c r="I151" s="107"/>
      <c r="J151" s="121"/>
      <c r="K151" s="121"/>
      <c r="L151" s="108">
        <f>H151*S151</f>
        <v>10.309633869116338</v>
      </c>
      <c r="M151" s="107"/>
      <c r="N151" s="107"/>
      <c r="O151" s="121"/>
      <c r="P151" s="121"/>
      <c r="Q151" s="130"/>
      <c r="R151" s="130"/>
      <c r="S151" s="99">
        <f t="shared" si="153"/>
        <v>1.0330294458032403</v>
      </c>
      <c r="T151" s="4">
        <f t="shared" si="152"/>
        <v>3.3029445803240298E-2</v>
      </c>
    </row>
    <row r="152" spans="1:20" ht="13.8" thickBot="1" x14ac:dyDescent="0.3">
      <c r="A152" s="32">
        <f t="shared" si="151"/>
        <v>141</v>
      </c>
      <c r="D152" s="2" t="s">
        <v>50</v>
      </c>
      <c r="E152" s="123"/>
      <c r="F152" s="131"/>
      <c r="G152" s="107"/>
      <c r="H152" s="131">
        <v>4.1599999999999998E-2</v>
      </c>
      <c r="I152" s="107"/>
      <c r="J152" s="121"/>
      <c r="K152" s="121"/>
      <c r="L152" s="109">
        <f>H152*S152</f>
        <v>4.2974024945414795E-2</v>
      </c>
      <c r="M152" s="107"/>
      <c r="N152" s="107"/>
      <c r="O152" s="121"/>
      <c r="P152" s="121"/>
      <c r="Q152" s="130"/>
      <c r="R152" s="130"/>
      <c r="S152" s="99">
        <f t="shared" si="153"/>
        <v>1.0330294458032403</v>
      </c>
      <c r="T152" s="4">
        <f t="shared" si="152"/>
        <v>3.3029445803240298E-2</v>
      </c>
    </row>
    <row r="153" spans="1:20" x14ac:dyDescent="0.25">
      <c r="A153" s="32">
        <f t="shared" si="151"/>
        <v>142</v>
      </c>
      <c r="B153" s="22" t="s">
        <v>88</v>
      </c>
      <c r="C153" s="23" t="s">
        <v>97</v>
      </c>
      <c r="D153" s="22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1:20" ht="12.6" customHeight="1" x14ac:dyDescent="0.25">
      <c r="A154" s="32">
        <f t="shared" si="151"/>
        <v>143</v>
      </c>
      <c r="D154" s="2" t="s">
        <v>17</v>
      </c>
      <c r="E154" s="123"/>
      <c r="F154" s="108"/>
      <c r="G154" s="107"/>
      <c r="H154" s="108">
        <v>1208.42</v>
      </c>
      <c r="I154" s="107"/>
      <c r="J154" s="121"/>
      <c r="K154" s="121"/>
      <c r="L154" s="108">
        <f>H154*S154</f>
        <v>1248.3334428975518</v>
      </c>
      <c r="M154" s="107"/>
      <c r="N154" s="107"/>
      <c r="O154" s="121"/>
      <c r="P154" s="121"/>
      <c r="Q154" s="130"/>
      <c r="R154" s="130"/>
      <c r="S154" s="99">
        <f>1+$O$136</f>
        <v>1.0330294458032403</v>
      </c>
      <c r="T154" s="4">
        <f t="shared" ref="T154:T157" si="154">L154/H154-1</f>
        <v>3.3029445803240298E-2</v>
      </c>
    </row>
    <row r="155" spans="1:20" x14ac:dyDescent="0.25">
      <c r="A155" s="32">
        <f t="shared" si="151"/>
        <v>144</v>
      </c>
      <c r="D155" s="2" t="s">
        <v>52</v>
      </c>
      <c r="E155" s="123"/>
      <c r="F155" s="131"/>
      <c r="G155" s="107"/>
      <c r="H155" s="108">
        <v>7.17</v>
      </c>
      <c r="I155" s="107"/>
      <c r="J155" s="121"/>
      <c r="K155" s="121"/>
      <c r="L155" s="108">
        <f>H155*S155</f>
        <v>7.4068211264092332</v>
      </c>
      <c r="M155" s="107"/>
      <c r="N155" s="107"/>
      <c r="O155" s="121"/>
      <c r="P155" s="121"/>
      <c r="Q155" s="130"/>
      <c r="R155" s="130"/>
      <c r="S155" s="99">
        <f t="shared" ref="S155:S157" si="155">1+$O$136</f>
        <v>1.0330294458032403</v>
      </c>
      <c r="T155" s="4">
        <f t="shared" si="154"/>
        <v>3.3029445803240298E-2</v>
      </c>
    </row>
    <row r="156" spans="1:20" x14ac:dyDescent="0.25">
      <c r="A156" s="32">
        <f t="shared" si="151"/>
        <v>145</v>
      </c>
      <c r="D156" s="2" t="s">
        <v>101</v>
      </c>
      <c r="E156" s="123"/>
      <c r="F156" s="131"/>
      <c r="G156" s="107"/>
      <c r="H156" s="108">
        <v>9.98</v>
      </c>
      <c r="I156" s="107"/>
      <c r="J156" s="121"/>
      <c r="K156" s="121"/>
      <c r="L156" s="108">
        <f>H156*S156</f>
        <v>10.309633869116338</v>
      </c>
      <c r="M156" s="107"/>
      <c r="N156" s="107"/>
      <c r="O156" s="121"/>
      <c r="P156" s="121"/>
      <c r="Q156" s="130"/>
      <c r="R156" s="130"/>
      <c r="S156" s="99">
        <f t="shared" si="155"/>
        <v>1.0330294458032403</v>
      </c>
      <c r="T156" s="4">
        <f t="shared" si="154"/>
        <v>3.3029445803240298E-2</v>
      </c>
    </row>
    <row r="157" spans="1:20" ht="13.8" thickBot="1" x14ac:dyDescent="0.3">
      <c r="A157" s="32">
        <f t="shared" si="151"/>
        <v>146</v>
      </c>
      <c r="D157" s="2" t="s">
        <v>50</v>
      </c>
      <c r="E157" s="123"/>
      <c r="F157" s="131"/>
      <c r="G157" s="107"/>
      <c r="H157" s="131">
        <v>4.0460000000000003E-2</v>
      </c>
      <c r="I157" s="107"/>
      <c r="J157" s="121"/>
      <c r="K157" s="121"/>
      <c r="L157" s="109">
        <f>H157*S157</f>
        <v>4.1796371377199104E-2</v>
      </c>
      <c r="M157" s="107"/>
      <c r="N157" s="107"/>
      <c r="O157" s="121"/>
      <c r="P157" s="121"/>
      <c r="Q157" s="130"/>
      <c r="R157" s="130"/>
      <c r="S157" s="99">
        <f t="shared" si="155"/>
        <v>1.0330294458032403</v>
      </c>
      <c r="T157" s="4">
        <f t="shared" si="154"/>
        <v>3.3029445803240298E-2</v>
      </c>
    </row>
    <row r="158" spans="1:20" x14ac:dyDescent="0.25">
      <c r="A158" s="32">
        <f t="shared" si="151"/>
        <v>147</v>
      </c>
      <c r="B158" s="22" t="s">
        <v>89</v>
      </c>
      <c r="C158" s="23" t="s">
        <v>100</v>
      </c>
      <c r="D158" s="22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</row>
    <row r="159" spans="1:20" ht="12.6" customHeight="1" x14ac:dyDescent="0.25">
      <c r="A159" s="32">
        <f t="shared" si="151"/>
        <v>148</v>
      </c>
      <c r="D159" s="2" t="s">
        <v>17</v>
      </c>
      <c r="E159" s="123"/>
      <c r="F159" s="108"/>
      <c r="G159" s="107"/>
      <c r="H159" s="108">
        <v>604.77</v>
      </c>
      <c r="I159" s="107"/>
      <c r="J159" s="121"/>
      <c r="K159" s="121"/>
      <c r="L159" s="108">
        <f>L93</f>
        <v>624.72</v>
      </c>
      <c r="M159" s="107"/>
      <c r="N159" s="107"/>
      <c r="O159" s="121"/>
      <c r="P159" s="121"/>
      <c r="Q159" s="130"/>
      <c r="R159" s="130"/>
      <c r="S159" s="99">
        <f>1+$O$136</f>
        <v>1.0330294458032403</v>
      </c>
      <c r="T159" s="4">
        <f t="shared" ref="T159:T161" si="156">L159/H159-1</f>
        <v>3.2987747408105728E-2</v>
      </c>
    </row>
    <row r="160" spans="1:20" x14ac:dyDescent="0.25">
      <c r="A160" s="32">
        <f t="shared" si="151"/>
        <v>149</v>
      </c>
      <c r="D160" s="2" t="s">
        <v>52</v>
      </c>
      <c r="E160" s="123"/>
      <c r="F160" s="131"/>
      <c r="G160" s="107"/>
      <c r="H160" s="108">
        <v>7.17</v>
      </c>
      <c r="I160" s="107"/>
      <c r="J160" s="121"/>
      <c r="K160" s="121"/>
      <c r="L160" s="108">
        <f>L94</f>
        <v>7.41</v>
      </c>
      <c r="M160" s="107"/>
      <c r="N160" s="107"/>
      <c r="O160" s="121"/>
      <c r="P160" s="121"/>
      <c r="Q160" s="130"/>
      <c r="R160" s="130"/>
      <c r="S160" s="99">
        <f t="shared" ref="S160:S161" si="157">1+$O$136</f>
        <v>1.0330294458032403</v>
      </c>
      <c r="T160" s="4">
        <f t="shared" si="156"/>
        <v>3.3472803347280422E-2</v>
      </c>
    </row>
    <row r="161" spans="1:20" ht="13.8" thickBot="1" x14ac:dyDescent="0.3">
      <c r="A161" s="32">
        <f t="shared" si="151"/>
        <v>150</v>
      </c>
      <c r="D161" s="2" t="s">
        <v>50</v>
      </c>
      <c r="E161" s="123"/>
      <c r="F161" s="131"/>
      <c r="G161" s="107"/>
      <c r="H161" s="131">
        <v>4.7620000000000003E-2</v>
      </c>
      <c r="I161" s="107"/>
      <c r="J161" s="121"/>
      <c r="K161" s="121"/>
      <c r="L161" s="109">
        <f>H161*S161</f>
        <v>4.9192862209150305E-2</v>
      </c>
      <c r="M161" s="107"/>
      <c r="N161" s="107"/>
      <c r="O161" s="121"/>
      <c r="P161" s="121"/>
      <c r="Q161" s="130"/>
      <c r="R161" s="130"/>
      <c r="S161" s="99">
        <f t="shared" si="157"/>
        <v>1.0330294458032403</v>
      </c>
      <c r="T161" s="4">
        <f t="shared" si="156"/>
        <v>3.3029445803240298E-2</v>
      </c>
    </row>
    <row r="162" spans="1:20" x14ac:dyDescent="0.25">
      <c r="A162" s="32">
        <f t="shared" si="151"/>
        <v>151</v>
      </c>
      <c r="B162" s="22" t="s">
        <v>90</v>
      </c>
      <c r="C162" s="23" t="s">
        <v>98</v>
      </c>
      <c r="D162" s="22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</row>
    <row r="163" spans="1:20" ht="12.6" customHeight="1" x14ac:dyDescent="0.25">
      <c r="A163" s="32">
        <f t="shared" si="151"/>
        <v>152</v>
      </c>
      <c r="D163" s="2" t="s">
        <v>17</v>
      </c>
      <c r="E163" s="123"/>
      <c r="F163" s="108"/>
      <c r="G163" s="107"/>
      <c r="H163" s="108">
        <v>1208.42</v>
      </c>
      <c r="I163" s="107"/>
      <c r="J163" s="121"/>
      <c r="K163" s="121"/>
      <c r="L163" s="108">
        <f>H163*S163</f>
        <v>1248.3334428975518</v>
      </c>
      <c r="M163" s="107"/>
      <c r="N163" s="107"/>
      <c r="O163" s="121"/>
      <c r="P163" s="121"/>
      <c r="Q163" s="130"/>
      <c r="R163" s="130"/>
      <c r="S163" s="99">
        <f>1+$O$136</f>
        <v>1.0330294458032403</v>
      </c>
      <c r="T163" s="4">
        <f t="shared" ref="T163:T165" si="158">L163/H163-1</f>
        <v>3.3029445803240298E-2</v>
      </c>
    </row>
    <row r="164" spans="1:20" x14ac:dyDescent="0.25">
      <c r="A164" s="32">
        <f t="shared" si="151"/>
        <v>153</v>
      </c>
      <c r="D164" s="2" t="s">
        <v>52</v>
      </c>
      <c r="E164" s="123"/>
      <c r="F164" s="131"/>
      <c r="G164" s="107"/>
      <c r="H164" s="108">
        <v>7.17</v>
      </c>
      <c r="I164" s="107"/>
      <c r="J164" s="121"/>
      <c r="K164" s="121"/>
      <c r="L164" s="108">
        <f>L160</f>
        <v>7.41</v>
      </c>
      <c r="M164" s="107"/>
      <c r="N164" s="107"/>
      <c r="O164" s="121"/>
      <c r="P164" s="121"/>
      <c r="Q164" s="130"/>
      <c r="R164" s="130"/>
      <c r="S164" s="99">
        <f t="shared" ref="S164:S165" si="159">1+$O$136</f>
        <v>1.0330294458032403</v>
      </c>
      <c r="T164" s="4">
        <f t="shared" si="158"/>
        <v>3.3472803347280422E-2</v>
      </c>
    </row>
    <row r="165" spans="1:20" ht="13.8" thickBot="1" x14ac:dyDescent="0.3">
      <c r="A165" s="32">
        <f t="shared" si="151"/>
        <v>154</v>
      </c>
      <c r="D165" s="2" t="s">
        <v>50</v>
      </c>
      <c r="E165" s="123"/>
      <c r="F165" s="131"/>
      <c r="G165" s="107"/>
      <c r="H165" s="131">
        <v>4.197E-2</v>
      </c>
      <c r="I165" s="107"/>
      <c r="J165" s="121"/>
      <c r="K165" s="121"/>
      <c r="L165" s="109">
        <f>H165*S165</f>
        <v>4.3356245840361997E-2</v>
      </c>
      <c r="M165" s="107"/>
      <c r="N165" s="107"/>
      <c r="O165" s="121"/>
      <c r="P165" s="121"/>
      <c r="Q165" s="130"/>
      <c r="R165" s="130"/>
      <c r="S165" s="99">
        <f t="shared" si="159"/>
        <v>1.0330294458032403</v>
      </c>
      <c r="T165" s="4">
        <f t="shared" si="158"/>
        <v>3.3029445803240298E-2</v>
      </c>
    </row>
    <row r="166" spans="1:20" x14ac:dyDescent="0.25">
      <c r="A166" s="32">
        <f t="shared" si="151"/>
        <v>155</v>
      </c>
      <c r="B166" s="22" t="s">
        <v>91</v>
      </c>
      <c r="C166" s="23" t="s">
        <v>99</v>
      </c>
      <c r="D166" s="22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</row>
    <row r="167" spans="1:20" ht="12.6" customHeight="1" x14ac:dyDescent="0.25">
      <c r="A167" s="32">
        <f t="shared" si="151"/>
        <v>156</v>
      </c>
      <c r="D167" s="2" t="s">
        <v>17</v>
      </c>
      <c r="E167" s="123"/>
      <c r="F167" s="108"/>
      <c r="G167" s="107"/>
      <c r="H167" s="108">
        <v>1208.42</v>
      </c>
      <c r="I167" s="107"/>
      <c r="J167" s="121"/>
      <c r="K167" s="121"/>
      <c r="L167" s="108">
        <f>H167*S167</f>
        <v>1248.3334428975518</v>
      </c>
      <c r="M167" s="107"/>
      <c r="N167" s="107"/>
      <c r="O167" s="121"/>
      <c r="P167" s="121"/>
      <c r="Q167" s="130"/>
      <c r="R167" s="130"/>
      <c r="S167" s="99">
        <f>1+$O$136</f>
        <v>1.0330294458032403</v>
      </c>
      <c r="T167" s="4">
        <f t="shared" ref="T167:T169" si="160">L167/H167-1</f>
        <v>3.3029445803240298E-2</v>
      </c>
    </row>
    <row r="168" spans="1:20" x14ac:dyDescent="0.25">
      <c r="A168" s="32">
        <f t="shared" si="151"/>
        <v>157</v>
      </c>
      <c r="D168" s="2" t="s">
        <v>52</v>
      </c>
      <c r="E168" s="123"/>
      <c r="F168" s="131"/>
      <c r="G168" s="107"/>
      <c r="H168" s="108">
        <v>7.17</v>
      </c>
      <c r="I168" s="107"/>
      <c r="J168" s="121"/>
      <c r="K168" s="121"/>
      <c r="L168" s="108">
        <f>L160</f>
        <v>7.41</v>
      </c>
      <c r="M168" s="107"/>
      <c r="N168" s="107"/>
      <c r="O168" s="121"/>
      <c r="P168" s="121"/>
      <c r="Q168" s="130"/>
      <c r="R168" s="130"/>
      <c r="S168" s="99">
        <f t="shared" ref="S168:S169" si="161">1+$O$136</f>
        <v>1.0330294458032403</v>
      </c>
      <c r="T168" s="4">
        <f t="shared" si="160"/>
        <v>3.3472803347280422E-2</v>
      </c>
    </row>
    <row r="169" spans="1:20" ht="13.8" thickBot="1" x14ac:dyDescent="0.3">
      <c r="A169" s="32">
        <f t="shared" si="151"/>
        <v>158</v>
      </c>
      <c r="D169" s="2" t="s">
        <v>50</v>
      </c>
      <c r="E169" s="123"/>
      <c r="F169" s="131"/>
      <c r="G169" s="107"/>
      <c r="H169" s="131">
        <v>4.0480000000000002E-2</v>
      </c>
      <c r="I169" s="107"/>
      <c r="J169" s="121"/>
      <c r="K169" s="121"/>
      <c r="L169" s="109">
        <f>H169*S169</f>
        <v>4.1817031966115172E-2</v>
      </c>
      <c r="M169" s="107"/>
      <c r="N169" s="107"/>
      <c r="O169" s="121"/>
      <c r="P169" s="121"/>
      <c r="Q169" s="130"/>
      <c r="R169" s="130"/>
      <c r="S169" s="99">
        <f t="shared" si="161"/>
        <v>1.0330294458032403</v>
      </c>
      <c r="T169" s="4">
        <f t="shared" si="160"/>
        <v>3.3029445803240298E-2</v>
      </c>
    </row>
    <row r="170" spans="1:20" x14ac:dyDescent="0.25">
      <c r="A170" s="32">
        <f t="shared" si="151"/>
        <v>159</v>
      </c>
      <c r="B170" s="22" t="s">
        <v>92</v>
      </c>
      <c r="C170" s="23" t="s">
        <v>93</v>
      </c>
      <c r="D170" s="22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</row>
    <row r="171" spans="1:20" ht="12.6" customHeight="1" x14ac:dyDescent="0.25">
      <c r="A171" s="32">
        <f t="shared" si="151"/>
        <v>160</v>
      </c>
      <c r="B171" s="145" t="s">
        <v>105</v>
      </c>
      <c r="D171" s="2" t="s">
        <v>102</v>
      </c>
      <c r="E171" s="123"/>
      <c r="F171" s="108"/>
      <c r="G171" s="107"/>
      <c r="H171" s="108">
        <v>5454</v>
      </c>
      <c r="I171" s="107"/>
      <c r="J171" s="121"/>
      <c r="K171" s="121"/>
      <c r="L171" s="108">
        <f>5575.5+151.2</f>
        <v>5726.7</v>
      </c>
      <c r="M171" s="107"/>
      <c r="N171" s="107"/>
      <c r="O171" s="121"/>
      <c r="P171" s="121"/>
      <c r="Q171" s="130"/>
      <c r="R171" s="130"/>
      <c r="S171" s="99"/>
      <c r="T171" s="4">
        <f t="shared" ref="T171:T173" si="162">L171/H171-1</f>
        <v>5.0000000000000044E-2</v>
      </c>
    </row>
    <row r="172" spans="1:20" x14ac:dyDescent="0.25">
      <c r="A172" s="32">
        <f t="shared" si="151"/>
        <v>161</v>
      </c>
      <c r="D172" s="2" t="s">
        <v>52</v>
      </c>
      <c r="E172" s="123"/>
      <c r="F172" s="131"/>
      <c r="G172" s="107"/>
      <c r="H172" s="108">
        <v>6.98</v>
      </c>
      <c r="I172" s="107"/>
      <c r="J172" s="121"/>
      <c r="K172" s="121"/>
      <c r="L172" s="152">
        <v>7.3</v>
      </c>
      <c r="M172" s="107"/>
      <c r="N172" s="107"/>
      <c r="O172" s="121"/>
      <c r="P172" s="121"/>
      <c r="Q172" s="130"/>
      <c r="R172" s="130"/>
      <c r="S172" s="99"/>
      <c r="T172" s="4">
        <f t="shared" si="162"/>
        <v>4.5845272206303633E-2</v>
      </c>
    </row>
    <row r="173" spans="1:20" x14ac:dyDescent="0.25">
      <c r="A173" s="32">
        <f t="shared" si="151"/>
        <v>162</v>
      </c>
      <c r="D173" s="2" t="s">
        <v>50</v>
      </c>
      <c r="E173" s="123"/>
      <c r="F173" s="131"/>
      <c r="G173" s="107"/>
      <c r="H173" s="144">
        <v>3.9377000000000002E-2</v>
      </c>
      <c r="I173" s="107"/>
      <c r="J173" s="121"/>
      <c r="K173" s="121"/>
      <c r="L173" s="147">
        <f>0.03778+0.00243</f>
        <v>4.0210000000000003E-2</v>
      </c>
      <c r="M173" s="107"/>
      <c r="N173" s="107"/>
      <c r="O173" s="121"/>
      <c r="P173" s="121"/>
      <c r="Q173" s="130"/>
      <c r="R173" s="130"/>
      <c r="S173" s="99"/>
      <c r="T173" s="4">
        <f t="shared" si="162"/>
        <v>2.1154481042232831E-2</v>
      </c>
    </row>
    <row r="175" spans="1:20" x14ac:dyDescent="0.25">
      <c r="A175" s="5" t="s">
        <v>106</v>
      </c>
    </row>
    <row r="176" spans="1:20" x14ac:dyDescent="0.25">
      <c r="H176" s="144"/>
    </row>
    <row r="181" spans="11:15" x14ac:dyDescent="0.25">
      <c r="M181" s="153" t="s">
        <v>107</v>
      </c>
      <c r="N181" s="153" t="s">
        <v>108</v>
      </c>
      <c r="O181" s="153" t="s">
        <v>109</v>
      </c>
    </row>
    <row r="182" spans="11:15" x14ac:dyDescent="0.25">
      <c r="K182" s="2" t="s">
        <v>102</v>
      </c>
      <c r="M182" s="108">
        <f>L171</f>
        <v>5726.7</v>
      </c>
      <c r="N182" s="108">
        <v>0</v>
      </c>
      <c r="O182" s="108">
        <f>N182+M182</f>
        <v>5726.7</v>
      </c>
    </row>
    <row r="183" spans="11:15" x14ac:dyDescent="0.25">
      <c r="K183" s="2" t="s">
        <v>52</v>
      </c>
      <c r="M183" s="108">
        <v>7.3</v>
      </c>
      <c r="N183" s="108">
        <v>0</v>
      </c>
      <c r="O183" s="108">
        <f>N183+M183</f>
        <v>7.3</v>
      </c>
    </row>
    <row r="184" spans="11:15" x14ac:dyDescent="0.25">
      <c r="K184" s="2" t="s">
        <v>50</v>
      </c>
      <c r="M184" s="109">
        <v>3.7780000000000001E-2</v>
      </c>
      <c r="N184" s="109">
        <v>2.4299999999999999E-3</v>
      </c>
      <c r="O184" s="109">
        <f>N184+M184</f>
        <v>4.0210000000000003E-2</v>
      </c>
    </row>
  </sheetData>
  <mergeCells count="8">
    <mergeCell ref="B81:B82"/>
    <mergeCell ref="B92:B93"/>
    <mergeCell ref="B7:B8"/>
    <mergeCell ref="B19:B20"/>
    <mergeCell ref="B31:B32"/>
    <mergeCell ref="B43:B44"/>
    <mergeCell ref="B56:B57"/>
    <mergeCell ref="B69:B70"/>
  </mergeCells>
  <phoneticPr fontId="8" type="noConversion"/>
  <printOptions horizontalCentered="1"/>
  <pageMargins left="0.7" right="0.7" top="0.75" bottom="0.75" header="0.3" footer="0.3"/>
  <pageSetup scale="55" fitToHeight="7" orientation="landscape" r:id="rId1"/>
  <headerFooter>
    <oddHeader>&amp;R&amp;"Arial,Bold"&amp;10Exhibit 3
 Page &amp;P of &amp;N</oddHeader>
  </headerFooter>
  <rowBreaks count="3" manualBreakCount="3">
    <brk id="55" max="17" man="1"/>
    <brk id="105" max="17" man="1"/>
    <brk id="152" max="17" man="1"/>
  </rowBreaks>
  <ignoredErrors>
    <ignoredError sqref="M10 N10:N143 O10:O142 L164 L16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dimension ref="A1:J98"/>
  <sheetViews>
    <sheetView view="pageBreakPreview" topLeftCell="A55" zoomScale="60" zoomScaleNormal="85" workbookViewId="0">
      <selection activeCell="G65" sqref="G65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13" customWidth="1"/>
    <col min="4" max="4" width="28.6640625" style="13" bestFit="1" customWidth="1"/>
    <col min="5" max="5" width="33.77734375" style="2" bestFit="1" customWidth="1"/>
    <col min="6" max="6" width="14.6640625" style="2" customWidth="1"/>
    <col min="7" max="7" width="12.5546875" style="2" customWidth="1"/>
    <col min="8" max="16384" width="8.88671875" style="2"/>
  </cols>
  <sheetData>
    <row r="1" spans="1:10" x14ac:dyDescent="0.25">
      <c r="A1" s="1" t="str">
        <f>Summary!A1</f>
        <v>INTER-COUNTY ENERGY COOPERATIVE</v>
      </c>
    </row>
    <row r="2" spans="1:10" x14ac:dyDescent="0.25">
      <c r="A2" s="1" t="s">
        <v>104</v>
      </c>
    </row>
    <row r="4" spans="1:10" x14ac:dyDescent="0.25">
      <c r="C4" s="68" t="s">
        <v>63</v>
      </c>
      <c r="D4" s="67"/>
      <c r="E4" s="67" t="s">
        <v>2</v>
      </c>
      <c r="F4" s="71" t="s">
        <v>48</v>
      </c>
      <c r="G4" s="71" t="s">
        <v>49</v>
      </c>
    </row>
    <row r="5" spans="1:10" x14ac:dyDescent="0.25">
      <c r="C5" s="13">
        <f>'Billing Detail'!C7</f>
        <v>1</v>
      </c>
      <c r="D5" s="95" t="str">
        <f>'Billing Detail'!B7</f>
        <v>Schedule 1 - Rates for Farm and Home Service</v>
      </c>
    </row>
    <row r="6" spans="1:10" x14ac:dyDescent="0.25">
      <c r="D6" s="95"/>
      <c r="E6" s="2" t="str">
        <f>'Billing Detail'!D8</f>
        <v>Customer Charge</v>
      </c>
      <c r="F6" s="69">
        <f>'Billing Detail'!H8</f>
        <v>15.2</v>
      </c>
      <c r="G6" s="69">
        <f>'Billing Detail'!L8</f>
        <v>15.7</v>
      </c>
      <c r="J6" s="4">
        <f>G6/F6-1</f>
        <v>3.289473684210531E-2</v>
      </c>
    </row>
    <row r="7" spans="1:10" x14ac:dyDescent="0.25">
      <c r="D7" s="95"/>
      <c r="E7" s="2" t="str">
        <f>'Billing Detail'!D9</f>
        <v>Energy Charge per kWh</v>
      </c>
      <c r="F7" s="70">
        <f>'Billing Detail'!H9</f>
        <v>9.2670000000000002E-2</v>
      </c>
      <c r="G7" s="70">
        <f>'Billing Detail'!L9</f>
        <v>9.5729999999999996E-2</v>
      </c>
      <c r="J7" s="4">
        <f t="shared" ref="J7:J41" si="0">G7/F7-1</f>
        <v>3.3020394949821785E-2</v>
      </c>
    </row>
    <row r="8" spans="1:10" x14ac:dyDescent="0.25">
      <c r="D8" s="95"/>
      <c r="E8" s="2" t="s">
        <v>85</v>
      </c>
      <c r="F8" s="11">
        <f>'Billing Detail'!F13</f>
        <v>8.1999999999999993</v>
      </c>
      <c r="G8" s="11">
        <f>F8</f>
        <v>8.1999999999999993</v>
      </c>
      <c r="J8" s="4">
        <f t="shared" si="0"/>
        <v>0</v>
      </c>
    </row>
    <row r="9" spans="1:10" x14ac:dyDescent="0.25">
      <c r="C9" s="13">
        <f>'Billing Detail'!C19</f>
        <v>8</v>
      </c>
      <c r="D9" s="95" t="str">
        <f>'Billing Detail'!B19</f>
        <v>Schedule NM - Net Metering</v>
      </c>
      <c r="F9" s="70"/>
      <c r="G9" s="70"/>
      <c r="J9" s="4"/>
    </row>
    <row r="10" spans="1:10" x14ac:dyDescent="0.25">
      <c r="D10" s="95"/>
      <c r="E10" s="2" t="str">
        <f>'Billing Detail'!D20</f>
        <v>Customer Charge</v>
      </c>
      <c r="F10" s="69">
        <f>'Billing Detail'!H20</f>
        <v>15.2</v>
      </c>
      <c r="G10" s="69">
        <f>'Billing Detail'!L20</f>
        <v>15.7</v>
      </c>
      <c r="J10" s="4">
        <f t="shared" si="0"/>
        <v>3.289473684210531E-2</v>
      </c>
    </row>
    <row r="11" spans="1:10" x14ac:dyDescent="0.25">
      <c r="D11" s="95"/>
      <c r="E11" s="2" t="str">
        <f>'Billing Detail'!D21</f>
        <v>Energy Charge per kWh</v>
      </c>
      <c r="F11" s="70">
        <f>'Billing Detail'!H21</f>
        <v>9.2670000000000002E-2</v>
      </c>
      <c r="G11" s="70">
        <f>'Billing Detail'!L21</f>
        <v>9.5729999999999996E-2</v>
      </c>
      <c r="J11" s="4">
        <f t="shared" si="0"/>
        <v>3.3020394949821785E-2</v>
      </c>
    </row>
    <row r="12" spans="1:10" x14ac:dyDescent="0.25">
      <c r="C12" s="13" t="str">
        <f>'Billing Detail'!C31</f>
        <v>11,12</v>
      </c>
      <c r="D12" s="95" t="str">
        <f>'Billing Detail'!B31</f>
        <v>Schedule 1-A - Farm and Home Marketing Rate (ETS)</v>
      </c>
      <c r="F12" s="69"/>
      <c r="G12" s="69"/>
      <c r="J12" s="4"/>
    </row>
    <row r="13" spans="1:10" x14ac:dyDescent="0.25">
      <c r="D13" s="95"/>
      <c r="E13" s="2" t="str">
        <f>'Billing Detail'!D32</f>
        <v>Customer Charge</v>
      </c>
      <c r="F13" s="69">
        <f>'Billing Detail'!H32</f>
        <v>15.2</v>
      </c>
      <c r="G13" s="69">
        <f>'Billing Detail'!L32</f>
        <v>15.7</v>
      </c>
      <c r="J13" s="4">
        <f t="shared" si="0"/>
        <v>3.289473684210531E-2</v>
      </c>
    </row>
    <row r="14" spans="1:10" x14ac:dyDescent="0.25">
      <c r="D14" s="95"/>
      <c r="E14" s="2" t="str">
        <f>'Billing Detail'!D33</f>
        <v>Energy Charge per kWh</v>
      </c>
      <c r="F14" s="70">
        <f>'Billing Detail'!H33</f>
        <v>6.0400000000000002E-2</v>
      </c>
      <c r="G14" s="70">
        <f>'Billing Detail'!L33</f>
        <v>6.2390000000000001E-2</v>
      </c>
      <c r="J14" s="4">
        <f t="shared" si="0"/>
        <v>3.2947019867549665E-2</v>
      </c>
    </row>
    <row r="15" spans="1:10" x14ac:dyDescent="0.25">
      <c r="C15" s="13">
        <f>'Billing Detail'!C43</f>
        <v>2</v>
      </c>
      <c r="D15" s="95" t="str">
        <f>'Billing Detail'!B43</f>
        <v>Schedule 2 - Small Commercial and Small Power</v>
      </c>
      <c r="F15" s="70"/>
      <c r="G15" s="70"/>
      <c r="J15" s="4"/>
    </row>
    <row r="16" spans="1:10" x14ac:dyDescent="0.25">
      <c r="D16" s="95"/>
      <c r="E16" s="2" t="str">
        <f>'Billing Detail'!D44</f>
        <v>Customer Charge</v>
      </c>
      <c r="F16" s="79">
        <f>'Billing Detail'!H44</f>
        <v>18</v>
      </c>
      <c r="G16" s="79">
        <f>'Billing Detail'!L44</f>
        <v>18.59</v>
      </c>
      <c r="J16" s="4">
        <f t="shared" si="0"/>
        <v>3.2777777777777795E-2</v>
      </c>
    </row>
    <row r="17" spans="3:10" x14ac:dyDescent="0.25">
      <c r="D17" s="95"/>
      <c r="E17" s="2" t="str">
        <f>'Billing Detail'!D45</f>
        <v>Demand Charge per kW</v>
      </c>
      <c r="F17" s="79">
        <f>'Billing Detail'!H45</f>
        <v>5.85</v>
      </c>
      <c r="G17" s="79">
        <f>'Billing Detail'!L45</f>
        <v>6.04</v>
      </c>
      <c r="J17" s="4">
        <f t="shared" ref="J17:J18" si="1">G17/F17-1</f>
        <v>3.2478632478632585E-2</v>
      </c>
    </row>
    <row r="18" spans="3:10" x14ac:dyDescent="0.25">
      <c r="D18" s="95"/>
      <c r="E18" s="2" t="str">
        <f>'Billing Detail'!D46</f>
        <v>Energy Charge - Off Peak per kWh</v>
      </c>
      <c r="F18" s="70">
        <f>'Billing Detail'!H46</f>
        <v>8.4169999999999995E-2</v>
      </c>
      <c r="G18" s="70">
        <f>'Billing Detail'!L46</f>
        <v>8.695E-2</v>
      </c>
      <c r="J18" s="4">
        <f t="shared" si="1"/>
        <v>3.3028394915052939E-2</v>
      </c>
    </row>
    <row r="19" spans="3:10" x14ac:dyDescent="0.25">
      <c r="C19" s="13">
        <f>'Billing Detail'!C56</f>
        <v>4</v>
      </c>
      <c r="D19" s="95" t="str">
        <f>'Billing Detail'!B56</f>
        <v>Schedule 4 - Large Power Rate (LPR)</v>
      </c>
      <c r="F19" s="69"/>
      <c r="G19" s="69"/>
      <c r="J19" s="4"/>
    </row>
    <row r="20" spans="3:10" x14ac:dyDescent="0.25">
      <c r="D20" s="95"/>
      <c r="E20" s="2" t="str">
        <f>'Billing Detail'!D57</f>
        <v>Customer Charge</v>
      </c>
      <c r="F20" s="69">
        <f>'Billing Detail'!H57</f>
        <v>31.65</v>
      </c>
      <c r="G20" s="69">
        <f>'Billing Detail'!L57</f>
        <v>32.69</v>
      </c>
      <c r="J20" s="4">
        <f t="shared" si="0"/>
        <v>3.2859399684044277E-2</v>
      </c>
    </row>
    <row r="21" spans="3:10" x14ac:dyDescent="0.25">
      <c r="D21" s="95"/>
      <c r="E21" s="2" t="str">
        <f>'Billing Detail'!D58</f>
        <v>Demand Charge per kW</v>
      </c>
      <c r="F21" s="69">
        <f>'Billing Detail'!H58</f>
        <v>5.85</v>
      </c>
      <c r="G21" s="69">
        <f>'Billing Detail'!L58</f>
        <v>6.04</v>
      </c>
      <c r="J21" s="4">
        <f t="shared" ref="J21:J22" si="2">G21/F21-1</f>
        <v>3.2478632478632585E-2</v>
      </c>
    </row>
    <row r="22" spans="3:10" x14ac:dyDescent="0.25">
      <c r="D22" s="95"/>
      <c r="E22" s="2" t="str">
        <f>'Billing Detail'!D59</f>
        <v>Energy Charge per kWh</v>
      </c>
      <c r="F22" s="70">
        <f>'Billing Detail'!H59</f>
        <v>6.6549999999999998E-2</v>
      </c>
      <c r="G22" s="70">
        <f>'Billing Detail'!L59</f>
        <v>6.8739999999999996E-2</v>
      </c>
      <c r="J22" s="4">
        <f t="shared" si="2"/>
        <v>3.2907588279489142E-2</v>
      </c>
    </row>
    <row r="23" spans="3:10" x14ac:dyDescent="0.25">
      <c r="C23" s="13">
        <f>'Billing Detail'!C69</f>
        <v>5</v>
      </c>
      <c r="D23" s="95" t="str">
        <f>'Billing Detail'!B69</f>
        <v>Schedule 5 - All Electric School Rate</v>
      </c>
      <c r="F23" s="70"/>
      <c r="G23" s="70"/>
      <c r="J23" s="4"/>
    </row>
    <row r="24" spans="3:10" x14ac:dyDescent="0.25">
      <c r="D24" s="95"/>
      <c r="E24" s="2" t="str">
        <f>'Billing Detail'!D70</f>
        <v>Customer Charge</v>
      </c>
      <c r="F24" s="79">
        <f>'Billing Detail'!H70</f>
        <v>31.65</v>
      </c>
      <c r="G24" s="79">
        <f>'Billing Detail'!L70</f>
        <v>32.69</v>
      </c>
      <c r="J24" s="4">
        <f t="shared" si="0"/>
        <v>3.2859399684044277E-2</v>
      </c>
    </row>
    <row r="25" spans="3:10" x14ac:dyDescent="0.25">
      <c r="D25" s="95"/>
      <c r="E25" s="2" t="str">
        <f>'Billing Detail'!D71</f>
        <v>Energy Charge per kWh</v>
      </c>
      <c r="F25" s="70">
        <f>'Billing Detail'!H71</f>
        <v>8.4169999999999995E-2</v>
      </c>
      <c r="G25" s="70">
        <f>'Billing Detail'!L71</f>
        <v>8.695E-2</v>
      </c>
      <c r="J25" s="4">
        <f t="shared" si="0"/>
        <v>3.3028394915052939E-2</v>
      </c>
    </row>
    <row r="26" spans="3:10" x14ac:dyDescent="0.25">
      <c r="C26" s="13" t="str">
        <f>'Billing Detail'!C92</f>
        <v>B1</v>
      </c>
      <c r="D26" s="95" t="str">
        <f>'Billing Detail'!B92</f>
        <v>Schedule B1 - Large Industrial Rate</v>
      </c>
      <c r="F26" s="69"/>
      <c r="G26" s="69"/>
      <c r="J26" s="4"/>
    </row>
    <row r="27" spans="3:10" x14ac:dyDescent="0.25">
      <c r="D27" s="95"/>
      <c r="E27" s="2" t="str">
        <f>'Billing Detail'!D93</f>
        <v>Customer Charge</v>
      </c>
      <c r="F27" s="79">
        <f>'Billing Detail'!H93</f>
        <v>604.77</v>
      </c>
      <c r="G27" s="79">
        <f>'Billing Detail'!L93</f>
        <v>624.72</v>
      </c>
      <c r="J27" s="4">
        <f t="shared" si="0"/>
        <v>3.2987747408105728E-2</v>
      </c>
    </row>
    <row r="28" spans="3:10" x14ac:dyDescent="0.25">
      <c r="D28" s="95"/>
      <c r="E28" s="2" t="str">
        <f>'Billing Detail'!D94</f>
        <v>Demand Charge-Contract per kW</v>
      </c>
      <c r="F28" s="79">
        <f>'Billing Detail'!H94</f>
        <v>7.17</v>
      </c>
      <c r="G28" s="79">
        <f>'Billing Detail'!L94</f>
        <v>7.41</v>
      </c>
      <c r="J28" s="4">
        <f t="shared" ref="J28:J30" si="3">G28/F28-1</f>
        <v>3.3472803347280422E-2</v>
      </c>
    </row>
    <row r="29" spans="3:10" x14ac:dyDescent="0.25">
      <c r="D29" s="95"/>
      <c r="E29" s="2" t="str">
        <f>'Billing Detail'!D95</f>
        <v>Demand Charge-Excess per kW</v>
      </c>
      <c r="F29" s="79">
        <f>'Billing Detail'!H95</f>
        <v>9.98</v>
      </c>
      <c r="G29" s="79">
        <f>'Billing Detail'!L95</f>
        <v>10.31</v>
      </c>
      <c r="J29" s="4">
        <f t="shared" si="3"/>
        <v>3.3066132264529147E-2</v>
      </c>
    </row>
    <row r="30" spans="3:10" x14ac:dyDescent="0.25">
      <c r="D30" s="95"/>
      <c r="E30" s="2" t="str">
        <f>'Billing Detail'!D96</f>
        <v>Energy Charge per kWh</v>
      </c>
      <c r="F30" s="70">
        <f>'Billing Detail'!H96</f>
        <v>4.7199999999999999E-2</v>
      </c>
      <c r="G30" s="70">
        <f>'Billing Detail'!L96</f>
        <v>4.8759999999999998E-2</v>
      </c>
      <c r="J30" s="4">
        <f t="shared" si="3"/>
        <v>3.3050847457626986E-2</v>
      </c>
    </row>
    <row r="31" spans="3:10" x14ac:dyDescent="0.25">
      <c r="C31" s="13">
        <f>'Billing Detail'!C106</f>
        <v>6</v>
      </c>
      <c r="D31" s="95" t="str">
        <f>'Billing Detail'!B106</f>
        <v>Lighting</v>
      </c>
      <c r="F31" s="69"/>
      <c r="G31" s="69"/>
      <c r="J31" s="4"/>
    </row>
    <row r="32" spans="3:10" x14ac:dyDescent="0.25">
      <c r="D32" s="95"/>
      <c r="E32" s="2" t="str">
        <f>'Billing Detail'!D107</f>
        <v>9,500 Lumen Security</v>
      </c>
      <c r="F32" s="69">
        <f>'Billing Detail'!H107</f>
        <v>10.6</v>
      </c>
      <c r="G32" s="69">
        <f>'Billing Detail'!L107</f>
        <v>10.95</v>
      </c>
      <c r="J32" s="4">
        <f t="shared" si="0"/>
        <v>3.3018867924528239E-2</v>
      </c>
    </row>
    <row r="33" spans="3:10" x14ac:dyDescent="0.25">
      <c r="D33" s="2"/>
      <c r="E33" s="2" t="str">
        <f>'Billing Detail'!D108</f>
        <v>Pole Charge</v>
      </c>
      <c r="F33" s="69">
        <f>'Billing Detail'!H108</f>
        <v>5.61</v>
      </c>
      <c r="G33" s="69">
        <f>'Billing Detail'!L108</f>
        <v>5.8</v>
      </c>
      <c r="J33" s="4">
        <f t="shared" si="0"/>
        <v>3.3868092691621943E-2</v>
      </c>
    </row>
    <row r="34" spans="3:10" x14ac:dyDescent="0.25">
      <c r="D34" s="2"/>
      <c r="E34" s="2" t="str">
        <f>'Billing Detail'!D111</f>
        <v>4,000 Lumen Deocrative Colonial</v>
      </c>
      <c r="F34" s="69">
        <f>'Billing Detail'!H111</f>
        <v>13.2</v>
      </c>
      <c r="G34" s="69">
        <f>'Billing Detail'!L111</f>
        <v>13.64</v>
      </c>
      <c r="J34" s="4">
        <f t="shared" si="0"/>
        <v>3.3333333333333437E-2</v>
      </c>
    </row>
    <row r="35" spans="3:10" x14ac:dyDescent="0.25">
      <c r="D35" s="2"/>
      <c r="E35" s="2" t="str">
        <f>'Billing Detail'!D113</f>
        <v>9,550 Lumen Decorative Colonial</v>
      </c>
      <c r="F35" s="69">
        <f>'Billing Detail'!H113</f>
        <v>17.12</v>
      </c>
      <c r="G35" s="69">
        <f>'Billing Detail'!L113</f>
        <v>17.68</v>
      </c>
      <c r="J35" s="4">
        <f t="shared" si="0"/>
        <v>3.2710280373831724E-2</v>
      </c>
    </row>
    <row r="36" spans="3:10" x14ac:dyDescent="0.25">
      <c r="D36" s="2"/>
      <c r="E36" s="2" t="str">
        <f>'Billing Detail'!D115</f>
        <v>27,500 Lumen directional flood</v>
      </c>
      <c r="F36" s="69">
        <f>'Billing Detail'!H115</f>
        <v>14.44</v>
      </c>
      <c r="G36" s="69">
        <f>'Billing Detail'!L115</f>
        <v>14.92</v>
      </c>
      <c r="J36" s="4">
        <f t="shared" si="0"/>
        <v>3.3240997229917024E-2</v>
      </c>
    </row>
    <row r="37" spans="3:10" x14ac:dyDescent="0.25">
      <c r="E37" s="2" t="str">
        <f>'Billing Detail'!D117</f>
        <v>50,000 Lumen Directional flood</v>
      </c>
      <c r="F37" s="69">
        <f>'Billing Detail'!H117</f>
        <v>20.46</v>
      </c>
      <c r="G37" s="69">
        <f>'Billing Detail'!L117</f>
        <v>21.13</v>
      </c>
      <c r="J37" s="4">
        <f t="shared" si="0"/>
        <v>3.2746823069403685E-2</v>
      </c>
    </row>
    <row r="38" spans="3:10" x14ac:dyDescent="0.25">
      <c r="E38" s="2" t="str">
        <f>'Billing Detail'!D120</f>
        <v>107,800 Lumen Directional Flood</v>
      </c>
      <c r="F38" s="69">
        <f>'Billing Detail'!H120</f>
        <v>38.11</v>
      </c>
      <c r="G38" s="69">
        <f>'Billing Detail'!L120</f>
        <v>39.369999999999997</v>
      </c>
      <c r="J38" s="4">
        <f t="shared" si="0"/>
        <v>3.3062188401994153E-2</v>
      </c>
    </row>
    <row r="39" spans="3:10" x14ac:dyDescent="0.25">
      <c r="E39" s="2" t="str">
        <f>'Billing Detail'!D121</f>
        <v>27,500 Lumen Cobra head</v>
      </c>
      <c r="F39" s="69">
        <f>'Billing Detail'!H121</f>
        <v>13.48</v>
      </c>
      <c r="G39" s="69">
        <f>'Billing Detail'!L121</f>
        <v>13.92</v>
      </c>
      <c r="J39" s="4">
        <f t="shared" si="0"/>
        <v>3.2640949554896048E-2</v>
      </c>
    </row>
    <row r="40" spans="3:10" x14ac:dyDescent="0.25">
      <c r="E40" s="2" t="str">
        <f>'Billing Detail'!D123</f>
        <v>7,000 Lumen Lamp</v>
      </c>
      <c r="F40" s="69">
        <f>'Billing Detail'!H123</f>
        <v>10.85</v>
      </c>
      <c r="G40" s="69">
        <f>'Billing Detail'!L123</f>
        <v>11.21</v>
      </c>
      <c r="J40" s="4">
        <f t="shared" si="0"/>
        <v>3.3179723502304359E-2</v>
      </c>
    </row>
    <row r="41" spans="3:10" x14ac:dyDescent="0.25">
      <c r="E41" s="2" t="str">
        <f>'Billing Detail'!D124</f>
        <v>6,000 Lumen Security LED</v>
      </c>
      <c r="F41" s="69">
        <f>'Billing Detail'!H124</f>
        <v>9.6300000000000008</v>
      </c>
      <c r="G41" s="69">
        <f>'Billing Detail'!L124</f>
        <v>9.9499999999999993</v>
      </c>
      <c r="J41" s="4">
        <f t="shared" si="0"/>
        <v>3.3229491173416337E-2</v>
      </c>
    </row>
    <row r="42" spans="3:10" x14ac:dyDescent="0.25">
      <c r="C42" s="13" t="str">
        <f>'Billing Detail'!C148</f>
        <v>B2</v>
      </c>
      <c r="D42" s="2" t="str">
        <f>'Billing Detail'!B148</f>
        <v>Schedule B-2 - Large Industrial Rate</v>
      </c>
      <c r="F42" s="69"/>
      <c r="G42" s="69"/>
      <c r="J42" s="4"/>
    </row>
    <row r="43" spans="3:10" x14ac:dyDescent="0.25">
      <c r="D43" s="2"/>
      <c r="E43" s="2" t="str">
        <f>'Billing Detail'!D149</f>
        <v>Customer Charge</v>
      </c>
      <c r="F43" s="69">
        <f>'Billing Detail'!H149</f>
        <v>1208.42</v>
      </c>
      <c r="G43" s="69">
        <f>'Billing Detail'!L149</f>
        <v>1248.3334428975518</v>
      </c>
      <c r="J43" s="4">
        <f t="shared" ref="J43:J59" si="4">G43/F43-1</f>
        <v>3.3029445803240298E-2</v>
      </c>
    </row>
    <row r="44" spans="3:10" x14ac:dyDescent="0.25">
      <c r="D44" s="2"/>
      <c r="E44" s="2" t="str">
        <f>'Billing Detail'!D150</f>
        <v>Demand Charge per kW</v>
      </c>
      <c r="F44" s="69">
        <f>'Billing Detail'!H150</f>
        <v>7.17</v>
      </c>
      <c r="G44" s="69">
        <f>'Billing Detail'!L150</f>
        <v>7.4068211264092332</v>
      </c>
      <c r="J44" s="4">
        <f t="shared" si="4"/>
        <v>3.3029445803240298E-2</v>
      </c>
    </row>
    <row r="45" spans="3:10" x14ac:dyDescent="0.25">
      <c r="D45" s="2"/>
      <c r="E45" s="2" t="str">
        <f>'Billing Detail'!D151</f>
        <v>Excess Demand Charge per kW</v>
      </c>
      <c r="F45" s="69">
        <f>'Billing Detail'!H151</f>
        <v>9.98</v>
      </c>
      <c r="G45" s="69">
        <f>'Billing Detail'!L151</f>
        <v>10.309633869116338</v>
      </c>
      <c r="J45" s="4">
        <f t="shared" si="4"/>
        <v>3.3029445803240298E-2</v>
      </c>
    </row>
    <row r="46" spans="3:10" x14ac:dyDescent="0.25">
      <c r="D46" s="2"/>
      <c r="E46" s="2" t="str">
        <f>'Billing Detail'!D152</f>
        <v>Energy Charge per kWh</v>
      </c>
      <c r="F46" s="70">
        <f>'Billing Detail'!H152</f>
        <v>4.1599999999999998E-2</v>
      </c>
      <c r="G46" s="70">
        <f>'Billing Detail'!L152</f>
        <v>4.2974024945414795E-2</v>
      </c>
      <c r="J46" s="4">
        <f t="shared" si="4"/>
        <v>3.3029445803240298E-2</v>
      </c>
    </row>
    <row r="47" spans="3:10" x14ac:dyDescent="0.25">
      <c r="C47" s="13" t="str">
        <f>'Billing Detail'!C153</f>
        <v>B3</v>
      </c>
      <c r="D47" s="2" t="str">
        <f>'Billing Detail'!B153</f>
        <v>Schedule B-3 - Large Industrial Rate</v>
      </c>
      <c r="F47" s="69"/>
      <c r="G47" s="69"/>
      <c r="J47" s="4"/>
    </row>
    <row r="48" spans="3:10" x14ac:dyDescent="0.25">
      <c r="D48" s="2"/>
      <c r="E48" s="2" t="str">
        <f>'Billing Detail'!D154</f>
        <v>Customer Charge</v>
      </c>
      <c r="F48" s="69">
        <f>'Billing Detail'!H154</f>
        <v>1208.42</v>
      </c>
      <c r="G48" s="69">
        <f>'Billing Detail'!L154</f>
        <v>1248.3334428975518</v>
      </c>
      <c r="J48" s="4">
        <f t="shared" si="4"/>
        <v>3.3029445803240298E-2</v>
      </c>
    </row>
    <row r="49" spans="3:10" x14ac:dyDescent="0.25">
      <c r="D49" s="2"/>
      <c r="E49" s="2" t="str">
        <f>'Billing Detail'!D155</f>
        <v>Demand Charge per kW</v>
      </c>
      <c r="F49" s="69">
        <f>'Billing Detail'!H155</f>
        <v>7.17</v>
      </c>
      <c r="G49" s="69">
        <f>'Billing Detail'!L155</f>
        <v>7.4068211264092332</v>
      </c>
      <c r="J49" s="4">
        <f t="shared" si="4"/>
        <v>3.3029445803240298E-2</v>
      </c>
    </row>
    <row r="50" spans="3:10" x14ac:dyDescent="0.25">
      <c r="D50" s="2"/>
      <c r="E50" s="2" t="str">
        <f>'Billing Detail'!D156</f>
        <v>Excess Demand Charge per kW</v>
      </c>
      <c r="F50" s="69">
        <f>'Billing Detail'!H156</f>
        <v>9.98</v>
      </c>
      <c r="G50" s="69">
        <f>'Billing Detail'!L156</f>
        <v>10.309633869116338</v>
      </c>
      <c r="J50" s="4">
        <f t="shared" si="4"/>
        <v>3.3029445803240298E-2</v>
      </c>
    </row>
    <row r="51" spans="3:10" x14ac:dyDescent="0.25">
      <c r="D51" s="2"/>
      <c r="E51" s="2" t="str">
        <f>'Billing Detail'!D157</f>
        <v>Energy Charge per kWh</v>
      </c>
      <c r="F51" s="70">
        <f>'Billing Detail'!H157</f>
        <v>4.0460000000000003E-2</v>
      </c>
      <c r="G51" s="70">
        <f>'Billing Detail'!L157</f>
        <v>4.1796371377199104E-2</v>
      </c>
      <c r="J51" s="4">
        <f t="shared" si="4"/>
        <v>3.3029445803240298E-2</v>
      </c>
    </row>
    <row r="52" spans="3:10" x14ac:dyDescent="0.25">
      <c r="C52" s="13" t="str">
        <f>'Billing Detail'!C158</f>
        <v>C1</v>
      </c>
      <c r="D52" s="2" t="str">
        <f>'Billing Detail'!B158</f>
        <v>Schedule C-1 - Large Industrial Rate</v>
      </c>
      <c r="F52" s="69"/>
      <c r="G52" s="69"/>
      <c r="J52" s="4"/>
    </row>
    <row r="53" spans="3:10" x14ac:dyDescent="0.25">
      <c r="D53" s="2"/>
      <c r="E53" s="2" t="str">
        <f>'Billing Detail'!D159</f>
        <v>Customer Charge</v>
      </c>
      <c r="F53" s="69">
        <f>'Billing Detail'!H159</f>
        <v>604.77</v>
      </c>
      <c r="G53" s="69">
        <f>'Billing Detail'!L159</f>
        <v>624.72</v>
      </c>
      <c r="J53" s="4">
        <f t="shared" si="4"/>
        <v>3.2987747408105728E-2</v>
      </c>
    </row>
    <row r="54" spans="3:10" x14ac:dyDescent="0.25">
      <c r="D54" s="2"/>
      <c r="E54" s="2" t="str">
        <f>'Billing Detail'!D160</f>
        <v>Demand Charge per kW</v>
      </c>
      <c r="F54" s="69">
        <f>'Billing Detail'!H160</f>
        <v>7.17</v>
      </c>
      <c r="G54" s="69">
        <f>'Billing Detail'!L160</f>
        <v>7.41</v>
      </c>
      <c r="J54" s="4">
        <f t="shared" si="4"/>
        <v>3.3472803347280422E-2</v>
      </c>
    </row>
    <row r="55" spans="3:10" x14ac:dyDescent="0.25">
      <c r="D55" s="2"/>
      <c r="E55" s="2" t="str">
        <f>'Billing Detail'!D161</f>
        <v>Energy Charge per kWh</v>
      </c>
      <c r="F55" s="70">
        <f>'Billing Detail'!H161</f>
        <v>4.7620000000000003E-2</v>
      </c>
      <c r="G55" s="70">
        <f>'Billing Detail'!L161</f>
        <v>4.9192862209150305E-2</v>
      </c>
      <c r="J55" s="4">
        <f t="shared" si="4"/>
        <v>3.3029445803240298E-2</v>
      </c>
    </row>
    <row r="56" spans="3:10" x14ac:dyDescent="0.25">
      <c r="C56" s="13" t="str">
        <f>'Billing Detail'!C162</f>
        <v>C2</v>
      </c>
      <c r="D56" s="2" t="str">
        <f>'Billing Detail'!B162</f>
        <v>Schedule C-2 - Large Industrial Rate</v>
      </c>
      <c r="F56" s="69"/>
      <c r="G56" s="69"/>
      <c r="J56" s="4"/>
    </row>
    <row r="57" spans="3:10" x14ac:dyDescent="0.25">
      <c r="D57" s="2"/>
      <c r="E57" s="2" t="str">
        <f>'Billing Detail'!D163</f>
        <v>Customer Charge</v>
      </c>
      <c r="F57" s="69">
        <f>'Billing Detail'!H163</f>
        <v>1208.42</v>
      </c>
      <c r="G57" s="69">
        <f>'Billing Detail'!L163</f>
        <v>1248.3334428975518</v>
      </c>
      <c r="J57" s="4">
        <f t="shared" si="4"/>
        <v>3.3029445803240298E-2</v>
      </c>
    </row>
    <row r="58" spans="3:10" x14ac:dyDescent="0.25">
      <c r="D58" s="2"/>
      <c r="E58" s="2" t="str">
        <f>'Billing Detail'!D164</f>
        <v>Demand Charge per kW</v>
      </c>
      <c r="F58" s="69">
        <f>'Billing Detail'!H164</f>
        <v>7.17</v>
      </c>
      <c r="G58" s="69">
        <f>'Billing Detail'!L164</f>
        <v>7.41</v>
      </c>
      <c r="J58" s="4">
        <f t="shared" si="4"/>
        <v>3.3472803347280422E-2</v>
      </c>
    </row>
    <row r="59" spans="3:10" x14ac:dyDescent="0.25">
      <c r="D59" s="2"/>
      <c r="E59" s="2" t="str">
        <f>'Billing Detail'!D165</f>
        <v>Energy Charge per kWh</v>
      </c>
      <c r="F59" s="70">
        <f>'Billing Detail'!H165</f>
        <v>4.197E-2</v>
      </c>
      <c r="G59" s="70">
        <f>'Billing Detail'!L165</f>
        <v>4.3356245840361997E-2</v>
      </c>
      <c r="J59" s="4">
        <f t="shared" si="4"/>
        <v>3.3029445803240298E-2</v>
      </c>
    </row>
    <row r="60" spans="3:10" x14ac:dyDescent="0.25">
      <c r="C60" s="13" t="str">
        <f>'Billing Detail'!C166</f>
        <v>C3</v>
      </c>
      <c r="D60" s="3" t="str">
        <f>'Billing Detail'!B166</f>
        <v>Schedule C-3 - Large Industrial Rate</v>
      </c>
      <c r="F60" s="69"/>
      <c r="G60" s="69"/>
      <c r="J60" s="4"/>
    </row>
    <row r="61" spans="3:10" x14ac:dyDescent="0.25">
      <c r="E61" s="2" t="str">
        <f>'Billing Detail'!D167</f>
        <v>Customer Charge</v>
      </c>
      <c r="F61" s="69">
        <f>'Billing Detail'!H167</f>
        <v>1208.42</v>
      </c>
      <c r="G61" s="69">
        <f>'Billing Detail'!L167</f>
        <v>1248.3334428975518</v>
      </c>
      <c r="J61" s="4">
        <f>G61/F61-1</f>
        <v>3.3029445803240298E-2</v>
      </c>
    </row>
    <row r="62" spans="3:10" x14ac:dyDescent="0.25">
      <c r="E62" s="2" t="str">
        <f>'Billing Detail'!D168</f>
        <v>Demand Charge per kW</v>
      </c>
      <c r="F62" s="69">
        <f>'Billing Detail'!H168</f>
        <v>7.17</v>
      </c>
      <c r="G62" s="69">
        <f>'Billing Detail'!L168</f>
        <v>7.41</v>
      </c>
      <c r="J62" s="4">
        <f>G62/F62-1</f>
        <v>3.3472803347280422E-2</v>
      </c>
    </row>
    <row r="63" spans="3:10" x14ac:dyDescent="0.25">
      <c r="E63" s="2" t="str">
        <f>'Billing Detail'!D169</f>
        <v>Energy Charge per kWh</v>
      </c>
      <c r="F63" s="70">
        <f>'Billing Detail'!H169</f>
        <v>4.0480000000000002E-2</v>
      </c>
      <c r="G63" s="70">
        <f>'Billing Detail'!L169</f>
        <v>4.1817031966115172E-2</v>
      </c>
      <c r="J63" s="4">
        <f>G63/F63-1</f>
        <v>3.3029445803240298E-2</v>
      </c>
    </row>
    <row r="64" spans="3:10" x14ac:dyDescent="0.25">
      <c r="C64" s="13" t="str">
        <f>'Billing Detail'!C170</f>
        <v>G</v>
      </c>
      <c r="D64" s="3" t="str">
        <f>'Billing Detail'!B170</f>
        <v>Schedule G - Large Industrial Rate</v>
      </c>
      <c r="F64" s="69"/>
      <c r="G64" s="69"/>
      <c r="J64" s="4"/>
    </row>
    <row r="65" spans="3:10" x14ac:dyDescent="0.25">
      <c r="E65" s="2" t="str">
        <f>'Billing Detail'!D171</f>
        <v>Facility Charge</v>
      </c>
      <c r="F65" s="69">
        <f>'Billing Detail'!H171</f>
        <v>5454</v>
      </c>
      <c r="G65" s="69">
        <f>'Billing Detail'!L171</f>
        <v>5726.7</v>
      </c>
      <c r="J65" s="4">
        <f>G65/F65-1</f>
        <v>5.0000000000000044E-2</v>
      </c>
    </row>
    <row r="66" spans="3:10" x14ac:dyDescent="0.25">
      <c r="E66" s="2" t="str">
        <f>'Billing Detail'!D172</f>
        <v>Demand Charge per kW</v>
      </c>
      <c r="F66" s="69">
        <f>'Billing Detail'!H172</f>
        <v>6.98</v>
      </c>
      <c r="G66" s="69">
        <f>'Billing Detail'!L172</f>
        <v>7.3</v>
      </c>
      <c r="J66" s="4">
        <f>G66/F66-1</f>
        <v>4.5845272206303633E-2</v>
      </c>
    </row>
    <row r="67" spans="3:10" x14ac:dyDescent="0.25">
      <c r="E67" s="2" t="str">
        <f>'Billing Detail'!D173</f>
        <v>Energy Charge per kWh</v>
      </c>
      <c r="F67" s="78">
        <f>'Billing Detail'!H173</f>
        <v>3.9377000000000002E-2</v>
      </c>
      <c r="G67" s="78">
        <f>'Billing Detail'!L173</f>
        <v>4.0210000000000003E-2</v>
      </c>
      <c r="J67" s="4">
        <f>G67/F67-1</f>
        <v>2.1154481042232831E-2</v>
      </c>
    </row>
    <row r="68" spans="3:10" x14ac:dyDescent="0.25">
      <c r="D68" s="2"/>
    </row>
    <row r="69" spans="3:10" x14ac:dyDescent="0.25">
      <c r="F69" s="69"/>
      <c r="G69" s="69"/>
    </row>
    <row r="70" spans="3:10" x14ac:dyDescent="0.25">
      <c r="F70" s="69"/>
      <c r="G70" s="69"/>
    </row>
    <row r="71" spans="3:10" x14ac:dyDescent="0.25">
      <c r="F71" s="69"/>
      <c r="G71" s="69"/>
    </row>
    <row r="72" spans="3:10" ht="41.4" customHeight="1" x14ac:dyDescent="0.25">
      <c r="C72" s="150" t="s">
        <v>54</v>
      </c>
      <c r="D72" s="150"/>
      <c r="E72" s="150"/>
      <c r="F72" s="150"/>
      <c r="G72" s="150"/>
    </row>
    <row r="73" spans="3:10" x14ac:dyDescent="0.25">
      <c r="D73" s="2"/>
      <c r="F73" s="151" t="s">
        <v>55</v>
      </c>
      <c r="G73" s="151"/>
    </row>
    <row r="74" spans="3:10" x14ac:dyDescent="0.25">
      <c r="C74" s="91" t="s">
        <v>56</v>
      </c>
      <c r="D74" s="80"/>
      <c r="E74" s="81"/>
      <c r="F74" s="82" t="s">
        <v>57</v>
      </c>
      <c r="G74" s="82" t="s">
        <v>58</v>
      </c>
    </row>
    <row r="75" spans="3:10" x14ac:dyDescent="0.25">
      <c r="C75" s="92">
        <f>Summary!C8</f>
        <v>1</v>
      </c>
      <c r="D75" s="3" t="str">
        <f>Summary!B8</f>
        <v>Schedule 1 - Rates for Farm and Home Service</v>
      </c>
      <c r="F75" s="83">
        <f>Summary!L8</f>
        <v>1237040.8565599993</v>
      </c>
      <c r="G75" s="84">
        <f>Summary!N8</f>
        <v>3.0667440351511449E-2</v>
      </c>
    </row>
    <row r="76" spans="3:10" x14ac:dyDescent="0.25">
      <c r="C76" s="92">
        <f>Summary!C9</f>
        <v>8</v>
      </c>
      <c r="D76" s="3" t="str">
        <f>Summary!B9</f>
        <v>Schedule NM - Net Metering</v>
      </c>
      <c r="F76" s="83">
        <f>Summary!L9</f>
        <v>1248.5228999999963</v>
      </c>
      <c r="G76" s="84">
        <f>Summary!N9</f>
        <v>3.2120508256029565E-2</v>
      </c>
      <c r="H76" s="1"/>
    </row>
    <row r="77" spans="3:10" x14ac:dyDescent="0.25">
      <c r="C77" s="92" t="str">
        <f>Summary!C10</f>
        <v>11,12</v>
      </c>
      <c r="D77" s="3" t="str">
        <f>Summary!B10</f>
        <v>Schedule 1-A - Farm and Home Marketing Rate (ETS)</v>
      </c>
      <c r="F77" s="83">
        <f>Summary!L10</f>
        <v>1020.8537399999987</v>
      </c>
      <c r="G77" s="84">
        <f>Summary!N10</f>
        <v>3.07730083801083E-2</v>
      </c>
      <c r="H77" s="1"/>
    </row>
    <row r="78" spans="3:10" x14ac:dyDescent="0.25">
      <c r="C78" s="92">
        <f>Summary!C11</f>
        <v>2</v>
      </c>
      <c r="D78" s="3" t="str">
        <f>Summary!B11</f>
        <v>Schedule 2 - Small Commercial and Small Power</v>
      </c>
      <c r="F78" s="83">
        <f>Summary!L11</f>
        <v>69571.961930000223</v>
      </c>
      <c r="G78" s="84">
        <f>Summary!N11</f>
        <v>3.0832379932907206E-2</v>
      </c>
      <c r="H78" s="1"/>
    </row>
    <row r="79" spans="3:10" x14ac:dyDescent="0.25">
      <c r="C79" s="92">
        <f>Summary!C12</f>
        <v>4</v>
      </c>
      <c r="D79" s="3" t="str">
        <f>Summary!B12</f>
        <v>Schedule 4 - Large Power Rate (LPR)</v>
      </c>
      <c r="F79" s="83">
        <f>Summary!L12</f>
        <v>67912.796990000017</v>
      </c>
      <c r="G79" s="84">
        <f>Summary!N12</f>
        <v>3.0633062439274206E-2</v>
      </c>
      <c r="H79" s="1"/>
    </row>
    <row r="80" spans="3:10" x14ac:dyDescent="0.25">
      <c r="C80" s="92">
        <f>Summary!C13</f>
        <v>5</v>
      </c>
      <c r="D80" s="3" t="str">
        <f>Summary!B13</f>
        <v>Schedule 5 - All Electric School Rate</v>
      </c>
      <c r="F80" s="83">
        <f>Summary!L13</f>
        <v>12683.257859999991</v>
      </c>
      <c r="G80" s="84">
        <f>Summary!N13</f>
        <v>3.3027016049654231E-2</v>
      </c>
      <c r="H80" s="1"/>
    </row>
    <row r="81" spans="3:8" x14ac:dyDescent="0.25">
      <c r="C81" s="92">
        <f>Summary!C14</f>
        <v>6</v>
      </c>
      <c r="D81" s="3" t="str">
        <f>Summary!B14</f>
        <v>Schedule 6 - Outdoor Lighting Service - Security Lights</v>
      </c>
      <c r="F81" s="83">
        <f>Summary!L14</f>
        <v>1140.4130399999922</v>
      </c>
      <c r="G81" s="84">
        <f>Summary!N14</f>
        <v>2.6282633724972058E-2</v>
      </c>
      <c r="H81" s="1"/>
    </row>
    <row r="82" spans="3:8" x14ac:dyDescent="0.25">
      <c r="C82" s="92" t="str">
        <f>Summary!C15</f>
        <v>B1</v>
      </c>
      <c r="D82" s="3" t="str">
        <f>Summary!B15</f>
        <v>Schedule B1 - Large Industrial Rate</v>
      </c>
      <c r="F82" s="83">
        <f>Summary!L15</f>
        <v>226262.55026400034</v>
      </c>
      <c r="G82" s="84">
        <f>Summary!N15</f>
        <v>3.2216933371804951E-2</v>
      </c>
      <c r="H82" s="1"/>
    </row>
    <row r="83" spans="3:8" x14ac:dyDescent="0.25">
      <c r="C83" s="92">
        <f>Summary!C16</f>
        <v>6</v>
      </c>
      <c r="D83" s="3" t="str">
        <f>Summary!B16</f>
        <v>Lighting</v>
      </c>
      <c r="F83" s="83">
        <f>Summary!L16</f>
        <v>37485.489999999991</v>
      </c>
      <c r="G83" s="84">
        <f>Summary!N16</f>
        <v>3.3103644057316084E-2</v>
      </c>
      <c r="H83" s="1"/>
    </row>
    <row r="84" spans="3:8" x14ac:dyDescent="0.25">
      <c r="C84" s="96" t="s">
        <v>59</v>
      </c>
      <c r="D84" s="85"/>
      <c r="E84" s="85"/>
      <c r="F84" s="86">
        <f>Summary!L28</f>
        <v>1654366.7032840028</v>
      </c>
      <c r="G84" s="87">
        <f>Summary!N28</f>
        <v>3.0928204357401141E-2</v>
      </c>
    </row>
    <row r="85" spans="3:8" x14ac:dyDescent="0.25">
      <c r="C85" s="92"/>
      <c r="D85" s="2"/>
      <c r="F85" s="88"/>
      <c r="G85" s="89"/>
    </row>
    <row r="86" spans="3:8" x14ac:dyDescent="0.25">
      <c r="D86" s="2"/>
    </row>
    <row r="87" spans="3:8" ht="40.200000000000003" customHeight="1" x14ac:dyDescent="0.25">
      <c r="C87" s="150" t="s">
        <v>60</v>
      </c>
      <c r="D87" s="150"/>
      <c r="E87" s="150"/>
      <c r="F87" s="150"/>
      <c r="G87" s="150"/>
      <c r="H87" s="150"/>
    </row>
    <row r="88" spans="3:8" x14ac:dyDescent="0.25">
      <c r="D88" s="2"/>
      <c r="E88" s="90" t="s">
        <v>18</v>
      </c>
      <c r="F88" s="151" t="s">
        <v>55</v>
      </c>
      <c r="G88" s="151"/>
    </row>
    <row r="89" spans="3:8" x14ac:dyDescent="0.25">
      <c r="C89" s="91" t="s">
        <v>56</v>
      </c>
      <c r="D89" s="81"/>
      <c r="E89" s="91" t="s">
        <v>61</v>
      </c>
      <c r="F89" s="82" t="s">
        <v>57</v>
      </c>
      <c r="G89" s="82" t="s">
        <v>58</v>
      </c>
    </row>
    <row r="90" spans="3:8" x14ac:dyDescent="0.25">
      <c r="C90" s="13">
        <f>Summary!C8</f>
        <v>1</v>
      </c>
      <c r="D90" s="100" t="str">
        <f>Summary!B8</f>
        <v>Schedule 1 - Rates for Farm and Home Service</v>
      </c>
      <c r="E90" s="93">
        <f>'Billing Detail'!E17</f>
        <v>1294.9085216061296</v>
      </c>
      <c r="F90" s="69">
        <f>'Billing Detail'!N17</f>
        <v>4.4624200761147677</v>
      </c>
      <c r="G90" s="4">
        <f>Summary!N8</f>
        <v>3.0667440351511449E-2</v>
      </c>
    </row>
    <row r="91" spans="3:8" x14ac:dyDescent="0.25">
      <c r="C91" s="13">
        <f>Summary!C9</f>
        <v>8</v>
      </c>
      <c r="D91" s="100" t="str">
        <f>Summary!B9</f>
        <v>Schedule NM - Net Metering</v>
      </c>
      <c r="E91" s="93">
        <f>'Billing Detail'!E29</f>
        <v>1238.7113402061855</v>
      </c>
      <c r="F91" s="69">
        <f>'Billing Detail'!N29</f>
        <v>4.2904567010309052</v>
      </c>
      <c r="G91" s="4">
        <f>Summary!N9</f>
        <v>3.2120508256029565E-2</v>
      </c>
    </row>
    <row r="92" spans="3:8" x14ac:dyDescent="0.25">
      <c r="C92" s="13" t="str">
        <f>Summary!C10</f>
        <v>11,12</v>
      </c>
      <c r="D92" s="100" t="str">
        <f>Summary!B10</f>
        <v>Schedule 1-A - Farm and Home Marketing Rate (ETS)</v>
      </c>
      <c r="E92" s="93">
        <f>'Billing Detail'!E41</f>
        <v>452.43621399176953</v>
      </c>
      <c r="F92" s="69">
        <f>'Billing Detail'!N41</f>
        <v>1.400348065843616</v>
      </c>
      <c r="G92" s="4">
        <f>Summary!N10</f>
        <v>3.07730083801083E-2</v>
      </c>
    </row>
    <row r="93" spans="3:8" x14ac:dyDescent="0.25">
      <c r="C93" s="13">
        <f>Summary!C11</f>
        <v>2</v>
      </c>
      <c r="D93" s="100" t="str">
        <f>Summary!B11</f>
        <v>Schedule 2 - Small Commercial and Small Power</v>
      </c>
      <c r="E93" s="93">
        <f>'Billing Detail'!E54</f>
        <v>1734.1176819034456</v>
      </c>
      <c r="F93" s="69">
        <f>'Billing Detail'!N54</f>
        <v>6.8685913643992649</v>
      </c>
      <c r="G93" s="4">
        <f>Summary!N11</f>
        <v>3.0832379932907206E-2</v>
      </c>
    </row>
    <row r="94" spans="3:8" x14ac:dyDescent="0.25">
      <c r="C94" s="13">
        <f>Summary!C12</f>
        <v>4</v>
      </c>
      <c r="D94" s="100" t="str">
        <f>Summary!B12</f>
        <v>Schedule 4 - Large Power Rate (LPR)</v>
      </c>
      <c r="E94" s="93">
        <f>'Billing Detail'!E67</f>
        <v>18273.210139002455</v>
      </c>
      <c r="F94" s="69">
        <f>'Billing Detail'!N67</f>
        <v>55.529678650858159</v>
      </c>
      <c r="G94" s="4">
        <f>Summary!N12</f>
        <v>3.0633062439274206E-2</v>
      </c>
    </row>
    <row r="95" spans="3:8" x14ac:dyDescent="0.25">
      <c r="C95" s="13">
        <f>Summary!C13</f>
        <v>5</v>
      </c>
      <c r="D95" s="100" t="str">
        <f>Summary!B13</f>
        <v>Schedule 5 - All Electric School Rate</v>
      </c>
      <c r="E95" s="93">
        <f>'Billing Detail'!E79</f>
        <v>45709.969696969696</v>
      </c>
      <c r="F95" s="69">
        <f>'Billing Detail'!N79</f>
        <v>128.11371575757585</v>
      </c>
      <c r="G95" s="4">
        <f>Summary!N13</f>
        <v>3.3027016049654231E-2</v>
      </c>
    </row>
    <row r="96" spans="3:8" x14ac:dyDescent="0.25">
      <c r="C96" s="13">
        <f>Summary!C14</f>
        <v>6</v>
      </c>
      <c r="D96" s="100" t="str">
        <f>Summary!B14</f>
        <v>Schedule 6 - Outdoor Lighting Service - Security Lights</v>
      </c>
      <c r="E96" s="94" t="str">
        <f>'Billing Detail'!E90</f>
        <v>NA</v>
      </c>
      <c r="F96" s="97" t="str">
        <f>'Billing Detail'!N90</f>
        <v>NA</v>
      </c>
      <c r="G96" s="4">
        <f>Summary!N14</f>
        <v>2.6282633724972058E-2</v>
      </c>
    </row>
    <row r="97" spans="3:7" x14ac:dyDescent="0.25">
      <c r="C97" s="13" t="str">
        <f>Summary!C15</f>
        <v>B1</v>
      </c>
      <c r="D97" s="100" t="str">
        <f>Summary!B15</f>
        <v>Schedule B1 - Large Industrial Rate</v>
      </c>
      <c r="E97" s="93">
        <f>'Billing Detail'!E104</f>
        <v>602197.98181818181</v>
      </c>
      <c r="F97" s="69">
        <f>'Billing Detail'!N104</f>
        <v>2056.9322751272775</v>
      </c>
      <c r="G97" s="4">
        <f>Summary!N15</f>
        <v>3.2216933371804951E-2</v>
      </c>
    </row>
    <row r="98" spans="3:7" x14ac:dyDescent="0.25">
      <c r="C98" s="13">
        <f>Summary!C16</f>
        <v>6</v>
      </c>
      <c r="D98" s="100" t="str">
        <f>Summary!B16</f>
        <v>Lighting</v>
      </c>
      <c r="E98" s="98" t="s">
        <v>62</v>
      </c>
      <c r="F98" s="97" t="s">
        <v>62</v>
      </c>
      <c r="G98" s="4">
        <f>Summary!N16</f>
        <v>3.3103644057316084E-2</v>
      </c>
    </row>
  </sheetData>
  <mergeCells count="4">
    <mergeCell ref="C72:G72"/>
    <mergeCell ref="F73:G73"/>
    <mergeCell ref="C87:H87"/>
    <mergeCell ref="F88:G88"/>
  </mergeCells>
  <printOptions horizontalCentered="1"/>
  <pageMargins left="0.7" right="0.7" top="0.75" bottom="0.75" header="0.3" footer="0.3"/>
  <pageSetup paperSize="9" scale="79" fitToHeight="2" orientation="portrait" r:id="rId1"/>
  <headerFooter>
    <oddHeader>&amp;R&amp;"Arial,Bold"&amp;10Exhibit 2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  <vt:lpstr>'Notice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2021-03-31T04:46:41Z</cp:lastPrinted>
  <dcterms:created xsi:type="dcterms:W3CDTF">2021-02-09T02:13:44Z</dcterms:created>
  <dcterms:modified xsi:type="dcterms:W3CDTF">2021-07-27T18:49:21Z</dcterms:modified>
</cp:coreProperties>
</file>