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Grayson\Analysis\"/>
    </mc:Choice>
  </mc:AlternateContent>
  <xr:revisionPtr revIDLastSave="0" documentId="13_ncr:1_{3B5F9023-8373-4207-8E99-3CF192038043}" xr6:coauthVersionLast="46" xr6:coauthVersionMax="46" xr10:uidLastSave="{00000000-0000-0000-0000-000000000000}"/>
  <bookViews>
    <workbookView xWindow="-108" yWindow="-108" windowWidth="23256" windowHeight="12576" activeTab="1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Detail'!$A$1:$R$302</definedName>
    <definedName name="_xlnm.Print_Area" localSheetId="2">'Notice Table'!$A$1:$G$107</definedName>
    <definedName name="_xlnm.Print_Area" localSheetId="0">Summary!$A$1:$O$41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9" i="1" l="1"/>
  <c r="H198" i="1"/>
  <c r="H175" i="1" l="1"/>
  <c r="H174" i="1"/>
  <c r="E151" i="1"/>
  <c r="E150" i="1"/>
  <c r="E149" i="1"/>
  <c r="H87" i="1" l="1"/>
  <c r="H86" i="1" l="1"/>
  <c r="H85" i="1"/>
  <c r="E60" i="3" l="1"/>
  <c r="F60" i="3"/>
  <c r="E61" i="3"/>
  <c r="F61" i="3"/>
  <c r="E62" i="3"/>
  <c r="F62" i="3"/>
  <c r="F59" i="3"/>
  <c r="E59" i="3"/>
  <c r="D58" i="3"/>
  <c r="C58" i="3"/>
  <c r="E56" i="3"/>
  <c r="F56" i="3"/>
  <c r="E57" i="3"/>
  <c r="F57" i="3"/>
  <c r="F55" i="3"/>
  <c r="E55" i="3"/>
  <c r="D54" i="3"/>
  <c r="C54" i="3"/>
  <c r="E53" i="3"/>
  <c r="E52" i="3"/>
  <c r="D51" i="3"/>
  <c r="C51" i="3"/>
  <c r="E50" i="3"/>
  <c r="E49" i="3"/>
  <c r="E39" i="3"/>
  <c r="F39" i="3"/>
  <c r="E40" i="3"/>
  <c r="F40" i="3"/>
  <c r="E41" i="3"/>
  <c r="F41" i="3"/>
  <c r="E21" i="3"/>
  <c r="F21" i="3"/>
  <c r="E22" i="3"/>
  <c r="F22" i="3"/>
  <c r="E17" i="3"/>
  <c r="F17" i="3"/>
  <c r="E18" i="3"/>
  <c r="F18" i="3"/>
  <c r="F16" i="3"/>
  <c r="E16" i="3"/>
  <c r="E13" i="3"/>
  <c r="F13" i="3"/>
  <c r="E14" i="3"/>
  <c r="F14" i="3"/>
  <c r="E91" i="3"/>
  <c r="F91" i="3"/>
  <c r="E92" i="3"/>
  <c r="F92" i="3"/>
  <c r="E93" i="3"/>
  <c r="F93" i="3"/>
  <c r="E95" i="3"/>
  <c r="F95" i="3"/>
  <c r="E96" i="3"/>
  <c r="F96" i="3"/>
  <c r="E97" i="3"/>
  <c r="F97" i="3"/>
  <c r="E99" i="3"/>
  <c r="F99" i="3"/>
  <c r="E100" i="3"/>
  <c r="F100" i="3"/>
  <c r="E101" i="3"/>
  <c r="F101" i="3"/>
  <c r="E102" i="3"/>
  <c r="F102" i="3"/>
  <c r="E104" i="3"/>
  <c r="F104" i="3"/>
  <c r="E105" i="3"/>
  <c r="F105" i="3"/>
  <c r="E106" i="3"/>
  <c r="F106" i="3"/>
  <c r="E107" i="3"/>
  <c r="F107" i="3"/>
  <c r="C90" i="3"/>
  <c r="D90" i="3"/>
  <c r="C94" i="3"/>
  <c r="D94" i="3"/>
  <c r="C98" i="3"/>
  <c r="D98" i="3"/>
  <c r="C103" i="3"/>
  <c r="D103" i="3"/>
  <c r="D153" i="3" l="1"/>
  <c r="C153" i="3"/>
  <c r="E195" i="1"/>
  <c r="E149" i="3" s="1"/>
  <c r="D151" i="3"/>
  <c r="C151" i="3"/>
  <c r="E108" i="1"/>
  <c r="E142" i="3" s="1"/>
  <c r="E95" i="1"/>
  <c r="E141" i="3" s="1"/>
  <c r="D152" i="3"/>
  <c r="C152" i="3"/>
  <c r="D150" i="3"/>
  <c r="C150" i="3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25" i="2"/>
  <c r="E242" i="1"/>
  <c r="E240" i="1"/>
  <c r="E239" i="1"/>
  <c r="E237" i="1"/>
  <c r="E121" i="1"/>
  <c r="E143" i="3" s="1"/>
  <c r="I246" i="1"/>
  <c r="I247" i="1"/>
  <c r="M247" i="1" s="1"/>
  <c r="F53" i="3"/>
  <c r="F52" i="3"/>
  <c r="E183" i="1"/>
  <c r="E148" i="3" s="1"/>
  <c r="I177" i="1"/>
  <c r="E179" i="1"/>
  <c r="E171" i="1"/>
  <c r="E147" i="3" s="1"/>
  <c r="E167" i="1"/>
  <c r="I165" i="1"/>
  <c r="I127" i="1"/>
  <c r="E43" i="1"/>
  <c r="E137" i="3" s="1"/>
  <c r="E82" i="1" l="1"/>
  <c r="E140" i="3" s="1"/>
  <c r="E159" i="1"/>
  <c r="E146" i="3" s="1"/>
  <c r="E220" i="1"/>
  <c r="E151" i="3" s="1"/>
  <c r="I37" i="1"/>
  <c r="C25" i="2"/>
  <c r="B25" i="2"/>
  <c r="D129" i="3" s="1"/>
  <c r="G229" i="1"/>
  <c r="G228" i="1"/>
  <c r="E225" i="1"/>
  <c r="I225" i="1" s="1"/>
  <c r="E224" i="1"/>
  <c r="E234" i="1" s="1"/>
  <c r="E152" i="3" s="1"/>
  <c r="F225" i="1"/>
  <c r="F224" i="1"/>
  <c r="F226" i="1"/>
  <c r="F223" i="1"/>
  <c r="C129" i="3" l="1"/>
  <c r="G225" i="1"/>
  <c r="G232" i="1" l="1"/>
  <c r="I231" i="1"/>
  <c r="M231" i="1" s="1"/>
  <c r="I230" i="1"/>
  <c r="M230" i="1" s="1"/>
  <c r="N230" i="1" s="1"/>
  <c r="I229" i="1"/>
  <c r="M229" i="1" s="1"/>
  <c r="N229" i="1" s="1"/>
  <c r="I228" i="1"/>
  <c r="M228" i="1" s="1"/>
  <c r="I226" i="1"/>
  <c r="G226" i="1"/>
  <c r="I224" i="1"/>
  <c r="G224" i="1"/>
  <c r="I223" i="1"/>
  <c r="G223" i="1"/>
  <c r="C24" i="2"/>
  <c r="B24" i="2"/>
  <c r="D128" i="3" s="1"/>
  <c r="F212" i="1"/>
  <c r="G212" i="1" s="1"/>
  <c r="F211" i="1"/>
  <c r="G211" i="1" s="1"/>
  <c r="G218" i="1"/>
  <c r="I217" i="1"/>
  <c r="M217" i="1" s="1"/>
  <c r="I216" i="1"/>
  <c r="M216" i="1" s="1"/>
  <c r="N216" i="1" s="1"/>
  <c r="I215" i="1"/>
  <c r="M215" i="1" s="1"/>
  <c r="N215" i="1" s="1"/>
  <c r="I214" i="1"/>
  <c r="I212" i="1"/>
  <c r="I211" i="1"/>
  <c r="I210" i="1"/>
  <c r="G210" i="1"/>
  <c r="G245" i="1"/>
  <c r="I245" i="1" s="1"/>
  <c r="G244" i="1"/>
  <c r="I244" i="1" s="1"/>
  <c r="G26" i="1"/>
  <c r="G25" i="1"/>
  <c r="M21" i="1"/>
  <c r="I21" i="1"/>
  <c r="O21" i="1" s="1"/>
  <c r="M22" i="1"/>
  <c r="I22" i="1"/>
  <c r="O22" i="1" s="1"/>
  <c r="E23" i="1"/>
  <c r="I201" i="1"/>
  <c r="I189" i="1"/>
  <c r="I153" i="1"/>
  <c r="I139" i="1"/>
  <c r="I115" i="1"/>
  <c r="I102" i="1"/>
  <c r="I89" i="1"/>
  <c r="I76" i="1"/>
  <c r="I63" i="1"/>
  <c r="I50" i="1"/>
  <c r="I11" i="1"/>
  <c r="C128" i="3" l="1"/>
  <c r="G227" i="1"/>
  <c r="M232" i="1"/>
  <c r="N228" i="1"/>
  <c r="I227" i="1"/>
  <c r="I232" i="1"/>
  <c r="I218" i="1"/>
  <c r="M214" i="1"/>
  <c r="M218" i="1" s="1"/>
  <c r="G213" i="1"/>
  <c r="I213" i="1"/>
  <c r="J211" i="1" s="1"/>
  <c r="N21" i="1"/>
  <c r="N22" i="1"/>
  <c r="N218" i="1" l="1"/>
  <c r="O218" i="1" s="1"/>
  <c r="E25" i="2"/>
  <c r="J225" i="1"/>
  <c r="J226" i="1"/>
  <c r="J224" i="1"/>
  <c r="J223" i="1"/>
  <c r="G233" i="1"/>
  <c r="G234" i="1" s="1"/>
  <c r="D25" i="2"/>
  <c r="I233" i="1"/>
  <c r="I234" i="1" s="1"/>
  <c r="E24" i="2"/>
  <c r="G219" i="1"/>
  <c r="G220" i="1" s="1"/>
  <c r="D24" i="2"/>
  <c r="N232" i="1"/>
  <c r="O232" i="1" s="1"/>
  <c r="N214" i="1"/>
  <c r="J212" i="1"/>
  <c r="I219" i="1"/>
  <c r="I220" i="1" s="1"/>
  <c r="J210" i="1"/>
  <c r="J213" i="1" l="1"/>
  <c r="G25" i="2"/>
  <c r="G24" i="2"/>
  <c r="J227" i="1"/>
  <c r="F113" i="1" l="1"/>
  <c r="H186" i="1"/>
  <c r="H187" i="1"/>
  <c r="F72" i="1"/>
  <c r="F151" i="1"/>
  <c r="F150" i="1"/>
  <c r="F149" i="1"/>
  <c r="G149" i="1" s="1"/>
  <c r="F137" i="1"/>
  <c r="F125" i="1"/>
  <c r="F112" i="1"/>
  <c r="F99" i="1"/>
  <c r="F74" i="1"/>
  <c r="F73" i="1"/>
  <c r="G73" i="1" s="1"/>
  <c r="F61" i="1"/>
  <c r="F48" i="1"/>
  <c r="F87" i="1" s="1"/>
  <c r="F35" i="1"/>
  <c r="F9" i="1"/>
  <c r="F148" i="1"/>
  <c r="F136" i="1"/>
  <c r="F124" i="1"/>
  <c r="F111" i="1"/>
  <c r="F100" i="1"/>
  <c r="F98" i="1"/>
  <c r="F47" i="1"/>
  <c r="F60" i="1"/>
  <c r="G60" i="1" s="1"/>
  <c r="F59" i="1"/>
  <c r="F46" i="1"/>
  <c r="F85" i="1" s="1"/>
  <c r="F34" i="1"/>
  <c r="F8" i="1"/>
  <c r="H163" i="1"/>
  <c r="H162" i="1"/>
  <c r="F162" i="1" s="1"/>
  <c r="C23" i="2"/>
  <c r="B23" i="2"/>
  <c r="D127" i="3" s="1"/>
  <c r="E207" i="1"/>
  <c r="E150" i="3" s="1"/>
  <c r="G205" i="1"/>
  <c r="I204" i="1"/>
  <c r="M204" i="1" s="1"/>
  <c r="I203" i="1"/>
  <c r="M203" i="1" s="1"/>
  <c r="N203" i="1" s="1"/>
  <c r="I202" i="1"/>
  <c r="M202" i="1" s="1"/>
  <c r="N202" i="1" s="1"/>
  <c r="M201" i="1"/>
  <c r="I199" i="1"/>
  <c r="I198" i="1"/>
  <c r="I149" i="1"/>
  <c r="I86" i="1"/>
  <c r="I73" i="1"/>
  <c r="I60" i="1"/>
  <c r="I47" i="1"/>
  <c r="F22" i="1" l="1"/>
  <c r="F198" i="1"/>
  <c r="F174" i="1"/>
  <c r="F199" i="1"/>
  <c r="G199" i="1" s="1"/>
  <c r="F175" i="1"/>
  <c r="F187" i="1"/>
  <c r="F50" i="3"/>
  <c r="G47" i="1"/>
  <c r="F86" i="1"/>
  <c r="G86" i="1" s="1"/>
  <c r="F186" i="1"/>
  <c r="F49" i="3"/>
  <c r="C127" i="3"/>
  <c r="F21" i="1"/>
  <c r="G21" i="1" s="1"/>
  <c r="G198" i="1"/>
  <c r="G200" i="1" s="1"/>
  <c r="G206" i="1" s="1"/>
  <c r="G207" i="1" s="1"/>
  <c r="F163" i="1"/>
  <c r="G22" i="1"/>
  <c r="F20" i="1"/>
  <c r="I200" i="1"/>
  <c r="N201" i="1"/>
  <c r="M205" i="1"/>
  <c r="I205" i="1"/>
  <c r="E88" i="3"/>
  <c r="F88" i="3"/>
  <c r="E89" i="3"/>
  <c r="F89" i="3"/>
  <c r="F87" i="3"/>
  <c r="E87" i="3"/>
  <c r="D86" i="3"/>
  <c r="C86" i="3"/>
  <c r="E84" i="3"/>
  <c r="F84" i="3"/>
  <c r="E85" i="3"/>
  <c r="F85" i="3"/>
  <c r="F83" i="3"/>
  <c r="E83" i="3"/>
  <c r="D82" i="3"/>
  <c r="C82" i="3"/>
  <c r="E80" i="3"/>
  <c r="F80" i="3"/>
  <c r="E81" i="3"/>
  <c r="F81" i="3"/>
  <c r="F79" i="3"/>
  <c r="E79" i="3"/>
  <c r="D78" i="3"/>
  <c r="C78" i="3"/>
  <c r="E76" i="3"/>
  <c r="F76" i="3"/>
  <c r="E77" i="3"/>
  <c r="F77" i="3"/>
  <c r="F75" i="3"/>
  <c r="E75" i="3"/>
  <c r="D74" i="3"/>
  <c r="C74" i="3"/>
  <c r="E72" i="3"/>
  <c r="F72" i="3"/>
  <c r="E73" i="3"/>
  <c r="F73" i="3"/>
  <c r="F71" i="3"/>
  <c r="E71" i="3"/>
  <c r="D70" i="3"/>
  <c r="C70" i="3"/>
  <c r="J198" i="1" l="1"/>
  <c r="J199" i="1"/>
  <c r="D23" i="2"/>
  <c r="I206" i="1"/>
  <c r="I207" i="1" s="1"/>
  <c r="E23" i="2"/>
  <c r="J200" i="1"/>
  <c r="N205" i="1"/>
  <c r="O205" i="1" s="1"/>
  <c r="I85" i="1"/>
  <c r="G85" i="1"/>
  <c r="E133" i="1"/>
  <c r="E144" i="3" s="1"/>
  <c r="E145" i="1"/>
  <c r="E145" i="3" s="1"/>
  <c r="E69" i="1"/>
  <c r="E139" i="3" s="1"/>
  <c r="E56" i="1"/>
  <c r="E138" i="3" s="1"/>
  <c r="E31" i="1"/>
  <c r="G23" i="2" l="1"/>
  <c r="E17" i="1"/>
  <c r="E136" i="3" s="1"/>
  <c r="E65" i="3" l="1"/>
  <c r="F65" i="3"/>
  <c r="E66" i="3"/>
  <c r="F66" i="3"/>
  <c r="E67" i="3"/>
  <c r="F67" i="3"/>
  <c r="E68" i="3"/>
  <c r="F68" i="3"/>
  <c r="E69" i="3"/>
  <c r="F69" i="3"/>
  <c r="F64" i="3"/>
  <c r="E64" i="3"/>
  <c r="C63" i="3"/>
  <c r="D63" i="3"/>
  <c r="C48" i="3"/>
  <c r="D48" i="3"/>
  <c r="E47" i="3"/>
  <c r="F47" i="3"/>
  <c r="F46" i="3"/>
  <c r="E46" i="3"/>
  <c r="C45" i="3"/>
  <c r="D45" i="3"/>
  <c r="E44" i="3"/>
  <c r="F44" i="3"/>
  <c r="F43" i="3"/>
  <c r="E43" i="3"/>
  <c r="C42" i="3"/>
  <c r="D42" i="3"/>
  <c r="F38" i="3"/>
  <c r="E38" i="3"/>
  <c r="C37" i="3"/>
  <c r="D37" i="3"/>
  <c r="E36" i="3"/>
  <c r="F36" i="3"/>
  <c r="F35" i="3"/>
  <c r="E35" i="3"/>
  <c r="C34" i="3"/>
  <c r="D34" i="3"/>
  <c r="E33" i="3"/>
  <c r="F33" i="3"/>
  <c r="F32" i="3"/>
  <c r="E32" i="3"/>
  <c r="C31" i="3"/>
  <c r="D31" i="3"/>
  <c r="E29" i="3"/>
  <c r="F29" i="3"/>
  <c r="E30" i="3"/>
  <c r="F30" i="3"/>
  <c r="F28" i="3"/>
  <c r="E28" i="3"/>
  <c r="C27" i="3"/>
  <c r="D27" i="3"/>
  <c r="E25" i="3"/>
  <c r="F25" i="3"/>
  <c r="E26" i="3"/>
  <c r="F26" i="3"/>
  <c r="F24" i="3"/>
  <c r="E24" i="3"/>
  <c r="C23" i="3"/>
  <c r="D23" i="3"/>
  <c r="F20" i="3"/>
  <c r="E20" i="3"/>
  <c r="C19" i="3"/>
  <c r="D19" i="3"/>
  <c r="C15" i="3"/>
  <c r="D15" i="3"/>
  <c r="E12" i="3"/>
  <c r="C11" i="3"/>
  <c r="D11" i="3"/>
  <c r="E10" i="3"/>
  <c r="F10" i="3"/>
  <c r="F9" i="3"/>
  <c r="E9" i="3"/>
  <c r="C8" i="3"/>
  <c r="D8" i="3"/>
  <c r="E7" i="3"/>
  <c r="F7" i="3"/>
  <c r="F6" i="3"/>
  <c r="E6" i="3"/>
  <c r="C5" i="3"/>
  <c r="D5" i="3"/>
  <c r="N257" i="1"/>
  <c r="G257" i="1"/>
  <c r="G255" i="1"/>
  <c r="G254" i="1"/>
  <c r="I137" i="1" l="1"/>
  <c r="I125" i="1"/>
  <c r="C17" i="2"/>
  <c r="C18" i="2"/>
  <c r="C19" i="2"/>
  <c r="C123" i="3" s="1"/>
  <c r="C20" i="2"/>
  <c r="C124" i="3" s="1"/>
  <c r="C21" i="2"/>
  <c r="C125" i="3" s="1"/>
  <c r="C22" i="2"/>
  <c r="C126" i="3" s="1"/>
  <c r="B22" i="2"/>
  <c r="D126" i="3" s="1"/>
  <c r="B21" i="2"/>
  <c r="D125" i="3" s="1"/>
  <c r="B20" i="2"/>
  <c r="D124" i="3" s="1"/>
  <c r="B19" i="2"/>
  <c r="D123" i="3" s="1"/>
  <c r="B18" i="2"/>
  <c r="B17" i="2"/>
  <c r="C121" i="3" l="1"/>
  <c r="C144" i="3"/>
  <c r="C149" i="3"/>
  <c r="C148" i="3"/>
  <c r="C147" i="3"/>
  <c r="C146" i="3"/>
  <c r="C122" i="3"/>
  <c r="C145" i="3"/>
  <c r="D149" i="3"/>
  <c r="D148" i="3"/>
  <c r="D147" i="3"/>
  <c r="D146" i="3"/>
  <c r="D122" i="3"/>
  <c r="D145" i="3"/>
  <c r="D144" i="3"/>
  <c r="D121" i="3"/>
  <c r="M189" i="1"/>
  <c r="M177" i="1"/>
  <c r="M165" i="1"/>
  <c r="M153" i="1"/>
  <c r="M139" i="1"/>
  <c r="N139" i="1" s="1"/>
  <c r="I163" i="1"/>
  <c r="G163" i="1"/>
  <c r="F12" i="3"/>
  <c r="G193" i="1"/>
  <c r="I192" i="1"/>
  <c r="M192" i="1" s="1"/>
  <c r="I191" i="1"/>
  <c r="M191" i="1" s="1"/>
  <c r="N191" i="1" s="1"/>
  <c r="I190" i="1"/>
  <c r="M190" i="1" s="1"/>
  <c r="N190" i="1" s="1"/>
  <c r="I187" i="1"/>
  <c r="G187" i="1"/>
  <c r="I186" i="1"/>
  <c r="G186" i="1"/>
  <c r="G181" i="1"/>
  <c r="I180" i="1"/>
  <c r="M180" i="1" s="1"/>
  <c r="I179" i="1"/>
  <c r="M179" i="1" s="1"/>
  <c r="N179" i="1" s="1"/>
  <c r="I178" i="1"/>
  <c r="M178" i="1" s="1"/>
  <c r="N178" i="1" s="1"/>
  <c r="I175" i="1"/>
  <c r="G175" i="1"/>
  <c r="I174" i="1"/>
  <c r="G174" i="1"/>
  <c r="G169" i="1"/>
  <c r="I168" i="1"/>
  <c r="M168" i="1" s="1"/>
  <c r="I167" i="1"/>
  <c r="M167" i="1" s="1"/>
  <c r="N167" i="1" s="1"/>
  <c r="I166" i="1"/>
  <c r="M166" i="1" s="1"/>
  <c r="N166" i="1" s="1"/>
  <c r="I162" i="1"/>
  <c r="G162" i="1"/>
  <c r="G157" i="1"/>
  <c r="I156" i="1"/>
  <c r="M156" i="1" s="1"/>
  <c r="I155" i="1"/>
  <c r="M155" i="1" s="1"/>
  <c r="N155" i="1" s="1"/>
  <c r="I154" i="1"/>
  <c r="M154" i="1" s="1"/>
  <c r="N154" i="1" s="1"/>
  <c r="I151" i="1"/>
  <c r="G151" i="1"/>
  <c r="I150" i="1"/>
  <c r="G150" i="1"/>
  <c r="I148" i="1"/>
  <c r="G148" i="1"/>
  <c r="G143" i="1"/>
  <c r="I142" i="1"/>
  <c r="M142" i="1" s="1"/>
  <c r="I141" i="1"/>
  <c r="M141" i="1" s="1"/>
  <c r="N141" i="1" s="1"/>
  <c r="I140" i="1"/>
  <c r="M140" i="1" s="1"/>
  <c r="N140" i="1" s="1"/>
  <c r="G137" i="1"/>
  <c r="I136" i="1"/>
  <c r="G136" i="1"/>
  <c r="H29" i="2"/>
  <c r="I254" i="1" l="1"/>
  <c r="G138" i="1"/>
  <c r="D18" i="2" s="1"/>
  <c r="I164" i="1"/>
  <c r="G164" i="1"/>
  <c r="G188" i="1"/>
  <c r="G152" i="1"/>
  <c r="G176" i="1"/>
  <c r="I143" i="1"/>
  <c r="N189" i="1"/>
  <c r="M193" i="1"/>
  <c r="I138" i="1"/>
  <c r="N165" i="1"/>
  <c r="M169" i="1"/>
  <c r="I181" i="1"/>
  <c r="I188" i="1"/>
  <c r="M143" i="1"/>
  <c r="N153" i="1"/>
  <c r="M157" i="1"/>
  <c r="I152" i="1"/>
  <c r="J149" i="1" s="1"/>
  <c r="N177" i="1"/>
  <c r="M181" i="1"/>
  <c r="I193" i="1"/>
  <c r="I157" i="1"/>
  <c r="I169" i="1"/>
  <c r="I176" i="1"/>
  <c r="A1" i="3"/>
  <c r="G194" i="1" l="1"/>
  <c r="G195" i="1" s="1"/>
  <c r="D22" i="2"/>
  <c r="G170" i="1"/>
  <c r="G171" i="1" s="1"/>
  <c r="D20" i="2"/>
  <c r="J148" i="1"/>
  <c r="E19" i="2"/>
  <c r="G182" i="1"/>
  <c r="G183" i="1" s="1"/>
  <c r="D21" i="2"/>
  <c r="E20" i="2"/>
  <c r="J175" i="1"/>
  <c r="E21" i="2"/>
  <c r="G158" i="1"/>
  <c r="G159" i="1" s="1"/>
  <c r="D19" i="2"/>
  <c r="G144" i="1"/>
  <c r="G145" i="1" s="1"/>
  <c r="E18" i="2"/>
  <c r="J186" i="1"/>
  <c r="E22" i="2"/>
  <c r="J163" i="1"/>
  <c r="J162" i="1"/>
  <c r="I170" i="1"/>
  <c r="I171" i="1" s="1"/>
  <c r="I144" i="1"/>
  <c r="I145" i="1" s="1"/>
  <c r="J174" i="1"/>
  <c r="N193" i="1"/>
  <c r="O193" i="1" s="1"/>
  <c r="J150" i="1"/>
  <c r="N143" i="1"/>
  <c r="J151" i="1"/>
  <c r="N169" i="1"/>
  <c r="O169" i="1" s="1"/>
  <c r="J187" i="1"/>
  <c r="I158" i="1"/>
  <c r="I159" i="1" s="1"/>
  <c r="I182" i="1"/>
  <c r="I183" i="1" s="1"/>
  <c r="J137" i="1"/>
  <c r="N181" i="1"/>
  <c r="O181" i="1" s="1"/>
  <c r="N157" i="1"/>
  <c r="O157" i="1" s="1"/>
  <c r="J136" i="1"/>
  <c r="I194" i="1"/>
  <c r="I195" i="1" s="1"/>
  <c r="L39" i="2"/>
  <c r="G131" i="1"/>
  <c r="I130" i="1"/>
  <c r="M130" i="1" s="1"/>
  <c r="I129" i="1"/>
  <c r="M129" i="1" s="1"/>
  <c r="N129" i="1" s="1"/>
  <c r="I128" i="1"/>
  <c r="M128" i="1" s="1"/>
  <c r="N128" i="1" s="1"/>
  <c r="M127" i="1"/>
  <c r="G125" i="1"/>
  <c r="I124" i="1"/>
  <c r="G124" i="1"/>
  <c r="G19" i="2" l="1"/>
  <c r="G22" i="2"/>
  <c r="G21" i="2"/>
  <c r="G20" i="2"/>
  <c r="G18" i="2"/>
  <c r="J176" i="1"/>
  <c r="J164" i="1"/>
  <c r="J188" i="1"/>
  <c r="J138" i="1"/>
  <c r="J152" i="1"/>
  <c r="G126" i="1"/>
  <c r="D17" i="2" s="1"/>
  <c r="I126" i="1"/>
  <c r="N127" i="1"/>
  <c r="M131" i="1"/>
  <c r="I131" i="1"/>
  <c r="E17" i="2" l="1"/>
  <c r="G132" i="1"/>
  <c r="G133" i="1" s="1"/>
  <c r="J125" i="1"/>
  <c r="J124" i="1"/>
  <c r="I132" i="1"/>
  <c r="I133" i="1" s="1"/>
  <c r="N131" i="1"/>
  <c r="O131" i="1" s="1"/>
  <c r="G17" i="2" l="1"/>
  <c r="J126" i="1"/>
  <c r="G91" i="1" l="1"/>
  <c r="G256" i="1" s="1"/>
  <c r="C13" i="2" l="1"/>
  <c r="B13" i="2"/>
  <c r="C11" i="2"/>
  <c r="I112" i="1"/>
  <c r="G112" i="1"/>
  <c r="I87" i="1"/>
  <c r="G87" i="1"/>
  <c r="I74" i="1"/>
  <c r="G74" i="1"/>
  <c r="C140" i="3" l="1"/>
  <c r="C117" i="3"/>
  <c r="C138" i="3"/>
  <c r="C115" i="3"/>
  <c r="D140" i="3"/>
  <c r="D117" i="3"/>
  <c r="I61" i="1"/>
  <c r="G61" i="1"/>
  <c r="I23" i="1"/>
  <c r="G23" i="1"/>
  <c r="G80" i="1" l="1"/>
  <c r="I79" i="1"/>
  <c r="M79" i="1" s="1"/>
  <c r="I78" i="1"/>
  <c r="M78" i="1" s="1"/>
  <c r="N78" i="1" s="1"/>
  <c r="I77" i="1"/>
  <c r="M77" i="1" s="1"/>
  <c r="N77" i="1" s="1"/>
  <c r="M76" i="1"/>
  <c r="I72" i="1"/>
  <c r="G72" i="1"/>
  <c r="I48" i="1"/>
  <c r="G48" i="1"/>
  <c r="I35" i="1"/>
  <c r="G35" i="1"/>
  <c r="I75" i="1" l="1"/>
  <c r="J73" i="1" s="1"/>
  <c r="G75" i="1"/>
  <c r="N76" i="1"/>
  <c r="M80" i="1"/>
  <c r="I80" i="1"/>
  <c r="G81" i="1" l="1"/>
  <c r="G82" i="1" s="1"/>
  <c r="D13" i="2"/>
  <c r="E13" i="2"/>
  <c r="J74" i="1"/>
  <c r="I81" i="1"/>
  <c r="I82" i="1" s="1"/>
  <c r="J72" i="1"/>
  <c r="N80" i="1"/>
  <c r="O80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21" i="1"/>
  <c r="G13" i="2"/>
  <c r="J75" i="1"/>
  <c r="I66" i="1"/>
  <c r="M66" i="1" s="1"/>
  <c r="I65" i="1"/>
  <c r="M65" i="1" s="1"/>
  <c r="I64" i="1"/>
  <c r="M64" i="1" s="1"/>
  <c r="I118" i="1"/>
  <c r="M118" i="1" s="1"/>
  <c r="I116" i="1"/>
  <c r="M116" i="1" s="1"/>
  <c r="I105" i="1"/>
  <c r="M105" i="1" s="1"/>
  <c r="I104" i="1"/>
  <c r="I103" i="1"/>
  <c r="I92" i="1"/>
  <c r="M92" i="1" s="1"/>
  <c r="I91" i="1"/>
  <c r="I90" i="1"/>
  <c r="M90" i="1" s="1"/>
  <c r="I53" i="1"/>
  <c r="M53" i="1" s="1"/>
  <c r="I52" i="1"/>
  <c r="M52" i="1" s="1"/>
  <c r="I51" i="1"/>
  <c r="M51" i="1" s="1"/>
  <c r="I40" i="1"/>
  <c r="M40" i="1" s="1"/>
  <c r="I38" i="1"/>
  <c r="M28" i="1"/>
  <c r="I27" i="1"/>
  <c r="M27" i="1" s="1"/>
  <c r="M26" i="1"/>
  <c r="I14" i="1"/>
  <c r="I13" i="1"/>
  <c r="I12" i="1"/>
  <c r="B35" i="2"/>
  <c r="A22" i="1" l="1"/>
  <c r="I257" i="1"/>
  <c r="E35" i="2" s="1"/>
  <c r="I255" i="1"/>
  <c r="M13" i="1"/>
  <c r="M12" i="1"/>
  <c r="M104" i="1"/>
  <c r="M14" i="1"/>
  <c r="M257" i="1" s="1"/>
  <c r="M103" i="1"/>
  <c r="M91" i="1"/>
  <c r="I29" i="1"/>
  <c r="I54" i="1"/>
  <c r="M38" i="1"/>
  <c r="G41" i="1"/>
  <c r="G119" i="1"/>
  <c r="I39" i="1"/>
  <c r="M39" i="1" s="1"/>
  <c r="I117" i="1"/>
  <c r="G15" i="1"/>
  <c r="G67" i="1"/>
  <c r="D35" i="2"/>
  <c r="G106" i="1"/>
  <c r="G93" i="1"/>
  <c r="G54" i="1"/>
  <c r="G29" i="1"/>
  <c r="I256" i="1" l="1"/>
  <c r="I258" i="1" s="1"/>
  <c r="J35" i="2"/>
  <c r="I106" i="1"/>
  <c r="I15" i="1"/>
  <c r="I67" i="1"/>
  <c r="I93" i="1"/>
  <c r="I119" i="1"/>
  <c r="M117" i="1"/>
  <c r="I41" i="1"/>
  <c r="I242" i="1"/>
  <c r="G242" i="1"/>
  <c r="I241" i="1"/>
  <c r="G241" i="1"/>
  <c r="I240" i="1"/>
  <c r="G240" i="1"/>
  <c r="I239" i="1"/>
  <c r="G239" i="1"/>
  <c r="I238" i="1"/>
  <c r="G238" i="1"/>
  <c r="E34" i="2" l="1"/>
  <c r="E33" i="2"/>
  <c r="D34" i="2"/>
  <c r="D33" i="2"/>
  <c r="C10" i="2"/>
  <c r="C14" i="2"/>
  <c r="C15" i="2"/>
  <c r="C16" i="2"/>
  <c r="C12" i="2"/>
  <c r="C26" i="2"/>
  <c r="B26" i="2"/>
  <c r="D130" i="3" s="1"/>
  <c r="B12" i="2"/>
  <c r="B16" i="2"/>
  <c r="B15" i="2"/>
  <c r="B14" i="2"/>
  <c r="B11" i="2"/>
  <c r="B10" i="2"/>
  <c r="C9" i="2"/>
  <c r="C8" i="2"/>
  <c r="B9" i="2"/>
  <c r="B8" i="2"/>
  <c r="I100" i="1"/>
  <c r="G100" i="1"/>
  <c r="N91" i="1"/>
  <c r="N90" i="1"/>
  <c r="M89" i="1"/>
  <c r="N52" i="1"/>
  <c r="N51" i="1"/>
  <c r="M50" i="1"/>
  <c r="I46" i="1"/>
  <c r="G46" i="1"/>
  <c r="N27" i="1"/>
  <c r="N26" i="1"/>
  <c r="M25" i="1"/>
  <c r="I20" i="1"/>
  <c r="G20" i="1"/>
  <c r="N38" i="1"/>
  <c r="M37" i="1"/>
  <c r="I34" i="1"/>
  <c r="G34" i="1"/>
  <c r="N104" i="1"/>
  <c r="N103" i="1"/>
  <c r="M102" i="1"/>
  <c r="I99" i="1"/>
  <c r="G99" i="1"/>
  <c r="I98" i="1"/>
  <c r="G98" i="1"/>
  <c r="N117" i="1"/>
  <c r="N116" i="1"/>
  <c r="M115" i="1"/>
  <c r="I113" i="1"/>
  <c r="G113" i="1"/>
  <c r="I111" i="1"/>
  <c r="G111" i="1"/>
  <c r="N65" i="1"/>
  <c r="N64" i="1"/>
  <c r="M63" i="1"/>
  <c r="I59" i="1"/>
  <c r="G59" i="1"/>
  <c r="G62" i="1" s="1"/>
  <c r="C130" i="3" l="1"/>
  <c r="C120" i="3"/>
  <c r="C143" i="3"/>
  <c r="C113" i="3"/>
  <c r="C136" i="3"/>
  <c r="C137" i="3"/>
  <c r="C114" i="3"/>
  <c r="D137" i="3"/>
  <c r="D114" i="3"/>
  <c r="C119" i="3"/>
  <c r="C142" i="3"/>
  <c r="C118" i="3"/>
  <c r="C141" i="3"/>
  <c r="C139" i="3"/>
  <c r="C116" i="3"/>
  <c r="D143" i="3"/>
  <c r="D120" i="3"/>
  <c r="D119" i="3"/>
  <c r="D142" i="3"/>
  <c r="D139" i="3"/>
  <c r="D116" i="3"/>
  <c r="D141" i="3"/>
  <c r="D118" i="3"/>
  <c r="D138" i="3"/>
  <c r="D115" i="3"/>
  <c r="D113" i="3"/>
  <c r="D136" i="3"/>
  <c r="N25" i="1"/>
  <c r="M29" i="1"/>
  <c r="N63" i="1"/>
  <c r="M67" i="1"/>
  <c r="N115" i="1"/>
  <c r="M119" i="1"/>
  <c r="N102" i="1"/>
  <c r="M106" i="1"/>
  <c r="N89" i="1"/>
  <c r="M93" i="1"/>
  <c r="N50" i="1"/>
  <c r="M54" i="1"/>
  <c r="N37" i="1"/>
  <c r="M41" i="1"/>
  <c r="N41" i="1" s="1"/>
  <c r="O41" i="1" s="1"/>
  <c r="G258" i="1"/>
  <c r="E32" i="2"/>
  <c r="E36" i="2" s="1"/>
  <c r="G49" i="1"/>
  <c r="D11" i="2" s="1"/>
  <c r="D32" i="2"/>
  <c r="D36" i="2" s="1"/>
  <c r="G24" i="1"/>
  <c r="D9" i="2" s="1"/>
  <c r="G88" i="1"/>
  <c r="I88" i="1"/>
  <c r="I49" i="1"/>
  <c r="J47" i="1" s="1"/>
  <c r="I24" i="1"/>
  <c r="G36" i="1"/>
  <c r="N39" i="1"/>
  <c r="I36" i="1"/>
  <c r="G101" i="1"/>
  <c r="I62" i="1"/>
  <c r="J60" i="1" s="1"/>
  <c r="G114" i="1"/>
  <c r="D16" i="2" s="1"/>
  <c r="I101" i="1"/>
  <c r="J98" i="1" s="1"/>
  <c r="I114" i="1"/>
  <c r="G237" i="1"/>
  <c r="I237" i="1"/>
  <c r="G248" i="1"/>
  <c r="M246" i="1"/>
  <c r="M256" i="1" s="1"/>
  <c r="M245" i="1"/>
  <c r="M255" i="1" s="1"/>
  <c r="M244" i="1"/>
  <c r="B33" i="2"/>
  <c r="B34" i="2"/>
  <c r="B32" i="2"/>
  <c r="M11" i="1"/>
  <c r="I9" i="1"/>
  <c r="I8" i="1"/>
  <c r="G9" i="1"/>
  <c r="G8" i="1"/>
  <c r="A2" i="1"/>
  <c r="A1" i="1"/>
  <c r="A8" i="2"/>
  <c r="A9" i="2" s="1"/>
  <c r="A10" i="2" s="1"/>
  <c r="A11" i="2" s="1"/>
  <c r="A12" i="2" s="1"/>
  <c r="A13" i="2" s="1"/>
  <c r="A14" i="2" s="1"/>
  <c r="A15" i="2" s="1"/>
  <c r="J85" i="1" l="1"/>
  <c r="J87" i="1"/>
  <c r="J86" i="1"/>
  <c r="M254" i="1"/>
  <c r="M258" i="1" s="1"/>
  <c r="J99" i="1"/>
  <c r="M15" i="1"/>
  <c r="J100" i="1"/>
  <c r="N244" i="1"/>
  <c r="A16" i="2"/>
  <c r="A17" i="2" s="1"/>
  <c r="A18" i="2" s="1"/>
  <c r="A19" i="2" s="1"/>
  <c r="A20" i="2" s="1"/>
  <c r="A21" i="2" s="1"/>
  <c r="A22" i="2" s="1"/>
  <c r="J112" i="1"/>
  <c r="E11" i="2"/>
  <c r="J48" i="1"/>
  <c r="N245" i="1"/>
  <c r="J113" i="1"/>
  <c r="N246" i="1"/>
  <c r="J34" i="2"/>
  <c r="J35" i="1"/>
  <c r="J61" i="1"/>
  <c r="J46" i="1"/>
  <c r="J111" i="1"/>
  <c r="J34" i="1"/>
  <c r="J59" i="1"/>
  <c r="G55" i="1"/>
  <c r="G56" i="1" s="1"/>
  <c r="G30" i="1"/>
  <c r="G31" i="1" s="1"/>
  <c r="N12" i="1"/>
  <c r="J33" i="2"/>
  <c r="N13" i="1"/>
  <c r="G94" i="1"/>
  <c r="G95" i="1" s="1"/>
  <c r="D14" i="2"/>
  <c r="G42" i="1"/>
  <c r="G43" i="1" s="1"/>
  <c r="D10" i="2"/>
  <c r="I55" i="1"/>
  <c r="I56" i="1" s="1"/>
  <c r="G68" i="1"/>
  <c r="G69" i="1" s="1"/>
  <c r="D12" i="2"/>
  <c r="I68" i="1"/>
  <c r="I69" i="1" s="1"/>
  <c r="E12" i="2"/>
  <c r="I42" i="1"/>
  <c r="I43" i="1" s="1"/>
  <c r="E10" i="2"/>
  <c r="I107" i="1"/>
  <c r="I108" i="1" s="1"/>
  <c r="E15" i="2"/>
  <c r="I120" i="1"/>
  <c r="I121" i="1" s="1"/>
  <c r="E16" i="2"/>
  <c r="G120" i="1"/>
  <c r="G121" i="1" s="1"/>
  <c r="G107" i="1"/>
  <c r="G108" i="1" s="1"/>
  <c r="D15" i="2"/>
  <c r="I30" i="1"/>
  <c r="I31" i="1" s="1"/>
  <c r="E9" i="2"/>
  <c r="I94" i="1"/>
  <c r="I95" i="1" s="1"/>
  <c r="E14" i="2"/>
  <c r="N54" i="1"/>
  <c r="O54" i="1" s="1"/>
  <c r="N93" i="1"/>
  <c r="O93" i="1" s="1"/>
  <c r="N29" i="1"/>
  <c r="O29" i="1" s="1"/>
  <c r="N106" i="1"/>
  <c r="O106" i="1" s="1"/>
  <c r="N119" i="1"/>
  <c r="O119" i="1" s="1"/>
  <c r="N67" i="1"/>
  <c r="O67" i="1" s="1"/>
  <c r="G10" i="1"/>
  <c r="I10" i="1"/>
  <c r="I248" i="1"/>
  <c r="I243" i="1"/>
  <c r="E26" i="2" s="1"/>
  <c r="G243" i="1"/>
  <c r="D26" i="2" s="1"/>
  <c r="N11" i="1"/>
  <c r="N254" i="1" l="1"/>
  <c r="A23" i="2"/>
  <c r="A24" i="2" s="1"/>
  <c r="N255" i="1"/>
  <c r="N256" i="1"/>
  <c r="I253" i="1"/>
  <c r="I259" i="1" s="1"/>
  <c r="G253" i="1"/>
  <c r="G259" i="1" s="1"/>
  <c r="G12" i="2"/>
  <c r="G14" i="2"/>
  <c r="G16" i="2"/>
  <c r="G11" i="2"/>
  <c r="G15" i="2"/>
  <c r="G9" i="2"/>
  <c r="G10" i="2"/>
  <c r="J62" i="1"/>
  <c r="J114" i="1"/>
  <c r="J49" i="1"/>
  <c r="J32" i="2"/>
  <c r="J36" i="2" s="1"/>
  <c r="J36" i="1"/>
  <c r="J24" i="1"/>
  <c r="J101" i="1"/>
  <c r="J242" i="1"/>
  <c r="J241" i="1"/>
  <c r="J239" i="1"/>
  <c r="J240" i="1"/>
  <c r="J238" i="1"/>
  <c r="J9" i="1"/>
  <c r="J8" i="1"/>
  <c r="J88" i="1"/>
  <c r="G249" i="1"/>
  <c r="E8" i="2"/>
  <c r="G16" i="1"/>
  <c r="D8" i="2"/>
  <c r="J237" i="1"/>
  <c r="I249" i="1"/>
  <c r="M248" i="1"/>
  <c r="I16" i="1"/>
  <c r="I17" i="1" s="1"/>
  <c r="N15" i="1"/>
  <c r="N258" i="1" l="1"/>
  <c r="G26" i="2"/>
  <c r="G8" i="2"/>
  <c r="D27" i="2"/>
  <c r="D29" i="2" s="1"/>
  <c r="D38" i="2" s="1"/>
  <c r="E27" i="2"/>
  <c r="G17" i="1"/>
  <c r="J243" i="1"/>
  <c r="N248" i="1"/>
  <c r="O248" i="1" s="1"/>
  <c r="J10" i="1"/>
  <c r="F24" i="2" l="1"/>
  <c r="F25" i="2"/>
  <c r="F23" i="2"/>
  <c r="F26" i="2"/>
  <c r="G27" i="2"/>
  <c r="E29" i="2"/>
  <c r="F19" i="2"/>
  <c r="F18" i="2"/>
  <c r="F22" i="2"/>
  <c r="F17" i="2"/>
  <c r="F21" i="2"/>
  <c r="F20" i="2"/>
  <c r="F13" i="2"/>
  <c r="F8" i="2"/>
  <c r="F11" i="2"/>
  <c r="F9" i="2"/>
  <c r="F27" i="2"/>
  <c r="F29" i="2" s="1"/>
  <c r="F10" i="2"/>
  <c r="F16" i="2"/>
  <c r="F12" i="2"/>
  <c r="F15" i="2"/>
  <c r="F14" i="2"/>
  <c r="H24" i="2" l="1"/>
  <c r="I24" i="2" s="1"/>
  <c r="H25" i="2"/>
  <c r="I25" i="2" s="1"/>
  <c r="H19" i="2"/>
  <c r="I19" i="2" s="1"/>
  <c r="K152" i="1" s="1"/>
  <c r="H23" i="2"/>
  <c r="I23" i="2" s="1"/>
  <c r="K200" i="1" s="1"/>
  <c r="H8" i="2"/>
  <c r="I8" i="2" s="1"/>
  <c r="K10" i="1" s="1"/>
  <c r="H20" i="2"/>
  <c r="I20" i="2" s="1"/>
  <c r="K164" i="1" s="1"/>
  <c r="H9" i="2"/>
  <c r="I9" i="2" s="1"/>
  <c r="K24" i="1" s="1"/>
  <c r="H21" i="2"/>
  <c r="I21" i="2" s="1"/>
  <c r="H10" i="2"/>
  <c r="I10" i="2" s="1"/>
  <c r="K36" i="1" s="1"/>
  <c r="H11" i="2"/>
  <c r="I11" i="2" s="1"/>
  <c r="K49" i="1" s="1"/>
  <c r="H17" i="2"/>
  <c r="I17" i="2" s="1"/>
  <c r="K126" i="1" s="1"/>
  <c r="S126" i="1" s="1"/>
  <c r="L125" i="1" s="1"/>
  <c r="H26" i="2"/>
  <c r="I26" i="2" s="1"/>
  <c r="K243" i="1" s="1"/>
  <c r="H12" i="2"/>
  <c r="I12" i="2" s="1"/>
  <c r="K62" i="1" s="1"/>
  <c r="H16" i="2"/>
  <c r="I16" i="2" s="1"/>
  <c r="K114" i="1" s="1"/>
  <c r="G29" i="2"/>
  <c r="H15" i="2"/>
  <c r="I15" i="2" s="1"/>
  <c r="K101" i="1" s="1"/>
  <c r="H18" i="2"/>
  <c r="I18" i="2" s="1"/>
  <c r="K138" i="1" s="1"/>
  <c r="H13" i="2"/>
  <c r="I13" i="2" s="1"/>
  <c r="K75" i="1" s="1"/>
  <c r="H22" i="2"/>
  <c r="I22" i="2" s="1"/>
  <c r="K188" i="1" s="1"/>
  <c r="H14" i="2"/>
  <c r="I14" i="2" s="1"/>
  <c r="K88" i="1" s="1"/>
  <c r="E38" i="2"/>
  <c r="L175" i="1" l="1"/>
  <c r="L199" i="1"/>
  <c r="S200" i="1"/>
  <c r="K227" i="1"/>
  <c r="K213" i="1"/>
  <c r="S88" i="1"/>
  <c r="S138" i="1"/>
  <c r="L137" i="1" s="1"/>
  <c r="S188" i="1"/>
  <c r="S243" i="1"/>
  <c r="S36" i="1"/>
  <c r="K176" i="1"/>
  <c r="S10" i="1"/>
  <c r="S114" i="1"/>
  <c r="L112" i="1" s="1"/>
  <c r="S62" i="1"/>
  <c r="L60" i="1" s="1"/>
  <c r="G17" i="3" s="1"/>
  <c r="J17" i="3" s="1"/>
  <c r="S101" i="1"/>
  <c r="S164" i="1"/>
  <c r="S49" i="1"/>
  <c r="S75" i="1"/>
  <c r="L73" i="1" s="1"/>
  <c r="G21" i="3" s="1"/>
  <c r="J21" i="3" s="1"/>
  <c r="S152" i="1"/>
  <c r="L124" i="1"/>
  <c r="L198" i="1" s="1"/>
  <c r="I27" i="2"/>
  <c r="I29" i="2" s="1"/>
  <c r="G32" i="3" l="1"/>
  <c r="J32" i="3" s="1"/>
  <c r="L174" i="1"/>
  <c r="L151" i="1"/>
  <c r="G41" i="3" s="1"/>
  <c r="J41" i="3" s="1"/>
  <c r="L149" i="1"/>
  <c r="G39" i="3" s="1"/>
  <c r="J39" i="3" s="1"/>
  <c r="L150" i="1"/>
  <c r="G40" i="3" s="1"/>
  <c r="J40" i="3" s="1"/>
  <c r="S213" i="1"/>
  <c r="S227" i="1"/>
  <c r="T73" i="1"/>
  <c r="M73" i="1"/>
  <c r="N73" i="1" s="1"/>
  <c r="O73" i="1" s="1"/>
  <c r="T60" i="1"/>
  <c r="M60" i="1"/>
  <c r="N60" i="1" s="1"/>
  <c r="O60" i="1" s="1"/>
  <c r="L48" i="1"/>
  <c r="L87" i="1" s="1"/>
  <c r="L46" i="1"/>
  <c r="L85" i="1" s="1"/>
  <c r="L47" i="1"/>
  <c r="L86" i="1" s="1"/>
  <c r="L72" i="1"/>
  <c r="G20" i="3" s="1"/>
  <c r="J20" i="3" s="1"/>
  <c r="L74" i="1"/>
  <c r="G22" i="3" s="1"/>
  <c r="J22" i="3" s="1"/>
  <c r="L61" i="1"/>
  <c r="L113" i="1"/>
  <c r="G30" i="3" s="1"/>
  <c r="J30" i="3" s="1"/>
  <c r="L34" i="1"/>
  <c r="L35" i="1"/>
  <c r="L9" i="1"/>
  <c r="L100" i="1"/>
  <c r="G26" i="3" s="1"/>
  <c r="J26" i="3" s="1"/>
  <c r="L99" i="1"/>
  <c r="G25" i="3" s="1"/>
  <c r="J25" i="3" s="1"/>
  <c r="L136" i="1"/>
  <c r="G35" i="3" s="1"/>
  <c r="J35" i="3" s="1"/>
  <c r="G29" i="3"/>
  <c r="J29" i="3" s="1"/>
  <c r="L111" i="1"/>
  <c r="G28" i="3" s="1"/>
  <c r="J28" i="3" s="1"/>
  <c r="L242" i="1"/>
  <c r="G69" i="3" s="1"/>
  <c r="J69" i="3" s="1"/>
  <c r="L8" i="1"/>
  <c r="L241" i="1"/>
  <c r="G68" i="3" s="1"/>
  <c r="J68" i="3" s="1"/>
  <c r="L240" i="1"/>
  <c r="G67" i="3" s="1"/>
  <c r="J67" i="3" s="1"/>
  <c r="L237" i="1"/>
  <c r="G64" i="3" s="1"/>
  <c r="J64" i="3" s="1"/>
  <c r="L238" i="1"/>
  <c r="G65" i="3" s="1"/>
  <c r="J65" i="3" s="1"/>
  <c r="L239" i="1"/>
  <c r="G66" i="3" s="1"/>
  <c r="J66" i="3" s="1"/>
  <c r="L59" i="1"/>
  <c r="L98" i="1"/>
  <c r="G24" i="3" s="1"/>
  <c r="J24" i="3" s="1"/>
  <c r="S176" i="1"/>
  <c r="T125" i="1"/>
  <c r="G33" i="3"/>
  <c r="J33" i="3" s="1"/>
  <c r="M137" i="1"/>
  <c r="G36" i="3"/>
  <c r="J36" i="3" s="1"/>
  <c r="L148" i="1"/>
  <c r="T124" i="1"/>
  <c r="M124" i="1"/>
  <c r="N124" i="1" s="1"/>
  <c r="M125" i="1"/>
  <c r="N125" i="1" s="1"/>
  <c r="O125" i="1" s="1"/>
  <c r="T137" i="1"/>
  <c r="G14" i="3" l="1"/>
  <c r="J14" i="3" s="1"/>
  <c r="G13" i="3"/>
  <c r="J13" i="3" s="1"/>
  <c r="G18" i="3"/>
  <c r="J18" i="3" s="1"/>
  <c r="M85" i="1"/>
  <c r="N85" i="1" s="1"/>
  <c r="O85" i="1" s="1"/>
  <c r="M59" i="1"/>
  <c r="N59" i="1" s="1"/>
  <c r="O59" i="1" s="1"/>
  <c r="G16" i="3"/>
  <c r="J16" i="3" s="1"/>
  <c r="M149" i="1"/>
  <c r="T149" i="1"/>
  <c r="L226" i="1"/>
  <c r="G62" i="3" s="1"/>
  <c r="J62" i="3" s="1"/>
  <c r="L225" i="1"/>
  <c r="G61" i="3" s="1"/>
  <c r="J61" i="3" s="1"/>
  <c r="L224" i="1"/>
  <c r="G60" i="3" s="1"/>
  <c r="J60" i="3" s="1"/>
  <c r="L223" i="1"/>
  <c r="G59" i="3" s="1"/>
  <c r="J59" i="3" s="1"/>
  <c r="L211" i="1"/>
  <c r="G56" i="3" s="1"/>
  <c r="J56" i="3" s="1"/>
  <c r="L210" i="1"/>
  <c r="G55" i="3" s="1"/>
  <c r="J55" i="3" s="1"/>
  <c r="L212" i="1"/>
  <c r="G57" i="3" s="1"/>
  <c r="J57" i="3" s="1"/>
  <c r="G9" i="3"/>
  <c r="J9" i="3" s="1"/>
  <c r="G52" i="3"/>
  <c r="J52" i="3" s="1"/>
  <c r="G10" i="3"/>
  <c r="J10" i="3" s="1"/>
  <c r="G53" i="3"/>
  <c r="J53" i="3" s="1"/>
  <c r="L186" i="1"/>
  <c r="L162" i="1"/>
  <c r="G43" i="3" s="1"/>
  <c r="J43" i="3" s="1"/>
  <c r="G7" i="3"/>
  <c r="J7" i="3" s="1"/>
  <c r="L163" i="1"/>
  <c r="G44" i="3" s="1"/>
  <c r="J44" i="3" s="1"/>
  <c r="L187" i="1"/>
  <c r="M86" i="1"/>
  <c r="T86" i="1"/>
  <c r="M113" i="1"/>
  <c r="N113" i="1" s="1"/>
  <c r="O113" i="1" s="1"/>
  <c r="T61" i="1"/>
  <c r="G6" i="3"/>
  <c r="J6" i="3" s="1"/>
  <c r="M34" i="1"/>
  <c r="N34" i="1" s="1"/>
  <c r="O34" i="1" s="1"/>
  <c r="T113" i="1"/>
  <c r="M72" i="1"/>
  <c r="N72" i="1" s="1"/>
  <c r="O72" i="1" s="1"/>
  <c r="M100" i="1"/>
  <c r="N100" i="1" s="1"/>
  <c r="O100" i="1" s="1"/>
  <c r="M61" i="1"/>
  <c r="N61" i="1" s="1"/>
  <c r="O61" i="1" s="1"/>
  <c r="T72" i="1"/>
  <c r="T34" i="1"/>
  <c r="M9" i="1"/>
  <c r="N9" i="1" s="1"/>
  <c r="O9" i="1" s="1"/>
  <c r="T9" i="1"/>
  <c r="T136" i="1"/>
  <c r="M136" i="1"/>
  <c r="M138" i="1" s="1"/>
  <c r="P136" i="1" s="1"/>
  <c r="Q136" i="1" s="1"/>
  <c r="M242" i="1"/>
  <c r="N242" i="1" s="1"/>
  <c r="O242" i="1" s="1"/>
  <c r="T242" i="1"/>
  <c r="M111" i="1"/>
  <c r="N111" i="1" s="1"/>
  <c r="T239" i="1"/>
  <c r="M112" i="1"/>
  <c r="N112" i="1" s="1"/>
  <c r="O112" i="1" s="1"/>
  <c r="M8" i="1"/>
  <c r="N8" i="1" s="1"/>
  <c r="T35" i="1"/>
  <c r="M46" i="1"/>
  <c r="T111" i="1"/>
  <c r="T112" i="1"/>
  <c r="M74" i="1"/>
  <c r="N74" i="1" s="1"/>
  <c r="O74" i="1" s="1"/>
  <c r="M239" i="1"/>
  <c r="N239" i="1" s="1"/>
  <c r="O239" i="1" s="1"/>
  <c r="M241" i="1"/>
  <c r="N241" i="1" s="1"/>
  <c r="O241" i="1" s="1"/>
  <c r="M35" i="1"/>
  <c r="N35" i="1" s="1"/>
  <c r="O35" i="1" s="1"/>
  <c r="T241" i="1"/>
  <c r="T74" i="1"/>
  <c r="T8" i="1"/>
  <c r="T240" i="1"/>
  <c r="M240" i="1"/>
  <c r="N240" i="1" s="1"/>
  <c r="O240" i="1" s="1"/>
  <c r="M237" i="1"/>
  <c r="N237" i="1" s="1"/>
  <c r="O237" i="1" s="1"/>
  <c r="T237" i="1"/>
  <c r="M238" i="1"/>
  <c r="N238" i="1" s="1"/>
  <c r="O238" i="1" s="1"/>
  <c r="T238" i="1"/>
  <c r="T98" i="1"/>
  <c r="M98" i="1"/>
  <c r="N98" i="1" s="1"/>
  <c r="O98" i="1" s="1"/>
  <c r="O124" i="1"/>
  <c r="N126" i="1"/>
  <c r="M148" i="1"/>
  <c r="N148" i="1" s="1"/>
  <c r="G38" i="3"/>
  <c r="J38" i="3" s="1"/>
  <c r="M126" i="1"/>
  <c r="P124" i="1" s="1"/>
  <c r="M150" i="1"/>
  <c r="T150" i="1"/>
  <c r="T151" i="1"/>
  <c r="M151" i="1"/>
  <c r="N137" i="1"/>
  <c r="O137" i="1" s="1"/>
  <c r="T100" i="1"/>
  <c r="T99" i="1"/>
  <c r="M99" i="1"/>
  <c r="N149" i="1" l="1"/>
  <c r="O149" i="1" s="1"/>
  <c r="M87" i="1"/>
  <c r="N87" i="1" s="1"/>
  <c r="O87" i="1" s="1"/>
  <c r="T87" i="1"/>
  <c r="M162" i="1"/>
  <c r="N162" i="1" s="1"/>
  <c r="O162" i="1" s="1"/>
  <c r="G50" i="3"/>
  <c r="J50" i="3" s="1"/>
  <c r="M186" i="1"/>
  <c r="G49" i="3"/>
  <c r="J49" i="3" s="1"/>
  <c r="T162" i="1"/>
  <c r="M88" i="1"/>
  <c r="J14" i="2" s="1"/>
  <c r="O14" i="2" s="1"/>
  <c r="T186" i="1"/>
  <c r="M187" i="1"/>
  <c r="T187" i="1"/>
  <c r="M212" i="1"/>
  <c r="T212" i="1"/>
  <c r="M210" i="1"/>
  <c r="T210" i="1"/>
  <c r="M211" i="1"/>
  <c r="T211" i="1"/>
  <c r="M223" i="1"/>
  <c r="T223" i="1"/>
  <c r="M224" i="1"/>
  <c r="T224" i="1"/>
  <c r="T225" i="1"/>
  <c r="M225" i="1"/>
  <c r="T226" i="1"/>
  <c r="M226" i="1"/>
  <c r="M163" i="1"/>
  <c r="N163" i="1" s="1"/>
  <c r="O163" i="1" s="1"/>
  <c r="M199" i="1"/>
  <c r="T199" i="1"/>
  <c r="M198" i="1"/>
  <c r="T198" i="1"/>
  <c r="T163" i="1"/>
  <c r="N86" i="1"/>
  <c r="N46" i="1"/>
  <c r="M47" i="1"/>
  <c r="T47" i="1"/>
  <c r="N62" i="1"/>
  <c r="L12" i="2" s="1"/>
  <c r="M62" i="1"/>
  <c r="P59" i="1" s="1"/>
  <c r="Q59" i="1" s="1"/>
  <c r="N10" i="1"/>
  <c r="O10" i="1" s="1"/>
  <c r="T48" i="1"/>
  <c r="M48" i="1"/>
  <c r="N48" i="1" s="1"/>
  <c r="N136" i="1"/>
  <c r="N138" i="1" s="1"/>
  <c r="M75" i="1"/>
  <c r="N75" i="1"/>
  <c r="O8" i="1"/>
  <c r="M36" i="1"/>
  <c r="R36" i="1" s="1"/>
  <c r="G12" i="3"/>
  <c r="J12" i="3" s="1"/>
  <c r="N36" i="1"/>
  <c r="O36" i="1" s="1"/>
  <c r="M10" i="1"/>
  <c r="P8" i="1" s="1"/>
  <c r="Q8" i="1" s="1"/>
  <c r="M114" i="1"/>
  <c r="P112" i="1" s="1"/>
  <c r="Q112" i="1" s="1"/>
  <c r="M243" i="1"/>
  <c r="N243" i="1"/>
  <c r="O243" i="1" s="1"/>
  <c r="O148" i="1"/>
  <c r="N186" i="1"/>
  <c r="O111" i="1"/>
  <c r="N114" i="1"/>
  <c r="L16" i="2" s="1"/>
  <c r="G47" i="3"/>
  <c r="J47" i="3" s="1"/>
  <c r="T175" i="1"/>
  <c r="M175" i="1"/>
  <c r="N175" i="1" s="1"/>
  <c r="O175" i="1" s="1"/>
  <c r="M174" i="1"/>
  <c r="G46" i="3"/>
  <c r="J46" i="3" s="1"/>
  <c r="M132" i="1"/>
  <c r="L17" i="2"/>
  <c r="R126" i="1"/>
  <c r="P125" i="1"/>
  <c r="Q125" i="1" s="1"/>
  <c r="J17" i="2"/>
  <c r="O17" i="2" s="1"/>
  <c r="M152" i="1"/>
  <c r="P148" i="1" s="1"/>
  <c r="N151" i="1"/>
  <c r="O151" i="1" s="1"/>
  <c r="N150" i="1"/>
  <c r="O150" i="1" s="1"/>
  <c r="R138" i="1"/>
  <c r="M144" i="1"/>
  <c r="J18" i="2"/>
  <c r="O18" i="2" s="1"/>
  <c r="P137" i="1"/>
  <c r="Q137" i="1" s="1"/>
  <c r="N99" i="1"/>
  <c r="M101" i="1"/>
  <c r="O126" i="1"/>
  <c r="Q124" i="1"/>
  <c r="P149" i="1" l="1"/>
  <c r="Q149" i="1" s="1"/>
  <c r="R88" i="1"/>
  <c r="M94" i="1"/>
  <c r="M95" i="1" s="1"/>
  <c r="N95" i="1" s="1"/>
  <c r="F141" i="3" s="1"/>
  <c r="P85" i="1"/>
  <c r="Q85" i="1" s="1"/>
  <c r="M188" i="1"/>
  <c r="P186" i="1" s="1"/>
  <c r="Q186" i="1" s="1"/>
  <c r="P86" i="1"/>
  <c r="Q86" i="1" s="1"/>
  <c r="N187" i="1"/>
  <c r="O187" i="1" s="1"/>
  <c r="N211" i="1"/>
  <c r="O211" i="1" s="1"/>
  <c r="N164" i="1"/>
  <c r="L20" i="2" s="1"/>
  <c r="F124" i="3" s="1"/>
  <c r="P87" i="1"/>
  <c r="Q87" i="1" s="1"/>
  <c r="N212" i="1"/>
  <c r="O212" i="1" s="1"/>
  <c r="M227" i="1"/>
  <c r="P223" i="1" s="1"/>
  <c r="N223" i="1"/>
  <c r="N226" i="1"/>
  <c r="O226" i="1" s="1"/>
  <c r="N225" i="1"/>
  <c r="O225" i="1" s="1"/>
  <c r="N210" i="1"/>
  <c r="M213" i="1"/>
  <c r="P211" i="1" s="1"/>
  <c r="Q211" i="1" s="1"/>
  <c r="M164" i="1"/>
  <c r="P162" i="1" s="1"/>
  <c r="Q162" i="1" s="1"/>
  <c r="N224" i="1"/>
  <c r="O224" i="1" s="1"/>
  <c r="M200" i="1"/>
  <c r="P199" i="1" s="1"/>
  <c r="Q199" i="1" s="1"/>
  <c r="N198" i="1"/>
  <c r="N199" i="1"/>
  <c r="O199" i="1" s="1"/>
  <c r="O86" i="1"/>
  <c r="N88" i="1"/>
  <c r="J26" i="2"/>
  <c r="J12" i="2"/>
  <c r="O12" i="2" s="1"/>
  <c r="M68" i="1"/>
  <c r="M69" i="1" s="1"/>
  <c r="N69" i="1" s="1"/>
  <c r="F139" i="3" s="1"/>
  <c r="R75" i="1"/>
  <c r="P73" i="1"/>
  <c r="Q73" i="1" s="1"/>
  <c r="P61" i="1"/>
  <c r="Q61" i="1" s="1"/>
  <c r="R62" i="1"/>
  <c r="P60" i="1"/>
  <c r="Q60" i="1" s="1"/>
  <c r="N47" i="1"/>
  <c r="M49" i="1"/>
  <c r="P72" i="1"/>
  <c r="Q72" i="1" s="1"/>
  <c r="M81" i="1"/>
  <c r="M82" i="1" s="1"/>
  <c r="N82" i="1" s="1"/>
  <c r="O136" i="1"/>
  <c r="P9" i="1"/>
  <c r="Q9" i="1" s="1"/>
  <c r="J8" i="2"/>
  <c r="O8" i="2" s="1"/>
  <c r="J13" i="2"/>
  <c r="O13" i="2" s="1"/>
  <c r="P74" i="1"/>
  <c r="Q74" i="1" s="1"/>
  <c r="M120" i="1"/>
  <c r="M121" i="1" s="1"/>
  <c r="N121" i="1" s="1"/>
  <c r="F143" i="3" s="1"/>
  <c r="P35" i="1"/>
  <c r="Q35" i="1" s="1"/>
  <c r="P34" i="1"/>
  <c r="Q34" i="1" s="1"/>
  <c r="R114" i="1"/>
  <c r="P111" i="1"/>
  <c r="Q111" i="1" s="1"/>
  <c r="M42" i="1"/>
  <c r="M43" i="1" s="1"/>
  <c r="N43" i="1" s="1"/>
  <c r="O43" i="1" s="1"/>
  <c r="P113" i="1"/>
  <c r="Q113" i="1" s="1"/>
  <c r="J16" i="2"/>
  <c r="O16" i="2" s="1"/>
  <c r="J10" i="2"/>
  <c r="O10" i="2" s="1"/>
  <c r="P241" i="1"/>
  <c r="Q241" i="1" s="1"/>
  <c r="R10" i="1"/>
  <c r="M16" i="1"/>
  <c r="M17" i="1" s="1"/>
  <c r="N17" i="1" s="1"/>
  <c r="O17" i="1" s="1"/>
  <c r="P239" i="1"/>
  <c r="Q239" i="1" s="1"/>
  <c r="P240" i="1"/>
  <c r="Q240" i="1" s="1"/>
  <c r="P238" i="1"/>
  <c r="Q238" i="1" s="1"/>
  <c r="P242" i="1"/>
  <c r="Q242" i="1" s="1"/>
  <c r="P237" i="1"/>
  <c r="Q237" i="1" s="1"/>
  <c r="M249" i="1"/>
  <c r="N249" i="1" s="1"/>
  <c r="R243" i="1"/>
  <c r="N132" i="1"/>
  <c r="O132" i="1" s="1"/>
  <c r="N17" i="2" s="1"/>
  <c r="M133" i="1"/>
  <c r="N133" i="1" s="1"/>
  <c r="F144" i="3" s="1"/>
  <c r="M12" i="2"/>
  <c r="F116" i="3"/>
  <c r="M16" i="2"/>
  <c r="F120" i="3"/>
  <c r="M17" i="2"/>
  <c r="F121" i="3"/>
  <c r="R188" i="1"/>
  <c r="O186" i="1"/>
  <c r="N152" i="1"/>
  <c r="O152" i="1" s="1"/>
  <c r="O99" i="1"/>
  <c r="N101" i="1"/>
  <c r="N174" i="1"/>
  <c r="M176" i="1"/>
  <c r="P174" i="1" s="1"/>
  <c r="P126" i="1"/>
  <c r="Q126" i="1" s="1"/>
  <c r="O62" i="1"/>
  <c r="P151" i="1"/>
  <c r="J19" i="2"/>
  <c r="O19" i="2" s="1"/>
  <c r="M158" i="1"/>
  <c r="N158" i="1" s="1"/>
  <c r="P150" i="1"/>
  <c r="R152" i="1"/>
  <c r="P138" i="1"/>
  <c r="Q138" i="1" s="1"/>
  <c r="O114" i="1"/>
  <c r="N144" i="1"/>
  <c r="M145" i="1"/>
  <c r="N145" i="1" s="1"/>
  <c r="O138" i="1"/>
  <c r="L18" i="2"/>
  <c r="L8" i="2"/>
  <c r="L10" i="2"/>
  <c r="N94" i="1"/>
  <c r="O94" i="1" s="1"/>
  <c r="R101" i="1"/>
  <c r="P98" i="1"/>
  <c r="P99" i="1"/>
  <c r="Q99" i="1" s="1"/>
  <c r="P100" i="1"/>
  <c r="Q100" i="1" s="1"/>
  <c r="J15" i="2"/>
  <c r="O15" i="2" s="1"/>
  <c r="M107" i="1"/>
  <c r="O75" i="1"/>
  <c r="L13" i="2"/>
  <c r="P212" i="1" l="1"/>
  <c r="Q212" i="1" s="1"/>
  <c r="J22" i="2"/>
  <c r="O22" i="2" s="1"/>
  <c r="P187" i="1"/>
  <c r="Q187" i="1" s="1"/>
  <c r="P163" i="1"/>
  <c r="M194" i="1"/>
  <c r="N194" i="1" s="1"/>
  <c r="O194" i="1" s="1"/>
  <c r="N22" i="2" s="1"/>
  <c r="G126" i="3" s="1"/>
  <c r="M170" i="1"/>
  <c r="M171" i="1" s="1"/>
  <c r="N171" i="1" s="1"/>
  <c r="O171" i="1" s="1"/>
  <c r="N188" i="1"/>
  <c r="L22" i="2" s="1"/>
  <c r="F126" i="3" s="1"/>
  <c r="O164" i="1"/>
  <c r="P210" i="1"/>
  <c r="P213" i="1" s="1"/>
  <c r="Q213" i="1" s="1"/>
  <c r="P225" i="1"/>
  <c r="Q225" i="1" s="1"/>
  <c r="P226" i="1"/>
  <c r="Q226" i="1" s="1"/>
  <c r="P224" i="1"/>
  <c r="Q224" i="1" s="1"/>
  <c r="P198" i="1"/>
  <c r="Q198" i="1" s="1"/>
  <c r="O249" i="1"/>
  <c r="N26" i="2" s="1"/>
  <c r="L26" i="2"/>
  <c r="F130" i="3" s="1"/>
  <c r="R164" i="1"/>
  <c r="J20" i="2"/>
  <c r="O20" i="2" s="1"/>
  <c r="N213" i="1"/>
  <c r="O210" i="1"/>
  <c r="N227" i="1"/>
  <c r="O223" i="1"/>
  <c r="J24" i="2"/>
  <c r="O24" i="2" s="1"/>
  <c r="M219" i="1"/>
  <c r="R213" i="1"/>
  <c r="J25" i="2"/>
  <c r="O25" i="2" s="1"/>
  <c r="M233" i="1"/>
  <c r="R227" i="1"/>
  <c r="O198" i="1"/>
  <c r="N200" i="1"/>
  <c r="R200" i="1"/>
  <c r="J23" i="2"/>
  <c r="O23" i="2" s="1"/>
  <c r="M206" i="1"/>
  <c r="L14" i="2"/>
  <c r="O88" i="1"/>
  <c r="N14" i="2" s="1"/>
  <c r="P46" i="1"/>
  <c r="Q46" i="1" s="1"/>
  <c r="O46" i="1"/>
  <c r="O47" i="1"/>
  <c r="Q223" i="1"/>
  <c r="N68" i="1"/>
  <c r="O68" i="1" s="1"/>
  <c r="N12" i="2" s="1"/>
  <c r="O69" i="1"/>
  <c r="N49" i="1"/>
  <c r="O48" i="1" s="1"/>
  <c r="P62" i="1"/>
  <c r="Q62" i="1" s="1"/>
  <c r="P47" i="1"/>
  <c r="Q47" i="1" s="1"/>
  <c r="P88" i="1"/>
  <c r="Q88" i="1" s="1"/>
  <c r="J11" i="2"/>
  <c r="O11" i="2" s="1"/>
  <c r="R49" i="1"/>
  <c r="P48" i="1"/>
  <c r="Q48" i="1" s="1"/>
  <c r="M55" i="1"/>
  <c r="M56" i="1" s="1"/>
  <c r="N56" i="1" s="1"/>
  <c r="O56" i="1" s="1"/>
  <c r="N81" i="1"/>
  <c r="O81" i="1" s="1"/>
  <c r="N13" i="2" s="1"/>
  <c r="P75" i="1"/>
  <c r="Q75" i="1" s="1"/>
  <c r="N42" i="1"/>
  <c r="O42" i="1" s="1"/>
  <c r="N10" i="2" s="1"/>
  <c r="P10" i="1"/>
  <c r="Q10" i="1" s="1"/>
  <c r="O26" i="2"/>
  <c r="P36" i="1"/>
  <c r="Q36" i="1" s="1"/>
  <c r="N16" i="1"/>
  <c r="O16" i="1" s="1"/>
  <c r="N8" i="2" s="1"/>
  <c r="F136" i="3"/>
  <c r="O121" i="1"/>
  <c r="N120" i="1"/>
  <c r="O120" i="1" s="1"/>
  <c r="N16" i="2" s="1"/>
  <c r="P114" i="1"/>
  <c r="Q114" i="1" s="1"/>
  <c r="F137" i="3"/>
  <c r="P243" i="1"/>
  <c r="Q243" i="1" s="1"/>
  <c r="N170" i="1"/>
  <c r="O170" i="1" s="1"/>
  <c r="N20" i="2" s="1"/>
  <c r="G124" i="3" s="1"/>
  <c r="O145" i="1"/>
  <c r="F145" i="3"/>
  <c r="N107" i="1"/>
  <c r="O107" i="1" s="1"/>
  <c r="N15" i="2" s="1"/>
  <c r="M108" i="1"/>
  <c r="N108" i="1" s="1"/>
  <c r="F142" i="3" s="1"/>
  <c r="O82" i="1"/>
  <c r="F140" i="3"/>
  <c r="M10" i="2"/>
  <c r="F114" i="3"/>
  <c r="M20" i="2"/>
  <c r="O158" i="1"/>
  <c r="N19" i="2" s="1"/>
  <c r="G123" i="3" s="1"/>
  <c r="M8" i="2"/>
  <c r="F113" i="3"/>
  <c r="M18" i="2"/>
  <c r="F122" i="3"/>
  <c r="M13" i="2"/>
  <c r="F117" i="3"/>
  <c r="G121" i="3"/>
  <c r="G144" i="3"/>
  <c r="O144" i="1"/>
  <c r="N18" i="2" s="1"/>
  <c r="Q174" i="1"/>
  <c r="P175" i="1"/>
  <c r="Q175" i="1" s="1"/>
  <c r="J21" i="2"/>
  <c r="O21" i="2" s="1"/>
  <c r="M182" i="1"/>
  <c r="R176" i="1"/>
  <c r="O174" i="1"/>
  <c r="N176" i="1"/>
  <c r="M159" i="1"/>
  <c r="N159" i="1" s="1"/>
  <c r="L19" i="2"/>
  <c r="F123" i="3" s="1"/>
  <c r="L15" i="2"/>
  <c r="O101" i="1"/>
  <c r="P101" i="1"/>
  <c r="Q101" i="1" s="1"/>
  <c r="Q98" i="1"/>
  <c r="O188" i="1" l="1"/>
  <c r="F147" i="3"/>
  <c r="M195" i="1"/>
  <c r="N195" i="1" s="1"/>
  <c r="O195" i="1" s="1"/>
  <c r="P188" i="1"/>
  <c r="Q188" i="1" s="1"/>
  <c r="Q210" i="1"/>
  <c r="P200" i="1"/>
  <c r="Q200" i="1" s="1"/>
  <c r="P227" i="1"/>
  <c r="Q227" i="1" s="1"/>
  <c r="N206" i="1"/>
  <c r="O206" i="1" s="1"/>
  <c r="N23" i="2" s="1"/>
  <c r="M207" i="1"/>
  <c r="N207" i="1" s="1"/>
  <c r="G153" i="3"/>
  <c r="G130" i="3"/>
  <c r="M26" i="2"/>
  <c r="N219" i="1"/>
  <c r="O219" i="1" s="1"/>
  <c r="N24" i="2" s="1"/>
  <c r="M220" i="1"/>
  <c r="N220" i="1" s="1"/>
  <c r="O227" i="1"/>
  <c r="L25" i="2"/>
  <c r="N233" i="1"/>
  <c r="O233" i="1" s="1"/>
  <c r="N25" i="2" s="1"/>
  <c r="M234" i="1"/>
  <c r="N234" i="1" s="1"/>
  <c r="O213" i="1"/>
  <c r="L24" i="2"/>
  <c r="O200" i="1"/>
  <c r="L23" i="2"/>
  <c r="G141" i="3"/>
  <c r="G118" i="3"/>
  <c r="F118" i="3"/>
  <c r="M14" i="2"/>
  <c r="O49" i="1"/>
  <c r="L11" i="2"/>
  <c r="M11" i="2" s="1"/>
  <c r="P49" i="1"/>
  <c r="Q49" i="1" s="1"/>
  <c r="N55" i="1"/>
  <c r="O55" i="1" s="1"/>
  <c r="N11" i="2" s="1"/>
  <c r="G138" i="3" s="1"/>
  <c r="F138" i="3"/>
  <c r="O159" i="1"/>
  <c r="F146" i="3"/>
  <c r="G137" i="3"/>
  <c r="G114" i="3"/>
  <c r="G146" i="3"/>
  <c r="G140" i="3"/>
  <c r="G117" i="3"/>
  <c r="M15" i="2"/>
  <c r="F119" i="3"/>
  <c r="G139" i="3"/>
  <c r="G116" i="3"/>
  <c r="G149" i="3"/>
  <c r="M19" i="2"/>
  <c r="G147" i="3"/>
  <c r="G113" i="3"/>
  <c r="G136" i="3"/>
  <c r="G120" i="3"/>
  <c r="G143" i="3"/>
  <c r="M22" i="2"/>
  <c r="G145" i="3"/>
  <c r="G122" i="3"/>
  <c r="G119" i="3"/>
  <c r="G142" i="3"/>
  <c r="M183" i="1"/>
  <c r="N183" i="1" s="1"/>
  <c r="N182" i="1"/>
  <c r="O176" i="1"/>
  <c r="L21" i="2"/>
  <c r="F125" i="3" s="1"/>
  <c r="P176" i="1"/>
  <c r="Q176" i="1" s="1"/>
  <c r="M20" i="1"/>
  <c r="M23" i="1"/>
  <c r="F149" i="3" l="1"/>
  <c r="G151" i="3"/>
  <c r="G128" i="3"/>
  <c r="M24" i="2"/>
  <c r="F128" i="3"/>
  <c r="O234" i="1"/>
  <c r="F152" i="3"/>
  <c r="G129" i="3"/>
  <c r="G152" i="3"/>
  <c r="F150" i="3"/>
  <c r="O207" i="1"/>
  <c r="G150" i="3"/>
  <c r="G127" i="3"/>
  <c r="O183" i="1"/>
  <c r="F148" i="3"/>
  <c r="M25" i="2"/>
  <c r="F129" i="3"/>
  <c r="M23" i="2"/>
  <c r="F127" i="3"/>
  <c r="O220" i="1"/>
  <c r="F151" i="3"/>
  <c r="F115" i="3"/>
  <c r="G115" i="3"/>
  <c r="O182" i="1"/>
  <c r="N21" i="2" s="1"/>
  <c r="G125" i="3" s="1"/>
  <c r="M21" i="2"/>
  <c r="T23" i="1"/>
  <c r="N20" i="1"/>
  <c r="N23" i="1"/>
  <c r="O23" i="1" s="1"/>
  <c r="G148" i="3" l="1"/>
  <c r="O20" i="1"/>
  <c r="N24" i="1"/>
  <c r="M24" i="1"/>
  <c r="Q22" i="1" l="1"/>
  <c r="Q21" i="1"/>
  <c r="M253" i="1"/>
  <c r="M259" i="1" s="1"/>
  <c r="J9" i="2"/>
  <c r="O9" i="2" s="1"/>
  <c r="M30" i="1"/>
  <c r="M31" i="1" s="1"/>
  <c r="N253" i="1"/>
  <c r="R24" i="1"/>
  <c r="Q23" i="1"/>
  <c r="Q148" i="1"/>
  <c r="Q20" i="1"/>
  <c r="Q150" i="1"/>
  <c r="Q151" i="1"/>
  <c r="Q163" i="1"/>
  <c r="P164" i="1"/>
  <c r="Q164" i="1" s="1"/>
  <c r="N31" i="1" l="1"/>
  <c r="J27" i="2"/>
  <c r="L27" i="2" s="1"/>
  <c r="L9" i="2"/>
  <c r="P24" i="1"/>
  <c r="Q24" i="1" s="1"/>
  <c r="P152" i="1"/>
  <c r="Q152" i="1" s="1"/>
  <c r="N30" i="1"/>
  <c r="O253" i="1"/>
  <c r="N259" i="1"/>
  <c r="S295" i="1" l="1"/>
  <c r="S302" i="1"/>
  <c r="L302" i="1" s="1"/>
  <c r="S266" i="1"/>
  <c r="L266" i="1" s="1"/>
  <c r="S301" i="1"/>
  <c r="S299" i="1"/>
  <c r="S296" i="1"/>
  <c r="S300" i="1"/>
  <c r="S297" i="1"/>
  <c r="S294" i="1"/>
  <c r="S291" i="1"/>
  <c r="S292" i="1"/>
  <c r="S290" i="1"/>
  <c r="S287" i="1"/>
  <c r="S286" i="1"/>
  <c r="S288" i="1"/>
  <c r="K24" i="2"/>
  <c r="K25" i="2"/>
  <c r="K20" i="2"/>
  <c r="K23" i="2"/>
  <c r="S278" i="1"/>
  <c r="L278" i="1" s="1"/>
  <c r="S274" i="1"/>
  <c r="L274" i="1" s="1"/>
  <c r="S267" i="1"/>
  <c r="L267" i="1" s="1"/>
  <c r="S268" i="1"/>
  <c r="L268" i="1" s="1"/>
  <c r="S284" i="1"/>
  <c r="L284" i="1" s="1"/>
  <c r="S283" i="1"/>
  <c r="L283" i="1" s="1"/>
  <c r="S279" i="1"/>
  <c r="L279" i="1" s="1"/>
  <c r="S282" i="1"/>
  <c r="L282" i="1" s="1"/>
  <c r="S276" i="1"/>
  <c r="L276" i="1" s="1"/>
  <c r="S272" i="1"/>
  <c r="L272" i="1" s="1"/>
  <c r="S271" i="1"/>
  <c r="L271" i="1" s="1"/>
  <c r="S280" i="1"/>
  <c r="L280" i="1" s="1"/>
  <c r="S275" i="1"/>
  <c r="L275" i="1" s="1"/>
  <c r="S270" i="1"/>
  <c r="L270" i="1" s="1"/>
  <c r="N9" i="2"/>
  <c r="M9" i="2"/>
  <c r="O27" i="2"/>
  <c r="O29" i="2" s="1"/>
  <c r="K19" i="2"/>
  <c r="K9" i="2"/>
  <c r="K12" i="2"/>
  <c r="K10" i="2"/>
  <c r="K21" i="2"/>
  <c r="K26" i="2"/>
  <c r="K13" i="2"/>
  <c r="J29" i="2"/>
  <c r="J38" i="2" s="1"/>
  <c r="L38" i="2" s="1"/>
  <c r="F131" i="3" s="1"/>
  <c r="K15" i="2"/>
  <c r="K27" i="2"/>
  <c r="K29" i="2" s="1"/>
  <c r="K14" i="2"/>
  <c r="K22" i="2"/>
  <c r="K11" i="2"/>
  <c r="K8" i="2"/>
  <c r="L29" i="2"/>
  <c r="K17" i="2"/>
  <c r="K18" i="2"/>
  <c r="K16" i="2"/>
  <c r="N261" i="1"/>
  <c r="O259" i="1"/>
  <c r="L288" i="1" l="1"/>
  <c r="G93" i="3" s="1"/>
  <c r="J93" i="3" s="1"/>
  <c r="L300" i="1"/>
  <c r="G105" i="3" s="1"/>
  <c r="J105" i="3" s="1"/>
  <c r="L286" i="1"/>
  <c r="G91" i="3" s="1"/>
  <c r="J91" i="3" s="1"/>
  <c r="L296" i="1"/>
  <c r="G101" i="3" s="1"/>
  <c r="J101" i="3" s="1"/>
  <c r="L287" i="1"/>
  <c r="G92" i="3" s="1"/>
  <c r="J92" i="3" s="1"/>
  <c r="L299" i="1"/>
  <c r="G104" i="3" s="1"/>
  <c r="J104" i="3" s="1"/>
  <c r="L290" i="1"/>
  <c r="G95" i="3" s="1"/>
  <c r="J95" i="3" s="1"/>
  <c r="L301" i="1"/>
  <c r="G106" i="3" s="1"/>
  <c r="J106" i="3" s="1"/>
  <c r="L292" i="1"/>
  <c r="G97" i="3" s="1"/>
  <c r="J97" i="3" s="1"/>
  <c r="L297" i="1"/>
  <c r="G102" i="3" s="1"/>
  <c r="J102" i="3" s="1"/>
  <c r="L291" i="1"/>
  <c r="G96" i="3" s="1"/>
  <c r="J96" i="3" s="1"/>
  <c r="G107" i="3"/>
  <c r="J107" i="3" s="1"/>
  <c r="T302" i="1"/>
  <c r="L294" i="1"/>
  <c r="G99" i="3" s="1"/>
  <c r="J99" i="3" s="1"/>
  <c r="L295" i="1"/>
  <c r="G100" i="3" s="1"/>
  <c r="J100" i="3" s="1"/>
  <c r="T280" i="1"/>
  <c r="G85" i="3"/>
  <c r="J85" i="3" s="1"/>
  <c r="T282" i="1"/>
  <c r="G87" i="3"/>
  <c r="J87" i="3" s="1"/>
  <c r="T271" i="1"/>
  <c r="G76" i="3"/>
  <c r="J76" i="3" s="1"/>
  <c r="T279" i="1"/>
  <c r="G84" i="3"/>
  <c r="J84" i="3" s="1"/>
  <c r="T284" i="1"/>
  <c r="G89" i="3"/>
  <c r="J89" i="3" s="1"/>
  <c r="T268" i="1"/>
  <c r="G73" i="3"/>
  <c r="J73" i="3" s="1"/>
  <c r="T266" i="1"/>
  <c r="G71" i="3"/>
  <c r="J71" i="3" s="1"/>
  <c r="T267" i="1"/>
  <c r="G72" i="3"/>
  <c r="J72" i="3" s="1"/>
  <c r="T272" i="1"/>
  <c r="G77" i="3"/>
  <c r="J77" i="3" s="1"/>
  <c r="G79" i="3"/>
  <c r="J79" i="3" s="1"/>
  <c r="T274" i="1"/>
  <c r="T275" i="1"/>
  <c r="G80" i="3"/>
  <c r="J80" i="3" s="1"/>
  <c r="G81" i="3"/>
  <c r="J81" i="3" s="1"/>
  <c r="T276" i="1"/>
  <c r="T283" i="1"/>
  <c r="G88" i="3"/>
  <c r="J88" i="3" s="1"/>
  <c r="T278" i="1"/>
  <c r="G83" i="3"/>
  <c r="J83" i="3" s="1"/>
  <c r="T270" i="1"/>
  <c r="G75" i="3"/>
  <c r="J75" i="3" s="1"/>
  <c r="M27" i="2"/>
  <c r="M29" i="2" s="1"/>
  <c r="L40" i="2"/>
  <c r="L41" i="2" s="1"/>
  <c r="N38" i="2"/>
  <c r="G131" i="3" s="1"/>
  <c r="T301" i="1" l="1"/>
  <c r="T296" i="1"/>
  <c r="T291" i="1"/>
  <c r="T290" i="1"/>
  <c r="T286" i="1"/>
  <c r="T295" i="1"/>
  <c r="T297" i="1"/>
  <c r="T299" i="1"/>
  <c r="T300" i="1"/>
  <c r="T294" i="1"/>
  <c r="T292" i="1"/>
  <c r="T287" i="1"/>
  <c r="T288" i="1"/>
</calcChain>
</file>

<file path=xl/sharedStrings.xml><?xml version="1.0" encoding="utf-8"?>
<sst xmlns="http://schemas.openxmlformats.org/spreadsheetml/2006/main" count="347" uniqueCount="121">
  <si>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</si>
  <si>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</si>
  <si>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</si>
  <si>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</si>
  <si>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</si>
  <si>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</si>
  <si>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</si>
  <si>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</si>
  <si>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</si>
  <si>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</si>
  <si>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</si>
  <si>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</si>
  <si>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</si>
  <si>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</si>
  <si>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</si>
  <si>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</si>
  <si>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</si>
  <si>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</si>
  <si>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</si>
  <si>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</si>
  <si>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Rate</t>
  </si>
  <si>
    <t>2019 Revenue</t>
  </si>
  <si>
    <t>Present Share</t>
  </si>
  <si>
    <t>Proposed Rate</t>
  </si>
  <si>
    <t>Proposed Share</t>
  </si>
  <si>
    <t xml:space="preserve">          2019 Revenue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</si>
  <si>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</si>
  <si>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</si>
  <si>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</si>
  <si>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</si>
  <si>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</si>
  <si>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</si>
  <si>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</si>
  <si>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</si>
  <si>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</si>
  <si>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</si>
  <si>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</si>
  <si>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</si>
  <si>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</si>
  <si>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</si>
  <si>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</si>
  <si>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</si>
  <si>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</si>
  <si>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 xml:space="preserve">    Prepay Daily Charges</t>
  </si>
  <si>
    <t>TOTAL Base Rates</t>
  </si>
  <si>
    <t>SubTotal Base Rates</t>
  </si>
  <si>
    <t>Base %</t>
  </si>
  <si>
    <t>Total %</t>
  </si>
  <si>
    <t>Base Rate Increase</t>
  </si>
  <si>
    <t>Notice Table</t>
  </si>
  <si>
    <t>Present</t>
  </si>
  <si>
    <t>Proposed</t>
  </si>
  <si>
    <t>Energy Charge per kWh</t>
  </si>
  <si>
    <t>Demand Charge per kW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</si>
  <si>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</si>
  <si>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</si>
  <si>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</si>
  <si>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</si>
  <si>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</si>
  <si>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</si>
  <si>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</si>
  <si>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</si>
  <si>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</si>
  <si>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</si>
  <si>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RATES WITH NO CURRENT MEMBERS</t>
  </si>
  <si>
    <t>GRAYSON RECC</t>
  </si>
  <si>
    <t>7000 Lumens</t>
  </si>
  <si>
    <t>10000 Lumens</t>
  </si>
  <si>
    <t>3600 LED Yard Light</t>
  </si>
  <si>
    <t>19176 LED Flood Light</t>
  </si>
  <si>
    <t>7000 Lumens SL</t>
  </si>
  <si>
    <t>Flood Lighting</t>
  </si>
  <si>
    <t>Commercial &amp; Small Power</t>
  </si>
  <si>
    <t xml:space="preserve">Large Power </t>
  </si>
  <si>
    <t>All Electric Schools</t>
  </si>
  <si>
    <t>Demand Charge Contract per kW</t>
  </si>
  <si>
    <t>Demand Charge Excess per kW</t>
  </si>
  <si>
    <t>Schedule 16 - Small Commercial Demand &amp; Energy Rate</t>
  </si>
  <si>
    <t>Schedule 17 - Water Pumping Service</t>
  </si>
  <si>
    <t>Energy Charge On Peak per kWh</t>
  </si>
  <si>
    <t>Energy Charge Off Peak per kWh</t>
  </si>
  <si>
    <t>Schedule 18 - General Service Rate</t>
  </si>
  <si>
    <t>Schedule 19 - Temporary Service Rate</t>
  </si>
  <si>
    <t>Schedule 20 - Inclining Block Rate</t>
  </si>
  <si>
    <t>Energy Charge Per KWH - First 300</t>
  </si>
  <si>
    <t>Energy Charge Per KWH - Next 200</t>
  </si>
  <si>
    <t>Energy Charge Per KWH - All Over 500</t>
  </si>
  <si>
    <t>Schedule 21 - Prepay Metering Program (Residential)</t>
  </si>
  <si>
    <t>Energy Charge Per KWH</t>
  </si>
  <si>
    <t>Schedule 21 - Prepay Metering Program (General Service)</t>
  </si>
  <si>
    <t>.</t>
  </si>
  <si>
    <t xml:space="preserve">Residential  </t>
  </si>
  <si>
    <t xml:space="preserve">    Green Power</t>
  </si>
  <si>
    <t>Cancelled 3/28/2019</t>
  </si>
  <si>
    <t>Customer Charge - Res</t>
  </si>
  <si>
    <t>Customer Charge - Small Comm</t>
  </si>
  <si>
    <t>Customer Charge - General Serv</t>
  </si>
  <si>
    <t>ETS</t>
  </si>
  <si>
    <t>3,9,12</t>
  </si>
  <si>
    <t>Schedule 11 - Small Commercial TOD</t>
  </si>
  <si>
    <t>Industrial 14(a) - Large Industrial Service MLF</t>
  </si>
  <si>
    <t>Schedule NM - Residential Net Metering</t>
  </si>
  <si>
    <t>Schedule NM - General Service Net Metering</t>
  </si>
  <si>
    <t>Residential Demand &amp; Energy Rate</t>
  </si>
  <si>
    <t xml:space="preserve">Customer Charge </t>
  </si>
  <si>
    <t>Large Industrial LLF</t>
  </si>
  <si>
    <t>12(a)</t>
  </si>
  <si>
    <t>12(b)</t>
  </si>
  <si>
    <t>12(c)</t>
  </si>
  <si>
    <t>Large Industrial HLF</t>
  </si>
  <si>
    <t>13(a)</t>
  </si>
  <si>
    <t>13(b)</t>
  </si>
  <si>
    <t>Large Industrial MLF</t>
  </si>
  <si>
    <t>14(b)</t>
  </si>
  <si>
    <t>13(c)</t>
  </si>
  <si>
    <t>14(c )</t>
  </si>
  <si>
    <t>Demand Charge Demand per kW</t>
  </si>
  <si>
    <t>Schedule 14 - Large Industrial Service w/Pri Disc</t>
  </si>
  <si>
    <t>Present &amp; Proposed Rates</t>
  </si>
  <si>
    <t>Note: Tariff</t>
  </si>
  <si>
    <t>Schedule 10 - Residential TOD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</si>
</sst>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_(* #,##0.000000_);_(* \(#,##0.000000\);_(* &quot;-&quot;??_);_(@_)"/>
    <numFmt numFmtId="169" formatCode="0.00000%"/>
    <numFmt numFmtId="170" formatCode="_(* #,##0.0000_);_(* \(#,##0.0000\);_(* &quot;-&quot;??_);_(@_)"/>
    <numFmt numFmtId="171" formatCode="_(&quot;$&quot;* #,##0.00000_);_(&quot;$&quot;* \(#,##0.00000\);_(&quot;$&quot;* &quot;-&quot;??_);_(@_)"/>
    <numFmt numFmtId="172" formatCode="_(&quot;$&quot;* #,##0.000000_);_(&quot;$&quot;* \(#,##0.000000\);_(&quot;$&quot;* &quot;-&quot;??_);_(@_)"/>
    <numFmt numFmtId="173" formatCode="0.00000"/>
    <numFmt numFmtId="174" formatCode="0.000"/>
    <numFmt numFmtId="175" formatCode="_(* #,##0.00000000_);_(* \(#,##0.0000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165" fontId="3" fillId="0" borderId="0" xfId="2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3" xfId="2" applyNumberFormat="1" applyFont="1" applyBorder="1" applyAlignment="1">
      <alignment vertical="center"/>
    </xf>
    <xf numFmtId="10" fontId="3" fillId="0" borderId="3" xfId="3" applyNumberFormat="1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4" fontId="3" fillId="0" borderId="0" xfId="0" applyNumberFormat="1" applyFont="1"/>
    <xf numFmtId="10" fontId="3" fillId="0" borderId="0" xfId="0" applyNumberFormat="1" applyFont="1"/>
    <xf numFmtId="43" fontId="3" fillId="0" borderId="0" xfId="1" applyFont="1"/>
    <xf numFmtId="0" fontId="3" fillId="0" borderId="5" xfId="0" applyFont="1" applyBorder="1"/>
    <xf numFmtId="165" fontId="3" fillId="0" borderId="5" xfId="2" applyNumberFormat="1" applyFont="1" applyBorder="1"/>
    <xf numFmtId="165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10" fontId="3" fillId="0" borderId="5" xfId="3" applyNumberFormat="1" applyFont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43" fontId="3" fillId="0" borderId="5" xfId="1" applyFont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3" fillId="0" borderId="5" xfId="0" applyNumberFormat="1" applyFont="1" applyBorder="1"/>
    <xf numFmtId="165" fontId="3" fillId="0" borderId="5" xfId="0" applyNumberFormat="1" applyFont="1" applyBorder="1" applyAlignment="1">
      <alignment vertical="center"/>
    </xf>
    <xf numFmtId="44" fontId="3" fillId="0" borderId="5" xfId="2" applyFont="1" applyBorder="1" applyAlignment="1">
      <alignment vertical="center"/>
    </xf>
    <xf numFmtId="0" fontId="3" fillId="0" borderId="0" xfId="0" applyFont="1" applyFill="1"/>
    <xf numFmtId="169" fontId="3" fillId="0" borderId="0" xfId="3" applyNumberFormat="1" applyFont="1"/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3" fillId="0" borderId="6" xfId="0" applyFont="1" applyFill="1" applyBorder="1"/>
    <xf numFmtId="10" fontId="3" fillId="0" borderId="0" xfId="3" applyNumberFormat="1" applyFont="1" applyFill="1"/>
    <xf numFmtId="165" fontId="3" fillId="0" borderId="5" xfId="3" applyNumberFormat="1" applyFont="1" applyFill="1" applyBorder="1" applyAlignment="1">
      <alignment vertical="center"/>
    </xf>
    <xf numFmtId="0" fontId="3" fillId="0" borderId="5" xfId="0" applyFont="1" applyFill="1" applyBorder="1"/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65" fontId="3" fillId="0" borderId="0" xfId="0" applyNumberFormat="1" applyFont="1" applyFill="1"/>
    <xf numFmtId="0" fontId="6" fillId="0" borderId="0" xfId="0" applyFont="1" applyAlignme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0" fontId="3" fillId="0" borderId="0" xfId="0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165" fontId="3" fillId="0" borderId="0" xfId="0" applyNumberFormat="1" applyFont="1" applyAlignment="1"/>
    <xf numFmtId="0" fontId="3" fillId="0" borderId="2" xfId="0" applyFont="1" applyBorder="1" applyAlignment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 applyAlignment="1"/>
    <xf numFmtId="0" fontId="3" fillId="0" borderId="0" xfId="0" applyFont="1" applyBorder="1" applyAlignment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0" xfId="0" applyNumberFormat="1" applyFont="1" applyBorder="1" applyAlignment="1"/>
    <xf numFmtId="0" fontId="3" fillId="0" borderId="5" xfId="0" applyFont="1" applyBorder="1" applyAlignment="1"/>
    <xf numFmtId="165" fontId="3" fillId="0" borderId="5" xfId="2" applyNumberFormat="1" applyFont="1" applyBorder="1" applyAlignment="1"/>
    <xf numFmtId="164" fontId="3" fillId="2" borderId="0" xfId="1" applyNumberFormat="1" applyFont="1" applyFill="1" applyAlignment="1"/>
    <xf numFmtId="0" fontId="3" fillId="2" borderId="0" xfId="0" applyFont="1" applyFill="1" applyAlignment="1"/>
    <xf numFmtId="165" fontId="3" fillId="2" borderId="0" xfId="2" applyNumberFormat="1" applyFont="1" applyFill="1" applyAlignment="1"/>
    <xf numFmtId="0" fontId="3" fillId="2" borderId="2" xfId="0" applyFont="1" applyFill="1" applyBorder="1" applyAlignment="1"/>
    <xf numFmtId="165" fontId="3" fillId="2" borderId="2" xfId="2" applyNumberFormat="1" applyFont="1" applyFill="1" applyBorder="1" applyAlignment="1"/>
    <xf numFmtId="0" fontId="3" fillId="0" borderId="3" xfId="0" applyFont="1" applyBorder="1" applyAlignment="1"/>
    <xf numFmtId="165" fontId="3" fillId="0" borderId="3" xfId="0" applyNumberFormat="1" applyFont="1" applyBorder="1" applyAlignment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2" borderId="0" xfId="0" applyFont="1" applyFill="1" applyBorder="1" applyAlignment="1"/>
    <xf numFmtId="0" fontId="3" fillId="2" borderId="4" xfId="0" applyFont="1" applyFill="1" applyBorder="1" applyAlignment="1"/>
    <xf numFmtId="10" fontId="3" fillId="0" borderId="0" xfId="3" applyNumberFormat="1" applyFont="1" applyFill="1" applyAlignment="1"/>
    <xf numFmtId="43" fontId="3" fillId="0" borderId="0" xfId="0" applyNumberFormat="1" applyFont="1"/>
    <xf numFmtId="170" fontId="5" fillId="0" borderId="0" xfId="1" applyNumberFormat="1" applyFont="1" applyAlignment="1">
      <alignment vertical="center"/>
    </xf>
    <xf numFmtId="0" fontId="2" fillId="0" borderId="4" xfId="0" applyFont="1" applyBorder="1"/>
    <xf numFmtId="44" fontId="3" fillId="0" borderId="0" xfId="2" applyFont="1"/>
    <xf numFmtId="171" fontId="3" fillId="0" borderId="0" xfId="2" applyNumberFormat="1" applyFont="1"/>
    <xf numFmtId="0" fontId="2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0" fontId="3" fillId="0" borderId="0" xfId="1" applyNumberFormat="1" applyFont="1" applyAlignment="1">
      <alignment vertical="center"/>
    </xf>
    <xf numFmtId="0" fontId="2" fillId="0" borderId="4" xfId="0" applyFont="1" applyFill="1" applyBorder="1" applyAlignment="1">
      <alignment horizontal="center" wrapText="1"/>
    </xf>
    <xf numFmtId="172" fontId="3" fillId="0" borderId="0" xfId="2" applyNumberFormat="1" applyFont="1"/>
    <xf numFmtId="44" fontId="3" fillId="0" borderId="0" xfId="2" applyNumberFormat="1" applyFont="1"/>
    <xf numFmtId="0" fontId="11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2" xfId="0" applyFont="1" applyBorder="1"/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/>
    <xf numFmtId="164" fontId="7" fillId="0" borderId="0" xfId="1" applyNumberFormat="1" applyFont="1" applyAlignment="1">
      <alignment horizontal="right"/>
    </xf>
    <xf numFmtId="0" fontId="12" fillId="0" borderId="0" xfId="0" applyFont="1"/>
    <xf numFmtId="43" fontId="3" fillId="0" borderId="0" xfId="1" applyFont="1" applyAlignment="1">
      <alignment horizontal="center"/>
    </xf>
    <xf numFmtId="0" fontId="7" fillId="0" borderId="2" xfId="0" applyFont="1" applyBorder="1" applyAlignment="1">
      <alignment horizontal="center"/>
    </xf>
    <xf numFmtId="44" fontId="3" fillId="0" borderId="0" xfId="2" applyFont="1" applyAlignment="1">
      <alignment horizontal="right"/>
    </xf>
    <xf numFmtId="164" fontId="3" fillId="0" borderId="0" xfId="1" applyNumberFormat="1" applyFont="1"/>
    <xf numFmtId="164" fontId="3" fillId="0" borderId="0" xfId="1" applyNumberFormat="1" applyFont="1" applyAlignment="1">
      <alignment horizontal="right"/>
    </xf>
    <xf numFmtId="165" fontId="3" fillId="3" borderId="0" xfId="0" applyNumberFormat="1" applyFont="1" applyFill="1"/>
    <xf numFmtId="170" fontId="7" fillId="0" borderId="0" xfId="1" applyNumberFormat="1" applyFont="1" applyAlignment="1">
      <alignment vertical="center"/>
    </xf>
    <xf numFmtId="10" fontId="3" fillId="0" borderId="5" xfId="3" applyNumberFormat="1" applyFont="1" applyBorder="1" applyAlignment="1"/>
    <xf numFmtId="0" fontId="7" fillId="0" borderId="0" xfId="0" applyFont="1" applyAlignment="1">
      <alignment horizontal="left"/>
    </xf>
    <xf numFmtId="165" fontId="7" fillId="0" borderId="0" xfId="2" applyNumberFormat="1" applyFont="1" applyFill="1"/>
    <xf numFmtId="164" fontId="9" fillId="0" borderId="0" xfId="1" applyNumberFormat="1" applyFont="1" applyFill="1"/>
    <xf numFmtId="0" fontId="8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left"/>
    </xf>
    <xf numFmtId="165" fontId="3" fillId="0" borderId="2" xfId="2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0" fontId="11" fillId="0" borderId="4" xfId="0" applyFont="1" applyBorder="1" applyAlignment="1">
      <alignment horizontal="left"/>
    </xf>
    <xf numFmtId="175" fontId="3" fillId="0" borderId="0" xfId="0" applyNumberFormat="1" applyFont="1"/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6" fontId="7" fillId="0" borderId="1" xfId="0" applyNumberFormat="1" applyFont="1" applyFill="1" applyBorder="1"/>
    <xf numFmtId="0" fontId="7" fillId="0" borderId="0" xfId="0" applyFont="1" applyFill="1"/>
    <xf numFmtId="165" fontId="7" fillId="0" borderId="0" xfId="2" applyNumberFormat="1" applyFont="1" applyFill="1" applyAlignment="1">
      <alignment horizontal="center"/>
    </xf>
    <xf numFmtId="10" fontId="7" fillId="0" borderId="0" xfId="3" applyNumberFormat="1" applyFont="1" applyFill="1" applyAlignment="1"/>
    <xf numFmtId="165" fontId="7" fillId="0" borderId="0" xfId="2" applyNumberFormat="1" applyFont="1" applyFill="1" applyAlignment="1"/>
    <xf numFmtId="43" fontId="7" fillId="0" borderId="0" xfId="1" applyFont="1" applyFill="1"/>
    <xf numFmtId="167" fontId="7" fillId="0" borderId="0" xfId="1" applyNumberFormat="1" applyFont="1" applyFill="1"/>
    <xf numFmtId="0" fontId="7" fillId="0" borderId="5" xfId="0" applyFont="1" applyFill="1" applyBorder="1" applyAlignment="1">
      <alignment vertical="center"/>
    </xf>
    <xf numFmtId="165" fontId="7" fillId="0" borderId="0" xfId="0" applyNumberFormat="1" applyFont="1" applyFill="1"/>
    <xf numFmtId="165" fontId="7" fillId="0" borderId="5" xfId="2" applyNumberFormat="1" applyFont="1" applyFill="1" applyBorder="1"/>
    <xf numFmtId="0" fontId="7" fillId="0" borderId="5" xfId="0" applyFont="1" applyFill="1" applyBorder="1"/>
    <xf numFmtId="165" fontId="7" fillId="0" borderId="3" xfId="2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65" fontId="7" fillId="0" borderId="3" xfId="0" applyNumberFormat="1" applyFont="1" applyFill="1" applyBorder="1" applyAlignment="1">
      <alignment vertical="center"/>
    </xf>
    <xf numFmtId="44" fontId="7" fillId="0" borderId="0" xfId="0" applyNumberFormat="1" applyFont="1" applyFill="1"/>
    <xf numFmtId="0" fontId="7" fillId="0" borderId="6" xfId="0" applyFont="1" applyFill="1" applyBorder="1"/>
    <xf numFmtId="168" fontId="7" fillId="0" borderId="0" xfId="1" applyNumberFormat="1" applyFont="1" applyFill="1"/>
    <xf numFmtId="0" fontId="13" fillId="0" borderId="0" xfId="0" applyFont="1" applyFill="1"/>
    <xf numFmtId="10" fontId="7" fillId="0" borderId="0" xfId="3" applyNumberFormat="1" applyFont="1" applyFill="1"/>
    <xf numFmtId="0" fontId="7" fillId="0" borderId="0" xfId="0" applyFont="1" applyFill="1" applyAlignment="1"/>
    <xf numFmtId="0" fontId="11" fillId="0" borderId="4" xfId="0" applyFont="1" applyFill="1" applyBorder="1" applyAlignment="1">
      <alignment horizontal="right" wrapText="1"/>
    </xf>
    <xf numFmtId="0" fontId="11" fillId="0" borderId="0" xfId="0" applyFont="1" applyFill="1" applyAlignment="1">
      <alignment horizontal="right" wrapText="1"/>
    </xf>
    <xf numFmtId="0" fontId="11" fillId="0" borderId="0" xfId="0" applyFont="1" applyFill="1" applyBorder="1" applyAlignment="1">
      <alignment horizontal="right" wrapText="1"/>
    </xf>
    <xf numFmtId="164" fontId="7" fillId="0" borderId="0" xfId="1" applyNumberFormat="1" applyFont="1" applyFill="1"/>
    <xf numFmtId="10" fontId="7" fillId="0" borderId="5" xfId="3" applyNumberFormat="1" applyFont="1" applyFill="1" applyBorder="1" applyAlignment="1">
      <alignment vertical="center"/>
    </xf>
    <xf numFmtId="43" fontId="7" fillId="0" borderId="0" xfId="0" applyNumberFormat="1" applyFont="1" applyFill="1"/>
    <xf numFmtId="167" fontId="7" fillId="0" borderId="0" xfId="0" applyNumberFormat="1" applyFont="1" applyFill="1"/>
    <xf numFmtId="43" fontId="7" fillId="0" borderId="0" xfId="1" applyFont="1" applyFill="1" applyAlignment="1">
      <alignment horizontal="center"/>
    </xf>
    <xf numFmtId="164" fontId="7" fillId="0" borderId="0" xfId="1" applyNumberFormat="1" applyFont="1" applyFill="1" applyBorder="1"/>
    <xf numFmtId="43" fontId="7" fillId="0" borderId="0" xfId="1" applyFont="1" applyFill="1" applyBorder="1"/>
    <xf numFmtId="165" fontId="7" fillId="0" borderId="0" xfId="2" applyNumberFormat="1" applyFont="1" applyFill="1" applyBorder="1"/>
    <xf numFmtId="167" fontId="7" fillId="0" borderId="0" xfId="1" applyNumberFormat="1" applyFont="1" applyFill="1" applyBorder="1"/>
    <xf numFmtId="0" fontId="7" fillId="0" borderId="0" xfId="0" applyFont="1" applyFill="1" applyBorder="1"/>
    <xf numFmtId="164" fontId="7" fillId="0" borderId="0" xfId="0" applyNumberFormat="1" applyFont="1" applyFill="1"/>
    <xf numFmtId="165" fontId="7" fillId="0" borderId="5" xfId="0" applyNumberFormat="1" applyFont="1" applyFill="1" applyBorder="1" applyAlignment="1">
      <alignment vertical="center"/>
    </xf>
    <xf numFmtId="165" fontId="7" fillId="0" borderId="5" xfId="0" applyNumberFormat="1" applyFont="1" applyFill="1" applyBorder="1"/>
    <xf numFmtId="0" fontId="7" fillId="0" borderId="0" xfId="0" applyFont="1" applyFill="1" applyAlignment="1">
      <alignment horizontal="center"/>
    </xf>
    <xf numFmtId="173" fontId="7" fillId="0" borderId="0" xfId="0" applyNumberFormat="1" applyFont="1" applyFill="1"/>
    <xf numFmtId="174" fontId="7" fillId="0" borderId="0" xfId="0" applyNumberFormat="1" applyFont="1" applyFill="1"/>
    <xf numFmtId="166" fontId="7" fillId="0" borderId="0" xfId="0" applyNumberFormat="1" applyFont="1" applyFill="1"/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FFFFCC"/>
      <color rgb="FF0000FF"/>
      <color rgb="FFFFFF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42"/>
  <sheetViews>
    <sheetView topLeftCell="C1" zoomScale="75" zoomScaleNormal="75" workbookViewId="0">
      <selection activeCell="P11" sqref="P11"/>
    </sheetView>
  </sheetViews>
  <sheetFormatPr defaultColWidth="8.88671875" defaultRowHeight="13.2" x14ac:dyDescent="0.25"/>
  <cols>
    <col min="1" max="1" width="6" style="2" customWidth="1"/>
    <col min="2" max="2" width="52" style="2" bestFit="1" customWidth="1"/>
    <col min="3" max="3" width="7.33203125" style="21" bestFit="1" customWidth="1"/>
    <col min="4" max="4" width="15.109375" style="2" hidden="1" customWidth="1"/>
    <col min="5" max="5" width="12.6640625" style="2" bestFit="1" customWidth="1"/>
    <col min="6" max="6" width="8.5546875" style="2" bestFit="1" customWidth="1"/>
    <col min="7" max="7" width="12.6640625" style="2" bestFit="1" customWidth="1"/>
    <col min="8" max="8" width="10.44140625" style="2" bestFit="1" customWidth="1"/>
    <col min="9" max="9" width="10" style="2" bestFit="1" customWidth="1"/>
    <col min="10" max="10" width="12.6640625" style="2" bestFit="1" customWidth="1"/>
    <col min="11" max="11" width="11.44140625" style="2" customWidth="1"/>
    <col min="12" max="12" width="10.44140625" style="2" bestFit="1" customWidth="1"/>
    <col min="13" max="13" width="7.6640625" style="2" bestFit="1" customWidth="1"/>
    <col min="14" max="14" width="7.77734375" style="2" bestFit="1" customWidth="1"/>
    <col min="15" max="15" width="10" style="2" customWidth="1"/>
    <col min="16" max="16" width="48.33203125" style="2" customWidth="1"/>
    <col min="17" max="17" width="9" style="2" bestFit="1" customWidth="1"/>
    <col min="18" max="18" width="14.5546875" style="2" customWidth="1"/>
    <col min="19" max="19" width="9" style="2" customWidth="1"/>
    <col min="20" max="20" width="14.6640625" style="2" customWidth="1"/>
    <col min="21" max="21" width="10" style="2" customWidth="1"/>
    <col min="22" max="16384" width="8.88671875" style="2"/>
  </cols>
  <sheetData>
    <row r="1" spans="1:22" x14ac:dyDescent="0.25">
      <c r="A1" s="1" t="s">
        <v>65</v>
      </c>
    </row>
    <row r="2" spans="1:22" x14ac:dyDescent="0.25">
      <c r="A2" s="1" t="s">
        <v>0</v>
      </c>
    </row>
    <row r="3" spans="1:22" x14ac:dyDescent="0.25">
      <c r="A3" s="1"/>
    </row>
    <row r="4" spans="1:22" x14ac:dyDescent="0.25">
      <c r="A4" s="1"/>
      <c r="K4" s="36" t="s">
        <v>39</v>
      </c>
      <c r="L4" s="134">
        <v>891373</v>
      </c>
      <c r="M4" s="4"/>
    </row>
    <row r="5" spans="1:22" x14ac:dyDescent="0.25">
      <c r="M5" s="4"/>
      <c r="N5" s="4"/>
    </row>
    <row r="6" spans="1:22" s="12" customFormat="1" ht="31.95" customHeight="1" x14ac:dyDescent="0.25">
      <c r="A6" s="10" t="s">
        <v>1</v>
      </c>
      <c r="B6" s="10" t="s">
        <v>2</v>
      </c>
      <c r="C6" s="11" t="s">
        <v>11</v>
      </c>
      <c r="D6" s="44" t="s">
        <v>21</v>
      </c>
      <c r="E6" s="44" t="s">
        <v>3</v>
      </c>
      <c r="F6" s="44" t="s">
        <v>22</v>
      </c>
      <c r="G6" s="44" t="s">
        <v>34</v>
      </c>
      <c r="H6" s="44" t="s">
        <v>35</v>
      </c>
      <c r="I6" s="44" t="s">
        <v>36</v>
      </c>
      <c r="J6" s="44" t="s">
        <v>4</v>
      </c>
      <c r="K6" s="44" t="s">
        <v>24</v>
      </c>
      <c r="L6" s="44" t="s">
        <v>48</v>
      </c>
      <c r="M6" s="100" t="s">
        <v>46</v>
      </c>
      <c r="N6" s="100" t="s">
        <v>47</v>
      </c>
      <c r="O6" s="13" t="s">
        <v>38</v>
      </c>
      <c r="Q6" s="2"/>
      <c r="R6" s="2"/>
      <c r="S6" s="2"/>
      <c r="T6" s="2"/>
      <c r="U6" s="2"/>
      <c r="V6" s="2"/>
    </row>
    <row r="7" spans="1:22" s="61" customFormat="1" x14ac:dyDescent="0.25">
      <c r="A7" s="3">
        <v>1</v>
      </c>
      <c r="B7" s="57" t="s">
        <v>5</v>
      </c>
      <c r="C7" s="94"/>
      <c r="D7" s="57"/>
      <c r="E7" s="58"/>
      <c r="F7" s="59"/>
      <c r="G7" s="59"/>
      <c r="H7" s="12"/>
      <c r="I7" s="12"/>
      <c r="J7" s="58"/>
      <c r="K7" s="59"/>
      <c r="L7" s="58"/>
      <c r="M7" s="60"/>
      <c r="N7" s="60"/>
      <c r="Q7" s="2"/>
      <c r="R7" s="2"/>
      <c r="S7" s="2"/>
      <c r="T7" s="2"/>
      <c r="U7" s="2"/>
      <c r="V7" s="2"/>
    </row>
    <row r="8" spans="1:22" s="61" customFormat="1" x14ac:dyDescent="0.25">
      <c r="A8" s="3">
        <f>A7+1</f>
        <v>2</v>
      </c>
      <c r="B8" s="61" t="str">
        <f>'Billing Detail'!B7</f>
        <v xml:space="preserve">Residential  </v>
      </c>
      <c r="C8" s="21">
        <f>'Billing Detail'!C7</f>
        <v>1</v>
      </c>
      <c r="D8" s="62">
        <f>'Billing Detail'!G10</f>
        <v>18926995.6303</v>
      </c>
      <c r="E8" s="62">
        <f>'Billing Detail'!I10</f>
        <v>18680079.3244</v>
      </c>
      <c r="F8" s="60">
        <f t="shared" ref="F8:F27" si="0">E8/E$27</f>
        <v>0.63603482884952345</v>
      </c>
      <c r="G8" s="136">
        <f>E8</f>
        <v>18680079.3244</v>
      </c>
      <c r="H8" s="137">
        <f t="shared" ref="H8:H26" si="1">G8/G$27</f>
        <v>0.63603482884952345</v>
      </c>
      <c r="I8" s="138">
        <f t="shared" ref="I8:I26" si="2">ROUND(L$4*H8,2)</f>
        <v>566944.27</v>
      </c>
      <c r="J8" s="62">
        <f>'Billing Detail'!M10</f>
        <v>19246492.69898</v>
      </c>
      <c r="K8" s="60">
        <f t="shared" ref="K8:K27" si="3">J8/J$27</f>
        <v>0.6360159910826424</v>
      </c>
      <c r="L8" s="62">
        <f>'Billing Detail'!N10</f>
        <v>566413.37458000146</v>
      </c>
      <c r="M8" s="60">
        <f>IF(E8=0,0,L8/E8)</f>
        <v>3.0321786366300375E-2</v>
      </c>
      <c r="N8" s="60">
        <f>'Billing Detail'!O16</f>
        <v>2.863928591075977E-2</v>
      </c>
      <c r="O8" s="64">
        <f>J8-I8-E8</f>
        <v>-530.89541999995708</v>
      </c>
      <c r="Q8" s="2"/>
      <c r="R8" s="2"/>
      <c r="S8" s="2"/>
      <c r="T8" s="2"/>
      <c r="U8" s="2"/>
      <c r="V8" s="2"/>
    </row>
    <row r="9" spans="1:22" s="61" customFormat="1" x14ac:dyDescent="0.25">
      <c r="A9" s="3">
        <f t="shared" ref="A9:A41" si="4">A8+1</f>
        <v>3</v>
      </c>
      <c r="B9" s="61" t="str">
        <f>'Billing Detail'!B19</f>
        <v>ETS</v>
      </c>
      <c r="C9" s="21" t="str">
        <f>'Billing Detail'!C19</f>
        <v>3,9,12</v>
      </c>
      <c r="D9" s="62">
        <f>'Billing Detail'!G24</f>
        <v>31937.98473</v>
      </c>
      <c r="E9" s="62">
        <f>'Billing Detail'!I24</f>
        <v>0</v>
      </c>
      <c r="F9" s="60">
        <f t="shared" si="0"/>
        <v>0</v>
      </c>
      <c r="G9" s="136">
        <f t="shared" ref="G9:G26" si="5">E9</f>
        <v>0</v>
      </c>
      <c r="H9" s="137">
        <f t="shared" si="1"/>
        <v>0</v>
      </c>
      <c r="I9" s="138">
        <f t="shared" si="2"/>
        <v>0</v>
      </c>
      <c r="J9" s="62">
        <f>'Billing Detail'!M24</f>
        <v>0</v>
      </c>
      <c r="K9" s="60">
        <f t="shared" si="3"/>
        <v>0</v>
      </c>
      <c r="L9" s="62">
        <f>'Billing Detail'!N24</f>
        <v>0</v>
      </c>
      <c r="M9" s="60">
        <f t="shared" ref="M9:M26" si="6">IF(E9=0,0,L9/E9)</f>
        <v>0</v>
      </c>
      <c r="N9" s="60">
        <f>'Billing Detail'!O30</f>
        <v>0</v>
      </c>
      <c r="O9" s="64">
        <f t="shared" ref="O9:O27" si="7">J9-I9-E9</f>
        <v>0</v>
      </c>
      <c r="Q9" s="2"/>
      <c r="R9" s="2"/>
      <c r="S9" s="2"/>
      <c r="T9" s="2"/>
      <c r="U9" s="2"/>
      <c r="V9" s="2"/>
    </row>
    <row r="10" spans="1:22" s="61" customFormat="1" x14ac:dyDescent="0.25">
      <c r="A10" s="3">
        <f t="shared" si="4"/>
        <v>4</v>
      </c>
      <c r="B10" s="61" t="str">
        <f>'Billing Detail'!B33</f>
        <v>Commercial &amp; Small Power</v>
      </c>
      <c r="C10" s="21">
        <f>'Billing Detail'!C33</f>
        <v>2</v>
      </c>
      <c r="D10" s="62">
        <f>'Billing Detail'!G36</f>
        <v>2178187.1726000002</v>
      </c>
      <c r="E10" s="62">
        <f>'Billing Detail'!I36</f>
        <v>2151017.7248</v>
      </c>
      <c r="F10" s="60">
        <f t="shared" si="0"/>
        <v>7.3239634944077148E-2</v>
      </c>
      <c r="G10" s="136">
        <f t="shared" si="5"/>
        <v>2151017.7248</v>
      </c>
      <c r="H10" s="137">
        <f t="shared" si="1"/>
        <v>7.3239634944077148E-2</v>
      </c>
      <c r="I10" s="138">
        <f t="shared" si="2"/>
        <v>65283.83</v>
      </c>
      <c r="J10" s="62">
        <f>'Billing Detail'!M36</f>
        <v>2216306.9771600002</v>
      </c>
      <c r="K10" s="60">
        <f t="shared" si="3"/>
        <v>7.3239665047985458E-2</v>
      </c>
      <c r="L10" s="62">
        <f>'Billing Detail'!N36</f>
        <v>65289.252360000042</v>
      </c>
      <c r="M10" s="60">
        <f t="shared" si="6"/>
        <v>3.0352726343094449E-2</v>
      </c>
      <c r="N10" s="60">
        <f>'Billing Detail'!O42</f>
        <v>2.8707194560146188E-2</v>
      </c>
      <c r="O10" s="64">
        <f t="shared" si="7"/>
        <v>5.4223600002005696</v>
      </c>
      <c r="Q10" s="2"/>
      <c r="R10" s="2"/>
      <c r="S10" s="2"/>
      <c r="T10" s="2"/>
      <c r="U10" s="2"/>
      <c r="V10" s="2"/>
    </row>
    <row r="11" spans="1:22" s="61" customFormat="1" x14ac:dyDescent="0.25">
      <c r="A11" s="3">
        <f t="shared" si="4"/>
        <v>5</v>
      </c>
      <c r="B11" s="61" t="str">
        <f>'Billing Detail'!B45</f>
        <v xml:space="preserve">Large Power </v>
      </c>
      <c r="C11" s="21">
        <f>'Billing Detail'!C45</f>
        <v>4</v>
      </c>
      <c r="D11" s="62">
        <f>'Billing Detail'!G49</f>
        <v>1722005.8517199997</v>
      </c>
      <c r="E11" s="62">
        <f>'Billing Detail'!I49</f>
        <v>1691756.1146200001</v>
      </c>
      <c r="F11" s="60">
        <f t="shared" si="0"/>
        <v>5.7602314858051486E-2</v>
      </c>
      <c r="G11" s="136">
        <f t="shared" si="5"/>
        <v>1691756.1146200001</v>
      </c>
      <c r="H11" s="137">
        <f t="shared" si="1"/>
        <v>5.7602314858051486E-2</v>
      </c>
      <c r="I11" s="138">
        <f t="shared" si="2"/>
        <v>51345.15</v>
      </c>
      <c r="J11" s="62">
        <f>'Billing Detail'!M49</f>
        <v>1743210.99982</v>
      </c>
      <c r="K11" s="60">
        <f t="shared" si="3"/>
        <v>5.7605824035432657E-2</v>
      </c>
      <c r="L11" s="62">
        <f>'Billing Detail'!N49</f>
        <v>51454.885200000062</v>
      </c>
      <c r="M11" s="60">
        <f t="shared" si="6"/>
        <v>3.0415072690047753E-2</v>
      </c>
      <c r="N11" s="60">
        <f>'Billing Detail'!O55</f>
        <v>2.9095342032557071E-2</v>
      </c>
      <c r="O11" s="64">
        <f t="shared" si="7"/>
        <v>109.73519999999553</v>
      </c>
      <c r="Q11" s="2"/>
      <c r="R11" s="2"/>
      <c r="S11" s="2"/>
      <c r="T11" s="2"/>
      <c r="U11" s="2"/>
      <c r="V11" s="2"/>
    </row>
    <row r="12" spans="1:22" s="61" customFormat="1" x14ac:dyDescent="0.25">
      <c r="A12" s="3">
        <f t="shared" si="4"/>
        <v>6</v>
      </c>
      <c r="B12" s="61" t="str">
        <f>'Billing Detail'!B58</f>
        <v>All Electric Schools</v>
      </c>
      <c r="C12" s="21">
        <f>'Billing Detail'!C58</f>
        <v>7</v>
      </c>
      <c r="D12" s="62">
        <f>'Billing Detail'!G62</f>
        <v>502510.62771999999</v>
      </c>
      <c r="E12" s="62">
        <f>'Billing Detail'!I62</f>
        <v>494113.31241999997</v>
      </c>
      <c r="F12" s="60">
        <f t="shared" si="0"/>
        <v>1.6823979740108526E-2</v>
      </c>
      <c r="G12" s="136">
        <f t="shared" si="5"/>
        <v>494113.31241999997</v>
      </c>
      <c r="H12" s="137">
        <f t="shared" si="1"/>
        <v>1.6823979740108526E-2</v>
      </c>
      <c r="I12" s="138">
        <f t="shared" si="2"/>
        <v>14996.44</v>
      </c>
      <c r="J12" s="62">
        <f>'Billing Detail'!M62</f>
        <v>509103.80009999999</v>
      </c>
      <c r="K12" s="60">
        <f t="shared" si="3"/>
        <v>1.6823748775884821E-2</v>
      </c>
      <c r="L12" s="62">
        <f>'Billing Detail'!N62</f>
        <v>14990.487680000038</v>
      </c>
      <c r="M12" s="60">
        <f>IF(E12=0,0,L12/E12)</f>
        <v>3.033815787431773E-2</v>
      </c>
      <c r="N12" s="60">
        <f>'Billing Detail'!O68</f>
        <v>2.8991485089337667E-2</v>
      </c>
      <c r="O12" s="64">
        <f>J12-I12-E12</f>
        <v>-5.9523199999821372</v>
      </c>
      <c r="Q12" s="2"/>
      <c r="R12" s="2"/>
      <c r="S12" s="2"/>
      <c r="T12" s="2"/>
      <c r="U12" s="2"/>
      <c r="V12" s="2"/>
    </row>
    <row r="13" spans="1:22" s="61" customFormat="1" x14ac:dyDescent="0.25">
      <c r="A13" s="3">
        <f t="shared" si="4"/>
        <v>7</v>
      </c>
      <c r="B13" s="61" t="str">
        <f>'Billing Detail'!B71</f>
        <v>Schedule 10 - Residential TOD</v>
      </c>
      <c r="C13" s="21">
        <f>'Billing Detail'!C71</f>
        <v>10</v>
      </c>
      <c r="D13" s="62">
        <f>'Billing Detail'!G75</f>
        <v>5899.0177800000001</v>
      </c>
      <c r="E13" s="62">
        <f>'Billing Detail'!I75</f>
        <v>5813.2689300000002</v>
      </c>
      <c r="F13" s="60">
        <f t="shared" si="0"/>
        <v>1.9793500042150186E-4</v>
      </c>
      <c r="G13" s="136">
        <f t="shared" si="5"/>
        <v>5813.2689300000002</v>
      </c>
      <c r="H13" s="137">
        <f t="shared" si="1"/>
        <v>1.9793500042150186E-4</v>
      </c>
      <c r="I13" s="138">
        <f t="shared" si="2"/>
        <v>176.43</v>
      </c>
      <c r="J13" s="62">
        <f>'Billing Detail'!M75</f>
        <v>5989.4698900000003</v>
      </c>
      <c r="K13" s="60">
        <f t="shared" si="3"/>
        <v>1.9792689960336933E-4</v>
      </c>
      <c r="L13" s="62">
        <f>'Billing Detail'!N75</f>
        <v>176.20096000000001</v>
      </c>
      <c r="M13" s="60">
        <f t="shared" ref="M13" si="8">IF(E13=0,0,L13/E13)</f>
        <v>3.0310133957625114E-2</v>
      </c>
      <c r="N13" s="60">
        <f>'Billing Detail'!O81</f>
        <v>2.8805178118774755E-2</v>
      </c>
      <c r="O13" s="64">
        <f t="shared" ref="O13" si="9">J13-I13-E13</f>
        <v>-0.22904000000016822</v>
      </c>
      <c r="Q13" s="2"/>
      <c r="R13" s="2"/>
      <c r="S13" s="2"/>
      <c r="T13" s="2"/>
      <c r="U13" s="2"/>
      <c r="V13" s="2"/>
    </row>
    <row r="14" spans="1:22" s="61" customFormat="1" x14ac:dyDescent="0.25">
      <c r="A14" s="3">
        <f t="shared" si="4"/>
        <v>8</v>
      </c>
      <c r="B14" s="61" t="str">
        <f>'Billing Detail'!B84</f>
        <v>Schedule 14 - Large Industrial Service w/Pri Disc</v>
      </c>
      <c r="C14" s="21">
        <f>'Billing Detail'!C84</f>
        <v>14</v>
      </c>
      <c r="D14" s="62">
        <f>'Billing Detail'!G88</f>
        <v>574458.06359999999</v>
      </c>
      <c r="E14" s="62">
        <f>'Billing Detail'!I88</f>
        <v>554875.69979999994</v>
      </c>
      <c r="F14" s="60">
        <f t="shared" si="0"/>
        <v>1.8892867884884541E-2</v>
      </c>
      <c r="G14" s="136">
        <f t="shared" si="5"/>
        <v>554875.69979999994</v>
      </c>
      <c r="H14" s="137">
        <f t="shared" si="1"/>
        <v>1.8892867884884541E-2</v>
      </c>
      <c r="I14" s="138">
        <f t="shared" si="2"/>
        <v>16840.59</v>
      </c>
      <c r="J14" s="62">
        <f>'Billing Detail'!M88</f>
        <v>572136.03060000006</v>
      </c>
      <c r="K14" s="60">
        <f t="shared" si="3"/>
        <v>1.8906700053222314E-2</v>
      </c>
      <c r="L14" s="62">
        <f>'Billing Detail'!N88</f>
        <v>17260.330800000047</v>
      </c>
      <c r="M14" s="60">
        <f t="shared" si="6"/>
        <v>3.1106661917653596E-2</v>
      </c>
      <c r="N14" s="60">
        <f>'Billing Detail'!O88</f>
        <v>3.1106661917653596E-2</v>
      </c>
      <c r="O14" s="64">
        <f t="shared" si="7"/>
        <v>419.7408000001451</v>
      </c>
      <c r="Q14" s="2"/>
      <c r="R14" s="2"/>
      <c r="S14" s="2"/>
      <c r="T14" s="2"/>
      <c r="U14" s="2"/>
      <c r="V14" s="2"/>
    </row>
    <row r="15" spans="1:22" s="61" customFormat="1" x14ac:dyDescent="0.25">
      <c r="A15" s="3">
        <f t="shared" si="4"/>
        <v>9</v>
      </c>
      <c r="B15" s="61" t="str">
        <f>'Billing Detail'!B97</f>
        <v>Schedule 16 - Small Commercial Demand &amp; Energy Rate</v>
      </c>
      <c r="C15" s="21">
        <f>'Billing Detail'!C97</f>
        <v>16</v>
      </c>
      <c r="D15" s="62">
        <f>'Billing Detail'!G101</f>
        <v>21884.838649999998</v>
      </c>
      <c r="E15" s="62">
        <f>'Billing Detail'!I101</f>
        <v>21459.229400000004</v>
      </c>
      <c r="F15" s="60">
        <f t="shared" si="0"/>
        <v>7.3066163487022883E-4</v>
      </c>
      <c r="G15" s="136">
        <f t="shared" si="5"/>
        <v>21459.229400000004</v>
      </c>
      <c r="H15" s="137">
        <f t="shared" si="1"/>
        <v>7.3066163487022883E-4</v>
      </c>
      <c r="I15" s="138">
        <f t="shared" si="2"/>
        <v>651.29</v>
      </c>
      <c r="J15" s="62">
        <f>'Billing Detail'!M101</f>
        <v>22110.122793949999</v>
      </c>
      <c r="K15" s="60">
        <f t="shared" si="3"/>
        <v>7.3064697457829756E-4</v>
      </c>
      <c r="L15" s="62">
        <f>'Billing Detail'!N101</f>
        <v>650.89339394999979</v>
      </c>
      <c r="M15" s="60">
        <f t="shared" ref="M15:M16" si="10">IF(E15=0,0,L15/E15)</f>
        <v>3.0331629427010072E-2</v>
      </c>
      <c r="N15" s="87">
        <f>'Billing Detail'!O107</f>
        <v>2.9326750038910814E-2</v>
      </c>
      <c r="O15" s="64">
        <f t="shared" si="7"/>
        <v>-0.39660605000608484</v>
      </c>
      <c r="Q15" s="2"/>
      <c r="R15" s="2"/>
      <c r="S15" s="2"/>
      <c r="T15" s="2"/>
      <c r="U15" s="2"/>
      <c r="V15" s="2"/>
    </row>
    <row r="16" spans="1:22" s="61" customFormat="1" x14ac:dyDescent="0.25">
      <c r="A16" s="3">
        <f t="shared" si="4"/>
        <v>10</v>
      </c>
      <c r="B16" s="61" t="str">
        <f>'Billing Detail'!B110</f>
        <v>Schedule 17 - Water Pumping Service</v>
      </c>
      <c r="C16" s="21">
        <f>'Billing Detail'!C110</f>
        <v>17</v>
      </c>
      <c r="D16" s="62">
        <f>'Billing Detail'!G114</f>
        <v>1438.3424</v>
      </c>
      <c r="E16" s="62">
        <f>'Billing Detail'!I114</f>
        <v>1422.9643999999998</v>
      </c>
      <c r="F16" s="60">
        <f t="shared" si="0"/>
        <v>4.8450271698299376E-5</v>
      </c>
      <c r="G16" s="136">
        <f t="shared" si="5"/>
        <v>1422.9643999999998</v>
      </c>
      <c r="H16" s="137">
        <f t="shared" si="1"/>
        <v>4.8450271698299376E-5</v>
      </c>
      <c r="I16" s="138">
        <f t="shared" si="2"/>
        <v>43.19</v>
      </c>
      <c r="J16" s="62">
        <f>'Billing Detail'!M114</f>
        <v>1466.1943999999999</v>
      </c>
      <c r="K16" s="60">
        <f t="shared" si="3"/>
        <v>4.8451585388606452E-5</v>
      </c>
      <c r="L16" s="62">
        <f>'Billing Detail'!N114</f>
        <v>43.229999999999961</v>
      </c>
      <c r="M16" s="60">
        <f t="shared" si="10"/>
        <v>3.0380240011626407E-2</v>
      </c>
      <c r="N16" s="60">
        <f>'Billing Detail'!O120</f>
        <v>2.7867410175788386E-2</v>
      </c>
      <c r="O16" s="64">
        <f t="shared" si="7"/>
        <v>3.999999999996362E-2</v>
      </c>
      <c r="Q16" s="2"/>
      <c r="R16" s="2"/>
      <c r="S16" s="2"/>
      <c r="T16" s="2"/>
      <c r="U16" s="2"/>
      <c r="V16" s="2"/>
    </row>
    <row r="17" spans="1:22" s="61" customFormat="1" x14ac:dyDescent="0.25">
      <c r="A17" s="3">
        <f t="shared" si="4"/>
        <v>11</v>
      </c>
      <c r="B17" s="61" t="str">
        <f>'Billing Detail'!B123</f>
        <v>Schedule 18 - General Service Rate</v>
      </c>
      <c r="C17" s="21">
        <f>'Billing Detail'!C123</f>
        <v>18</v>
      </c>
      <c r="D17" s="62">
        <f>'Billing Detail'!G126</f>
        <v>1586686.1860000002</v>
      </c>
      <c r="E17" s="62">
        <f>'Billing Detail'!I126</f>
        <v>1576581.1801</v>
      </c>
      <c r="F17" s="60">
        <f t="shared" si="0"/>
        <v>5.3680743193765403E-2</v>
      </c>
      <c r="G17" s="136">
        <f t="shared" si="5"/>
        <v>1576581.1801</v>
      </c>
      <c r="H17" s="137">
        <f t="shared" si="1"/>
        <v>5.3680743193765403E-2</v>
      </c>
      <c r="I17" s="138">
        <f t="shared" si="2"/>
        <v>47849.57</v>
      </c>
      <c r="J17" s="62">
        <f>'Billing Detail'!M126</f>
        <v>1624313.2506800001</v>
      </c>
      <c r="K17" s="60">
        <f t="shared" si="3"/>
        <v>5.3676751297895384E-2</v>
      </c>
      <c r="L17" s="62">
        <f>'Billing Detail'!N126</f>
        <v>47732.070580000058</v>
      </c>
      <c r="M17" s="60">
        <f t="shared" ref="M17:M22" si="11">IF(E17=0,0,L17/E17)</f>
        <v>3.0275682078719529E-2</v>
      </c>
      <c r="N17" s="60">
        <f>'Billing Detail'!O132</f>
        <v>2.8279188507407904E-2</v>
      </c>
      <c r="O17" s="64">
        <f t="shared" ref="O17:O22" si="12">J17-I17-E17</f>
        <v>-117.49942000000738</v>
      </c>
      <c r="Q17" s="2"/>
      <c r="R17" s="2"/>
      <c r="S17" s="2"/>
      <c r="T17" s="2"/>
      <c r="U17" s="2"/>
      <c r="V17" s="2"/>
    </row>
    <row r="18" spans="1:22" s="61" customFormat="1" x14ac:dyDescent="0.25">
      <c r="A18" s="3">
        <f t="shared" si="4"/>
        <v>12</v>
      </c>
      <c r="B18" s="61" t="str">
        <f>'Billing Detail'!B135</f>
        <v>Schedule 19 - Temporary Service Rate</v>
      </c>
      <c r="C18" s="21">
        <f>'Billing Detail'!C135</f>
        <v>19</v>
      </c>
      <c r="D18" s="62">
        <f>'Billing Detail'!G138</f>
        <v>71082.019839999994</v>
      </c>
      <c r="E18" s="62">
        <f>'Billing Detail'!I138</f>
        <v>70458.46338999999</v>
      </c>
      <c r="F18" s="60">
        <f t="shared" si="0"/>
        <v>2.399028179967243E-3</v>
      </c>
      <c r="G18" s="136">
        <f t="shared" si="5"/>
        <v>70458.46338999999</v>
      </c>
      <c r="H18" s="137">
        <f t="shared" si="1"/>
        <v>2.399028179967243E-3</v>
      </c>
      <c r="I18" s="138">
        <f t="shared" si="2"/>
        <v>2138.4299999999998</v>
      </c>
      <c r="J18" s="62">
        <f>'Billing Detail'!M138</f>
        <v>72598.593690000009</v>
      </c>
      <c r="K18" s="60">
        <f t="shared" si="3"/>
        <v>2.3990795226497804E-3</v>
      </c>
      <c r="L18" s="62">
        <f>'Billing Detail'!N138</f>
        <v>2140.1303000000044</v>
      </c>
      <c r="M18" s="60">
        <f t="shared" si="11"/>
        <v>3.0374353867952054E-2</v>
      </c>
      <c r="N18" s="60">
        <f>'Billing Detail'!O144</f>
        <v>2.8328998040952749E-2</v>
      </c>
      <c r="O18" s="64">
        <f t="shared" si="12"/>
        <v>1.7003000000258908</v>
      </c>
      <c r="Q18" s="2"/>
      <c r="R18" s="2"/>
      <c r="S18" s="2"/>
      <c r="T18" s="2"/>
      <c r="U18" s="2"/>
      <c r="V18" s="2"/>
    </row>
    <row r="19" spans="1:22" s="61" customFormat="1" x14ac:dyDescent="0.25">
      <c r="A19" s="3">
        <f t="shared" si="4"/>
        <v>13</v>
      </c>
      <c r="B19" s="61" t="str">
        <f>'Billing Detail'!B147</f>
        <v>Schedule 20 - Inclining Block Rate</v>
      </c>
      <c r="C19" s="21">
        <f>'Billing Detail'!C147</f>
        <v>20</v>
      </c>
      <c r="D19" s="62">
        <f>'Billing Detail'!G152</f>
        <v>26568.616259999999</v>
      </c>
      <c r="E19" s="62">
        <f>'Billing Detail'!I152</f>
        <v>26266.831259999999</v>
      </c>
      <c r="F19" s="60">
        <f t="shared" si="0"/>
        <v>8.9435484907449798E-4</v>
      </c>
      <c r="G19" s="136">
        <f t="shared" si="5"/>
        <v>26266.831259999999</v>
      </c>
      <c r="H19" s="137">
        <f t="shared" si="1"/>
        <v>8.9435484907449798E-4</v>
      </c>
      <c r="I19" s="138">
        <f t="shared" si="2"/>
        <v>797.2</v>
      </c>
      <c r="J19" s="62">
        <f>'Billing Detail'!M152</f>
        <v>27062.16574</v>
      </c>
      <c r="K19" s="60">
        <f t="shared" si="3"/>
        <v>8.9429125779789519E-4</v>
      </c>
      <c r="L19" s="62">
        <f>'Billing Detail'!N152</f>
        <v>795.33447999999953</v>
      </c>
      <c r="M19" s="60">
        <f t="shared" si="11"/>
        <v>3.0279041736228047E-2</v>
      </c>
      <c r="N19" s="60">
        <f>'Billing Detail'!O158</f>
        <v>2.8874721459057787E-2</v>
      </c>
      <c r="O19" s="64">
        <f t="shared" si="12"/>
        <v>-1.8655199999993783</v>
      </c>
      <c r="Q19" s="2"/>
      <c r="R19" s="2"/>
      <c r="S19" s="2"/>
      <c r="T19" s="2"/>
      <c r="U19" s="2"/>
      <c r="V19" s="2"/>
    </row>
    <row r="20" spans="1:22" s="61" customFormat="1" x14ac:dyDescent="0.25">
      <c r="A20" s="3">
        <f t="shared" si="4"/>
        <v>14</v>
      </c>
      <c r="B20" s="61" t="str">
        <f>'Billing Detail'!B161</f>
        <v>Schedule 21 - Prepay Metering Program (Residential)</v>
      </c>
      <c r="C20" s="21">
        <f>'Billing Detail'!C161</f>
        <v>21</v>
      </c>
      <c r="D20" s="62">
        <f>'Billing Detail'!G164</f>
        <v>1628783.8842</v>
      </c>
      <c r="E20" s="62">
        <f>'Billing Detail'!I164</f>
        <v>1607289.9216</v>
      </c>
      <c r="F20" s="60">
        <f t="shared" si="0"/>
        <v>5.4726339885564468E-2</v>
      </c>
      <c r="G20" s="136">
        <f t="shared" si="5"/>
        <v>1607289.9216</v>
      </c>
      <c r="H20" s="137">
        <f t="shared" si="1"/>
        <v>5.4726339885564468E-2</v>
      </c>
      <c r="I20" s="138">
        <f t="shared" si="2"/>
        <v>48781.58</v>
      </c>
      <c r="J20" s="62">
        <f>'Billing Detail'!M164</f>
        <v>1656029.66172</v>
      </c>
      <c r="K20" s="60">
        <f t="shared" si="3"/>
        <v>5.4724845873706546E-2</v>
      </c>
      <c r="L20" s="62">
        <f>'Billing Detail'!N164</f>
        <v>48739.740120000031</v>
      </c>
      <c r="M20" s="60">
        <f t="shared" si="11"/>
        <v>3.0324174540633811E-2</v>
      </c>
      <c r="N20" s="60">
        <f>'Billing Detail'!O170</f>
        <v>2.7308223826559914E-2</v>
      </c>
      <c r="O20" s="64">
        <f t="shared" si="12"/>
        <v>-41.839880000101402</v>
      </c>
      <c r="Q20" s="2"/>
      <c r="R20" s="2"/>
      <c r="S20" s="2"/>
      <c r="T20" s="2"/>
      <c r="U20" s="2"/>
      <c r="V20" s="2"/>
    </row>
    <row r="21" spans="1:22" s="61" customFormat="1" x14ac:dyDescent="0.25">
      <c r="A21" s="3">
        <f t="shared" si="4"/>
        <v>15</v>
      </c>
      <c r="B21" s="61" t="str">
        <f>'Billing Detail'!B173</f>
        <v>Schedule 21 - Prepay Metering Program (General Service)</v>
      </c>
      <c r="C21" s="21">
        <f>'Billing Detail'!C173</f>
        <v>32</v>
      </c>
      <c r="D21" s="62">
        <f>'Billing Detail'!G176</f>
        <v>23201.436000000002</v>
      </c>
      <c r="E21" s="62">
        <f>'Billing Detail'!I176</f>
        <v>23004.267599999999</v>
      </c>
      <c r="F21" s="60">
        <f t="shared" si="0"/>
        <v>7.8326837652465894E-4</v>
      </c>
      <c r="G21" s="136">
        <f t="shared" si="5"/>
        <v>23004.267599999999</v>
      </c>
      <c r="H21" s="137">
        <f t="shared" si="1"/>
        <v>7.8326837652465894E-4</v>
      </c>
      <c r="I21" s="138">
        <f t="shared" si="2"/>
        <v>698.18</v>
      </c>
      <c r="J21" s="62">
        <f>'Billing Detail'!M176</f>
        <v>23701.465680000001</v>
      </c>
      <c r="K21" s="60">
        <f t="shared" si="3"/>
        <v>7.8323419338502821E-4</v>
      </c>
      <c r="L21" s="62">
        <f>'Billing Detail'!N176</f>
        <v>697.19808000000194</v>
      </c>
      <c r="M21" s="60">
        <f t="shared" si="11"/>
        <v>3.0307336539590678E-2</v>
      </c>
      <c r="N21" s="60">
        <f>'Billing Detail'!O182</f>
        <v>2.6249734000456996E-2</v>
      </c>
      <c r="O21" s="64">
        <f t="shared" si="12"/>
        <v>-0.98191999999835389</v>
      </c>
      <c r="Q21" s="2"/>
      <c r="R21" s="2"/>
      <c r="S21" s="2"/>
      <c r="T21" s="2"/>
      <c r="U21" s="2"/>
      <c r="V21" s="2"/>
    </row>
    <row r="22" spans="1:22" s="61" customFormat="1" x14ac:dyDescent="0.25">
      <c r="A22" s="3">
        <f t="shared" si="4"/>
        <v>16</v>
      </c>
      <c r="B22" s="61" t="str">
        <f>'Billing Detail'!B185</f>
        <v>Schedule NM - Residential Net Metering</v>
      </c>
      <c r="C22" s="21">
        <f>'Billing Detail'!C185</f>
        <v>22</v>
      </c>
      <c r="D22" s="62">
        <f>'Billing Detail'!G188</f>
        <v>5847.1342500000001</v>
      </c>
      <c r="E22" s="62">
        <f>'Billing Detail'!I188</f>
        <v>5774.3939999999993</v>
      </c>
      <c r="F22" s="60">
        <f t="shared" si="0"/>
        <v>1.9661135457291112E-4</v>
      </c>
      <c r="G22" s="136">
        <f t="shared" si="5"/>
        <v>5774.3939999999993</v>
      </c>
      <c r="H22" s="137">
        <f t="shared" si="1"/>
        <v>1.9661135457291112E-4</v>
      </c>
      <c r="I22" s="138">
        <f t="shared" si="2"/>
        <v>175.25</v>
      </c>
      <c r="J22" s="62">
        <f>'Billing Detail'!M188</f>
        <v>5949.4285500000005</v>
      </c>
      <c r="K22" s="60">
        <f t="shared" si="3"/>
        <v>1.9660370098517505E-4</v>
      </c>
      <c r="L22" s="62">
        <f>'Billing Detail'!N188</f>
        <v>175.03455000000099</v>
      </c>
      <c r="M22" s="60">
        <f t="shared" si="11"/>
        <v>3.0312193799037788E-2</v>
      </c>
      <c r="N22" s="60">
        <f>'Billing Detail'!O194</f>
        <v>2.891515601376226E-2</v>
      </c>
      <c r="O22" s="64">
        <f t="shared" si="12"/>
        <v>-0.215449999998782</v>
      </c>
      <c r="Q22" s="2"/>
      <c r="R22" s="2"/>
      <c r="S22" s="2"/>
      <c r="T22" s="2"/>
      <c r="U22" s="2"/>
      <c r="V22" s="2"/>
    </row>
    <row r="23" spans="1:22" s="61" customFormat="1" x14ac:dyDescent="0.25">
      <c r="A23" s="3">
        <f t="shared" si="4"/>
        <v>17</v>
      </c>
      <c r="B23" s="61" t="str">
        <f>'Billing Detail'!B197</f>
        <v>Schedule NM - General Service Net Metering</v>
      </c>
      <c r="C23" s="21">
        <f>'Billing Detail'!C197</f>
        <v>28</v>
      </c>
      <c r="D23" s="62">
        <f>'Billing Detail'!G200</f>
        <v>1940.7840000000001</v>
      </c>
      <c r="E23" s="62">
        <f>'Billing Detail'!I200</f>
        <v>1921.9344000000001</v>
      </c>
      <c r="F23" s="60">
        <f t="shared" si="0"/>
        <v>6.543961596390466E-5</v>
      </c>
      <c r="G23" s="136">
        <f t="shared" ref="G23" si="13">E23</f>
        <v>1921.9344000000001</v>
      </c>
      <c r="H23" s="137">
        <f t="shared" si="1"/>
        <v>6.543961596390466E-5</v>
      </c>
      <c r="I23" s="138">
        <f t="shared" ref="I23" si="14">ROUND(L$4*H23,2)</f>
        <v>58.33</v>
      </c>
      <c r="J23" s="62">
        <f>'Billing Detail'!M200</f>
        <v>1980.2179200000003</v>
      </c>
      <c r="K23" s="60">
        <f t="shared" si="3"/>
        <v>6.5437910306388215E-5</v>
      </c>
      <c r="L23" s="62">
        <f>'Billing Detail'!N200</f>
        <v>58.283520000000124</v>
      </c>
      <c r="M23" s="60">
        <f t="shared" ref="M23" si="15">IF(E23=0,0,L23/E23)</f>
        <v>3.0325447112034689E-2</v>
      </c>
      <c r="N23" s="60">
        <f>'Billing Detail'!O206</f>
        <v>3.1355218972958121E-2</v>
      </c>
      <c r="O23" s="64">
        <f t="shared" ref="O23" si="16">J23-I23-E23</f>
        <v>-4.6479999999746724E-2</v>
      </c>
      <c r="Q23" s="2"/>
      <c r="R23" s="2"/>
      <c r="S23" s="2"/>
      <c r="T23" s="2"/>
      <c r="U23" s="2"/>
      <c r="V23" s="2"/>
    </row>
    <row r="24" spans="1:22" s="61" customFormat="1" x14ac:dyDescent="0.25">
      <c r="A24" s="3">
        <f t="shared" si="4"/>
        <v>18</v>
      </c>
      <c r="B24" s="61" t="str">
        <f>'Billing Detail'!B209</f>
        <v>Schedule 11 - Small Commercial TOD</v>
      </c>
      <c r="C24" s="21">
        <f>'Billing Detail'!C209</f>
        <v>11</v>
      </c>
      <c r="D24" s="62">
        <f>'Billing Detail'!G213</f>
        <v>5763.6304700000001</v>
      </c>
      <c r="E24" s="62">
        <f>'Billing Detail'!I213</f>
        <v>5730.5661199999995</v>
      </c>
      <c r="F24" s="60">
        <f t="shared" si="0"/>
        <v>1.951190665761345E-4</v>
      </c>
      <c r="G24" s="136">
        <f t="shared" ref="G24" si="17">E24</f>
        <v>5730.5661199999995</v>
      </c>
      <c r="H24" s="137">
        <f t="shared" si="1"/>
        <v>1.951190665761345E-4</v>
      </c>
      <c r="I24" s="138">
        <f t="shared" ref="I24" si="18">ROUND(L$4*H24,2)</f>
        <v>173.92</v>
      </c>
      <c r="J24" s="62">
        <f>'Billing Detail'!M213</f>
        <v>5903.7694799999999</v>
      </c>
      <c r="K24" s="60">
        <f t="shared" si="3"/>
        <v>1.9509485991412104E-4</v>
      </c>
      <c r="L24" s="62">
        <f>'Billing Detail'!N213</f>
        <v>173.20335999999963</v>
      </c>
      <c r="M24" s="60">
        <f t="shared" ref="M24" si="19">IF(E24=0,0,L24/E24)</f>
        <v>3.0224476321023524E-2</v>
      </c>
      <c r="N24" s="60">
        <f>'Billing Detail'!O219</f>
        <v>2.7614962361783669E-2</v>
      </c>
      <c r="O24" s="64">
        <f t="shared" ref="O24" si="20">J24-I24-E24</f>
        <v>-0.7166399999996429</v>
      </c>
      <c r="Q24" s="2"/>
      <c r="R24" s="2"/>
      <c r="S24" s="2"/>
      <c r="T24" s="2"/>
      <c r="U24" s="2"/>
      <c r="V24" s="2"/>
    </row>
    <row r="25" spans="1:22" s="61" customFormat="1" x14ac:dyDescent="0.25">
      <c r="A25" s="3">
        <f t="shared" si="4"/>
        <v>19</v>
      </c>
      <c r="B25" s="61" t="str">
        <f>'Billing Detail'!B222</f>
        <v>Industrial 14(a) - Large Industrial Service MLF</v>
      </c>
      <c r="C25" s="21">
        <f>'Billing Detail'!C222</f>
        <v>30</v>
      </c>
      <c r="D25" s="62">
        <f>'Billing Detail'!G227</f>
        <v>1818919.0623599999</v>
      </c>
      <c r="E25" s="62">
        <f>'Billing Detail'!I227</f>
        <v>1769715.1317599998</v>
      </c>
      <c r="F25" s="60">
        <f t="shared" si="0"/>
        <v>6.0256728110951813E-2</v>
      </c>
      <c r="G25" s="136">
        <f t="shared" ref="G25" si="21">E25</f>
        <v>1769715.1317599998</v>
      </c>
      <c r="H25" s="137">
        <f t="shared" si="1"/>
        <v>6.0256728110951813E-2</v>
      </c>
      <c r="I25" s="138">
        <f t="shared" ref="I25" si="22">ROUND(L$4*H25,2)</f>
        <v>53711.22</v>
      </c>
      <c r="J25" s="62">
        <f>'Billing Detail'!M227</f>
        <v>1823432.2867999999</v>
      </c>
      <c r="K25" s="60">
        <f t="shared" si="3"/>
        <v>6.0256801652108435E-2</v>
      </c>
      <c r="L25" s="62">
        <f>'Billing Detail'!N227</f>
        <v>53717.155040000034</v>
      </c>
      <c r="M25" s="60">
        <f t="shared" ref="M25" si="23">IF(E25=0,0,L25/E25)</f>
        <v>3.0353560341984404E-2</v>
      </c>
      <c r="N25" s="60">
        <f>'Billing Detail'!O233</f>
        <v>3.0654651331609637E-2</v>
      </c>
      <c r="O25" s="64">
        <f t="shared" ref="O25" si="24">J25-I25-E25</f>
        <v>5.9350400001276284</v>
      </c>
      <c r="Q25" s="2"/>
      <c r="R25" s="2"/>
      <c r="S25" s="2"/>
      <c r="T25" s="2"/>
      <c r="U25" s="2"/>
      <c r="V25" s="2"/>
    </row>
    <row r="26" spans="1:22" s="61" customFormat="1" x14ac:dyDescent="0.25">
      <c r="A26" s="3">
        <f t="shared" si="4"/>
        <v>20</v>
      </c>
      <c r="B26" s="61" t="str">
        <f>'Billing Detail'!B236</f>
        <v>Lighting</v>
      </c>
      <c r="C26" s="21">
        <f>'Billing Detail'!C236</f>
        <v>6</v>
      </c>
      <c r="D26" s="62">
        <f>'Billing Detail'!G243</f>
        <v>688635.95</v>
      </c>
      <c r="E26" s="62">
        <f>'Billing Detail'!I243</f>
        <v>682305.23</v>
      </c>
      <c r="F26" s="60">
        <f t="shared" si="0"/>
        <v>2.3231694183403779E-2</v>
      </c>
      <c r="G26" s="136">
        <f t="shared" si="5"/>
        <v>682305.23</v>
      </c>
      <c r="H26" s="137">
        <f t="shared" si="1"/>
        <v>2.3231694183403779E-2</v>
      </c>
      <c r="I26" s="138">
        <f t="shared" si="2"/>
        <v>20708.099999999999</v>
      </c>
      <c r="J26" s="62">
        <f>'Billing Detail'!M243</f>
        <v>703232.98</v>
      </c>
      <c r="K26" s="60">
        <f t="shared" si="3"/>
        <v>2.3238905276513247E-2</v>
      </c>
      <c r="L26" s="62">
        <f>'Billing Detail'!N249</f>
        <v>20927.75</v>
      </c>
      <c r="M26" s="60">
        <f t="shared" si="6"/>
        <v>3.0672123090717041E-2</v>
      </c>
      <c r="N26" s="60">
        <f>'Billing Detail'!O249</f>
        <v>3.0595298226583054E-2</v>
      </c>
      <c r="O26" s="64">
        <f t="shared" si="7"/>
        <v>219.65000000002328</v>
      </c>
      <c r="Q26" s="2"/>
      <c r="R26" s="2"/>
      <c r="S26" s="2"/>
      <c r="T26" s="2"/>
      <c r="U26" s="2"/>
      <c r="V26" s="2"/>
    </row>
    <row r="27" spans="1:22" s="61" customFormat="1" ht="16.2" customHeight="1" x14ac:dyDescent="0.25">
      <c r="A27" s="3">
        <f t="shared" si="4"/>
        <v>21</v>
      </c>
      <c r="B27" s="65" t="s">
        <v>45</v>
      </c>
      <c r="C27" s="95"/>
      <c r="D27" s="66">
        <f>SUM(D8:D26)</f>
        <v>29822746.23288</v>
      </c>
      <c r="E27" s="66">
        <f>SUM(E8:E26)</f>
        <v>29369585.559</v>
      </c>
      <c r="F27" s="67">
        <f t="shared" si="0"/>
        <v>1</v>
      </c>
      <c r="G27" s="66">
        <f>SUM(G8:G26)</f>
        <v>29369585.559</v>
      </c>
      <c r="H27" s="67">
        <v>1</v>
      </c>
      <c r="I27" s="66">
        <f>SUM(I8:I26)</f>
        <v>891372.96999999986</v>
      </c>
      <c r="J27" s="66">
        <f>SUM(J8:J26)</f>
        <v>30261020.114003953</v>
      </c>
      <c r="K27" s="67">
        <f t="shared" si="3"/>
        <v>1</v>
      </c>
      <c r="L27" s="66">
        <f>J27-E27</f>
        <v>891434.55500395223</v>
      </c>
      <c r="M27" s="67">
        <f t="shared" ref="M27" si="25">L27/E27</f>
        <v>3.035230283427617E-2</v>
      </c>
      <c r="N27" s="67"/>
      <c r="O27" s="68">
        <f t="shared" si="7"/>
        <v>61.585003953427076</v>
      </c>
      <c r="Q27" s="2"/>
      <c r="R27" s="2"/>
      <c r="S27" s="2"/>
      <c r="T27" s="2"/>
      <c r="U27" s="2"/>
      <c r="V27" s="2"/>
    </row>
    <row r="28" spans="1:22" s="61" customFormat="1" ht="16.2" customHeight="1" x14ac:dyDescent="0.25">
      <c r="A28" s="3">
        <f t="shared" si="4"/>
        <v>22</v>
      </c>
      <c r="B28" s="69"/>
      <c r="C28" s="96"/>
      <c r="D28" s="70"/>
      <c r="E28" s="70"/>
      <c r="F28" s="71"/>
      <c r="G28" s="70"/>
      <c r="H28" s="71"/>
      <c r="I28" s="70"/>
      <c r="J28" s="70"/>
      <c r="K28" s="71"/>
      <c r="L28" s="70"/>
      <c r="M28" s="71"/>
      <c r="N28" s="71"/>
      <c r="O28" s="72"/>
      <c r="Q28" s="2"/>
      <c r="R28" s="2"/>
      <c r="S28" s="2"/>
      <c r="T28" s="2"/>
      <c r="U28" s="2"/>
      <c r="V28" s="2"/>
    </row>
    <row r="29" spans="1:22" s="61" customFormat="1" ht="16.2" customHeight="1" x14ac:dyDescent="0.25">
      <c r="A29" s="3">
        <f t="shared" si="4"/>
        <v>23</v>
      </c>
      <c r="B29" s="73" t="s">
        <v>44</v>
      </c>
      <c r="C29" s="97"/>
      <c r="D29" s="74">
        <f>D27</f>
        <v>29822746.23288</v>
      </c>
      <c r="E29" s="74">
        <f t="shared" ref="E29:O29" si="26">E27</f>
        <v>29369585.559</v>
      </c>
      <c r="F29" s="122">
        <f t="shared" si="26"/>
        <v>1</v>
      </c>
      <c r="G29" s="74">
        <f t="shared" si="26"/>
        <v>29369585.559</v>
      </c>
      <c r="H29" s="122">
        <f t="shared" si="26"/>
        <v>1</v>
      </c>
      <c r="I29" s="74">
        <f t="shared" si="26"/>
        <v>891372.96999999986</v>
      </c>
      <c r="J29" s="74">
        <f t="shared" si="26"/>
        <v>30261020.114003953</v>
      </c>
      <c r="K29" s="122">
        <f t="shared" si="26"/>
        <v>1</v>
      </c>
      <c r="L29" s="74">
        <f t="shared" si="26"/>
        <v>891434.55500395223</v>
      </c>
      <c r="M29" s="122">
        <f t="shared" si="26"/>
        <v>3.035230283427617E-2</v>
      </c>
      <c r="N29" s="74"/>
      <c r="O29" s="74">
        <f t="shared" si="26"/>
        <v>61.585003953427076</v>
      </c>
      <c r="Q29" s="2"/>
      <c r="R29" s="2"/>
      <c r="S29" s="2"/>
      <c r="T29" s="2"/>
      <c r="U29" s="2"/>
      <c r="V29" s="2"/>
    </row>
    <row r="30" spans="1:22" s="61" customFormat="1" ht="12.6" customHeight="1" x14ac:dyDescent="0.25">
      <c r="A30" s="3">
        <f t="shared" si="4"/>
        <v>24</v>
      </c>
      <c r="C30" s="21"/>
      <c r="S30" s="62"/>
    </row>
    <row r="31" spans="1:22" s="61" customFormat="1" x14ac:dyDescent="0.25">
      <c r="A31" s="3">
        <f t="shared" si="4"/>
        <v>25</v>
      </c>
      <c r="B31" s="57" t="s">
        <v>7</v>
      </c>
      <c r="C31" s="94"/>
      <c r="D31" s="57"/>
    </row>
    <row r="32" spans="1:22" s="61" customFormat="1" x14ac:dyDescent="0.25">
      <c r="A32" s="3">
        <f t="shared" si="4"/>
        <v>26</v>
      </c>
      <c r="B32" s="61" t="str">
        <f>'Billing Detail'!D11</f>
        <v xml:space="preserve">    FAC</v>
      </c>
      <c r="C32" s="21"/>
      <c r="D32" s="62">
        <f>'Billing Detail'!G254</f>
        <v>-1065393.6000000001</v>
      </c>
      <c r="E32" s="62">
        <f>'Billing Detail'!I254</f>
        <v>-710828.27820000006</v>
      </c>
      <c r="F32" s="75"/>
      <c r="G32" s="76"/>
      <c r="H32" s="76"/>
      <c r="I32" s="76"/>
      <c r="J32" s="62">
        <f>'Billing Detail'!M254</f>
        <v>-710828.27820000006</v>
      </c>
      <c r="K32" s="77"/>
      <c r="L32" s="77"/>
      <c r="M32" s="76"/>
      <c r="N32" s="76"/>
    </row>
    <row r="33" spans="1:14" s="61" customFormat="1" x14ac:dyDescent="0.25">
      <c r="A33" s="3">
        <f t="shared" si="4"/>
        <v>27</v>
      </c>
      <c r="B33" s="61" t="str">
        <f>'Billing Detail'!D12</f>
        <v xml:space="preserve">    ES</v>
      </c>
      <c r="C33" s="21"/>
      <c r="D33" s="62">
        <f>'Billing Detail'!G255</f>
        <v>2256228.4700000002</v>
      </c>
      <c r="E33" s="62">
        <f>'Billing Detail'!I255</f>
        <v>2252776.8000000003</v>
      </c>
      <c r="F33" s="76"/>
      <c r="G33" s="76"/>
      <c r="H33" s="76"/>
      <c r="I33" s="76"/>
      <c r="J33" s="62">
        <f>'Billing Detail'!M255</f>
        <v>2252776.8000000003</v>
      </c>
      <c r="K33" s="77"/>
      <c r="L33" s="77"/>
      <c r="M33" s="76"/>
      <c r="N33" s="76"/>
    </row>
    <row r="34" spans="1:14" s="61" customFormat="1" x14ac:dyDescent="0.25">
      <c r="A34" s="3">
        <f t="shared" si="4"/>
        <v>28</v>
      </c>
      <c r="B34" s="61" t="str">
        <f>'Billing Detail'!D13</f>
        <v xml:space="preserve">    Misc Adj</v>
      </c>
      <c r="C34" s="21"/>
      <c r="D34" s="62">
        <f>'Billing Detail'!G256</f>
        <v>103522.87000000001</v>
      </c>
      <c r="E34" s="62">
        <f>'Billing Detail'!I256</f>
        <v>103522.87000000001</v>
      </c>
      <c r="F34" s="76"/>
      <c r="G34" s="76"/>
      <c r="H34" s="76"/>
      <c r="I34" s="76"/>
      <c r="J34" s="62">
        <f>'Billing Detail'!M256</f>
        <v>103522.87000000001</v>
      </c>
      <c r="K34" s="77"/>
      <c r="L34" s="77"/>
      <c r="M34" s="76"/>
      <c r="N34" s="76"/>
    </row>
    <row r="35" spans="1:14" s="61" customFormat="1" x14ac:dyDescent="0.25">
      <c r="A35" s="3">
        <f t="shared" si="4"/>
        <v>29</v>
      </c>
      <c r="B35" s="61" t="str">
        <f>'Billing Detail'!D14</f>
        <v xml:space="preserve">    Green Power</v>
      </c>
      <c r="C35" s="21"/>
      <c r="D35" s="62">
        <f>'Billing Detail'!G257</f>
        <v>1459.41</v>
      </c>
      <c r="E35" s="62">
        <f>'Billing Detail'!I257</f>
        <v>1426.41</v>
      </c>
      <c r="F35" s="76"/>
      <c r="G35" s="76"/>
      <c r="H35" s="76"/>
      <c r="I35" s="76"/>
      <c r="J35" s="62">
        <f>'Billing Detail'!M257</f>
        <v>1426.41</v>
      </c>
      <c r="K35" s="77"/>
      <c r="L35" s="77"/>
      <c r="M35" s="76"/>
      <c r="N35" s="86"/>
    </row>
    <row r="36" spans="1:14" s="61" customFormat="1" x14ac:dyDescent="0.25">
      <c r="A36" s="3">
        <f t="shared" si="4"/>
        <v>30</v>
      </c>
      <c r="B36" s="65" t="s">
        <v>8</v>
      </c>
      <c r="C36" s="95"/>
      <c r="D36" s="66">
        <f>SUM(D32:D35)</f>
        <v>1295817.1500000001</v>
      </c>
      <c r="E36" s="66">
        <f>SUM(E32:E35)</f>
        <v>1646897.8018000002</v>
      </c>
      <c r="F36" s="78"/>
      <c r="G36" s="78"/>
      <c r="H36" s="78"/>
      <c r="I36" s="78"/>
      <c r="J36" s="66">
        <f>SUM(J32:J35)</f>
        <v>1646897.8018000002</v>
      </c>
      <c r="K36" s="79"/>
      <c r="L36" s="79"/>
      <c r="M36" s="78"/>
      <c r="N36" s="85"/>
    </row>
    <row r="37" spans="1:14" s="61" customFormat="1" x14ac:dyDescent="0.25">
      <c r="A37" s="3">
        <f t="shared" si="4"/>
        <v>31</v>
      </c>
      <c r="C37" s="21"/>
    </row>
    <row r="38" spans="1:14" s="61" customFormat="1" ht="18" customHeight="1" thickBot="1" x14ac:dyDescent="0.3">
      <c r="A38" s="3">
        <f t="shared" si="4"/>
        <v>32</v>
      </c>
      <c r="B38" s="80" t="s">
        <v>9</v>
      </c>
      <c r="C38" s="98"/>
      <c r="D38" s="81">
        <f>D29+D36</f>
        <v>31118563.382879999</v>
      </c>
      <c r="E38" s="81">
        <f>E29+E36</f>
        <v>31016483.360800002</v>
      </c>
      <c r="F38" s="82"/>
      <c r="G38" s="82"/>
      <c r="H38" s="82"/>
      <c r="I38" s="82"/>
      <c r="J38" s="81">
        <f>J29+J36</f>
        <v>31907917.915803954</v>
      </c>
      <c r="K38" s="83"/>
      <c r="L38" s="82">
        <f t="shared" ref="L38" si="27">J38-E38</f>
        <v>891434.55500395223</v>
      </c>
      <c r="M38" s="80"/>
      <c r="N38" s="84">
        <f>L38/E38</f>
        <v>2.8740671359622494E-2</v>
      </c>
    </row>
    <row r="39" spans="1:14" s="61" customFormat="1" ht="18" customHeight="1" thickTop="1" x14ac:dyDescent="0.25">
      <c r="A39" s="3">
        <f t="shared" si="4"/>
        <v>33</v>
      </c>
      <c r="B39" s="61" t="s">
        <v>10</v>
      </c>
      <c r="C39" s="21"/>
      <c r="D39" s="63"/>
      <c r="L39" s="70">
        <f>L4</f>
        <v>891373</v>
      </c>
    </row>
    <row r="40" spans="1:14" s="61" customFormat="1" ht="15" customHeight="1" x14ac:dyDescent="0.25">
      <c r="A40" s="3">
        <f t="shared" si="4"/>
        <v>34</v>
      </c>
      <c r="B40" s="65" t="s">
        <v>40</v>
      </c>
      <c r="C40" s="95"/>
      <c r="D40" s="66"/>
      <c r="E40" s="65"/>
      <c r="F40" s="65"/>
      <c r="G40" s="65"/>
      <c r="H40" s="65"/>
      <c r="I40" s="65"/>
      <c r="J40" s="65"/>
      <c r="K40" s="65"/>
      <c r="L40" s="66">
        <f>L38-L39</f>
        <v>61.555003952234983</v>
      </c>
    </row>
    <row r="41" spans="1:14" s="61" customFormat="1" ht="15" customHeight="1" x14ac:dyDescent="0.25">
      <c r="A41" s="3">
        <f t="shared" si="4"/>
        <v>35</v>
      </c>
      <c r="B41" s="61" t="s">
        <v>40</v>
      </c>
      <c r="C41" s="21"/>
      <c r="D41" s="60"/>
      <c r="L41" s="60">
        <f>L40/L39</f>
        <v>6.9056392724745964E-5</v>
      </c>
    </row>
    <row r="42" spans="1:14" x14ac:dyDescent="0.25">
      <c r="A42" s="3"/>
    </row>
  </sheetData>
  <printOptions horizontalCentered="1"/>
  <pageMargins left="0.7" right="0.7" top="0.75" bottom="0.75" header="0.3" footer="0.3"/>
  <pageSetup scale="68" orientation="landscape" r:id="rId1"/>
  <headerFooter>
    <oddHeader>&amp;R&amp;"Arial,Bold"&amp;10Exhibit 3
Page &amp;P of &amp;N</oddHeader>
  </headerFooter>
  <ignoredErrors>
    <ignoredError sqref="J27 F27 J15:J16 J8:J11 G26 G8:G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T302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P9" sqref="P9"/>
      <selection pane="topRight" activeCell="P9" sqref="P9"/>
      <selection pane="bottomLeft" activeCell="P9" sqref="P9"/>
      <selection pane="bottomRight" activeCell="A23" sqref="A23"/>
    </sheetView>
  </sheetViews>
  <sheetFormatPr defaultColWidth="8.88671875" defaultRowHeight="13.2" x14ac:dyDescent="0.25"/>
  <cols>
    <col min="1" max="1" width="7.44140625" style="6" customWidth="1"/>
    <col min="2" max="2" width="28.33203125" style="2" customWidth="1"/>
    <col min="3" max="3" width="6.6640625" style="21" customWidth="1"/>
    <col min="4" max="4" width="30.44140625" style="2" customWidth="1"/>
    <col min="5" max="5" width="13.33203125" style="135" bestFit="1" customWidth="1"/>
    <col min="6" max="6" width="10" style="135" hidden="1" customWidth="1"/>
    <col min="7" max="7" width="12.6640625" style="135" hidden="1" customWidth="1"/>
    <col min="8" max="8" width="12.21875" style="135" bestFit="1" customWidth="1"/>
    <col min="9" max="9" width="15.33203125" style="135" bestFit="1" customWidth="1"/>
    <col min="10" max="10" width="8.5546875" style="135" bestFit="1" customWidth="1"/>
    <col min="11" max="11" width="12.6640625" style="41" bestFit="1" customWidth="1"/>
    <col min="12" max="12" width="9.88671875" style="135" bestFit="1" customWidth="1"/>
    <col min="13" max="13" width="12.6640625" style="2" bestFit="1" customWidth="1"/>
    <col min="14" max="14" width="10.6640625" style="2" bestFit="1" customWidth="1"/>
    <col min="15" max="15" width="7.5546875" style="2" bestFit="1" customWidth="1"/>
    <col min="16" max="16" width="16.21875" style="2" bestFit="1" customWidth="1"/>
    <col min="17" max="17" width="9.44140625" style="2" bestFit="1" customWidth="1"/>
    <col min="18" max="18" width="9.5546875" style="2" bestFit="1" customWidth="1"/>
    <col min="19" max="19" width="12.44140625" style="2" bestFit="1" customWidth="1"/>
    <col min="20" max="20" width="13.5546875" style="2" bestFit="1" customWidth="1"/>
    <col min="21" max="21" width="8.88671875" style="2" customWidth="1"/>
    <col min="22" max="16384" width="8.88671875" style="2"/>
  </cols>
  <sheetData>
    <row r="1" spans="1:20" x14ac:dyDescent="0.25">
      <c r="A1" s="52" t="str">
        <f>Summary!A1</f>
        <v>GRAYSON RECC</v>
      </c>
      <c r="F1" s="139"/>
      <c r="G1" s="139"/>
    </row>
    <row r="2" spans="1:20" ht="14.4" customHeight="1" x14ac:dyDescent="0.25">
      <c r="A2" s="52" t="str">
        <f>Summary!A2</f>
        <v>Billing Analysis for Pass-Through Rate Increase</v>
      </c>
      <c r="I2" s="153"/>
      <c r="P2" s="37"/>
      <c r="R2" s="41"/>
      <c r="S2" s="41"/>
      <c r="T2" s="41"/>
    </row>
    <row r="3" spans="1:20" x14ac:dyDescent="0.25">
      <c r="R3" s="41"/>
      <c r="S3" s="41"/>
      <c r="T3" s="41"/>
    </row>
    <row r="4" spans="1:20" x14ac:dyDescent="0.25">
      <c r="D4" s="41"/>
      <c r="M4" s="41"/>
      <c r="N4" s="41"/>
      <c r="O4" s="41"/>
      <c r="P4" s="41"/>
      <c r="Q4" s="41"/>
      <c r="R4" s="41"/>
      <c r="S4" s="41"/>
      <c r="T4" s="41"/>
    </row>
    <row r="5" spans="1:20" ht="38.4" customHeight="1" x14ac:dyDescent="0.25">
      <c r="A5" s="23" t="s">
        <v>1</v>
      </c>
      <c r="B5" s="23" t="s">
        <v>12</v>
      </c>
      <c r="C5" s="11" t="s">
        <v>11</v>
      </c>
      <c r="D5" s="23" t="s">
        <v>13</v>
      </c>
      <c r="E5" s="154" t="s">
        <v>14</v>
      </c>
      <c r="F5" s="154" t="s">
        <v>20</v>
      </c>
      <c r="G5" s="154" t="s">
        <v>25</v>
      </c>
      <c r="H5" s="154" t="s">
        <v>26</v>
      </c>
      <c r="I5" s="154" t="s">
        <v>27</v>
      </c>
      <c r="J5" s="154" t="s">
        <v>54</v>
      </c>
      <c r="K5" s="44" t="s">
        <v>10</v>
      </c>
      <c r="L5" s="154" t="s">
        <v>23</v>
      </c>
      <c r="M5" s="13" t="s">
        <v>4</v>
      </c>
      <c r="N5" s="13" t="s">
        <v>15</v>
      </c>
      <c r="O5" s="11" t="s">
        <v>16</v>
      </c>
      <c r="P5" s="13" t="s">
        <v>24</v>
      </c>
      <c r="Q5" s="13" t="s">
        <v>28</v>
      </c>
      <c r="R5" s="13" t="s">
        <v>41</v>
      </c>
      <c r="T5" s="13" t="s">
        <v>37</v>
      </c>
    </row>
    <row r="6" spans="1:20" ht="30.6" customHeight="1" thickBot="1" x14ac:dyDescent="0.3">
      <c r="A6" s="53"/>
      <c r="B6" s="31"/>
      <c r="C6" s="32"/>
      <c r="D6" s="31"/>
      <c r="E6" s="155"/>
      <c r="F6" s="156"/>
      <c r="G6" s="156"/>
      <c r="H6" s="156"/>
      <c r="I6" s="156"/>
      <c r="J6" s="156"/>
      <c r="K6" s="45"/>
      <c r="L6" s="156"/>
      <c r="M6" s="33"/>
      <c r="N6" s="33"/>
      <c r="O6" s="32"/>
      <c r="P6" s="33"/>
      <c r="Q6" s="33"/>
      <c r="R6" s="33"/>
    </row>
    <row r="7" spans="1:20" x14ac:dyDescent="0.25">
      <c r="A7" s="54">
        <v>1</v>
      </c>
      <c r="B7" s="34" t="s">
        <v>91</v>
      </c>
      <c r="C7" s="35">
        <v>1</v>
      </c>
      <c r="D7" s="34"/>
      <c r="E7" s="149"/>
      <c r="F7" s="149"/>
      <c r="G7" s="149"/>
      <c r="H7" s="149"/>
      <c r="I7" s="149"/>
      <c r="J7" s="149"/>
      <c r="K7" s="46"/>
      <c r="L7" s="149"/>
      <c r="M7" s="34"/>
      <c r="N7" s="34"/>
      <c r="O7" s="34"/>
      <c r="P7" s="34"/>
      <c r="Q7" s="34"/>
      <c r="R7" s="34"/>
    </row>
    <row r="8" spans="1:20" x14ac:dyDescent="0.25">
      <c r="A8" s="54">
        <f>A7+1</f>
        <v>2</v>
      </c>
      <c r="C8" s="2"/>
      <c r="D8" s="2" t="s">
        <v>17</v>
      </c>
      <c r="E8" s="157">
        <v>129775</v>
      </c>
      <c r="F8" s="139">
        <f>H8</f>
        <v>21.25</v>
      </c>
      <c r="G8" s="124">
        <f>F8*E8</f>
        <v>2757718.75</v>
      </c>
      <c r="H8" s="139">
        <v>21.25</v>
      </c>
      <c r="I8" s="124">
        <f>H8*E8</f>
        <v>2757718.75</v>
      </c>
      <c r="J8" s="152">
        <f>I8/I10</f>
        <v>0.14762885650051047</v>
      </c>
      <c r="K8" s="47"/>
      <c r="L8" s="139">
        <f>ROUND(H8*S10,2)</f>
        <v>21.89</v>
      </c>
      <c r="M8" s="5">
        <f>L8*E8</f>
        <v>2840774.75</v>
      </c>
      <c r="N8" s="5">
        <f t="shared" ref="N8:N13" si="0">M8-I8</f>
        <v>83056</v>
      </c>
      <c r="O8" s="4">
        <f>IF(I8=0,0,N8/I8)</f>
        <v>3.011764705882353E-2</v>
      </c>
      <c r="P8" s="4">
        <f>M8/M10</f>
        <v>0.14759960655847451</v>
      </c>
      <c r="Q8" s="16">
        <f>P8-J8</f>
        <v>-2.924994203595821E-5</v>
      </c>
      <c r="R8" s="16"/>
      <c r="T8" s="4">
        <f>L8/H8-1</f>
        <v>3.0117647058823582E-2</v>
      </c>
    </row>
    <row r="9" spans="1:20" x14ac:dyDescent="0.25">
      <c r="A9" s="54">
        <f t="shared" ref="A9:A75" si="1">A8+1</f>
        <v>3</v>
      </c>
      <c r="B9" s="17"/>
      <c r="D9" s="2" t="s">
        <v>52</v>
      </c>
      <c r="E9" s="157">
        <v>149646246</v>
      </c>
      <c r="F9" s="140">
        <f>H9+0.00165</f>
        <v>0.10804999999999999</v>
      </c>
      <c r="G9" s="124">
        <f t="shared" ref="G9" si="2">F9*E9</f>
        <v>16169276.880299998</v>
      </c>
      <c r="H9" s="140">
        <v>0.10639999999999999</v>
      </c>
      <c r="I9" s="124">
        <f t="shared" ref="I9" si="3">H9*E9</f>
        <v>15922360.574399998</v>
      </c>
      <c r="J9" s="152">
        <f>I9/I10</f>
        <v>0.85237114349948939</v>
      </c>
      <c r="K9" s="47"/>
      <c r="L9" s="171">
        <f>ROUND(H9*S10,5)</f>
        <v>0.10963000000000001</v>
      </c>
      <c r="M9" s="5">
        <f t="shared" ref="M9" si="4">L9*E9</f>
        <v>16405717.94898</v>
      </c>
      <c r="N9" s="5">
        <f t="shared" si="0"/>
        <v>483357.37458000146</v>
      </c>
      <c r="O9" s="4">
        <f t="shared" ref="O9" si="5">IF(I9=0,0,N9/I9)</f>
        <v>3.0357142857142951E-2</v>
      </c>
      <c r="P9" s="4">
        <f>M9/M10</f>
        <v>0.85240039344152552</v>
      </c>
      <c r="Q9" s="16">
        <f t="shared" ref="Q9:Q10" si="6">P9-J9</f>
        <v>2.9249942036124743E-5</v>
      </c>
      <c r="R9" s="16"/>
      <c r="T9" s="4">
        <f>L9/H9-1</f>
        <v>3.0357142857142971E-2</v>
      </c>
    </row>
    <row r="10" spans="1:20" s="6" customFormat="1" ht="20.399999999999999" customHeight="1" x14ac:dyDescent="0.3">
      <c r="A10" s="54">
        <f t="shared" si="1"/>
        <v>4</v>
      </c>
      <c r="C10" s="22"/>
      <c r="D10" s="24" t="s">
        <v>6</v>
      </c>
      <c r="E10" s="141"/>
      <c r="F10" s="141"/>
      <c r="G10" s="25">
        <f>SUM(G8:G9)</f>
        <v>18926995.6303</v>
      </c>
      <c r="H10" s="141"/>
      <c r="I10" s="25">
        <f>SUM(I8:I9)</f>
        <v>18680079.3244</v>
      </c>
      <c r="J10" s="158">
        <f>SUM(J8:J9)</f>
        <v>0.99999999999999989</v>
      </c>
      <c r="K10" s="48">
        <f>I10+Summary!I8</f>
        <v>19247023.5944</v>
      </c>
      <c r="L10" s="141"/>
      <c r="M10" s="25">
        <f>SUM(M8:M9)</f>
        <v>19246492.69898</v>
      </c>
      <c r="N10" s="25">
        <f>SUM(N8:N9)</f>
        <v>566413.37458000146</v>
      </c>
      <c r="O10" s="26">
        <f t="shared" ref="O10" si="7">N10/I10</f>
        <v>3.0321786366300375E-2</v>
      </c>
      <c r="P10" s="26">
        <f>SUM(P8:P9)</f>
        <v>1</v>
      </c>
      <c r="Q10" s="27">
        <f t="shared" si="6"/>
        <v>0</v>
      </c>
      <c r="R10" s="40">
        <f>M10-K10</f>
        <v>-530.89541999995708</v>
      </c>
      <c r="S10" s="99">
        <f>K10/I10</f>
        <v>1.0303502067713093</v>
      </c>
    </row>
    <row r="11" spans="1:20" x14ac:dyDescent="0.25">
      <c r="A11" s="54">
        <f t="shared" si="1"/>
        <v>5</v>
      </c>
      <c r="D11" s="2" t="s">
        <v>29</v>
      </c>
      <c r="G11" s="124">
        <v>-717347.16</v>
      </c>
      <c r="I11" s="142">
        <f>G11+(0.00165*E9)</f>
        <v>-470430.8541</v>
      </c>
      <c r="K11" s="56"/>
      <c r="M11" s="5">
        <f>I11</f>
        <v>-470430.8541</v>
      </c>
      <c r="N11" s="5">
        <f t="shared" si="0"/>
        <v>0</v>
      </c>
      <c r="O11" s="17">
        <v>0</v>
      </c>
      <c r="R11" s="42"/>
    </row>
    <row r="12" spans="1:20" x14ac:dyDescent="0.25">
      <c r="A12" s="54">
        <f t="shared" si="1"/>
        <v>6</v>
      </c>
      <c r="D12" s="2" t="s">
        <v>30</v>
      </c>
      <c r="G12" s="124">
        <v>1566512.29</v>
      </c>
      <c r="I12" s="142">
        <f>G12</f>
        <v>1566512.29</v>
      </c>
      <c r="M12" s="5">
        <f t="shared" ref="M12:M14" si="8">I12</f>
        <v>1566512.29</v>
      </c>
      <c r="N12" s="5">
        <f t="shared" si="0"/>
        <v>0</v>
      </c>
      <c r="O12" s="17">
        <v>0</v>
      </c>
    </row>
    <row r="13" spans="1:20" x14ac:dyDescent="0.25">
      <c r="A13" s="54">
        <f t="shared" si="1"/>
        <v>7</v>
      </c>
      <c r="D13" s="2" t="s">
        <v>32</v>
      </c>
      <c r="G13" s="124">
        <v>0</v>
      </c>
      <c r="I13" s="142">
        <f>G13</f>
        <v>0</v>
      </c>
      <c r="M13" s="5">
        <f t="shared" si="8"/>
        <v>0</v>
      </c>
      <c r="N13" s="5">
        <f t="shared" si="0"/>
        <v>0</v>
      </c>
      <c r="O13" s="17">
        <v>0</v>
      </c>
    </row>
    <row r="14" spans="1:20" x14ac:dyDescent="0.25">
      <c r="A14" s="54">
        <f t="shared" si="1"/>
        <v>8</v>
      </c>
      <c r="D14" s="2" t="s">
        <v>92</v>
      </c>
      <c r="G14" s="124">
        <v>1335.66</v>
      </c>
      <c r="I14" s="142">
        <f>G14</f>
        <v>1335.66</v>
      </c>
      <c r="M14" s="5">
        <f t="shared" si="8"/>
        <v>1335.66</v>
      </c>
      <c r="N14" s="5"/>
      <c r="O14" s="17">
        <v>0</v>
      </c>
    </row>
    <row r="15" spans="1:20" x14ac:dyDescent="0.25">
      <c r="A15" s="54">
        <f t="shared" si="1"/>
        <v>9</v>
      </c>
      <c r="D15" s="18" t="s">
        <v>8</v>
      </c>
      <c r="E15" s="144"/>
      <c r="F15" s="144"/>
      <c r="G15" s="143">
        <f>SUM(G11:G14)</f>
        <v>850500.79</v>
      </c>
      <c r="H15" s="144"/>
      <c r="I15" s="143">
        <f>SUM(I11:I14)</f>
        <v>1097417.0958999998</v>
      </c>
      <c r="J15" s="144"/>
      <c r="K15" s="49"/>
      <c r="L15" s="144"/>
      <c r="M15" s="19">
        <f>SUM(M11:M14)</f>
        <v>1097417.0958999998</v>
      </c>
      <c r="N15" s="19">
        <f>M15-I15</f>
        <v>0</v>
      </c>
      <c r="O15" s="28">
        <v>0</v>
      </c>
    </row>
    <row r="16" spans="1:20" s="6" customFormat="1" ht="26.4" customHeight="1" thickBot="1" x14ac:dyDescent="0.3">
      <c r="A16" s="54">
        <f t="shared" si="1"/>
        <v>10</v>
      </c>
      <c r="C16" s="22"/>
      <c r="D16" s="7" t="s">
        <v>19</v>
      </c>
      <c r="E16" s="146"/>
      <c r="F16" s="146"/>
      <c r="G16" s="145">
        <f>G10+G15</f>
        <v>19777496.420299999</v>
      </c>
      <c r="H16" s="146"/>
      <c r="I16" s="147">
        <f>I15+I10</f>
        <v>19777496.420299999</v>
      </c>
      <c r="J16" s="146"/>
      <c r="K16" s="50"/>
      <c r="L16" s="146"/>
      <c r="M16" s="8">
        <f>M15+M10</f>
        <v>20343909.794879999</v>
      </c>
      <c r="N16" s="8">
        <f>M16-I16</f>
        <v>566413.3745799996</v>
      </c>
      <c r="O16" s="9">
        <f>N16/I16</f>
        <v>2.863928591075977E-2</v>
      </c>
      <c r="P16" s="2"/>
      <c r="Q16" s="2"/>
      <c r="R16" s="2"/>
    </row>
    <row r="17" spans="1:20" ht="13.8" thickTop="1" x14ac:dyDescent="0.25">
      <c r="A17" s="54">
        <f t="shared" si="1"/>
        <v>11</v>
      </c>
      <c r="D17" s="2" t="s">
        <v>18</v>
      </c>
      <c r="E17" s="139">
        <f>E9/E8</f>
        <v>1153.1207551531497</v>
      </c>
      <c r="G17" s="148">
        <f>G16/E8</f>
        <v>152.39835423078404</v>
      </c>
      <c r="I17" s="148">
        <f>I16/E8</f>
        <v>152.39835423078404</v>
      </c>
      <c r="M17" s="15">
        <f>M16/E8</f>
        <v>156.76293426992871</v>
      </c>
      <c r="N17" s="15">
        <f>M17-I17</f>
        <v>4.3645800391446699</v>
      </c>
      <c r="O17" s="4">
        <f>N17/I17</f>
        <v>2.863928591075977E-2</v>
      </c>
    </row>
    <row r="18" spans="1:20" ht="13.8" thickBot="1" x14ac:dyDescent="0.3">
      <c r="A18" s="54">
        <f t="shared" si="1"/>
        <v>12</v>
      </c>
    </row>
    <row r="19" spans="1:20" x14ac:dyDescent="0.25">
      <c r="A19" s="54">
        <f t="shared" si="1"/>
        <v>13</v>
      </c>
      <c r="B19" s="34" t="s">
        <v>97</v>
      </c>
      <c r="C19" s="35" t="s">
        <v>98</v>
      </c>
      <c r="D19" s="34"/>
      <c r="E19" s="149"/>
      <c r="F19" s="149"/>
      <c r="G19" s="149"/>
      <c r="H19" s="149"/>
      <c r="I19" s="149"/>
      <c r="J19" s="149"/>
      <c r="K19" s="46"/>
      <c r="L19" s="149"/>
      <c r="M19" s="34"/>
      <c r="N19" s="34"/>
      <c r="O19" s="34"/>
      <c r="P19" s="34"/>
      <c r="Q19" s="34"/>
      <c r="R19" s="34"/>
    </row>
    <row r="20" spans="1:20" x14ac:dyDescent="0.25">
      <c r="A20" s="54">
        <f t="shared" si="1"/>
        <v>14</v>
      </c>
      <c r="C20" s="2"/>
      <c r="D20" s="2" t="s">
        <v>94</v>
      </c>
      <c r="E20" s="157">
        <v>225</v>
      </c>
      <c r="F20" s="139">
        <f>F8</f>
        <v>21.25</v>
      </c>
      <c r="G20" s="124">
        <f>F20*E20</f>
        <v>4781.25</v>
      </c>
      <c r="H20" s="139">
        <v>0</v>
      </c>
      <c r="I20" s="124">
        <f>H20*E20</f>
        <v>0</v>
      </c>
      <c r="J20" s="152">
        <v>0</v>
      </c>
      <c r="K20" s="47"/>
      <c r="L20" s="139">
        <v>0</v>
      </c>
      <c r="M20" s="5">
        <f>L20*E20</f>
        <v>0</v>
      </c>
      <c r="N20" s="5">
        <f>M20-I20</f>
        <v>0</v>
      </c>
      <c r="O20" s="4">
        <f>IF(I20=0,0,N20/I20)</f>
        <v>0</v>
      </c>
      <c r="P20" s="4">
        <v>0</v>
      </c>
      <c r="Q20" s="16">
        <f>P20-J20</f>
        <v>0</v>
      </c>
      <c r="R20" s="16"/>
    </row>
    <row r="21" spans="1:20" x14ac:dyDescent="0.25">
      <c r="A21" s="54">
        <f>A19+1</f>
        <v>14</v>
      </c>
      <c r="B21" s="151" t="s">
        <v>119</v>
      </c>
      <c r="C21" s="2"/>
      <c r="D21" s="2" t="s">
        <v>95</v>
      </c>
      <c r="E21" s="157">
        <v>6</v>
      </c>
      <c r="F21" s="139">
        <f>F34</f>
        <v>30</v>
      </c>
      <c r="G21" s="124">
        <f>F21*E21</f>
        <v>180</v>
      </c>
      <c r="H21" s="139">
        <v>0</v>
      </c>
      <c r="I21" s="124">
        <f>H21*E21</f>
        <v>0</v>
      </c>
      <c r="J21" s="152">
        <v>0</v>
      </c>
      <c r="K21" s="47"/>
      <c r="L21" s="139">
        <v>0</v>
      </c>
      <c r="M21" s="5">
        <f>L21*E21</f>
        <v>0</v>
      </c>
      <c r="N21" s="5">
        <f>M21-I21</f>
        <v>0</v>
      </c>
      <c r="O21" s="4">
        <f>IF(I21=0,0,N21/I21)</f>
        <v>0</v>
      </c>
      <c r="P21" s="4">
        <v>0</v>
      </c>
      <c r="Q21" s="16">
        <f>P21-J21</f>
        <v>0</v>
      </c>
      <c r="R21" s="16"/>
    </row>
    <row r="22" spans="1:20" x14ac:dyDescent="0.25">
      <c r="A22" s="54">
        <f>A20+1</f>
        <v>15</v>
      </c>
      <c r="B22" s="151" t="s">
        <v>93</v>
      </c>
      <c r="C22" s="2"/>
      <c r="D22" s="2" t="s">
        <v>96</v>
      </c>
      <c r="E22" s="157">
        <v>9</v>
      </c>
      <c r="F22" s="139">
        <f>F124</f>
        <v>27.5</v>
      </c>
      <c r="G22" s="124">
        <f>F22*E22</f>
        <v>247.5</v>
      </c>
      <c r="H22" s="139">
        <v>0</v>
      </c>
      <c r="I22" s="124">
        <f>H22*E22</f>
        <v>0</v>
      </c>
      <c r="J22" s="152">
        <v>0</v>
      </c>
      <c r="K22" s="47"/>
      <c r="L22" s="139">
        <v>0</v>
      </c>
      <c r="M22" s="5">
        <f>L22*E22</f>
        <v>0</v>
      </c>
      <c r="N22" s="5">
        <f>M22-I22</f>
        <v>0</v>
      </c>
      <c r="O22" s="4">
        <f>IF(I22=0,0,N22/I22)</f>
        <v>0</v>
      </c>
      <c r="P22" s="4">
        <v>0</v>
      </c>
      <c r="Q22" s="16">
        <f>P22-J22</f>
        <v>0</v>
      </c>
      <c r="R22" s="16"/>
    </row>
    <row r="23" spans="1:20" x14ac:dyDescent="0.25">
      <c r="A23" s="54">
        <f>A20+1</f>
        <v>15</v>
      </c>
      <c r="D23" s="2" t="s">
        <v>80</v>
      </c>
      <c r="E23" s="157">
        <f>425296+15217+6988</f>
        <v>447501</v>
      </c>
      <c r="F23" s="140">
        <v>5.9729999999999998E-2</v>
      </c>
      <c r="G23" s="124">
        <f t="shared" ref="G23" si="9">F23*E23</f>
        <v>26729.23473</v>
      </c>
      <c r="H23" s="150">
        <v>0</v>
      </c>
      <c r="I23" s="124">
        <f t="shared" ref="I23" si="10">H23*E23</f>
        <v>0</v>
      </c>
      <c r="J23" s="152">
        <v>0</v>
      </c>
      <c r="K23" s="47"/>
      <c r="L23" s="173">
        <v>0</v>
      </c>
      <c r="M23" s="5">
        <f t="shared" ref="M23" si="11">L23*E23</f>
        <v>0</v>
      </c>
      <c r="N23" s="5">
        <f t="shared" ref="N23" si="12">M23-I23</f>
        <v>0</v>
      </c>
      <c r="O23" s="4">
        <f t="shared" ref="O23" si="13">IF(I23=0,0,N23/I23)</f>
        <v>0</v>
      </c>
      <c r="P23" s="4">
        <v>0</v>
      </c>
      <c r="Q23" s="16">
        <f t="shared" ref="Q23" si="14">P23-J23</f>
        <v>0</v>
      </c>
      <c r="R23" s="16"/>
      <c r="T23" s="4" t="e">
        <f>L23/H23-1</f>
        <v>#DIV/0!</v>
      </c>
    </row>
    <row r="24" spans="1:20" s="6" customFormat="1" ht="20.399999999999999" customHeight="1" x14ac:dyDescent="0.3">
      <c r="A24" s="54">
        <f t="shared" si="1"/>
        <v>16</v>
      </c>
      <c r="C24" s="22"/>
      <c r="D24" s="24" t="s">
        <v>6</v>
      </c>
      <c r="E24" s="141"/>
      <c r="F24" s="141"/>
      <c r="G24" s="25">
        <f>SUM(G20:G23)</f>
        <v>31937.98473</v>
      </c>
      <c r="H24" s="141"/>
      <c r="I24" s="25">
        <f>SUM(I20:I23)</f>
        <v>0</v>
      </c>
      <c r="J24" s="158">
        <f>SUM(J20:J23)</f>
        <v>0</v>
      </c>
      <c r="K24" s="48">
        <f>I24+Summary!I9</f>
        <v>0</v>
      </c>
      <c r="L24" s="141"/>
      <c r="M24" s="25">
        <f>SUM(M20:M23)</f>
        <v>0</v>
      </c>
      <c r="N24" s="25">
        <f>SUM(N20:N23)</f>
        <v>0</v>
      </c>
      <c r="O24" s="26">
        <v>0</v>
      </c>
      <c r="P24" s="26">
        <f>SUM(P20:P23)</f>
        <v>0</v>
      </c>
      <c r="Q24" s="27">
        <f t="shared" ref="Q24" si="15">P24-J24</f>
        <v>0</v>
      </c>
      <c r="R24" s="40">
        <f>M24-K24</f>
        <v>0</v>
      </c>
      <c r="S24" s="89">
        <v>0</v>
      </c>
    </row>
    <row r="25" spans="1:20" x14ac:dyDescent="0.25">
      <c r="A25" s="54">
        <f t="shared" si="1"/>
        <v>17</v>
      </c>
      <c r="D25" s="2" t="s">
        <v>29</v>
      </c>
      <c r="G25" s="124">
        <f>1496.61+53.17+32.27</f>
        <v>1582.05</v>
      </c>
      <c r="I25" s="142">
        <v>0</v>
      </c>
      <c r="K25" s="56"/>
      <c r="M25" s="5">
        <f>I25</f>
        <v>0</v>
      </c>
      <c r="N25" s="5">
        <f t="shared" ref="N25:N30" si="16">M25-I25</f>
        <v>0</v>
      </c>
      <c r="O25" s="17">
        <v>0</v>
      </c>
    </row>
    <row r="26" spans="1:20" x14ac:dyDescent="0.25">
      <c r="A26" s="54">
        <f t="shared" si="1"/>
        <v>18</v>
      </c>
      <c r="D26" s="2" t="s">
        <v>30</v>
      </c>
      <c r="G26" s="124">
        <f>3263.44+112.17+76.06</f>
        <v>3451.67</v>
      </c>
      <c r="I26" s="142">
        <v>0</v>
      </c>
      <c r="M26" s="5">
        <f t="shared" ref="M26:M28" si="17">I26</f>
        <v>0</v>
      </c>
      <c r="N26" s="5">
        <f t="shared" si="16"/>
        <v>0</v>
      </c>
      <c r="O26" s="17">
        <v>0</v>
      </c>
    </row>
    <row r="27" spans="1:20" x14ac:dyDescent="0.25">
      <c r="A27" s="54">
        <f t="shared" si="1"/>
        <v>19</v>
      </c>
      <c r="D27" s="2" t="s">
        <v>32</v>
      </c>
      <c r="G27" s="124">
        <v>0</v>
      </c>
      <c r="I27" s="142">
        <f t="shared" ref="I27" si="18">G27</f>
        <v>0</v>
      </c>
      <c r="M27" s="5">
        <f t="shared" si="17"/>
        <v>0</v>
      </c>
      <c r="N27" s="5">
        <f t="shared" si="16"/>
        <v>0</v>
      </c>
      <c r="O27" s="17">
        <v>0</v>
      </c>
    </row>
    <row r="28" spans="1:20" x14ac:dyDescent="0.25">
      <c r="A28" s="54">
        <f t="shared" si="1"/>
        <v>20</v>
      </c>
      <c r="D28" s="2" t="s">
        <v>92</v>
      </c>
      <c r="G28" s="124">
        <v>33</v>
      </c>
      <c r="I28" s="142">
        <v>0</v>
      </c>
      <c r="M28" s="5">
        <f t="shared" si="17"/>
        <v>0</v>
      </c>
      <c r="N28" s="5"/>
      <c r="O28" s="17"/>
    </row>
    <row r="29" spans="1:20" x14ac:dyDescent="0.25">
      <c r="A29" s="54">
        <f t="shared" si="1"/>
        <v>21</v>
      </c>
      <c r="D29" s="18" t="s">
        <v>8</v>
      </c>
      <c r="E29" s="144"/>
      <c r="F29" s="144"/>
      <c r="G29" s="143">
        <f>SUM(G25:G28)</f>
        <v>5066.72</v>
      </c>
      <c r="H29" s="144"/>
      <c r="I29" s="143">
        <f>SUM(I25:I28)</f>
        <v>0</v>
      </c>
      <c r="J29" s="144"/>
      <c r="K29" s="49"/>
      <c r="L29" s="144"/>
      <c r="M29" s="19">
        <f>SUM(M25:M28)</f>
        <v>0</v>
      </c>
      <c r="N29" s="19">
        <f t="shared" si="16"/>
        <v>0</v>
      </c>
      <c r="O29" s="28">
        <f t="shared" ref="O29" si="19">N29-J29</f>
        <v>0</v>
      </c>
    </row>
    <row r="30" spans="1:20" s="6" customFormat="1" ht="26.4" customHeight="1" thickBot="1" x14ac:dyDescent="0.3">
      <c r="A30" s="54">
        <f t="shared" si="1"/>
        <v>22</v>
      </c>
      <c r="C30" s="22"/>
      <c r="D30" s="7" t="s">
        <v>19</v>
      </c>
      <c r="E30" s="146"/>
      <c r="F30" s="146"/>
      <c r="G30" s="145">
        <f>G24+G29</f>
        <v>37004.704729999998</v>
      </c>
      <c r="H30" s="146"/>
      <c r="I30" s="147">
        <f>I29+I24</f>
        <v>0</v>
      </c>
      <c r="J30" s="146"/>
      <c r="K30" s="50"/>
      <c r="L30" s="146"/>
      <c r="M30" s="8">
        <f>M29+M24</f>
        <v>0</v>
      </c>
      <c r="N30" s="8">
        <f t="shared" si="16"/>
        <v>0</v>
      </c>
      <c r="O30" s="9">
        <v>0</v>
      </c>
      <c r="P30" s="2"/>
      <c r="Q30" s="2"/>
      <c r="R30" s="2"/>
    </row>
    <row r="31" spans="1:20" ht="13.8" thickTop="1" x14ac:dyDescent="0.25">
      <c r="A31" s="54">
        <f t="shared" si="1"/>
        <v>23</v>
      </c>
      <c r="D31" s="2" t="s">
        <v>18</v>
      </c>
      <c r="E31" s="139">
        <f>E23/E20</f>
        <v>1988.8933333333334</v>
      </c>
      <c r="G31" s="148">
        <f>G30/E20</f>
        <v>164.46535435555555</v>
      </c>
      <c r="I31" s="148">
        <f>I30/E20</f>
        <v>0</v>
      </c>
      <c r="M31" s="15">
        <f>M30/E20</f>
        <v>0</v>
      </c>
      <c r="N31" s="15">
        <f>M31-I31</f>
        <v>0</v>
      </c>
      <c r="O31" s="4">
        <v>0</v>
      </c>
    </row>
    <row r="32" spans="1:20" ht="13.8" thickBot="1" x14ac:dyDescent="0.3">
      <c r="A32" s="54">
        <f t="shared" si="1"/>
        <v>24</v>
      </c>
    </row>
    <row r="33" spans="1:20" x14ac:dyDescent="0.25">
      <c r="A33" s="54">
        <f t="shared" si="1"/>
        <v>25</v>
      </c>
      <c r="B33" s="34" t="s">
        <v>72</v>
      </c>
      <c r="C33" s="35">
        <v>2</v>
      </c>
      <c r="D33" s="34"/>
      <c r="E33" s="149"/>
      <c r="F33" s="149"/>
      <c r="G33" s="149"/>
      <c r="H33" s="149"/>
      <c r="I33" s="149"/>
      <c r="J33" s="149"/>
      <c r="K33" s="46"/>
      <c r="L33" s="149"/>
      <c r="M33" s="34"/>
      <c r="N33" s="34"/>
      <c r="O33" s="34"/>
      <c r="P33" s="34"/>
      <c r="Q33" s="34"/>
      <c r="R33" s="34"/>
    </row>
    <row r="34" spans="1:20" x14ac:dyDescent="0.25">
      <c r="A34" s="54">
        <f t="shared" si="1"/>
        <v>26</v>
      </c>
      <c r="C34" s="2"/>
      <c r="D34" s="2" t="s">
        <v>17</v>
      </c>
      <c r="E34" s="157">
        <v>13300</v>
      </c>
      <c r="F34" s="139">
        <f>H34</f>
        <v>30</v>
      </c>
      <c r="G34" s="124">
        <f>F34*E34</f>
        <v>399000</v>
      </c>
      <c r="H34" s="139">
        <v>30</v>
      </c>
      <c r="I34" s="124">
        <f>H34*E34</f>
        <v>399000</v>
      </c>
      <c r="J34" s="152">
        <f>I34/I36</f>
        <v>0.18549359003403784</v>
      </c>
      <c r="K34" s="47"/>
      <c r="L34" s="139">
        <f>ROUND(H34*S36,2)</f>
        <v>30.91</v>
      </c>
      <c r="M34" s="5">
        <f>L34*E34</f>
        <v>411103</v>
      </c>
      <c r="N34" s="5">
        <f>M34-I34</f>
        <v>12103</v>
      </c>
      <c r="O34" s="4">
        <f>IF(I34=0,0,N34/I34)</f>
        <v>3.0333333333333334E-2</v>
      </c>
      <c r="P34" s="4">
        <f>M34/M$36</f>
        <v>0.18549009872576039</v>
      </c>
      <c r="Q34" s="16">
        <f>P34-J34</f>
        <v>-3.4913082774534754E-6</v>
      </c>
      <c r="R34" s="16"/>
      <c r="T34" s="4">
        <f>L34/H34-1</f>
        <v>3.0333333333333323E-2</v>
      </c>
    </row>
    <row r="35" spans="1:20" x14ac:dyDescent="0.25">
      <c r="A35" s="54">
        <f t="shared" si="1"/>
        <v>27</v>
      </c>
      <c r="D35" s="2" t="s">
        <v>52</v>
      </c>
      <c r="E35" s="157">
        <v>16466332</v>
      </c>
      <c r="F35" s="140">
        <f>H35+0.00165</f>
        <v>0.10804999999999999</v>
      </c>
      <c r="G35" s="124">
        <f t="shared" ref="G35" si="20">F35*E35</f>
        <v>1779187.1725999999</v>
      </c>
      <c r="H35" s="150">
        <v>0.10639999999999999</v>
      </c>
      <c r="I35" s="124">
        <f t="shared" ref="I35" si="21">H35*E35</f>
        <v>1752017.7248</v>
      </c>
      <c r="J35" s="152">
        <f>I35/I36</f>
        <v>0.81450640996596213</v>
      </c>
      <c r="K35" s="47"/>
      <c r="L35" s="173">
        <f>ROUND(H35*S36,5)</f>
        <v>0.10963000000000001</v>
      </c>
      <c r="M35" s="5">
        <f t="shared" ref="M35" si="22">L35*E35</f>
        <v>1805203.97716</v>
      </c>
      <c r="N35" s="5">
        <f t="shared" ref="N35" si="23">M35-I35</f>
        <v>53186.252360000042</v>
      </c>
      <c r="O35" s="4">
        <f t="shared" ref="O35" si="24">IF(I35=0,0,N35/I35)</f>
        <v>3.0357142857142881E-2</v>
      </c>
      <c r="P35" s="4">
        <f>M35/M$36</f>
        <v>0.8145099012742395</v>
      </c>
      <c r="Q35" s="16">
        <f t="shared" ref="Q35" si="25">P35-J35</f>
        <v>3.4913082773702087E-6</v>
      </c>
      <c r="R35" s="16"/>
      <c r="T35" s="4">
        <f>L35/H35-1</f>
        <v>3.0357142857142971E-2</v>
      </c>
    </row>
    <row r="36" spans="1:20" s="6" customFormat="1" ht="20.399999999999999" customHeight="1" x14ac:dyDescent="0.3">
      <c r="A36" s="54">
        <f t="shared" si="1"/>
        <v>28</v>
      </c>
      <c r="C36" s="22"/>
      <c r="D36" s="24" t="s">
        <v>6</v>
      </c>
      <c r="E36" s="141"/>
      <c r="F36" s="141"/>
      <c r="G36" s="25">
        <f>SUM(G34:G35)</f>
        <v>2178187.1726000002</v>
      </c>
      <c r="H36" s="141"/>
      <c r="I36" s="25">
        <f>SUM(I34:I35)</f>
        <v>2151017.7248</v>
      </c>
      <c r="J36" s="158">
        <f>SUM(J34:J35)</f>
        <v>1</v>
      </c>
      <c r="K36" s="48">
        <f>I36+Summary!I10</f>
        <v>2216301.5548</v>
      </c>
      <c r="L36" s="141"/>
      <c r="M36" s="25">
        <f>SUM(M34:M35)</f>
        <v>2216306.9771600002</v>
      </c>
      <c r="N36" s="25">
        <f>SUM(N34:N35)</f>
        <v>65289.252360000042</v>
      </c>
      <c r="O36" s="26">
        <f t="shared" ref="O36" si="26">N36/I36</f>
        <v>3.0352726343094449E-2</v>
      </c>
      <c r="P36" s="26">
        <f>SUM(P34:P35)</f>
        <v>0.99999999999999989</v>
      </c>
      <c r="Q36" s="27">
        <f t="shared" ref="Q36" si="27">P36-J36</f>
        <v>0</v>
      </c>
      <c r="R36" s="40">
        <f>M36-K36</f>
        <v>5.4223600002005696</v>
      </c>
      <c r="S36" s="99">
        <f>K36/I36</f>
        <v>1.0303502055084508</v>
      </c>
    </row>
    <row r="37" spans="1:20" x14ac:dyDescent="0.25">
      <c r="A37" s="54">
        <f t="shared" si="1"/>
        <v>29</v>
      </c>
      <c r="D37" s="2" t="s">
        <v>29</v>
      </c>
      <c r="G37" s="124">
        <v>-84190.39</v>
      </c>
      <c r="I37" s="142">
        <f>G37+(0.00165*(E35))</f>
        <v>-57020.942200000005</v>
      </c>
      <c r="K37" s="56"/>
      <c r="M37" s="5">
        <f>I37</f>
        <v>-57020.942200000005</v>
      </c>
      <c r="N37" s="5">
        <f t="shared" ref="N37:N43" si="28">M37-I37</f>
        <v>0</v>
      </c>
      <c r="O37" s="17">
        <v>0</v>
      </c>
    </row>
    <row r="38" spans="1:20" x14ac:dyDescent="0.25">
      <c r="A38" s="54">
        <f t="shared" si="1"/>
        <v>30</v>
      </c>
      <c r="D38" s="2" t="s">
        <v>30</v>
      </c>
      <c r="G38" s="124">
        <v>180295.18</v>
      </c>
      <c r="I38" s="142">
        <f t="shared" ref="I38:I40" si="29">G38</f>
        <v>180295.18</v>
      </c>
      <c r="M38" s="5">
        <f t="shared" ref="M38:M40" si="30">I38</f>
        <v>180295.18</v>
      </c>
      <c r="N38" s="5">
        <f t="shared" si="28"/>
        <v>0</v>
      </c>
      <c r="O38" s="17">
        <v>0</v>
      </c>
    </row>
    <row r="39" spans="1:20" x14ac:dyDescent="0.25">
      <c r="A39" s="54">
        <f t="shared" si="1"/>
        <v>31</v>
      </c>
      <c r="D39" s="2" t="s">
        <v>32</v>
      </c>
      <c r="G39" s="124">
        <v>0</v>
      </c>
      <c r="I39" s="142">
        <f t="shared" si="29"/>
        <v>0</v>
      </c>
      <c r="M39" s="5">
        <f t="shared" si="30"/>
        <v>0</v>
      </c>
      <c r="N39" s="5">
        <f t="shared" si="28"/>
        <v>0</v>
      </c>
      <c r="O39" s="17">
        <v>0</v>
      </c>
    </row>
    <row r="40" spans="1:20" x14ac:dyDescent="0.25">
      <c r="A40" s="54">
        <f t="shared" si="1"/>
        <v>32</v>
      </c>
      <c r="D40" s="2" t="s">
        <v>92</v>
      </c>
      <c r="G40" s="124">
        <v>24.75</v>
      </c>
      <c r="I40" s="142">
        <f t="shared" si="29"/>
        <v>24.75</v>
      </c>
      <c r="M40" s="5">
        <f t="shared" si="30"/>
        <v>24.75</v>
      </c>
      <c r="N40" s="5"/>
      <c r="O40" s="17"/>
    </row>
    <row r="41" spans="1:20" x14ac:dyDescent="0.25">
      <c r="A41" s="54">
        <f t="shared" si="1"/>
        <v>33</v>
      </c>
      <c r="D41" s="18" t="s">
        <v>8</v>
      </c>
      <c r="E41" s="144"/>
      <c r="F41" s="144"/>
      <c r="G41" s="143">
        <f>SUM(G37:G40)</f>
        <v>96129.54</v>
      </c>
      <c r="H41" s="144"/>
      <c r="I41" s="143">
        <f>SUM(I37:I40)</f>
        <v>123298.98779999999</v>
      </c>
      <c r="J41" s="144"/>
      <c r="K41" s="49"/>
      <c r="L41" s="144"/>
      <c r="M41" s="19">
        <f>SUM(M37:M40)</f>
        <v>123298.98779999999</v>
      </c>
      <c r="N41" s="19">
        <f t="shared" si="28"/>
        <v>0</v>
      </c>
      <c r="O41" s="28">
        <f t="shared" ref="O41" si="31">N41-J41</f>
        <v>0</v>
      </c>
    </row>
    <row r="42" spans="1:20" s="6" customFormat="1" ht="26.4" customHeight="1" thickBot="1" x14ac:dyDescent="0.3">
      <c r="A42" s="54">
        <f t="shared" si="1"/>
        <v>34</v>
      </c>
      <c r="C42" s="22"/>
      <c r="D42" s="7" t="s">
        <v>19</v>
      </c>
      <c r="E42" s="146"/>
      <c r="F42" s="146"/>
      <c r="G42" s="145">
        <f>G36+G41</f>
        <v>2274316.7126000002</v>
      </c>
      <c r="H42" s="146"/>
      <c r="I42" s="147">
        <f>I41+I36</f>
        <v>2274316.7125999997</v>
      </c>
      <c r="J42" s="146"/>
      <c r="K42" s="50"/>
      <c r="L42" s="146"/>
      <c r="M42" s="8">
        <f>M41+M36</f>
        <v>2339605.96496</v>
      </c>
      <c r="N42" s="8">
        <f t="shared" si="28"/>
        <v>65289.252360000275</v>
      </c>
      <c r="O42" s="9">
        <f>N42/I42</f>
        <v>2.8707194560146188E-2</v>
      </c>
      <c r="P42" s="2"/>
      <c r="Q42" s="2"/>
      <c r="R42" s="2"/>
    </row>
    <row r="43" spans="1:20" ht="13.8" thickTop="1" x14ac:dyDescent="0.25">
      <c r="A43" s="54">
        <f t="shared" si="1"/>
        <v>35</v>
      </c>
      <c r="D43" s="2" t="s">
        <v>18</v>
      </c>
      <c r="E43" s="139">
        <f>E35/E34</f>
        <v>1238.0700751879699</v>
      </c>
      <c r="G43" s="148">
        <f>G42/E34</f>
        <v>171.00125658646618</v>
      </c>
      <c r="I43" s="148">
        <f>I42/E34</f>
        <v>171.00125658646616</v>
      </c>
      <c r="M43" s="15">
        <f>M42/E34</f>
        <v>175.91022292932331</v>
      </c>
      <c r="N43" s="15">
        <f t="shared" si="28"/>
        <v>4.9089663428571555</v>
      </c>
      <c r="O43" s="4">
        <f>N43/I43</f>
        <v>2.870719456014614E-2</v>
      </c>
    </row>
    <row r="44" spans="1:20" ht="13.8" thickBot="1" x14ac:dyDescent="0.3">
      <c r="A44" s="54">
        <f t="shared" si="1"/>
        <v>36</v>
      </c>
    </row>
    <row r="45" spans="1:20" x14ac:dyDescent="0.25">
      <c r="A45" s="54">
        <f t="shared" si="1"/>
        <v>37</v>
      </c>
      <c r="B45" s="34" t="s">
        <v>73</v>
      </c>
      <c r="C45" s="35">
        <v>4</v>
      </c>
      <c r="D45" s="34"/>
      <c r="E45" s="149"/>
      <c r="F45" s="149"/>
      <c r="G45" s="149"/>
      <c r="H45" s="149"/>
      <c r="I45" s="149"/>
      <c r="J45" s="149"/>
      <c r="K45" s="46"/>
      <c r="L45" s="149"/>
      <c r="M45" s="34"/>
      <c r="N45" s="34"/>
      <c r="O45" s="34"/>
      <c r="P45" s="34"/>
      <c r="Q45" s="34"/>
      <c r="R45" s="34"/>
    </row>
    <row r="46" spans="1:20" x14ac:dyDescent="0.25">
      <c r="A46" s="54">
        <f t="shared" si="1"/>
        <v>38</v>
      </c>
      <c r="C46" s="2"/>
      <c r="D46" s="2" t="s">
        <v>17</v>
      </c>
      <c r="E46" s="157">
        <v>749</v>
      </c>
      <c r="F46" s="139">
        <f>H46</f>
        <v>67.5</v>
      </c>
      <c r="G46" s="124">
        <f>F46*E46</f>
        <v>50557.5</v>
      </c>
      <c r="H46" s="139">
        <v>67.5</v>
      </c>
      <c r="I46" s="124">
        <f>H46*E46</f>
        <v>50557.5</v>
      </c>
      <c r="J46" s="152">
        <f>I46/I49</f>
        <v>2.9884626727863878E-2</v>
      </c>
      <c r="K46" s="47"/>
      <c r="L46" s="139">
        <f>ROUND(H46*S49,2)</f>
        <v>69.55</v>
      </c>
      <c r="M46" s="5">
        <f>L46*E46</f>
        <v>52092.95</v>
      </c>
      <c r="N46" s="5">
        <f>M46-I46</f>
        <v>1535.4499999999971</v>
      </c>
      <c r="O46" s="4">
        <f>M46/M49</f>
        <v>2.9883330248248203E-2</v>
      </c>
      <c r="P46" s="4">
        <f>M46/M$49</f>
        <v>2.9883330248248203E-2</v>
      </c>
      <c r="Q46" s="16">
        <f>P46-J46</f>
        <v>-1.2964796156748892E-6</v>
      </c>
      <c r="R46" s="16"/>
    </row>
    <row r="47" spans="1:20" x14ac:dyDescent="0.25">
      <c r="A47" s="54">
        <f t="shared" si="1"/>
        <v>39</v>
      </c>
      <c r="D47" s="2" t="s">
        <v>53</v>
      </c>
      <c r="E47" s="157">
        <v>66486.097999999998</v>
      </c>
      <c r="F47" s="139">
        <f>H47</f>
        <v>8.5399999999999991</v>
      </c>
      <c r="G47" s="124">
        <f t="shared" ref="G47" si="32">F47*E47</f>
        <v>567791.27691999997</v>
      </c>
      <c r="H47" s="139">
        <v>8.5399999999999991</v>
      </c>
      <c r="I47" s="124">
        <f t="shared" ref="I47" si="33">H47*E47</f>
        <v>567791.27691999997</v>
      </c>
      <c r="J47" s="152">
        <f>I47/I49</f>
        <v>0.33562241744729054</v>
      </c>
      <c r="K47" s="47"/>
      <c r="L47" s="139">
        <f>ROUND(H47*S49,2)</f>
        <v>8.8000000000000007</v>
      </c>
      <c r="M47" s="5">
        <f t="shared" ref="M47" si="34">L47*E47</f>
        <v>585077.66240000003</v>
      </c>
      <c r="N47" s="5">
        <f t="shared" ref="N47" si="35">M47-I47</f>
        <v>17286.385480000055</v>
      </c>
      <c r="O47" s="4">
        <f>M47/M49</f>
        <v>0.33563215380146971</v>
      </c>
      <c r="P47" s="4">
        <f>M47/M$49</f>
        <v>0.33563215380146971</v>
      </c>
      <c r="Q47" s="16">
        <f t="shared" ref="Q47" si="36">P47-J47</f>
        <v>9.736354179168405E-6</v>
      </c>
      <c r="R47" s="16"/>
      <c r="T47" s="4">
        <f>L47/H47-1</f>
        <v>3.0444964871194635E-2</v>
      </c>
    </row>
    <row r="48" spans="1:20" x14ac:dyDescent="0.25">
      <c r="A48" s="54">
        <f t="shared" si="1"/>
        <v>40</v>
      </c>
      <c r="D48" s="2" t="s">
        <v>52</v>
      </c>
      <c r="E48" s="157">
        <v>18333174</v>
      </c>
      <c r="F48" s="140">
        <f>H48+0.00165</f>
        <v>6.0199999999999997E-2</v>
      </c>
      <c r="G48" s="124">
        <f t="shared" ref="G48" si="37">F48*E48</f>
        <v>1103657.0747999998</v>
      </c>
      <c r="H48" s="140">
        <v>5.8549999999999998E-2</v>
      </c>
      <c r="I48" s="124">
        <f t="shared" ref="I48" si="38">H48*E48</f>
        <v>1073407.3377</v>
      </c>
      <c r="J48" s="152">
        <f>I48/I49</f>
        <v>0.63449295582484555</v>
      </c>
      <c r="K48" s="47"/>
      <c r="L48" s="171">
        <f>ROUND(H48*S49,5)</f>
        <v>6.0330000000000002E-2</v>
      </c>
      <c r="M48" s="5">
        <f t="shared" ref="M48" si="39">L48*E48</f>
        <v>1106040.38742</v>
      </c>
      <c r="N48" s="5">
        <f t="shared" ref="N48" si="40">M48-I48</f>
        <v>32633.04972000001</v>
      </c>
      <c r="O48" s="4">
        <f>N48/N49</f>
        <v>0.63420702608039192</v>
      </c>
      <c r="P48" s="4">
        <f>M48/M$49</f>
        <v>0.6344845159502821</v>
      </c>
      <c r="Q48" s="16">
        <f t="shared" ref="Q48" si="41">P48-J48</f>
        <v>-8.4398745634484129E-6</v>
      </c>
      <c r="R48" s="16"/>
      <c r="T48" s="4">
        <f>L48/H48-1</f>
        <v>3.0401366353544068E-2</v>
      </c>
    </row>
    <row r="49" spans="1:20" s="6" customFormat="1" ht="20.399999999999999" customHeight="1" x14ac:dyDescent="0.3">
      <c r="A49" s="54">
        <f t="shared" si="1"/>
        <v>41</v>
      </c>
      <c r="C49" s="22"/>
      <c r="D49" s="24" t="s">
        <v>6</v>
      </c>
      <c r="E49" s="141"/>
      <c r="F49" s="141"/>
      <c r="G49" s="25">
        <f>SUM(G46:G48)</f>
        <v>1722005.8517199997</v>
      </c>
      <c r="H49" s="141"/>
      <c r="I49" s="25">
        <f>SUM(I46:I48)</f>
        <v>1691756.1146200001</v>
      </c>
      <c r="J49" s="158">
        <f>SUM(J46:J48)</f>
        <v>1</v>
      </c>
      <c r="K49" s="48">
        <f>I49+Summary!I11</f>
        <v>1743101.26462</v>
      </c>
      <c r="L49" s="141"/>
      <c r="M49" s="25">
        <f>SUM(M46:M48)</f>
        <v>1743210.99982</v>
      </c>
      <c r="N49" s="25">
        <f>SUM(N46:N48)</f>
        <v>51454.885200000062</v>
      </c>
      <c r="O49" s="26">
        <f>SUM(O46:O48)</f>
        <v>0.99972251013010982</v>
      </c>
      <c r="P49" s="26">
        <f>SUM(P46:P48)</f>
        <v>1</v>
      </c>
      <c r="Q49" s="27">
        <f t="shared" ref="Q49" si="42">P49-J49</f>
        <v>0</v>
      </c>
      <c r="R49" s="40">
        <f>M49-K49</f>
        <v>109.73519999999553</v>
      </c>
      <c r="S49" s="99">
        <f>K49/I49</f>
        <v>1.0303502080212863</v>
      </c>
    </row>
    <row r="50" spans="1:20" x14ac:dyDescent="0.25">
      <c r="A50" s="54">
        <f t="shared" si="1"/>
        <v>42</v>
      </c>
      <c r="D50" s="2" t="s">
        <v>29</v>
      </c>
      <c r="G50" s="124">
        <v>-95868.98</v>
      </c>
      <c r="I50" s="142">
        <f>G50+(0.00165*E48)</f>
        <v>-65619.242899999997</v>
      </c>
      <c r="K50" s="56"/>
      <c r="M50" s="5">
        <f>I50</f>
        <v>-65619.242899999997</v>
      </c>
      <c r="N50" s="5">
        <f t="shared" ref="N50:N56" si="43">M50-I50</f>
        <v>0</v>
      </c>
      <c r="O50" s="17">
        <v>0</v>
      </c>
    </row>
    <row r="51" spans="1:20" x14ac:dyDescent="0.25">
      <c r="A51" s="54">
        <f t="shared" si="1"/>
        <v>43</v>
      </c>
      <c r="D51" s="2" t="s">
        <v>30</v>
      </c>
      <c r="G51" s="124">
        <v>142355.32</v>
      </c>
      <c r="I51" s="142">
        <f t="shared" ref="I51:I53" si="44">G51</f>
        <v>142355.32</v>
      </c>
      <c r="M51" s="5">
        <f t="shared" ref="M51:M53" si="45">I51</f>
        <v>142355.32</v>
      </c>
      <c r="N51" s="5">
        <f t="shared" si="43"/>
        <v>0</v>
      </c>
      <c r="O51" s="17">
        <v>0</v>
      </c>
    </row>
    <row r="52" spans="1:20" x14ac:dyDescent="0.25">
      <c r="A52" s="54">
        <f t="shared" si="1"/>
        <v>44</v>
      </c>
      <c r="D52" s="2" t="s">
        <v>32</v>
      </c>
      <c r="G52" s="124">
        <v>0</v>
      </c>
      <c r="I52" s="142">
        <f t="shared" si="44"/>
        <v>0</v>
      </c>
      <c r="M52" s="5">
        <f t="shared" si="45"/>
        <v>0</v>
      </c>
      <c r="N52" s="5">
        <f t="shared" si="43"/>
        <v>0</v>
      </c>
      <c r="O52" s="17">
        <v>0</v>
      </c>
    </row>
    <row r="53" spans="1:20" x14ac:dyDescent="0.25">
      <c r="A53" s="54">
        <f t="shared" si="1"/>
        <v>45</v>
      </c>
      <c r="D53" s="2" t="s">
        <v>42</v>
      </c>
      <c r="G53" s="124">
        <v>0</v>
      </c>
      <c r="I53" s="142">
        <f t="shared" si="44"/>
        <v>0</v>
      </c>
      <c r="M53" s="5">
        <f t="shared" si="45"/>
        <v>0</v>
      </c>
      <c r="N53" s="5"/>
      <c r="O53" s="17"/>
    </row>
    <row r="54" spans="1:20" x14ac:dyDescent="0.25">
      <c r="A54" s="54">
        <f t="shared" si="1"/>
        <v>46</v>
      </c>
      <c r="D54" s="18" t="s">
        <v>8</v>
      </c>
      <c r="E54" s="144"/>
      <c r="F54" s="144"/>
      <c r="G54" s="143">
        <f>SUM(G50:G53)</f>
        <v>46486.340000000011</v>
      </c>
      <c r="H54" s="144"/>
      <c r="I54" s="143">
        <f>SUM(I50:I53)</f>
        <v>76736.07710000001</v>
      </c>
      <c r="J54" s="144"/>
      <c r="K54" s="49"/>
      <c r="L54" s="144"/>
      <c r="M54" s="19">
        <f>SUM(M50:M53)</f>
        <v>76736.07710000001</v>
      </c>
      <c r="N54" s="19">
        <f t="shared" si="43"/>
        <v>0</v>
      </c>
      <c r="O54" s="28">
        <f t="shared" ref="O54" si="46">N54-J54</f>
        <v>0</v>
      </c>
    </row>
    <row r="55" spans="1:20" s="6" customFormat="1" ht="26.4" customHeight="1" thickBot="1" x14ac:dyDescent="0.3">
      <c r="A55" s="54">
        <f t="shared" si="1"/>
        <v>47</v>
      </c>
      <c r="C55" s="22"/>
      <c r="D55" s="7" t="s">
        <v>19</v>
      </c>
      <c r="E55" s="146"/>
      <c r="F55" s="146"/>
      <c r="G55" s="145">
        <f>G49+G54</f>
        <v>1768492.1917199998</v>
      </c>
      <c r="H55" s="146"/>
      <c r="I55" s="147">
        <f>I54+I49</f>
        <v>1768492.1917200002</v>
      </c>
      <c r="J55" s="146"/>
      <c r="K55" s="50"/>
      <c r="L55" s="146"/>
      <c r="M55" s="8">
        <f>M54+M49</f>
        <v>1819947.0769200001</v>
      </c>
      <c r="N55" s="8">
        <f t="shared" si="43"/>
        <v>51454.885199999902</v>
      </c>
      <c r="O55" s="9">
        <f>N55/I55</f>
        <v>2.9095342032557071E-2</v>
      </c>
      <c r="P55" s="2"/>
      <c r="Q55" s="2"/>
      <c r="R55" s="2"/>
    </row>
    <row r="56" spans="1:20" ht="13.8" thickTop="1" x14ac:dyDescent="0.25">
      <c r="A56" s="54">
        <f t="shared" si="1"/>
        <v>48</v>
      </c>
      <c r="D56" s="2" t="s">
        <v>18</v>
      </c>
      <c r="E56" s="139">
        <f>E48/E46</f>
        <v>24476.86782376502</v>
      </c>
      <c r="G56" s="148">
        <f>G55/E46</f>
        <v>2361.1377726568753</v>
      </c>
      <c r="I56" s="148">
        <f>I55/E46</f>
        <v>2361.1377726568762</v>
      </c>
      <c r="M56" s="15">
        <f>M55/E46</f>
        <v>2429.835883738318</v>
      </c>
      <c r="N56" s="15">
        <f t="shared" si="43"/>
        <v>68.698111081441766</v>
      </c>
      <c r="O56" s="4">
        <f>N56/I56</f>
        <v>2.9095342032557061E-2</v>
      </c>
    </row>
    <row r="57" spans="1:20" ht="13.8" thickBot="1" x14ac:dyDescent="0.3">
      <c r="A57" s="54">
        <f t="shared" si="1"/>
        <v>49</v>
      </c>
    </row>
    <row r="58" spans="1:20" x14ac:dyDescent="0.25">
      <c r="A58" s="54">
        <f t="shared" si="1"/>
        <v>50</v>
      </c>
      <c r="B58" s="34" t="s">
        <v>74</v>
      </c>
      <c r="C58" s="35">
        <v>7</v>
      </c>
      <c r="D58" s="34"/>
      <c r="E58" s="149"/>
      <c r="F58" s="149"/>
      <c r="G58" s="149"/>
      <c r="H58" s="149"/>
      <c r="I58" s="149"/>
      <c r="J58" s="149"/>
      <c r="K58" s="46"/>
      <c r="L58" s="149"/>
      <c r="M58" s="34"/>
      <c r="N58" s="34"/>
      <c r="O58" s="34"/>
      <c r="P58" s="34"/>
      <c r="Q58" s="34"/>
      <c r="R58" s="34"/>
    </row>
    <row r="59" spans="1:20" x14ac:dyDescent="0.25">
      <c r="A59" s="54">
        <f t="shared" si="1"/>
        <v>51</v>
      </c>
      <c r="C59" s="2"/>
      <c r="D59" s="2" t="s">
        <v>17</v>
      </c>
      <c r="E59" s="157">
        <v>108</v>
      </c>
      <c r="F59" s="139">
        <f>H59</f>
        <v>37.5</v>
      </c>
      <c r="G59" s="124">
        <f>F59*E59</f>
        <v>4050</v>
      </c>
      <c r="H59" s="139">
        <v>37.5</v>
      </c>
      <c r="I59" s="124">
        <f>H59*E59</f>
        <v>4050</v>
      </c>
      <c r="J59" s="152">
        <f>I59/I62</f>
        <v>8.196500475092381E-3</v>
      </c>
      <c r="K59" s="47"/>
      <c r="L59" s="139">
        <f>ROUND(H59*S62,2)</f>
        <v>38.64</v>
      </c>
      <c r="M59" s="5">
        <f>L59*E59</f>
        <v>4173.12</v>
      </c>
      <c r="N59" s="5">
        <f>M59-I59</f>
        <v>123.11999999999989</v>
      </c>
      <c r="O59" s="4">
        <f>IF(I59=0,0,N59/I59)</f>
        <v>3.0399999999999972E-2</v>
      </c>
      <c r="P59" s="4">
        <f>M59/M$62</f>
        <v>8.196992438831336E-3</v>
      </c>
      <c r="Q59" s="16">
        <f>P59-J59</f>
        <v>4.9196373895499246E-7</v>
      </c>
      <c r="R59" s="16"/>
      <c r="T59" s="4"/>
    </row>
    <row r="60" spans="1:20" x14ac:dyDescent="0.25">
      <c r="A60" s="54">
        <f t="shared" si="1"/>
        <v>52</v>
      </c>
      <c r="D60" s="2" t="s">
        <v>53</v>
      </c>
      <c r="E60" s="157">
        <v>17336.88</v>
      </c>
      <c r="F60" s="139">
        <f>H60</f>
        <v>6.6</v>
      </c>
      <c r="G60" s="124">
        <f t="shared" ref="G60" si="47">F60*E60</f>
        <v>114423.408</v>
      </c>
      <c r="H60" s="139">
        <v>6.6</v>
      </c>
      <c r="I60" s="124">
        <f t="shared" ref="I60" si="48">H60*E60</f>
        <v>114423.408</v>
      </c>
      <c r="J60" s="152">
        <f>I60/I62</f>
        <v>0.231573214329306</v>
      </c>
      <c r="K60" s="47"/>
      <c r="L60" s="139">
        <f>ROUND(H60*S62,2)</f>
        <v>6.8</v>
      </c>
      <c r="M60" s="5">
        <f t="shared" ref="M60" si="49">L60*E60</f>
        <v>117890.784</v>
      </c>
      <c r="N60" s="5">
        <f t="shared" ref="N60" si="50">M60-I60</f>
        <v>3467.3760000000038</v>
      </c>
      <c r="O60" s="4">
        <f t="shared" ref="O60" si="51">IF(I60=0,0,N60/I60)</f>
        <v>3.0303030303030339E-2</v>
      </c>
      <c r="P60" s="4">
        <f>M60/M$62</f>
        <v>0.23156531924696588</v>
      </c>
      <c r="Q60" s="16">
        <f t="shared" ref="Q60" si="52">P60-J60</f>
        <v>-7.8950823401147119E-6</v>
      </c>
      <c r="R60" s="16"/>
      <c r="T60" s="4">
        <f>L60/H60-1</f>
        <v>3.0303030303030276E-2</v>
      </c>
    </row>
    <row r="61" spans="1:20" x14ac:dyDescent="0.25">
      <c r="A61" s="54">
        <f t="shared" si="1"/>
        <v>53</v>
      </c>
      <c r="D61" s="2" t="s">
        <v>52</v>
      </c>
      <c r="E61" s="157">
        <v>5089282</v>
      </c>
      <c r="F61" s="140">
        <f>H61+0.00165</f>
        <v>7.5459999999999999E-2</v>
      </c>
      <c r="G61" s="124">
        <f t="shared" ref="G61" si="53">F61*E61</f>
        <v>384037.21971999999</v>
      </c>
      <c r="H61" s="140">
        <v>7.3810000000000001E-2</v>
      </c>
      <c r="I61" s="124">
        <f t="shared" ref="I61" si="54">H61*E61</f>
        <v>375639.90441999998</v>
      </c>
      <c r="J61" s="152">
        <f>I61/I62</f>
        <v>0.76023028519560165</v>
      </c>
      <c r="K61" s="47"/>
      <c r="L61" s="171">
        <f>ROUND(H61*S62,5)</f>
        <v>7.6050000000000006E-2</v>
      </c>
      <c r="M61" s="5">
        <f t="shared" ref="M61" si="55">L61*E61</f>
        <v>387039.89610000001</v>
      </c>
      <c r="N61" s="5">
        <f t="shared" ref="N61" si="56">M61-I61</f>
        <v>11399.991680000036</v>
      </c>
      <c r="O61" s="4">
        <f t="shared" ref="O61" si="57">IF(I61=0,0,N61/I61)</f>
        <v>3.0348191301991696E-2</v>
      </c>
      <c r="P61" s="4">
        <f>M61/M$62</f>
        <v>0.7602376883142028</v>
      </c>
      <c r="Q61" s="16">
        <f t="shared" ref="Q61" si="58">P61-J61</f>
        <v>7.4031186011458416E-6</v>
      </c>
      <c r="R61" s="16"/>
      <c r="T61" s="4">
        <f>L61/H61-1</f>
        <v>3.0348191301991623E-2</v>
      </c>
    </row>
    <row r="62" spans="1:20" s="6" customFormat="1" ht="20.399999999999999" customHeight="1" x14ac:dyDescent="0.3">
      <c r="A62" s="54">
        <f t="shared" si="1"/>
        <v>54</v>
      </c>
      <c r="C62" s="22"/>
      <c r="D62" s="24" t="s">
        <v>6</v>
      </c>
      <c r="E62" s="141"/>
      <c r="F62" s="141"/>
      <c r="G62" s="25">
        <f>SUM(G59:G61)</f>
        <v>502510.62771999999</v>
      </c>
      <c r="H62" s="141"/>
      <c r="I62" s="25">
        <f>SUM(I59:I61)</f>
        <v>494113.31241999997</v>
      </c>
      <c r="J62" s="158">
        <f>SUM(J59:J61)</f>
        <v>1</v>
      </c>
      <c r="K62" s="48">
        <f>I62+Summary!I12</f>
        <v>509109.75241999998</v>
      </c>
      <c r="L62" s="141"/>
      <c r="M62" s="25">
        <f>SUM(M59:M61)</f>
        <v>509103.80009999999</v>
      </c>
      <c r="N62" s="25">
        <f>SUM(N59:N61)</f>
        <v>14990.487680000038</v>
      </c>
      <c r="O62" s="26">
        <f t="shared" ref="O62" si="59">N62/I62</f>
        <v>3.033815787431773E-2</v>
      </c>
      <c r="P62" s="26">
        <f>SUM(P59:P61)</f>
        <v>1</v>
      </c>
      <c r="Q62" s="27">
        <f t="shared" ref="Q62" si="60">P62-J62</f>
        <v>0</v>
      </c>
      <c r="R62" s="40">
        <f>M62-K62</f>
        <v>-5.9523199999821372</v>
      </c>
      <c r="S62" s="99">
        <f>K62/I62</f>
        <v>1.0303502043418999</v>
      </c>
    </row>
    <row r="63" spans="1:20" x14ac:dyDescent="0.25">
      <c r="A63" s="54">
        <f t="shared" si="1"/>
        <v>55</v>
      </c>
      <c r="D63" s="2" t="s">
        <v>29</v>
      </c>
      <c r="G63" s="124">
        <v>-26042.240000000002</v>
      </c>
      <c r="I63" s="142">
        <f>G63+(0.00165*(E61))</f>
        <v>-17644.924700000003</v>
      </c>
      <c r="K63" s="56"/>
      <c r="M63" s="5">
        <f>I63</f>
        <v>-17644.924700000003</v>
      </c>
      <c r="N63" s="5">
        <f t="shared" ref="N63:N69" si="61">M63-I63</f>
        <v>0</v>
      </c>
      <c r="O63" s="17">
        <v>0</v>
      </c>
    </row>
    <row r="64" spans="1:20" x14ac:dyDescent="0.25">
      <c r="A64" s="54">
        <f t="shared" si="1"/>
        <v>56</v>
      </c>
      <c r="D64" s="2" t="s">
        <v>30</v>
      </c>
      <c r="G64" s="124">
        <v>40596.800000000003</v>
      </c>
      <c r="I64" s="142">
        <f t="shared" ref="I64:I66" si="62">G64</f>
        <v>40596.800000000003</v>
      </c>
      <c r="M64" s="5">
        <f t="shared" ref="M64:M66" si="63">I64</f>
        <v>40596.800000000003</v>
      </c>
      <c r="N64" s="5">
        <f t="shared" si="61"/>
        <v>0</v>
      </c>
      <c r="O64" s="17">
        <v>0</v>
      </c>
    </row>
    <row r="65" spans="1:20" x14ac:dyDescent="0.25">
      <c r="A65" s="54">
        <f t="shared" si="1"/>
        <v>57</v>
      </c>
      <c r="D65" s="2" t="s">
        <v>32</v>
      </c>
      <c r="G65" s="124">
        <v>0</v>
      </c>
      <c r="I65" s="142">
        <f t="shared" si="62"/>
        <v>0</v>
      </c>
      <c r="M65" s="5">
        <f t="shared" si="63"/>
        <v>0</v>
      </c>
      <c r="N65" s="5">
        <f t="shared" si="61"/>
        <v>0</v>
      </c>
      <c r="O65" s="17">
        <v>0</v>
      </c>
    </row>
    <row r="66" spans="1:20" x14ac:dyDescent="0.25">
      <c r="A66" s="54">
        <f t="shared" si="1"/>
        <v>58</v>
      </c>
      <c r="D66" s="2" t="s">
        <v>42</v>
      </c>
      <c r="G66" s="124">
        <v>0</v>
      </c>
      <c r="I66" s="142">
        <f t="shared" si="62"/>
        <v>0</v>
      </c>
      <c r="M66" s="5">
        <f t="shared" si="63"/>
        <v>0</v>
      </c>
      <c r="N66" s="5"/>
      <c r="O66" s="17"/>
    </row>
    <row r="67" spans="1:20" x14ac:dyDescent="0.25">
      <c r="A67" s="54">
        <f t="shared" si="1"/>
        <v>59</v>
      </c>
      <c r="D67" s="18" t="s">
        <v>8</v>
      </c>
      <c r="E67" s="144"/>
      <c r="F67" s="144"/>
      <c r="G67" s="143">
        <f>SUM(G63:G66)</f>
        <v>14554.560000000001</v>
      </c>
      <c r="H67" s="144"/>
      <c r="I67" s="143">
        <f>SUM(I63:I66)</f>
        <v>22951.8753</v>
      </c>
      <c r="J67" s="144"/>
      <c r="K67" s="49"/>
      <c r="L67" s="144"/>
      <c r="M67" s="19">
        <f>SUM(M63:M66)</f>
        <v>22951.8753</v>
      </c>
      <c r="N67" s="19">
        <f t="shared" si="61"/>
        <v>0</v>
      </c>
      <c r="O67" s="28">
        <f t="shared" ref="O67" si="64">N67-J67</f>
        <v>0</v>
      </c>
    </row>
    <row r="68" spans="1:20" s="6" customFormat="1" ht="26.4" customHeight="1" thickBot="1" x14ac:dyDescent="0.3">
      <c r="A68" s="54">
        <f t="shared" si="1"/>
        <v>60</v>
      </c>
      <c r="C68" s="22"/>
      <c r="D68" s="7" t="s">
        <v>19</v>
      </c>
      <c r="E68" s="146"/>
      <c r="F68" s="146"/>
      <c r="G68" s="145">
        <f>G62+G67</f>
        <v>517065.18771999999</v>
      </c>
      <c r="H68" s="146"/>
      <c r="I68" s="147">
        <f>I67+I62</f>
        <v>517065.18771999999</v>
      </c>
      <c r="J68" s="146"/>
      <c r="K68" s="50"/>
      <c r="L68" s="146"/>
      <c r="M68" s="8">
        <f>M67+M62</f>
        <v>532055.67539999995</v>
      </c>
      <c r="N68" s="8">
        <f t="shared" si="61"/>
        <v>14990.487679999962</v>
      </c>
      <c r="O68" s="9">
        <f>N68/I68</f>
        <v>2.8991485089337667E-2</v>
      </c>
      <c r="P68" s="2"/>
      <c r="Q68" s="2"/>
      <c r="R68" s="2"/>
    </row>
    <row r="69" spans="1:20" ht="13.8" thickTop="1" x14ac:dyDescent="0.25">
      <c r="A69" s="54">
        <f t="shared" si="1"/>
        <v>61</v>
      </c>
      <c r="D69" s="2" t="s">
        <v>18</v>
      </c>
      <c r="E69" s="139">
        <f>E61/E59</f>
        <v>47122.981481481482</v>
      </c>
      <c r="G69" s="148">
        <f>G68/E59</f>
        <v>4787.6406270370371</v>
      </c>
      <c r="I69" s="148">
        <f>I68/E59</f>
        <v>4787.6406270370371</v>
      </c>
      <c r="M69" s="15">
        <f>M68/E59</f>
        <v>4926.4414388888881</v>
      </c>
      <c r="N69" s="15">
        <f t="shared" si="61"/>
        <v>138.80081185185099</v>
      </c>
      <c r="O69" s="4">
        <f>N69/I69</f>
        <v>2.8991485089337563E-2</v>
      </c>
    </row>
    <row r="70" spans="1:20" ht="13.8" thickBot="1" x14ac:dyDescent="0.3">
      <c r="A70" s="54">
        <f t="shared" si="1"/>
        <v>62</v>
      </c>
      <c r="B70" s="41"/>
      <c r="C70" s="43"/>
      <c r="D70" s="41"/>
      <c r="M70" s="41"/>
      <c r="N70" s="41"/>
      <c r="O70" s="41"/>
      <c r="P70" s="41"/>
      <c r="Q70" s="41"/>
      <c r="R70" s="41"/>
    </row>
    <row r="71" spans="1:20" x14ac:dyDescent="0.25">
      <c r="A71" s="54">
        <f t="shared" si="1"/>
        <v>63</v>
      </c>
      <c r="B71" s="34" t="s">
        <v>120</v>
      </c>
      <c r="C71" s="35">
        <v>10</v>
      </c>
      <c r="D71" s="34"/>
      <c r="E71" s="149"/>
      <c r="F71" s="149"/>
      <c r="G71" s="149"/>
      <c r="H71" s="149"/>
      <c r="I71" s="149"/>
      <c r="J71" s="149"/>
      <c r="K71" s="46"/>
      <c r="L71" s="149"/>
      <c r="M71" s="34"/>
      <c r="N71" s="34"/>
      <c r="O71" s="34"/>
      <c r="P71" s="34"/>
      <c r="Q71" s="34"/>
      <c r="R71" s="34"/>
    </row>
    <row r="72" spans="1:20" x14ac:dyDescent="0.25">
      <c r="A72" s="54">
        <f t="shared" si="1"/>
        <v>64</v>
      </c>
      <c r="C72" s="2"/>
      <c r="D72" s="2" t="s">
        <v>17</v>
      </c>
      <c r="E72" s="157">
        <v>24</v>
      </c>
      <c r="F72" s="159">
        <f>H72</f>
        <v>21.25</v>
      </c>
      <c r="G72" s="124">
        <f>F72*E72</f>
        <v>510</v>
      </c>
      <c r="H72" s="139">
        <v>21.25</v>
      </c>
      <c r="I72" s="124">
        <f>H72*E72</f>
        <v>510</v>
      </c>
      <c r="J72" s="152">
        <f>I72/I75</f>
        <v>8.7730329723452169E-2</v>
      </c>
      <c r="K72" s="47"/>
      <c r="L72" s="139">
        <f>ROUND(H72*S75,2)</f>
        <v>21.89</v>
      </c>
      <c r="M72" s="5">
        <f>L72*E72</f>
        <v>525.36</v>
      </c>
      <c r="N72" s="5">
        <f>M72-I72</f>
        <v>15.360000000000014</v>
      </c>
      <c r="O72" s="4">
        <f>IF(I72=0,0,N72/I72)</f>
        <v>3.0117647058823555E-2</v>
      </c>
      <c r="P72" s="4">
        <f>M72/M$75</f>
        <v>8.7713939572037811E-2</v>
      </c>
      <c r="Q72" s="16">
        <f>P72-J72</f>
        <v>-1.6390151414358289E-5</v>
      </c>
      <c r="R72" s="16"/>
      <c r="T72" s="4">
        <f>L72/H72-1</f>
        <v>3.0117647058823582E-2</v>
      </c>
    </row>
    <row r="73" spans="1:20" x14ac:dyDescent="0.25">
      <c r="A73" s="54">
        <f t="shared" si="1"/>
        <v>65</v>
      </c>
      <c r="D73" s="2" t="s">
        <v>79</v>
      </c>
      <c r="E73" s="157">
        <v>14678</v>
      </c>
      <c r="F73" s="140">
        <f>H73+0.00165</f>
        <v>0.20201000000000002</v>
      </c>
      <c r="G73" s="124">
        <f t="shared" ref="G73" si="65">F73*E73</f>
        <v>2965.1027800000002</v>
      </c>
      <c r="H73" s="140">
        <v>0.20036000000000001</v>
      </c>
      <c r="I73" s="124">
        <f t="shared" ref="I73" si="66">H73*E73</f>
        <v>2940.8840800000003</v>
      </c>
      <c r="J73" s="152">
        <f>I73/I75</f>
        <v>0.50589162748402217</v>
      </c>
      <c r="K73" s="47"/>
      <c r="L73" s="171">
        <f>ROUND(H73*S75,5)</f>
        <v>0.20644000000000001</v>
      </c>
      <c r="M73" s="5">
        <f t="shared" ref="M73" si="67">L73*E73</f>
        <v>3030.1263200000003</v>
      </c>
      <c r="N73" s="5">
        <f t="shared" ref="N73" si="68">M73-I73</f>
        <v>89.242240000000038</v>
      </c>
      <c r="O73" s="4">
        <f t="shared" ref="O73" si="69">IF(I73=0,0,N73/I73)</f>
        <v>3.0345378319025763E-2</v>
      </c>
      <c r="P73" s="4">
        <f>M73/M$75</f>
        <v>0.50590893278536875</v>
      </c>
      <c r="Q73" s="16">
        <f t="shared" ref="Q73" si="70">P73-J73</f>
        <v>1.7305301346581814E-5</v>
      </c>
      <c r="R73" s="16"/>
      <c r="T73" s="4">
        <f>L73/H73-1</f>
        <v>3.0345378319025729E-2</v>
      </c>
    </row>
    <row r="74" spans="1:20" x14ac:dyDescent="0.25">
      <c r="A74" s="54">
        <f t="shared" si="1"/>
        <v>66</v>
      </c>
      <c r="D74" s="2" t="s">
        <v>80</v>
      </c>
      <c r="E74" s="157">
        <v>37291</v>
      </c>
      <c r="F74" s="140">
        <f>H74+0.00165</f>
        <v>6.5000000000000002E-2</v>
      </c>
      <c r="G74" s="124">
        <f t="shared" ref="G74" si="71">F74*E74</f>
        <v>2423.915</v>
      </c>
      <c r="H74" s="140">
        <v>6.3350000000000004E-2</v>
      </c>
      <c r="I74" s="124">
        <f t="shared" ref="I74" si="72">H74*E74</f>
        <v>2362.3848499999999</v>
      </c>
      <c r="J74" s="152">
        <f>I74/I75</f>
        <v>0.40637804279252565</v>
      </c>
      <c r="K74" s="47"/>
      <c r="L74" s="171">
        <f>ROUND(H74*S75,5)</f>
        <v>6.5269999999999995E-2</v>
      </c>
      <c r="M74" s="5">
        <f t="shared" ref="M74" si="73">L74*E74</f>
        <v>2433.9835699999999</v>
      </c>
      <c r="N74" s="5">
        <f t="shared" ref="N74" si="74">M74-I74</f>
        <v>71.598719999999958</v>
      </c>
      <c r="O74" s="4">
        <f t="shared" ref="O74" si="75">IF(I74=0,0,N74/I74)</f>
        <v>3.0307813733228082E-2</v>
      </c>
      <c r="P74" s="4">
        <f>M74/M$75</f>
        <v>0.40637712764259337</v>
      </c>
      <c r="Q74" s="16">
        <f t="shared" ref="Q74" si="76">P74-J74</f>
        <v>-9.1514993227903574E-7</v>
      </c>
      <c r="R74" s="16"/>
      <c r="T74" s="4">
        <f>L74/H74-1</f>
        <v>3.0307813733227995E-2</v>
      </c>
    </row>
    <row r="75" spans="1:20" s="6" customFormat="1" ht="20.399999999999999" customHeight="1" x14ac:dyDescent="0.3">
      <c r="A75" s="54">
        <f t="shared" si="1"/>
        <v>67</v>
      </c>
      <c r="C75" s="22"/>
      <c r="D75" s="24" t="s">
        <v>6</v>
      </c>
      <c r="E75" s="141"/>
      <c r="F75" s="141"/>
      <c r="G75" s="25">
        <f>SUM(G72:G74)</f>
        <v>5899.0177800000001</v>
      </c>
      <c r="H75" s="141"/>
      <c r="I75" s="25">
        <f>SUM(I72:I74)</f>
        <v>5813.2689300000002</v>
      </c>
      <c r="J75" s="158">
        <f>SUM(J72:J74)</f>
        <v>1</v>
      </c>
      <c r="K75" s="48">
        <f>I75+Summary!I13</f>
        <v>5989.6989300000005</v>
      </c>
      <c r="L75" s="141"/>
      <c r="M75" s="25">
        <f>SUM(M72:M74)</f>
        <v>5989.4698900000003</v>
      </c>
      <c r="N75" s="25">
        <f>SUM(N72:N74)</f>
        <v>176.20096000000001</v>
      </c>
      <c r="O75" s="26">
        <f t="shared" ref="O75" si="77">N75/I75</f>
        <v>3.0310133957625114E-2</v>
      </c>
      <c r="P75" s="26">
        <f>SUM(P72:P74)</f>
        <v>0.99999999999999989</v>
      </c>
      <c r="Q75" s="27">
        <f t="shared" ref="Q75" si="78">P75-J75</f>
        <v>0</v>
      </c>
      <c r="R75" s="40">
        <f>M75-K75</f>
        <v>-0.22904000000016822</v>
      </c>
      <c r="S75" s="99">
        <f>K75/I75</f>
        <v>1.0303495334766837</v>
      </c>
    </row>
    <row r="76" spans="1:20" x14ac:dyDescent="0.25">
      <c r="A76" s="54">
        <f t="shared" ref="A76:A139" si="79">A75+1</f>
        <v>68</v>
      </c>
      <c r="D76" s="2" t="s">
        <v>29</v>
      </c>
      <c r="G76" s="124">
        <v>-232.86</v>
      </c>
      <c r="I76" s="142">
        <f>G76+(0.00165*(E74))</f>
        <v>-171.32985000000002</v>
      </c>
      <c r="K76" s="56"/>
      <c r="M76" s="5">
        <f>I76</f>
        <v>-171.32985000000002</v>
      </c>
      <c r="N76" s="5">
        <f t="shared" ref="N76:N78" si="80">M76-I76</f>
        <v>0</v>
      </c>
      <c r="O76" s="17">
        <v>0</v>
      </c>
    </row>
    <row r="77" spans="1:20" x14ac:dyDescent="0.25">
      <c r="A77" s="54">
        <f t="shared" si="79"/>
        <v>69</v>
      </c>
      <c r="D77" s="2" t="s">
        <v>30</v>
      </c>
      <c r="G77" s="124">
        <v>475.05</v>
      </c>
      <c r="I77" s="142">
        <f t="shared" ref="I77:I79" si="81">G77</f>
        <v>475.05</v>
      </c>
      <c r="M77" s="5">
        <f t="shared" ref="M77:M79" si="82">I77</f>
        <v>475.05</v>
      </c>
      <c r="N77" s="5">
        <f t="shared" si="80"/>
        <v>0</v>
      </c>
      <c r="O77" s="17">
        <v>0</v>
      </c>
    </row>
    <row r="78" spans="1:20" x14ac:dyDescent="0.25">
      <c r="A78" s="54">
        <f t="shared" si="79"/>
        <v>70</v>
      </c>
      <c r="D78" s="2" t="s">
        <v>32</v>
      </c>
      <c r="G78" s="124">
        <v>0</v>
      </c>
      <c r="I78" s="142">
        <f t="shared" si="81"/>
        <v>0</v>
      </c>
      <c r="M78" s="5">
        <f t="shared" si="82"/>
        <v>0</v>
      </c>
      <c r="N78" s="5">
        <f t="shared" si="80"/>
        <v>0</v>
      </c>
      <c r="O78" s="17">
        <v>0</v>
      </c>
    </row>
    <row r="79" spans="1:20" x14ac:dyDescent="0.25">
      <c r="A79" s="54">
        <f t="shared" si="79"/>
        <v>71</v>
      </c>
      <c r="D79" s="2" t="s">
        <v>42</v>
      </c>
      <c r="G79" s="124">
        <v>0</v>
      </c>
      <c r="I79" s="142">
        <f t="shared" si="81"/>
        <v>0</v>
      </c>
      <c r="M79" s="5">
        <f t="shared" si="82"/>
        <v>0</v>
      </c>
      <c r="N79" s="5"/>
      <c r="O79" s="17"/>
    </row>
    <row r="80" spans="1:20" x14ac:dyDescent="0.25">
      <c r="A80" s="54">
        <f t="shared" si="79"/>
        <v>72</v>
      </c>
      <c r="D80" s="18" t="s">
        <v>8</v>
      </c>
      <c r="E80" s="144"/>
      <c r="F80" s="144"/>
      <c r="G80" s="143">
        <f>SUM(G76:G79)</f>
        <v>242.19</v>
      </c>
      <c r="H80" s="144"/>
      <c r="I80" s="143">
        <f>SUM(I76:I79)</f>
        <v>303.72014999999999</v>
      </c>
      <c r="J80" s="144"/>
      <c r="K80" s="49"/>
      <c r="L80" s="144"/>
      <c r="M80" s="19">
        <f>SUM(M76:M79)</f>
        <v>303.72014999999999</v>
      </c>
      <c r="N80" s="19">
        <f t="shared" ref="N80:N82" si="83">M80-I80</f>
        <v>0</v>
      </c>
      <c r="O80" s="28">
        <f t="shared" ref="O80" si="84">N80-J80</f>
        <v>0</v>
      </c>
    </row>
    <row r="81" spans="1:20" s="6" customFormat="1" ht="26.4" customHeight="1" thickBot="1" x14ac:dyDescent="0.3">
      <c r="A81" s="54">
        <f t="shared" si="79"/>
        <v>73</v>
      </c>
      <c r="C81" s="22"/>
      <c r="D81" s="7" t="s">
        <v>19</v>
      </c>
      <c r="E81" s="146"/>
      <c r="F81" s="146"/>
      <c r="G81" s="145">
        <f>G75+G80</f>
        <v>6141.2077799999997</v>
      </c>
      <c r="H81" s="146"/>
      <c r="I81" s="147">
        <f>I80+I75</f>
        <v>6116.9890800000003</v>
      </c>
      <c r="J81" s="146"/>
      <c r="K81" s="50"/>
      <c r="L81" s="146"/>
      <c r="M81" s="8">
        <f>M80+M75</f>
        <v>6293.1900400000004</v>
      </c>
      <c r="N81" s="8">
        <f t="shared" si="83"/>
        <v>176.20096000000012</v>
      </c>
      <c r="O81" s="9">
        <f>N81/I81</f>
        <v>2.8805178118774755E-2</v>
      </c>
      <c r="P81" s="2"/>
      <c r="Q81" s="2"/>
      <c r="R81" s="2"/>
    </row>
    <row r="82" spans="1:20" ht="13.8" thickTop="1" x14ac:dyDescent="0.25">
      <c r="A82" s="54">
        <f t="shared" si="79"/>
        <v>74</v>
      </c>
      <c r="D82" s="2" t="s">
        <v>18</v>
      </c>
      <c r="E82" s="139">
        <f>(E73+E74)/E72</f>
        <v>2165.375</v>
      </c>
      <c r="G82" s="148">
        <f>G81/E72</f>
        <v>255.8836575</v>
      </c>
      <c r="I82" s="148">
        <f>I81/E72</f>
        <v>254.87454500000001</v>
      </c>
      <c r="M82" s="15">
        <f>M81/E72</f>
        <v>262.21625166666666</v>
      </c>
      <c r="N82" s="15">
        <f t="shared" si="83"/>
        <v>7.3417066666666528</v>
      </c>
      <c r="O82" s="4">
        <f>N82/I82</f>
        <v>2.8805178118774678E-2</v>
      </c>
    </row>
    <row r="83" spans="1:20" ht="13.8" thickBot="1" x14ac:dyDescent="0.3">
      <c r="A83" s="54">
        <f t="shared" si="79"/>
        <v>75</v>
      </c>
    </row>
    <row r="84" spans="1:20" x14ac:dyDescent="0.25">
      <c r="A84" s="54">
        <f t="shared" si="79"/>
        <v>76</v>
      </c>
      <c r="B84" s="174" t="s">
        <v>117</v>
      </c>
      <c r="C84" s="35">
        <v>14</v>
      </c>
      <c r="D84" s="34"/>
      <c r="E84" s="149"/>
      <c r="F84" s="149"/>
      <c r="G84" s="149"/>
      <c r="H84" s="149"/>
      <c r="I84" s="149"/>
      <c r="J84" s="149"/>
      <c r="K84" s="46"/>
      <c r="L84" s="149"/>
      <c r="M84" s="34"/>
      <c r="N84" s="34"/>
      <c r="O84" s="34"/>
      <c r="P84" s="34"/>
      <c r="Q84" s="34"/>
      <c r="R84" s="34"/>
    </row>
    <row r="85" spans="1:20" x14ac:dyDescent="0.25">
      <c r="A85" s="54">
        <f t="shared" si="79"/>
        <v>77</v>
      </c>
      <c r="B85" s="175"/>
      <c r="C85" s="2"/>
      <c r="D85" s="2" t="s">
        <v>17</v>
      </c>
      <c r="E85" s="157">
        <v>72</v>
      </c>
      <c r="F85" s="159">
        <f>F46</f>
        <v>67.5</v>
      </c>
      <c r="G85" s="124">
        <f>F85*E85</f>
        <v>4860</v>
      </c>
      <c r="H85" s="139">
        <f>H46</f>
        <v>67.5</v>
      </c>
      <c r="I85" s="124">
        <f>H85*E85</f>
        <v>4860</v>
      </c>
      <c r="J85" s="152">
        <f>I85/I88</f>
        <v>8.7587183972045353E-3</v>
      </c>
      <c r="K85" s="47"/>
      <c r="L85" s="139">
        <f>L46</f>
        <v>69.55</v>
      </c>
      <c r="M85" s="5">
        <f>L85*E85</f>
        <v>5007.5999999999995</v>
      </c>
      <c r="N85" s="5">
        <f>M85-I85</f>
        <v>147.59999999999945</v>
      </c>
      <c r="O85" s="4">
        <f>IF(I85=0,0,N85/I85)</f>
        <v>3.0370370370370259E-2</v>
      </c>
      <c r="P85" s="4">
        <f>M85/M88</f>
        <v>8.7524639808972005E-3</v>
      </c>
      <c r="Q85" s="16">
        <f>P85-J85</f>
        <v>-6.2544163073347675E-6</v>
      </c>
      <c r="R85" s="16"/>
      <c r="T85" s="4"/>
    </row>
    <row r="86" spans="1:20" x14ac:dyDescent="0.25">
      <c r="A86" s="54">
        <f t="shared" si="79"/>
        <v>78</v>
      </c>
      <c r="D86" s="2" t="s">
        <v>75</v>
      </c>
      <c r="E86" s="157">
        <v>22710.84</v>
      </c>
      <c r="F86" s="159">
        <f>F47-0.15</f>
        <v>8.3899999999999988</v>
      </c>
      <c r="G86" s="124">
        <f t="shared" ref="G86" si="85">F86*E86</f>
        <v>190543.94759999998</v>
      </c>
      <c r="H86" s="139">
        <f>H47-0.15</f>
        <v>8.3899999999999988</v>
      </c>
      <c r="I86" s="124">
        <f t="shared" ref="I86" si="86">H86*E86</f>
        <v>190543.94759999998</v>
      </c>
      <c r="J86" s="152">
        <f>I86/I88</f>
        <v>0.34339933730866185</v>
      </c>
      <c r="K86" s="47"/>
      <c r="L86" s="139">
        <f>L47-0.15</f>
        <v>8.65</v>
      </c>
      <c r="M86" s="5">
        <f t="shared" ref="M86" si="87">L86*E86</f>
        <v>196448.766</v>
      </c>
      <c r="N86" s="5">
        <f t="shared" ref="N86" si="88">M86-I86</f>
        <v>5904.8184000000183</v>
      </c>
      <c r="O86" s="4">
        <f t="shared" ref="O86" si="89">IF(I86=0,0,N86/I86)</f>
        <v>3.0989272943981027E-2</v>
      </c>
      <c r="P86" s="4">
        <f>M86/M88</f>
        <v>0.34336024213329797</v>
      </c>
      <c r="Q86" s="16">
        <f t="shared" ref="Q86" si="90">P86-J86</f>
        <v>-3.9095175363879076E-5</v>
      </c>
      <c r="R86" s="16"/>
      <c r="T86" s="4">
        <f>L86/H86-1</f>
        <v>3.0989272943981128E-2</v>
      </c>
    </row>
    <row r="87" spans="1:20" x14ac:dyDescent="0.25">
      <c r="A87" s="54">
        <f t="shared" si="79"/>
        <v>79</v>
      </c>
      <c r="B87" s="131"/>
      <c r="D87" s="2" t="s">
        <v>52</v>
      </c>
      <c r="E87" s="157">
        <v>6296580</v>
      </c>
      <c r="F87" s="160">
        <f>F48</f>
        <v>6.0199999999999997E-2</v>
      </c>
      <c r="G87" s="124">
        <f t="shared" ref="G87" si="91">F87*E87</f>
        <v>379054.11599999998</v>
      </c>
      <c r="H87" s="140">
        <f>H48-0.00146</f>
        <v>5.7089999999999995E-2</v>
      </c>
      <c r="I87" s="124">
        <f t="shared" ref="I87" si="92">H87*E87</f>
        <v>359471.75219999999</v>
      </c>
      <c r="J87" s="152">
        <f>IF(I88=0,0,I87/I88)</f>
        <v>0.64784194429413366</v>
      </c>
      <c r="K87" s="47"/>
      <c r="L87" s="140">
        <f>L48-0.00146</f>
        <v>5.8869999999999999E-2</v>
      </c>
      <c r="M87" s="5">
        <f t="shared" ref="M87" si="93">L87*E87</f>
        <v>370679.66460000002</v>
      </c>
      <c r="N87" s="5">
        <f t="shared" ref="N87" si="94">M87-I87</f>
        <v>11207.91240000003</v>
      </c>
      <c r="O87" s="4">
        <f t="shared" ref="O87" si="95">IF(I87=0,0,N87/I87)</f>
        <v>3.1178840427395424E-2</v>
      </c>
      <c r="P87" s="4">
        <f>IF(M88=0,0,M87/M88)</f>
        <v>0.64788729388580479</v>
      </c>
      <c r="Q87" s="16">
        <f t="shared" ref="Q87" si="96">P87-J87</f>
        <v>4.5349591671128842E-5</v>
      </c>
      <c r="R87" s="16"/>
      <c r="T87" s="4">
        <f>L87/H87-1</f>
        <v>3.1178840427395382E-2</v>
      </c>
    </row>
    <row r="88" spans="1:20" s="6" customFormat="1" ht="20.399999999999999" customHeight="1" x14ac:dyDescent="0.3">
      <c r="A88" s="54">
        <f t="shared" si="79"/>
        <v>80</v>
      </c>
      <c r="C88" s="22"/>
      <c r="D88" s="24" t="s">
        <v>6</v>
      </c>
      <c r="E88" s="141"/>
      <c r="F88" s="141"/>
      <c r="G88" s="25">
        <f>SUM(G85:G87)</f>
        <v>574458.06359999999</v>
      </c>
      <c r="H88" s="141"/>
      <c r="I88" s="25">
        <f>SUM(I85:I87)</f>
        <v>554875.69979999994</v>
      </c>
      <c r="J88" s="158">
        <f>SUM(J85:J87)</f>
        <v>1</v>
      </c>
      <c r="K88" s="48">
        <f>I88+Summary!I14</f>
        <v>571716.28979999991</v>
      </c>
      <c r="L88" s="141"/>
      <c r="M88" s="25">
        <f>SUM(M85:M87)</f>
        <v>572136.03060000006</v>
      </c>
      <c r="N88" s="25">
        <f>SUM(N85:N87)</f>
        <v>17260.330800000047</v>
      </c>
      <c r="O88" s="26">
        <f>IF(I88=0,0,N88/I88)</f>
        <v>3.1106661917653596E-2</v>
      </c>
      <c r="P88" s="26">
        <f>SUM(P85:P87)</f>
        <v>1</v>
      </c>
      <c r="Q88" s="27">
        <f t="shared" ref="Q88" si="97">P88-J88</f>
        <v>0</v>
      </c>
      <c r="R88" s="40">
        <f>M88-K88</f>
        <v>419.7408000001451</v>
      </c>
      <c r="S88" s="99">
        <f>IF(I88=0,0,K88/I88)</f>
        <v>1.0303502027680613</v>
      </c>
    </row>
    <row r="89" spans="1:20" x14ac:dyDescent="0.25">
      <c r="A89" s="54">
        <f t="shared" si="79"/>
        <v>81</v>
      </c>
      <c r="D89" s="2" t="s">
        <v>29</v>
      </c>
      <c r="G89" s="124">
        <v>-32207.84</v>
      </c>
      <c r="I89" s="142">
        <f>G89+(0.00165*(E87))</f>
        <v>-21818.483</v>
      </c>
      <c r="K89" s="56"/>
      <c r="M89" s="5">
        <f>I89</f>
        <v>-21818.483</v>
      </c>
      <c r="N89" s="5">
        <f t="shared" ref="N89:N94" si="98">M89-I89</f>
        <v>0</v>
      </c>
      <c r="O89" s="17">
        <v>0</v>
      </c>
    </row>
    <row r="90" spans="1:20" x14ac:dyDescent="0.25">
      <c r="A90" s="54">
        <f t="shared" si="79"/>
        <v>82</v>
      </c>
      <c r="D90" s="2" t="s">
        <v>30</v>
      </c>
      <c r="G90" s="124">
        <v>46382.57</v>
      </c>
      <c r="I90" s="142">
        <f t="shared" ref="I90:I92" si="99">G90</f>
        <v>46382.57</v>
      </c>
      <c r="M90" s="5">
        <f t="shared" ref="M90:M92" si="100">I90</f>
        <v>46382.57</v>
      </c>
      <c r="N90" s="5">
        <f t="shared" si="98"/>
        <v>0</v>
      </c>
      <c r="O90" s="17">
        <v>0</v>
      </c>
    </row>
    <row r="91" spans="1:20" x14ac:dyDescent="0.25">
      <c r="A91" s="54">
        <f t="shared" si="79"/>
        <v>83</v>
      </c>
      <c r="D91" s="2" t="s">
        <v>32</v>
      </c>
      <c r="F91" s="139"/>
      <c r="G91" s="124">
        <f>F91*E91</f>
        <v>0</v>
      </c>
      <c r="I91" s="142">
        <f t="shared" si="99"/>
        <v>0</v>
      </c>
      <c r="M91" s="5">
        <f t="shared" si="100"/>
        <v>0</v>
      </c>
      <c r="N91" s="5">
        <f t="shared" si="98"/>
        <v>0</v>
      </c>
      <c r="O91" s="17">
        <v>0</v>
      </c>
    </row>
    <row r="92" spans="1:20" x14ac:dyDescent="0.25">
      <c r="A92" s="54">
        <f t="shared" si="79"/>
        <v>84</v>
      </c>
      <c r="D92" s="2" t="s">
        <v>42</v>
      </c>
      <c r="G92" s="124">
        <v>0</v>
      </c>
      <c r="I92" s="142">
        <f t="shared" si="99"/>
        <v>0</v>
      </c>
      <c r="M92" s="5">
        <f t="shared" si="100"/>
        <v>0</v>
      </c>
      <c r="N92" s="5"/>
      <c r="O92" s="17"/>
    </row>
    <row r="93" spans="1:20" x14ac:dyDescent="0.25">
      <c r="A93" s="54">
        <f t="shared" si="79"/>
        <v>85</v>
      </c>
      <c r="D93" s="18" t="s">
        <v>8</v>
      </c>
      <c r="E93" s="144"/>
      <c r="F93" s="144"/>
      <c r="G93" s="143">
        <f>SUM(G89:G92)</f>
        <v>14174.73</v>
      </c>
      <c r="H93" s="144"/>
      <c r="I93" s="143">
        <f>SUM(I89:I92)</f>
        <v>24564.087</v>
      </c>
      <c r="J93" s="144"/>
      <c r="K93" s="49"/>
      <c r="L93" s="144"/>
      <c r="M93" s="19">
        <f>SUM(M89:M92)</f>
        <v>24564.087</v>
      </c>
      <c r="N93" s="19">
        <f t="shared" si="98"/>
        <v>0</v>
      </c>
      <c r="O93" s="28">
        <f t="shared" ref="O93" si="101">N93-J93</f>
        <v>0</v>
      </c>
    </row>
    <row r="94" spans="1:20" s="6" customFormat="1" ht="26.4" customHeight="1" thickBot="1" x14ac:dyDescent="0.3">
      <c r="A94" s="54">
        <f t="shared" si="79"/>
        <v>86</v>
      </c>
      <c r="C94" s="22"/>
      <c r="D94" s="7" t="s">
        <v>19</v>
      </c>
      <c r="E94" s="146"/>
      <c r="F94" s="146"/>
      <c r="G94" s="145">
        <f>G88+G93</f>
        <v>588632.79359999998</v>
      </c>
      <c r="H94" s="146"/>
      <c r="I94" s="147">
        <f>I93+I88</f>
        <v>579439.78679999989</v>
      </c>
      <c r="J94" s="146"/>
      <c r="K94" s="50"/>
      <c r="L94" s="146"/>
      <c r="M94" s="8">
        <f>M93+M88</f>
        <v>596700.1176</v>
      </c>
      <c r="N94" s="8">
        <f t="shared" si="98"/>
        <v>17260.330800000113</v>
      </c>
      <c r="O94" s="9">
        <f>IF(I94=0,0,N94/I94)</f>
        <v>2.9787962775772781E-2</v>
      </c>
      <c r="P94" s="2"/>
      <c r="Q94" s="2"/>
      <c r="R94" s="2"/>
    </row>
    <row r="95" spans="1:20" ht="13.8" thickTop="1" x14ac:dyDescent="0.25">
      <c r="A95" s="54">
        <f t="shared" si="79"/>
        <v>87</v>
      </c>
      <c r="D95" s="2" t="s">
        <v>18</v>
      </c>
      <c r="E95" s="135">
        <f>E87/E85</f>
        <v>87452.5</v>
      </c>
      <c r="G95" s="148">
        <f>G94</f>
        <v>588632.79359999998</v>
      </c>
      <c r="I95" s="148">
        <f>I94/E85</f>
        <v>8047.7748166666652</v>
      </c>
      <c r="M95" s="15">
        <f>M94/E85</f>
        <v>8287.5016333333333</v>
      </c>
      <c r="N95" s="15">
        <f>M95-I95</f>
        <v>239.72681666666813</v>
      </c>
      <c r="O95" s="4"/>
    </row>
    <row r="96" spans="1:20" ht="13.8" thickBot="1" x14ac:dyDescent="0.3">
      <c r="A96" s="54">
        <f t="shared" si="79"/>
        <v>88</v>
      </c>
    </row>
    <row r="97" spans="1:20" x14ac:dyDescent="0.25">
      <c r="A97" s="54">
        <f t="shared" si="79"/>
        <v>89</v>
      </c>
      <c r="B97" s="176" t="s">
        <v>77</v>
      </c>
      <c r="C97" s="35">
        <v>16</v>
      </c>
      <c r="D97" s="34"/>
      <c r="E97" s="149"/>
      <c r="F97" s="149"/>
      <c r="G97" s="149"/>
      <c r="H97" s="149"/>
      <c r="I97" s="149"/>
      <c r="J97" s="149"/>
      <c r="K97" s="46"/>
      <c r="L97" s="149"/>
      <c r="M97" s="34"/>
      <c r="N97" s="34"/>
      <c r="O97" s="34"/>
      <c r="P97" s="34"/>
      <c r="Q97" s="34"/>
      <c r="R97" s="34"/>
    </row>
    <row r="98" spans="1:20" x14ac:dyDescent="0.25">
      <c r="A98" s="54">
        <f t="shared" si="79"/>
        <v>90</v>
      </c>
      <c r="B98" s="177"/>
      <c r="C98" s="2"/>
      <c r="D98" s="2" t="s">
        <v>17</v>
      </c>
      <c r="E98" s="157">
        <v>60</v>
      </c>
      <c r="F98" s="139">
        <f>H98</f>
        <v>30</v>
      </c>
      <c r="G98" s="124">
        <f>F98*E98</f>
        <v>1800</v>
      </c>
      <c r="H98" s="139">
        <v>30</v>
      </c>
      <c r="I98" s="124">
        <f>H98*E98</f>
        <v>1800</v>
      </c>
      <c r="J98" s="152">
        <f>IF(I101=0,0,I98/I101)</f>
        <v>8.387999244744547E-2</v>
      </c>
      <c r="K98" s="47"/>
      <c r="L98" s="139">
        <f>ROUND(H98*S101,2)</f>
        <v>30.91</v>
      </c>
      <c r="M98" s="5">
        <f>L98*E98</f>
        <v>1854.6</v>
      </c>
      <c r="N98" s="5">
        <f>M98-I98</f>
        <v>54.599999999999909</v>
      </c>
      <c r="O98" s="4">
        <f>IF(I98=0,0,N98/I98)</f>
        <v>3.0333333333333282E-2</v>
      </c>
      <c r="P98" s="4">
        <f>IF(M$101=0,0,M98/M$101)</f>
        <v>8.3880131163607777E-2</v>
      </c>
      <c r="Q98" s="16">
        <f>P98-J98</f>
        <v>1.3871616230676231E-7</v>
      </c>
      <c r="R98" s="16"/>
      <c r="T98" s="4">
        <f t="shared" ref="T98:T100" si="102">L98/H98-1</f>
        <v>3.0333333333333323E-2</v>
      </c>
    </row>
    <row r="99" spans="1:20" x14ac:dyDescent="0.25">
      <c r="A99" s="54">
        <f t="shared" si="79"/>
        <v>91</v>
      </c>
      <c r="D99" s="2" t="s">
        <v>52</v>
      </c>
      <c r="E99" s="157">
        <v>257945</v>
      </c>
      <c r="F99" s="140">
        <f>H99+0.00165</f>
        <v>6.3969999999999999E-2</v>
      </c>
      <c r="G99" s="124">
        <f t="shared" ref="G99" si="103">F99*E99</f>
        <v>16500.74165</v>
      </c>
      <c r="H99" s="150">
        <v>6.232E-2</v>
      </c>
      <c r="I99" s="124">
        <f t="shared" ref="I99" si="104">H99*E99</f>
        <v>16075.1324</v>
      </c>
      <c r="J99" s="152">
        <f>IF(I102=0,0,I99/I$101)</f>
        <v>0.74910110239093664</v>
      </c>
      <c r="K99" s="47"/>
      <c r="L99" s="173">
        <f>ROUND(H99*S101,5)</f>
        <v>6.4210000000000003E-2</v>
      </c>
      <c r="M99" s="5">
        <f t="shared" ref="M99" si="105">L99*E99</f>
        <v>16562.648450000001</v>
      </c>
      <c r="N99" s="5">
        <f t="shared" ref="N99:N107" si="106">M99-I99</f>
        <v>487.51605000000018</v>
      </c>
      <c r="O99" s="4">
        <f t="shared" ref="O99" si="107">IF(I99=0,0,N99/I99)</f>
        <v>3.0327342747111692E-2</v>
      </c>
      <c r="P99" s="4">
        <f>IF(M$101=0,0,M99/M$101)</f>
        <v>0.74909798576659392</v>
      </c>
      <c r="Q99" s="16">
        <f t="shared" ref="Q99:Q101" si="108">P99-J99</f>
        <v>-3.1166243427138696E-6</v>
      </c>
      <c r="R99" s="16"/>
      <c r="T99" s="4">
        <f t="shared" si="102"/>
        <v>3.0327342747111796E-2</v>
      </c>
    </row>
    <row r="100" spans="1:20" x14ac:dyDescent="0.25">
      <c r="A100" s="54">
        <f t="shared" si="79"/>
        <v>92</v>
      </c>
      <c r="D100" s="2" t="s">
        <v>53</v>
      </c>
      <c r="E100" s="157">
        <v>543.04499999999996</v>
      </c>
      <c r="F100" s="139">
        <f>H100</f>
        <v>6.6</v>
      </c>
      <c r="G100" s="124">
        <f t="shared" ref="G100" si="109">F100*E100</f>
        <v>3584.0969999999998</v>
      </c>
      <c r="H100" s="139">
        <v>6.6</v>
      </c>
      <c r="I100" s="124">
        <f t="shared" ref="I100" si="110">H100*E100</f>
        <v>3584.0969999999998</v>
      </c>
      <c r="J100" s="152">
        <f>IF(I103=0,0,I100/I$101)</f>
        <v>0.16701890516161774</v>
      </c>
      <c r="K100" s="47"/>
      <c r="L100" s="139">
        <f>ROUND(H100*S101,5)</f>
        <v>6.8003099999999996</v>
      </c>
      <c r="M100" s="5">
        <f t="shared" ref="M100" si="111">L100*E100</f>
        <v>3692.8743439499995</v>
      </c>
      <c r="N100" s="5">
        <f t="shared" ref="N100" si="112">M100-I100</f>
        <v>108.7773439499997</v>
      </c>
      <c r="O100" s="4">
        <f t="shared" ref="O100" si="113">IF(I100=0,0,N100/I100)</f>
        <v>3.0349999999999919E-2</v>
      </c>
      <c r="P100" s="4">
        <f>IF(M$101=0,0,M100/M$101)</f>
        <v>0.16702188306979834</v>
      </c>
      <c r="Q100" s="16">
        <f t="shared" ref="Q100" si="114">P100-J100</f>
        <v>2.9779081806013963E-6</v>
      </c>
      <c r="R100" s="16"/>
      <c r="T100" s="4">
        <f t="shared" si="102"/>
        <v>3.0350000000000099E-2</v>
      </c>
    </row>
    <row r="101" spans="1:20" s="6" customFormat="1" ht="20.399999999999999" customHeight="1" x14ac:dyDescent="0.3">
      <c r="A101" s="54">
        <f t="shared" si="79"/>
        <v>93</v>
      </c>
      <c r="C101" s="22"/>
      <c r="D101" s="24" t="s">
        <v>6</v>
      </c>
      <c r="E101" s="141"/>
      <c r="F101" s="141"/>
      <c r="G101" s="25">
        <f>SUM(G98:G100)</f>
        <v>21884.838649999998</v>
      </c>
      <c r="H101" s="141"/>
      <c r="I101" s="25">
        <f>SUM(I98:I100)</f>
        <v>21459.229400000004</v>
      </c>
      <c r="J101" s="158">
        <f>SUM(J98:J100)</f>
        <v>0.99999999999999989</v>
      </c>
      <c r="K101" s="48">
        <f>I101+Summary!I15</f>
        <v>22110.519400000005</v>
      </c>
      <c r="L101" s="141"/>
      <c r="M101" s="25">
        <f>SUM(M98:M100)</f>
        <v>22110.122793949999</v>
      </c>
      <c r="N101" s="25">
        <f>SUM(N98:N100)</f>
        <v>650.89339394999979</v>
      </c>
      <c r="O101" s="26">
        <f>IF(I101=0,0,N101/I101)</f>
        <v>3.0331629427010072E-2</v>
      </c>
      <c r="P101" s="26">
        <f>SUM(P98:P100)</f>
        <v>1</v>
      </c>
      <c r="Q101" s="27">
        <f t="shared" si="108"/>
        <v>0</v>
      </c>
      <c r="R101" s="40">
        <f>M101-K101</f>
        <v>-0.39660605000608484</v>
      </c>
      <c r="S101" s="6">
        <f>IF(I101=0,0,K101/I101)</f>
        <v>1.0303501112672759</v>
      </c>
    </row>
    <row r="102" spans="1:20" x14ac:dyDescent="0.25">
      <c r="A102" s="54">
        <f t="shared" si="79"/>
        <v>94</v>
      </c>
      <c r="D102" s="2" t="s">
        <v>29</v>
      </c>
      <c r="G102" s="124">
        <v>-1467.73</v>
      </c>
      <c r="I102" s="142">
        <f>G102+(0.00165*(E99))</f>
        <v>-1042.12075</v>
      </c>
      <c r="K102" s="56"/>
      <c r="M102" s="5">
        <f>I102</f>
        <v>-1042.12075</v>
      </c>
      <c r="N102" s="5">
        <f t="shared" si="106"/>
        <v>0</v>
      </c>
      <c r="O102" s="17">
        <v>0</v>
      </c>
    </row>
    <row r="103" spans="1:20" x14ac:dyDescent="0.25">
      <c r="A103" s="54">
        <f t="shared" si="79"/>
        <v>95</v>
      </c>
      <c r="D103" s="2" t="s">
        <v>30</v>
      </c>
      <c r="G103" s="124">
        <v>1777.42</v>
      </c>
      <c r="I103" s="142">
        <f t="shared" ref="I103:I105" si="115">G103</f>
        <v>1777.42</v>
      </c>
      <c r="M103" s="5">
        <f t="shared" ref="M103:M105" si="116">I103</f>
        <v>1777.42</v>
      </c>
      <c r="N103" s="5">
        <f t="shared" si="106"/>
        <v>0</v>
      </c>
      <c r="O103" s="17">
        <v>0</v>
      </c>
    </row>
    <row r="104" spans="1:20" x14ac:dyDescent="0.25">
      <c r="A104" s="54">
        <f t="shared" si="79"/>
        <v>96</v>
      </c>
      <c r="D104" s="2" t="s">
        <v>32</v>
      </c>
      <c r="G104" s="124">
        <v>0</v>
      </c>
      <c r="I104" s="142">
        <f t="shared" si="115"/>
        <v>0</v>
      </c>
      <c r="M104" s="5">
        <f t="shared" si="116"/>
        <v>0</v>
      </c>
      <c r="N104" s="5">
        <f t="shared" si="106"/>
        <v>0</v>
      </c>
      <c r="O104" s="17">
        <v>0</v>
      </c>
    </row>
    <row r="105" spans="1:20" x14ac:dyDescent="0.25">
      <c r="A105" s="54">
        <f t="shared" si="79"/>
        <v>97</v>
      </c>
      <c r="D105" s="2" t="s">
        <v>42</v>
      </c>
      <c r="G105" s="124">
        <v>0</v>
      </c>
      <c r="I105" s="142">
        <f t="shared" si="115"/>
        <v>0</v>
      </c>
      <c r="M105" s="5">
        <f t="shared" si="116"/>
        <v>0</v>
      </c>
      <c r="N105" s="5"/>
      <c r="O105" s="17"/>
    </row>
    <row r="106" spans="1:20" x14ac:dyDescent="0.25">
      <c r="A106" s="54">
        <f t="shared" si="79"/>
        <v>98</v>
      </c>
      <c r="D106" s="18" t="s">
        <v>8</v>
      </c>
      <c r="E106" s="144"/>
      <c r="F106" s="144"/>
      <c r="G106" s="143">
        <f>SUM(G102:G105)</f>
        <v>309.69000000000005</v>
      </c>
      <c r="H106" s="144"/>
      <c r="I106" s="143">
        <f>SUM(I102:I105)</f>
        <v>735.29925000000003</v>
      </c>
      <c r="J106" s="144"/>
      <c r="K106" s="49"/>
      <c r="L106" s="144"/>
      <c r="M106" s="19">
        <f>SUM(M102:M105)</f>
        <v>735.29925000000003</v>
      </c>
      <c r="N106" s="19">
        <f t="shared" si="106"/>
        <v>0</v>
      </c>
      <c r="O106" s="28">
        <f t="shared" ref="O106" si="117">N106-J106</f>
        <v>0</v>
      </c>
    </row>
    <row r="107" spans="1:20" s="6" customFormat="1" ht="26.4" customHeight="1" thickBot="1" x14ac:dyDescent="0.3">
      <c r="A107" s="54">
        <f t="shared" si="79"/>
        <v>99</v>
      </c>
      <c r="C107" s="22"/>
      <c r="D107" s="7" t="s">
        <v>19</v>
      </c>
      <c r="E107" s="146"/>
      <c r="F107" s="146"/>
      <c r="G107" s="145">
        <f>G101+G106</f>
        <v>22194.528649999997</v>
      </c>
      <c r="H107" s="146"/>
      <c r="I107" s="147">
        <f>I106+I101</f>
        <v>22194.528650000004</v>
      </c>
      <c r="J107" s="146"/>
      <c r="K107" s="50"/>
      <c r="L107" s="146"/>
      <c r="M107" s="8">
        <f>M106+M101</f>
        <v>22845.422043949999</v>
      </c>
      <c r="N107" s="8">
        <f t="shared" si="106"/>
        <v>650.89339394999479</v>
      </c>
      <c r="O107" s="9">
        <f>IF(I107=0,0,N107/I107)</f>
        <v>2.9326750038910814E-2</v>
      </c>
      <c r="P107" s="2"/>
      <c r="Q107" s="2"/>
      <c r="R107" s="2"/>
    </row>
    <row r="108" spans="1:20" ht="13.8" thickTop="1" x14ac:dyDescent="0.25">
      <c r="A108" s="54">
        <f t="shared" si="79"/>
        <v>100</v>
      </c>
      <c r="D108" s="21"/>
      <c r="E108" s="161">
        <f>E99/E98</f>
        <v>4299.083333333333</v>
      </c>
      <c r="F108" s="161"/>
      <c r="G108" s="161">
        <f>G107/E98</f>
        <v>369.90881083333329</v>
      </c>
      <c r="H108" s="161"/>
      <c r="I108" s="161">
        <f>I107/E98</f>
        <v>369.9088108333334</v>
      </c>
      <c r="J108" s="161"/>
      <c r="K108" s="115"/>
      <c r="L108" s="161"/>
      <c r="M108" s="115">
        <f>M107/E98</f>
        <v>380.7570340658333</v>
      </c>
      <c r="N108" s="115">
        <f>M108-I108</f>
        <v>10.84822323249989</v>
      </c>
      <c r="O108" s="21"/>
      <c r="P108" s="21"/>
      <c r="Q108" s="21"/>
    </row>
    <row r="109" spans="1:20" ht="13.8" thickBot="1" x14ac:dyDescent="0.3">
      <c r="A109" s="54">
        <f t="shared" si="79"/>
        <v>101</v>
      </c>
    </row>
    <row r="110" spans="1:20" x14ac:dyDescent="0.25">
      <c r="A110" s="54">
        <f t="shared" si="79"/>
        <v>102</v>
      </c>
      <c r="B110" s="176" t="s">
        <v>78</v>
      </c>
      <c r="C110" s="35">
        <v>17</v>
      </c>
      <c r="D110" s="34"/>
      <c r="E110" s="149"/>
      <c r="F110" s="149"/>
      <c r="G110" s="149"/>
      <c r="H110" s="149"/>
      <c r="I110" s="149"/>
      <c r="J110" s="149"/>
      <c r="K110" s="46"/>
      <c r="L110" s="149"/>
      <c r="M110" s="34"/>
      <c r="N110" s="34"/>
      <c r="O110" s="34"/>
      <c r="P110" s="34"/>
      <c r="Q110" s="34"/>
      <c r="R110" s="34"/>
    </row>
    <row r="111" spans="1:20" x14ac:dyDescent="0.25">
      <c r="A111" s="54">
        <f t="shared" si="79"/>
        <v>103</v>
      </c>
      <c r="B111" s="177"/>
      <c r="C111" s="2"/>
      <c r="D111" s="2" t="s">
        <v>17</v>
      </c>
      <c r="E111" s="157">
        <v>12</v>
      </c>
      <c r="F111" s="139">
        <f>H111</f>
        <v>45</v>
      </c>
      <c r="G111" s="124">
        <f>F111*E111</f>
        <v>540</v>
      </c>
      <c r="H111" s="139">
        <v>45</v>
      </c>
      <c r="I111" s="124">
        <f>H111*E111</f>
        <v>540</v>
      </c>
      <c r="J111" s="152">
        <f>I111/I114</f>
        <v>0.37948946579408455</v>
      </c>
      <c r="K111" s="47"/>
      <c r="L111" s="139">
        <f>ROUND(H111*S114,2)</f>
        <v>46.37</v>
      </c>
      <c r="M111" s="5">
        <f>L111*E111</f>
        <v>556.43999999999994</v>
      </c>
      <c r="N111" s="5">
        <f>M111-I111</f>
        <v>16.439999999999941</v>
      </c>
      <c r="O111" s="4">
        <f>IF(I111=0,0,N111/I111)</f>
        <v>3.0444444444444337E-2</v>
      </c>
      <c r="P111" s="4">
        <f>M111/M$114</f>
        <v>0.37951311231307389</v>
      </c>
      <c r="Q111" s="16">
        <f>P111-J111</f>
        <v>2.3646518989339782E-5</v>
      </c>
      <c r="R111" s="16"/>
      <c r="T111" s="4">
        <f t="shared" ref="T111:T113" si="118">L111/H111-1</f>
        <v>3.0444444444444496E-2</v>
      </c>
    </row>
    <row r="112" spans="1:20" x14ac:dyDescent="0.25">
      <c r="A112" s="54">
        <f t="shared" si="79"/>
        <v>104</v>
      </c>
      <c r="D112" s="2" t="s">
        <v>79</v>
      </c>
      <c r="E112" s="157">
        <v>3520</v>
      </c>
      <c r="F112" s="140">
        <f>H112+0.00165</f>
        <v>0.13987000000000002</v>
      </c>
      <c r="G112" s="124">
        <f t="shared" ref="G112" si="119">F112*E112</f>
        <v>492.34240000000005</v>
      </c>
      <c r="H112" s="140">
        <v>0.13822000000000001</v>
      </c>
      <c r="I112" s="124">
        <f t="shared" ref="I112" si="120">H112*E112</f>
        <v>486.53440000000001</v>
      </c>
      <c r="J112" s="152">
        <f>I112/I114</f>
        <v>0.34191607323415824</v>
      </c>
      <c r="K112" s="47"/>
      <c r="L112" s="140">
        <f>ROUND(H112*S$114,5)</f>
        <v>0.14241999999999999</v>
      </c>
      <c r="M112" s="5">
        <f t="shared" ref="M112" si="121">L112*E112</f>
        <v>501.3184</v>
      </c>
      <c r="N112" s="5">
        <f t="shared" ref="N112" si="122">M112-I112</f>
        <v>14.783999999999992</v>
      </c>
      <c r="O112" s="4">
        <f t="shared" ref="O112" si="123">IF(I112=0,0,N112/I112)</f>
        <v>3.0386340616408606E-2</v>
      </c>
      <c r="P112" s="4">
        <f>M112/M$114</f>
        <v>0.34191809762743608</v>
      </c>
      <c r="Q112" s="16">
        <f t="shared" ref="Q112" si="124">P112-J112</f>
        <v>2.0243932778440943E-6</v>
      </c>
      <c r="R112" s="16"/>
      <c r="T112" s="4">
        <f t="shared" ref="T112" si="125">L112/H112-1</f>
        <v>3.0386340616408436E-2</v>
      </c>
    </row>
    <row r="113" spans="1:20" x14ac:dyDescent="0.25">
      <c r="A113" s="54">
        <f t="shared" si="79"/>
        <v>105</v>
      </c>
      <c r="B113" s="88"/>
      <c r="D113" s="2" t="s">
        <v>80</v>
      </c>
      <c r="E113" s="157">
        <v>5800</v>
      </c>
      <c r="F113" s="140">
        <f>H113+0.00165</f>
        <v>6.9999999999999993E-2</v>
      </c>
      <c r="G113" s="124">
        <f t="shared" ref="G113" si="126">F113*E113</f>
        <v>405.99999999999994</v>
      </c>
      <c r="H113" s="140">
        <v>6.8349999999999994E-2</v>
      </c>
      <c r="I113" s="124">
        <f t="shared" ref="I113" si="127">H113*E113</f>
        <v>396.42999999999995</v>
      </c>
      <c r="J113" s="152">
        <f>I113/I114</f>
        <v>0.27859446097175727</v>
      </c>
      <c r="K113" s="47"/>
      <c r="L113" s="171">
        <f>ROUND(H113*S114,5)</f>
        <v>7.0419999999999996E-2</v>
      </c>
      <c r="M113" s="5">
        <f t="shared" ref="M113" si="128">L113*E113</f>
        <v>408.43599999999998</v>
      </c>
      <c r="N113" s="5">
        <f t="shared" ref="N113:N121" si="129">M113-I113</f>
        <v>12.006000000000029</v>
      </c>
      <c r="O113" s="4">
        <f t="shared" ref="O113" si="130">IF(I113=0,0,N113/I113)</f>
        <v>3.0285296269202708E-2</v>
      </c>
      <c r="P113" s="4">
        <f>M113/M$114</f>
        <v>0.27856879005949009</v>
      </c>
      <c r="Q113" s="16">
        <f t="shared" ref="Q113:Q114" si="131">P113-J113</f>
        <v>-2.5670912267183876E-5</v>
      </c>
      <c r="R113" s="16"/>
      <c r="T113" s="4">
        <f t="shared" si="118"/>
        <v>3.0285296269202622E-2</v>
      </c>
    </row>
    <row r="114" spans="1:20" s="6" customFormat="1" ht="20.399999999999999" customHeight="1" x14ac:dyDescent="0.3">
      <c r="A114" s="54">
        <f t="shared" si="79"/>
        <v>106</v>
      </c>
      <c r="C114" s="22"/>
      <c r="D114" s="24" t="s">
        <v>6</v>
      </c>
      <c r="E114" s="141"/>
      <c r="F114" s="141"/>
      <c r="G114" s="25">
        <f>SUM(G111:G113)</f>
        <v>1438.3424</v>
      </c>
      <c r="H114" s="141"/>
      <c r="I114" s="25">
        <f>SUM(I111:I113)</f>
        <v>1422.9643999999998</v>
      </c>
      <c r="J114" s="158">
        <f>SUM(J111:J113)</f>
        <v>1</v>
      </c>
      <c r="K114" s="48">
        <f>I114+Summary!I16</f>
        <v>1466.1543999999999</v>
      </c>
      <c r="L114" s="141"/>
      <c r="M114" s="25">
        <f>SUM(M111:M113)</f>
        <v>1466.1943999999999</v>
      </c>
      <c r="N114" s="25">
        <f>SUM(N111:N113)</f>
        <v>43.229999999999961</v>
      </c>
      <c r="O114" s="26">
        <f t="shared" ref="O114" si="132">N114/I114</f>
        <v>3.0380240011626407E-2</v>
      </c>
      <c r="P114" s="26">
        <f>SUM(P111:P113)</f>
        <v>1</v>
      </c>
      <c r="Q114" s="27">
        <f t="shared" si="131"/>
        <v>0</v>
      </c>
      <c r="R114" s="40">
        <f>M114-K114</f>
        <v>3.999999999996362E-2</v>
      </c>
      <c r="S114" s="99">
        <f>K114/I114</f>
        <v>1.0303521296808269</v>
      </c>
    </row>
    <row r="115" spans="1:20" x14ac:dyDescent="0.25">
      <c r="A115" s="54">
        <f t="shared" si="79"/>
        <v>107</v>
      </c>
      <c r="D115" s="2" t="s">
        <v>29</v>
      </c>
      <c r="G115" s="124">
        <v>-21.61</v>
      </c>
      <c r="I115" s="142">
        <f>G115+(0.00165*E113)</f>
        <v>-12.04</v>
      </c>
      <c r="K115" s="56"/>
      <c r="M115" s="5">
        <f>I115</f>
        <v>-12.04</v>
      </c>
      <c r="N115" s="5">
        <f t="shared" si="129"/>
        <v>0</v>
      </c>
      <c r="O115" s="17">
        <v>0</v>
      </c>
    </row>
    <row r="116" spans="1:20" x14ac:dyDescent="0.25">
      <c r="A116" s="54">
        <f t="shared" si="79"/>
        <v>108</v>
      </c>
      <c r="D116" s="2" t="s">
        <v>30</v>
      </c>
      <c r="G116" s="124">
        <v>140.35</v>
      </c>
      <c r="I116" s="142">
        <f t="shared" ref="I116:I118" si="133">G116</f>
        <v>140.35</v>
      </c>
      <c r="M116" s="5">
        <f t="shared" ref="M116:M118" si="134">I116</f>
        <v>140.35</v>
      </c>
      <c r="N116" s="5">
        <f t="shared" si="129"/>
        <v>0</v>
      </c>
      <c r="O116" s="17">
        <v>0</v>
      </c>
    </row>
    <row r="117" spans="1:20" x14ac:dyDescent="0.25">
      <c r="A117" s="54">
        <f t="shared" si="79"/>
        <v>109</v>
      </c>
      <c r="D117" s="2" t="s">
        <v>32</v>
      </c>
      <c r="G117" s="124">
        <v>0</v>
      </c>
      <c r="I117" s="142">
        <f t="shared" si="133"/>
        <v>0</v>
      </c>
      <c r="M117" s="5">
        <f t="shared" si="134"/>
        <v>0</v>
      </c>
      <c r="N117" s="5">
        <f t="shared" si="129"/>
        <v>0</v>
      </c>
      <c r="O117" s="17">
        <v>0</v>
      </c>
    </row>
    <row r="118" spans="1:20" x14ac:dyDescent="0.25">
      <c r="A118" s="54">
        <f t="shared" si="79"/>
        <v>110</v>
      </c>
      <c r="D118" s="2" t="s">
        <v>42</v>
      </c>
      <c r="G118" s="124">
        <v>0</v>
      </c>
      <c r="I118" s="142">
        <f t="shared" si="133"/>
        <v>0</v>
      </c>
      <c r="M118" s="5">
        <f t="shared" si="134"/>
        <v>0</v>
      </c>
      <c r="N118" s="5"/>
      <c r="O118" s="17"/>
    </row>
    <row r="119" spans="1:20" x14ac:dyDescent="0.25">
      <c r="A119" s="54">
        <f t="shared" si="79"/>
        <v>111</v>
      </c>
      <c r="D119" s="18" t="s">
        <v>8</v>
      </c>
      <c r="E119" s="144"/>
      <c r="F119" s="144"/>
      <c r="G119" s="143">
        <f>SUM(G115:G118)</f>
        <v>118.74</v>
      </c>
      <c r="H119" s="144"/>
      <c r="I119" s="143">
        <f>SUM(I115:I118)</f>
        <v>128.31</v>
      </c>
      <c r="J119" s="144"/>
      <c r="K119" s="49"/>
      <c r="L119" s="144"/>
      <c r="M119" s="19">
        <f>SUM(M115:M118)</f>
        <v>128.31</v>
      </c>
      <c r="N119" s="19">
        <f t="shared" si="129"/>
        <v>0</v>
      </c>
      <c r="O119" s="28">
        <f t="shared" ref="O119" si="135">N119-J119</f>
        <v>0</v>
      </c>
    </row>
    <row r="120" spans="1:20" s="6" customFormat="1" ht="26.4" customHeight="1" thickBot="1" x14ac:dyDescent="0.3">
      <c r="A120" s="54">
        <f t="shared" si="79"/>
        <v>112</v>
      </c>
      <c r="C120" s="22"/>
      <c r="D120" s="7" t="s">
        <v>19</v>
      </c>
      <c r="E120" s="146"/>
      <c r="F120" s="146"/>
      <c r="G120" s="145">
        <f>G114+G119</f>
        <v>1557.0824</v>
      </c>
      <c r="H120" s="146"/>
      <c r="I120" s="147">
        <f>I119+I114</f>
        <v>1551.2743999999998</v>
      </c>
      <c r="J120" s="146"/>
      <c r="K120" s="50"/>
      <c r="L120" s="146"/>
      <c r="M120" s="8">
        <f>M119+M114</f>
        <v>1594.5043999999998</v>
      </c>
      <c r="N120" s="8">
        <f t="shared" si="129"/>
        <v>43.230000000000018</v>
      </c>
      <c r="O120" s="9">
        <f>N120/I120</f>
        <v>2.7867410175788386E-2</v>
      </c>
      <c r="P120" s="2"/>
      <c r="Q120" s="2"/>
      <c r="R120" s="2"/>
    </row>
    <row r="121" spans="1:20" ht="13.8" thickTop="1" x14ac:dyDescent="0.25">
      <c r="A121" s="54">
        <f t="shared" si="79"/>
        <v>113</v>
      </c>
      <c r="D121" s="2" t="s">
        <v>18</v>
      </c>
      <c r="E121" s="139">
        <f>(E112+E113)/E111</f>
        <v>776.66666666666663</v>
      </c>
      <c r="G121" s="148">
        <f>G120/E111</f>
        <v>129.75686666666667</v>
      </c>
      <c r="I121" s="148">
        <f>I120/E111</f>
        <v>129.27286666666666</v>
      </c>
      <c r="M121" s="15">
        <f>M120/E111</f>
        <v>132.87536666666665</v>
      </c>
      <c r="N121" s="15">
        <f t="shared" si="129"/>
        <v>3.602499999999992</v>
      </c>
      <c r="O121" s="4">
        <f>N121/I121</f>
        <v>2.786741017578831E-2</v>
      </c>
    </row>
    <row r="122" spans="1:20" ht="13.8" thickBot="1" x14ac:dyDescent="0.3">
      <c r="A122" s="54">
        <f t="shared" si="79"/>
        <v>114</v>
      </c>
    </row>
    <row r="123" spans="1:20" x14ac:dyDescent="0.25">
      <c r="A123" s="54">
        <f t="shared" si="79"/>
        <v>115</v>
      </c>
      <c r="B123" s="174" t="s">
        <v>81</v>
      </c>
      <c r="C123" s="35">
        <v>18</v>
      </c>
      <c r="D123" s="34"/>
      <c r="E123" s="149"/>
      <c r="F123" s="149"/>
      <c r="G123" s="149"/>
      <c r="H123" s="149"/>
      <c r="I123" s="149"/>
      <c r="J123" s="149"/>
      <c r="K123" s="46"/>
      <c r="L123" s="149"/>
      <c r="M123" s="34"/>
      <c r="N123" s="34"/>
      <c r="O123" s="34"/>
      <c r="P123" s="34"/>
      <c r="Q123" s="34"/>
      <c r="R123" s="34"/>
    </row>
    <row r="124" spans="1:20" x14ac:dyDescent="0.25">
      <c r="A124" s="54">
        <f t="shared" si="79"/>
        <v>116</v>
      </c>
      <c r="B124" s="175"/>
      <c r="C124" s="2"/>
      <c r="D124" s="2" t="s">
        <v>17</v>
      </c>
      <c r="E124" s="157">
        <v>26297</v>
      </c>
      <c r="F124" s="139">
        <f>H124</f>
        <v>27.5</v>
      </c>
      <c r="G124" s="124">
        <f>F124*E124</f>
        <v>723167.5</v>
      </c>
      <c r="H124" s="139">
        <v>27.5</v>
      </c>
      <c r="I124" s="124">
        <f>H124*E124</f>
        <v>723167.5</v>
      </c>
      <c r="J124" s="152">
        <f>I124/I126</f>
        <v>0.45869347492409535</v>
      </c>
      <c r="K124" s="47"/>
      <c r="L124" s="139">
        <f>ROUND(H124*S126,2)</f>
        <v>28.33</v>
      </c>
      <c r="M124" s="5">
        <f>L124*E124</f>
        <v>744994.01</v>
      </c>
      <c r="N124" s="5">
        <f>M124-I124</f>
        <v>21826.510000000009</v>
      </c>
      <c r="O124" s="4">
        <f>IF(I124=0,0,N124/I124)</f>
        <v>3.0181818181818195E-2</v>
      </c>
      <c r="P124" s="4">
        <f>M124/M$126</f>
        <v>0.4586516853741831</v>
      </c>
      <c r="Q124" s="16">
        <f>P124-J124</f>
        <v>-4.1789549912241153E-5</v>
      </c>
      <c r="R124" s="16"/>
      <c r="T124" s="4">
        <f t="shared" ref="T124:T125" si="136">L124/H124-1</f>
        <v>3.0181818181818088E-2</v>
      </c>
    </row>
    <row r="125" spans="1:20" x14ac:dyDescent="0.25">
      <c r="A125" s="54">
        <f t="shared" si="79"/>
        <v>117</v>
      </c>
      <c r="D125" s="2" t="s">
        <v>52</v>
      </c>
      <c r="E125" s="157">
        <v>6124246</v>
      </c>
      <c r="F125" s="140">
        <f>H125+0.00165</f>
        <v>0.14100000000000001</v>
      </c>
      <c r="G125" s="124">
        <f t="shared" ref="G125" si="137">F125*E125</f>
        <v>863518.6860000001</v>
      </c>
      <c r="H125" s="140">
        <v>0.13935</v>
      </c>
      <c r="I125" s="124">
        <f>H125*E125</f>
        <v>853413.6801</v>
      </c>
      <c r="J125" s="152">
        <f>I125/I126</f>
        <v>0.5413065250759046</v>
      </c>
      <c r="K125" s="47"/>
      <c r="L125" s="140">
        <f>ROUND(H125*S126,5)</f>
        <v>0.14358000000000001</v>
      </c>
      <c r="M125" s="5">
        <f t="shared" ref="M125" si="138">L125*E125</f>
        <v>879319.24068000005</v>
      </c>
      <c r="N125" s="5">
        <f t="shared" ref="N125:N129" si="139">M125-I125</f>
        <v>25905.560580000049</v>
      </c>
      <c r="O125" s="4">
        <f t="shared" ref="O125" si="140">IF(I125=0,0,N125/I125)</f>
        <v>3.0355220667384341E-2</v>
      </c>
      <c r="P125" s="4">
        <f>M125/M$126</f>
        <v>0.5413483146258169</v>
      </c>
      <c r="Q125" s="16">
        <f t="shared" ref="Q125:Q126" si="141">P125-J125</f>
        <v>4.1789549912296664E-5</v>
      </c>
      <c r="R125" s="16"/>
      <c r="T125" s="4">
        <f t="shared" si="136"/>
        <v>3.0355220667384275E-2</v>
      </c>
    </row>
    <row r="126" spans="1:20" s="6" customFormat="1" ht="20.399999999999999" customHeight="1" x14ac:dyDescent="0.3">
      <c r="A126" s="54">
        <f t="shared" si="79"/>
        <v>118</v>
      </c>
      <c r="C126" s="22"/>
      <c r="D126" s="24" t="s">
        <v>6</v>
      </c>
      <c r="E126" s="141"/>
      <c r="F126" s="141"/>
      <c r="G126" s="25">
        <f>SUM(G124:G125)</f>
        <v>1586686.1860000002</v>
      </c>
      <c r="H126" s="141"/>
      <c r="I126" s="25">
        <f>SUM(I124:I125)</f>
        <v>1576581.1801</v>
      </c>
      <c r="J126" s="158">
        <f>SUM(J124:J125)</f>
        <v>1</v>
      </c>
      <c r="K126" s="48">
        <f>I126+Summary!I17</f>
        <v>1624430.7501000001</v>
      </c>
      <c r="L126" s="141"/>
      <c r="M126" s="25">
        <f>SUM(M124:M125)</f>
        <v>1624313.2506800001</v>
      </c>
      <c r="N126" s="25">
        <f>SUM(N124:N125)</f>
        <v>47732.070580000058</v>
      </c>
      <c r="O126" s="26">
        <f t="shared" ref="O126" si="142">N126/I126</f>
        <v>3.0275682078719529E-2</v>
      </c>
      <c r="P126" s="26">
        <f>SUM(P124:P125)</f>
        <v>1</v>
      </c>
      <c r="Q126" s="27">
        <f t="shared" si="141"/>
        <v>0</v>
      </c>
      <c r="R126" s="40">
        <f>M126-K126</f>
        <v>-117.49942000000738</v>
      </c>
      <c r="S126" s="99">
        <f>K126/I126</f>
        <v>1.0303502100646444</v>
      </c>
    </row>
    <row r="127" spans="1:20" x14ac:dyDescent="0.25">
      <c r="A127" s="54">
        <f t="shared" si="79"/>
        <v>119</v>
      </c>
      <c r="D127" s="2" t="s">
        <v>29</v>
      </c>
      <c r="G127" s="124">
        <v>-30397.17</v>
      </c>
      <c r="I127" s="142">
        <f>G127+(0.00165*E125)</f>
        <v>-20292.164099999998</v>
      </c>
      <c r="K127" s="56"/>
      <c r="M127" s="5">
        <f>I127</f>
        <v>-20292.164099999998</v>
      </c>
      <c r="N127" s="5">
        <f t="shared" si="139"/>
        <v>0</v>
      </c>
      <c r="O127" s="17">
        <v>0</v>
      </c>
    </row>
    <row r="128" spans="1:20" x14ac:dyDescent="0.25">
      <c r="A128" s="54">
        <f t="shared" si="79"/>
        <v>120</v>
      </c>
      <c r="D128" s="2" t="s">
        <v>30</v>
      </c>
      <c r="G128" s="124">
        <v>131564.84</v>
      </c>
      <c r="I128" s="142">
        <f t="shared" ref="I128:I130" si="143">G128</f>
        <v>131564.84</v>
      </c>
      <c r="M128" s="5">
        <f t="shared" ref="M128:M130" si="144">I128</f>
        <v>131564.84</v>
      </c>
      <c r="N128" s="5">
        <f t="shared" si="139"/>
        <v>0</v>
      </c>
      <c r="O128" s="17">
        <v>0</v>
      </c>
    </row>
    <row r="129" spans="1:20" x14ac:dyDescent="0.25">
      <c r="A129" s="54">
        <f t="shared" si="79"/>
        <v>121</v>
      </c>
      <c r="D129" s="2" t="s">
        <v>32</v>
      </c>
      <c r="G129" s="124">
        <v>0</v>
      </c>
      <c r="I129" s="142">
        <f t="shared" si="143"/>
        <v>0</v>
      </c>
      <c r="M129" s="5">
        <f t="shared" si="144"/>
        <v>0</v>
      </c>
      <c r="N129" s="5">
        <f t="shared" si="139"/>
        <v>0</v>
      </c>
      <c r="O129" s="17">
        <v>0</v>
      </c>
    </row>
    <row r="130" spans="1:20" x14ac:dyDescent="0.25">
      <c r="A130" s="54">
        <f t="shared" si="79"/>
        <v>122</v>
      </c>
      <c r="D130" s="2" t="s">
        <v>92</v>
      </c>
      <c r="G130" s="124">
        <v>33</v>
      </c>
      <c r="I130" s="142">
        <f t="shared" si="143"/>
        <v>33</v>
      </c>
      <c r="M130" s="5">
        <f t="shared" si="144"/>
        <v>33</v>
      </c>
      <c r="N130" s="5"/>
      <c r="O130" s="17"/>
    </row>
    <row r="131" spans="1:20" x14ac:dyDescent="0.25">
      <c r="A131" s="54">
        <f t="shared" si="79"/>
        <v>123</v>
      </c>
      <c r="D131" s="18" t="s">
        <v>8</v>
      </c>
      <c r="E131" s="144"/>
      <c r="F131" s="144"/>
      <c r="G131" s="143">
        <f>SUM(G127:G130)</f>
        <v>101200.67</v>
      </c>
      <c r="H131" s="144"/>
      <c r="I131" s="143">
        <f>SUM(I127:I130)</f>
        <v>111305.6759</v>
      </c>
      <c r="J131" s="144"/>
      <c r="K131" s="49"/>
      <c r="L131" s="144"/>
      <c r="M131" s="19">
        <f>SUM(M127:M130)</f>
        <v>111305.6759</v>
      </c>
      <c r="N131" s="19">
        <f t="shared" ref="N131:N132" si="145">M131-I131</f>
        <v>0</v>
      </c>
      <c r="O131" s="28">
        <f t="shared" ref="O131" si="146">N131-J131</f>
        <v>0</v>
      </c>
    </row>
    <row r="132" spans="1:20" s="6" customFormat="1" ht="26.4" customHeight="1" thickBot="1" x14ac:dyDescent="0.3">
      <c r="A132" s="54">
        <f t="shared" si="79"/>
        <v>124</v>
      </c>
      <c r="C132" s="22"/>
      <c r="D132" s="7" t="s">
        <v>19</v>
      </c>
      <c r="E132" s="146"/>
      <c r="F132" s="146"/>
      <c r="G132" s="145">
        <f>G126+G131</f>
        <v>1687886.8560000001</v>
      </c>
      <c r="H132" s="146"/>
      <c r="I132" s="147">
        <f>I131+I126</f>
        <v>1687886.8559999999</v>
      </c>
      <c r="J132" s="146"/>
      <c r="K132" s="50"/>
      <c r="L132" s="146"/>
      <c r="M132" s="8">
        <f>M131+M126</f>
        <v>1735618.92658</v>
      </c>
      <c r="N132" s="8">
        <f t="shared" si="145"/>
        <v>47732.070580000058</v>
      </c>
      <c r="O132" s="9">
        <f>N132/I132</f>
        <v>2.8279188507407904E-2</v>
      </c>
      <c r="P132" s="2"/>
      <c r="Q132" s="2"/>
      <c r="R132" s="2"/>
    </row>
    <row r="133" spans="1:20" ht="13.8" thickTop="1" x14ac:dyDescent="0.25">
      <c r="A133" s="54">
        <f t="shared" si="79"/>
        <v>125</v>
      </c>
      <c r="E133" s="161">
        <f>E125/E124</f>
        <v>232.88762976765412</v>
      </c>
      <c r="F133" s="161"/>
      <c r="G133" s="161">
        <f>G132/E124</f>
        <v>64.185528995702938</v>
      </c>
      <c r="H133" s="161"/>
      <c r="I133" s="161">
        <f>I132/E124</f>
        <v>64.185528995702924</v>
      </c>
      <c r="J133" s="161"/>
      <c r="K133" s="115"/>
      <c r="L133" s="161"/>
      <c r="M133" s="115">
        <f>M132/E124</f>
        <v>66.000643669620104</v>
      </c>
      <c r="N133" s="115">
        <f>M133-I133</f>
        <v>1.8151146739171793</v>
      </c>
      <c r="O133" s="4"/>
    </row>
    <row r="134" spans="1:20" ht="13.8" thickBot="1" x14ac:dyDescent="0.3">
      <c r="A134" s="54">
        <f t="shared" si="79"/>
        <v>126</v>
      </c>
    </row>
    <row r="135" spans="1:20" x14ac:dyDescent="0.25">
      <c r="A135" s="54">
        <f t="shared" si="79"/>
        <v>127</v>
      </c>
      <c r="B135" s="174" t="s">
        <v>82</v>
      </c>
      <c r="C135" s="35">
        <v>19</v>
      </c>
      <c r="D135" s="34"/>
      <c r="E135" s="149"/>
      <c r="F135" s="149"/>
      <c r="G135" s="149"/>
      <c r="H135" s="149"/>
      <c r="I135" s="149"/>
      <c r="J135" s="149"/>
      <c r="K135" s="46"/>
      <c r="L135" s="149"/>
      <c r="M135" s="34"/>
      <c r="N135" s="34"/>
      <c r="O135" s="34"/>
      <c r="P135" s="34"/>
      <c r="Q135" s="34"/>
      <c r="R135" s="34"/>
    </row>
    <row r="136" spans="1:20" x14ac:dyDescent="0.25">
      <c r="A136" s="54">
        <f t="shared" si="79"/>
        <v>128</v>
      </c>
      <c r="B136" s="175"/>
      <c r="C136" s="2"/>
      <c r="D136" s="2" t="s">
        <v>17</v>
      </c>
      <c r="E136" s="157">
        <v>580</v>
      </c>
      <c r="F136" s="139">
        <f>H136</f>
        <v>55</v>
      </c>
      <c r="G136" s="124">
        <f>F136*E136</f>
        <v>31900</v>
      </c>
      <c r="H136" s="139">
        <v>55</v>
      </c>
      <c r="I136" s="124">
        <f>H136*E136</f>
        <v>31900</v>
      </c>
      <c r="J136" s="152">
        <f>I136/I138</f>
        <v>0.45274901644431115</v>
      </c>
      <c r="K136" s="47"/>
      <c r="L136" s="139">
        <f>ROUND(H136*S138,2)</f>
        <v>56.67</v>
      </c>
      <c r="M136" s="5">
        <f>L136*E136</f>
        <v>32868.6</v>
      </c>
      <c r="N136" s="5">
        <f t="shared" ref="N136:N141" si="147">M136-I136</f>
        <v>968.59999999999854</v>
      </c>
      <c r="O136" s="4">
        <f>IF(I136=0,0,N136/I136)</f>
        <v>3.0363636363636318E-2</v>
      </c>
      <c r="P136" s="4">
        <f>M136/M138</f>
        <v>0.4527443071466471</v>
      </c>
      <c r="Q136" s="16">
        <f>P136-J136</f>
        <v>-4.7092976640517037E-6</v>
      </c>
      <c r="R136" s="16"/>
      <c r="T136" s="4">
        <f>L136/H136-1</f>
        <v>3.036363636363637E-2</v>
      </c>
    </row>
    <row r="137" spans="1:20" x14ac:dyDescent="0.25">
      <c r="A137" s="54">
        <f t="shared" si="79"/>
        <v>129</v>
      </c>
      <c r="B137" s="17"/>
      <c r="D137" s="2" t="s">
        <v>52</v>
      </c>
      <c r="E137" s="157">
        <v>377913</v>
      </c>
      <c r="F137" s="140">
        <f>H137+0.00165</f>
        <v>0.10367999999999999</v>
      </c>
      <c r="G137" s="124">
        <f t="shared" ref="G137" si="148">F137*E137</f>
        <v>39182.019840000001</v>
      </c>
      <c r="H137" s="140">
        <v>0.10203</v>
      </c>
      <c r="I137" s="124">
        <f t="shared" ref="I137" si="149">H137*E137</f>
        <v>38558.463389999997</v>
      </c>
      <c r="J137" s="152">
        <f>I137/I138</f>
        <v>0.54725098355568891</v>
      </c>
      <c r="K137" s="47"/>
      <c r="L137" s="171">
        <f>ROUND(H137*S138,5)</f>
        <v>0.10513</v>
      </c>
      <c r="M137" s="5">
        <f t="shared" ref="M137" si="150">L137*E137</f>
        <v>39729.993690000003</v>
      </c>
      <c r="N137" s="5">
        <f t="shared" si="147"/>
        <v>1171.5303000000058</v>
      </c>
      <c r="O137" s="4">
        <f t="shared" ref="O137" si="151">IF(I137=0,0,N137/I137)</f>
        <v>3.0383220621386021E-2</v>
      </c>
      <c r="P137" s="4">
        <f>M137/M138</f>
        <v>0.54725569285335285</v>
      </c>
      <c r="Q137" s="16">
        <f t="shared" ref="Q137:Q138" si="152">P137-J137</f>
        <v>4.7092976639406814E-6</v>
      </c>
      <c r="R137" s="16"/>
      <c r="T137" s="4">
        <f>L137/H137-1</f>
        <v>3.0383220621385876E-2</v>
      </c>
    </row>
    <row r="138" spans="1:20" s="6" customFormat="1" ht="20.399999999999999" customHeight="1" x14ac:dyDescent="0.3">
      <c r="A138" s="54">
        <f t="shared" si="79"/>
        <v>130</v>
      </c>
      <c r="C138" s="22"/>
      <c r="D138" s="24" t="s">
        <v>6</v>
      </c>
      <c r="E138" s="141"/>
      <c r="F138" s="141"/>
      <c r="G138" s="25">
        <f>SUM(G136:G137)</f>
        <v>71082.019839999994</v>
      </c>
      <c r="H138" s="141"/>
      <c r="I138" s="25">
        <f>SUM(I136:I137)</f>
        <v>70458.46338999999</v>
      </c>
      <c r="J138" s="158">
        <f>SUM(J136:J137)</f>
        <v>1</v>
      </c>
      <c r="K138" s="48">
        <f>I138+Summary!I18</f>
        <v>72596.893389999983</v>
      </c>
      <c r="L138" s="141"/>
      <c r="M138" s="25">
        <f>SUM(M136:M137)</f>
        <v>72598.593690000009</v>
      </c>
      <c r="N138" s="25">
        <f>SUM(N136:N137)</f>
        <v>2140.1303000000044</v>
      </c>
      <c r="O138" s="26">
        <f t="shared" ref="O138" si="153">N138/I138</f>
        <v>3.0374353867952054E-2</v>
      </c>
      <c r="P138" s="26">
        <f>SUM(P136:P137)</f>
        <v>1</v>
      </c>
      <c r="Q138" s="27">
        <f t="shared" si="152"/>
        <v>0</v>
      </c>
      <c r="R138" s="40">
        <f>M138-K138</f>
        <v>1.7003000000258908</v>
      </c>
      <c r="S138" s="99">
        <f>K138/I138</f>
        <v>1.0303502219195926</v>
      </c>
    </row>
    <row r="139" spans="1:20" x14ac:dyDescent="0.25">
      <c r="A139" s="54">
        <f t="shared" si="79"/>
        <v>131</v>
      </c>
      <c r="D139" s="2" t="s">
        <v>29</v>
      </c>
      <c r="G139" s="124">
        <v>-1247.6099999999999</v>
      </c>
      <c r="I139" s="142">
        <f>G139+(0.00165*E137)</f>
        <v>-624.05354999999986</v>
      </c>
      <c r="K139" s="56"/>
      <c r="M139" s="5">
        <f>I139</f>
        <v>-624.05354999999986</v>
      </c>
      <c r="N139" s="5">
        <f t="shared" si="147"/>
        <v>0</v>
      </c>
      <c r="O139" s="17">
        <v>0</v>
      </c>
      <c r="R139" s="42"/>
    </row>
    <row r="140" spans="1:20" x14ac:dyDescent="0.25">
      <c r="A140" s="54">
        <f t="shared" ref="A140:A203" si="154">A139+1</f>
        <v>132</v>
      </c>
      <c r="D140" s="2" t="s">
        <v>30</v>
      </c>
      <c r="G140" s="124">
        <v>5711.16</v>
      </c>
      <c r="I140" s="142">
        <f>G140</f>
        <v>5711.16</v>
      </c>
      <c r="M140" s="5">
        <f t="shared" ref="M140:M142" si="155">I140</f>
        <v>5711.16</v>
      </c>
      <c r="N140" s="5">
        <f t="shared" si="147"/>
        <v>0</v>
      </c>
      <c r="O140" s="17">
        <v>0</v>
      </c>
    </row>
    <row r="141" spans="1:20" x14ac:dyDescent="0.25">
      <c r="A141" s="54">
        <f t="shared" si="154"/>
        <v>133</v>
      </c>
      <c r="D141" s="2" t="s">
        <v>43</v>
      </c>
      <c r="G141" s="124">
        <v>0</v>
      </c>
      <c r="I141" s="142">
        <f>G141</f>
        <v>0</v>
      </c>
      <c r="M141" s="5">
        <f t="shared" si="155"/>
        <v>0</v>
      </c>
      <c r="N141" s="5">
        <f t="shared" si="147"/>
        <v>0</v>
      </c>
      <c r="O141" s="17">
        <v>0</v>
      </c>
    </row>
    <row r="142" spans="1:20" x14ac:dyDescent="0.25">
      <c r="A142" s="54">
        <f t="shared" si="154"/>
        <v>134</v>
      </c>
      <c r="D142" s="2" t="s">
        <v>42</v>
      </c>
      <c r="G142" s="124">
        <v>0</v>
      </c>
      <c r="I142" s="142">
        <f>G142</f>
        <v>0</v>
      </c>
      <c r="M142" s="5">
        <f t="shared" si="155"/>
        <v>0</v>
      </c>
      <c r="N142" s="5"/>
      <c r="O142" s="17">
        <v>0</v>
      </c>
    </row>
    <row r="143" spans="1:20" x14ac:dyDescent="0.25">
      <c r="A143" s="54">
        <f t="shared" si="154"/>
        <v>135</v>
      </c>
      <c r="D143" s="18" t="s">
        <v>8</v>
      </c>
      <c r="E143" s="144"/>
      <c r="F143" s="144"/>
      <c r="G143" s="143">
        <f>SUM(G139:G142)</f>
        <v>4463.55</v>
      </c>
      <c r="H143" s="144"/>
      <c r="I143" s="143">
        <f>SUM(I139:I142)</f>
        <v>5087.1064500000002</v>
      </c>
      <c r="J143" s="144"/>
      <c r="K143" s="49"/>
      <c r="L143" s="144"/>
      <c r="M143" s="19">
        <f>SUM(M139:M142)</f>
        <v>5087.1064500000002</v>
      </c>
      <c r="N143" s="19">
        <f>M143-I143</f>
        <v>0</v>
      </c>
      <c r="O143" s="28">
        <v>0</v>
      </c>
    </row>
    <row r="144" spans="1:20" s="6" customFormat="1" ht="26.4" customHeight="1" thickBot="1" x14ac:dyDescent="0.3">
      <c r="A144" s="54">
        <f t="shared" si="154"/>
        <v>136</v>
      </c>
      <c r="C144" s="22"/>
      <c r="D144" s="7" t="s">
        <v>19</v>
      </c>
      <c r="E144" s="146"/>
      <c r="F144" s="146"/>
      <c r="G144" s="145">
        <f>G138+G143</f>
        <v>75545.569839999996</v>
      </c>
      <c r="H144" s="146"/>
      <c r="I144" s="147">
        <f>I143+I138</f>
        <v>75545.569839999996</v>
      </c>
      <c r="J144" s="146"/>
      <c r="K144" s="50"/>
      <c r="L144" s="146"/>
      <c r="M144" s="8">
        <f>M143+M138</f>
        <v>77685.700140000015</v>
      </c>
      <c r="N144" s="8">
        <f>M144-I144</f>
        <v>2140.1303000000189</v>
      </c>
      <c r="O144" s="9">
        <f>N144/I144</f>
        <v>2.8328998040952749E-2</v>
      </c>
      <c r="P144" s="2"/>
      <c r="Q144" s="2"/>
      <c r="R144" s="2"/>
    </row>
    <row r="145" spans="1:20" ht="13.8" thickTop="1" x14ac:dyDescent="0.25">
      <c r="A145" s="54">
        <f t="shared" si="154"/>
        <v>137</v>
      </c>
      <c r="D145" s="2" t="s">
        <v>18</v>
      </c>
      <c r="E145" s="139">
        <f>E137/E136</f>
        <v>651.57413793103444</v>
      </c>
      <c r="G145" s="148">
        <f>G144/E136</f>
        <v>130.25098248275862</v>
      </c>
      <c r="I145" s="148">
        <f>I144/E136</f>
        <v>130.25098248275862</v>
      </c>
      <c r="M145" s="15">
        <f>M144/E136</f>
        <v>133.94086231034484</v>
      </c>
      <c r="N145" s="15">
        <f>M145-I145</f>
        <v>3.6898798275862248</v>
      </c>
      <c r="O145" s="4">
        <f>N145/I145</f>
        <v>2.8328998040952635E-2</v>
      </c>
    </row>
    <row r="146" spans="1:20" ht="13.8" thickBot="1" x14ac:dyDescent="0.3">
      <c r="A146" s="54">
        <f t="shared" si="154"/>
        <v>138</v>
      </c>
    </row>
    <row r="147" spans="1:20" x14ac:dyDescent="0.25">
      <c r="A147" s="54">
        <f t="shared" si="154"/>
        <v>139</v>
      </c>
      <c r="B147" s="174" t="s">
        <v>83</v>
      </c>
      <c r="C147" s="35">
        <v>20</v>
      </c>
      <c r="D147" s="34"/>
      <c r="E147" s="149"/>
      <c r="F147" s="149"/>
      <c r="G147" s="149"/>
      <c r="H147" s="149"/>
      <c r="I147" s="149"/>
      <c r="J147" s="149"/>
      <c r="K147" s="46"/>
      <c r="L147" s="149"/>
      <c r="M147" s="34"/>
      <c r="N147" s="34"/>
      <c r="O147" s="34"/>
      <c r="P147" s="34"/>
      <c r="Q147" s="34"/>
      <c r="R147" s="34"/>
    </row>
    <row r="148" spans="1:20" x14ac:dyDescent="0.25">
      <c r="A148" s="54">
        <f t="shared" si="154"/>
        <v>140</v>
      </c>
      <c r="B148" s="175"/>
      <c r="C148" s="2"/>
      <c r="D148" s="2" t="s">
        <v>17</v>
      </c>
      <c r="E148" s="157">
        <v>416</v>
      </c>
      <c r="F148" s="139">
        <f>H148</f>
        <v>21.25</v>
      </c>
      <c r="G148" s="124">
        <f>F148*E148</f>
        <v>8840</v>
      </c>
      <c r="H148" s="139">
        <v>21.25</v>
      </c>
      <c r="I148" s="124">
        <f>H148*E148</f>
        <v>8840</v>
      </c>
      <c r="J148" s="152">
        <f>I148/I152</f>
        <v>0.33654611447029947</v>
      </c>
      <c r="K148" s="47"/>
      <c r="L148" s="139">
        <f>ROUND(H148*S152,2)</f>
        <v>21.89</v>
      </c>
      <c r="M148" s="5">
        <f>L148*E148</f>
        <v>9106.24</v>
      </c>
      <c r="N148" s="5">
        <f>M148-I148</f>
        <v>266.23999999999978</v>
      </c>
      <c r="O148" s="4">
        <f>IF(I148=0,0,N148/I148)</f>
        <v>3.0117647058823506E-2</v>
      </c>
      <c r="P148" s="4">
        <f>M148/M152</f>
        <v>0.33649339404274892</v>
      </c>
      <c r="Q148" s="16">
        <f>P148-J148</f>
        <v>-5.2720427550556614E-5</v>
      </c>
      <c r="R148" s="16"/>
    </row>
    <row r="149" spans="1:20" x14ac:dyDescent="0.25">
      <c r="A149" s="54">
        <f t="shared" si="154"/>
        <v>141</v>
      </c>
      <c r="B149" s="125"/>
      <c r="D149" s="41" t="s">
        <v>84</v>
      </c>
      <c r="E149" s="157">
        <f>7942+13850+11481+11607+8438+9325+9014+14271+13187+11880+11834+7940</f>
        <v>130769</v>
      </c>
      <c r="F149" s="140">
        <f>H149+0.00165</f>
        <v>0.08</v>
      </c>
      <c r="G149" s="124">
        <f t="shared" ref="G149" si="156">F149*E149</f>
        <v>10461.52</v>
      </c>
      <c r="H149" s="140">
        <v>7.8350000000000003E-2</v>
      </c>
      <c r="I149" s="124">
        <f t="shared" ref="I149" si="157">H149*E149</f>
        <v>10245.75115</v>
      </c>
      <c r="J149" s="152">
        <f>I149/I152</f>
        <v>0.3900642239097401</v>
      </c>
      <c r="K149" s="47"/>
      <c r="L149" s="140">
        <f>ROUND(H149*S152,5)</f>
        <v>8.0729999999999996E-2</v>
      </c>
      <c r="M149" s="5">
        <f t="shared" ref="M149" si="158">L149*E149</f>
        <v>10556.98137</v>
      </c>
      <c r="N149" s="5">
        <f t="shared" ref="N149" si="159">M149-I149</f>
        <v>311.23021999999946</v>
      </c>
      <c r="O149" s="4">
        <f t="shared" ref="O149" si="160">IF(I149=0,0,N149/I149)</f>
        <v>3.0376515634971232E-2</v>
      </c>
      <c r="P149" s="4">
        <f>M149/M152</f>
        <v>0.39010112758255538</v>
      </c>
      <c r="Q149" s="16">
        <f t="shared" ref="Q149" si="161">P149-J149</f>
        <v>3.6903672815280508E-5</v>
      </c>
      <c r="R149" s="16"/>
      <c r="T149" s="4">
        <f>L149/H149-1</f>
        <v>3.0376515634971124E-2</v>
      </c>
    </row>
    <row r="150" spans="1:20" ht="12.6" customHeight="1" x14ac:dyDescent="0.25">
      <c r="A150" s="54">
        <f t="shared" si="154"/>
        <v>142</v>
      </c>
      <c r="B150" s="125"/>
      <c r="D150" s="2" t="s">
        <v>85</v>
      </c>
      <c r="E150" s="157">
        <f>2679+2530+2184+2081+1270+1790+1614+3531+3346+3022+2323+3903</f>
        <v>30273</v>
      </c>
      <c r="F150" s="140">
        <f>H150+0.00165</f>
        <v>0.1</v>
      </c>
      <c r="G150" s="124">
        <f t="shared" ref="G150:G151" si="162">F150*E150</f>
        <v>3027.3</v>
      </c>
      <c r="H150" s="140">
        <v>9.8350000000000007E-2</v>
      </c>
      <c r="I150" s="124">
        <f t="shared" ref="I150:I151" si="163">H150*E150</f>
        <v>2977.3495500000004</v>
      </c>
      <c r="J150" s="152">
        <f>I150/I152</f>
        <v>0.11335016091316683</v>
      </c>
      <c r="K150" s="47"/>
      <c r="L150" s="140">
        <f>ROUND(H150*S152,5)</f>
        <v>0.10133</v>
      </c>
      <c r="M150" s="5">
        <f t="shared" ref="M150:M151" si="164">L150*E150</f>
        <v>3067.5630900000001</v>
      </c>
      <c r="N150" s="5">
        <f t="shared" ref="N150:N155" si="165">M150-I150</f>
        <v>90.213539999999739</v>
      </c>
      <c r="O150" s="4">
        <f t="shared" ref="O150:O151" si="166">IF(I150=0,0,N150/I150)</f>
        <v>3.0299949161159034E-2</v>
      </c>
      <c r="P150" s="4">
        <f>M150/M152</f>
        <v>0.11335246112493878</v>
      </c>
      <c r="Q150" s="16">
        <f t="shared" ref="Q150:Q152" si="167">P150-J150</f>
        <v>2.3002117719578274E-6</v>
      </c>
      <c r="R150" s="16"/>
      <c r="T150" s="4">
        <f>L150/H150-1</f>
        <v>3.0299949161159079E-2</v>
      </c>
    </row>
    <row r="151" spans="1:20" x14ac:dyDescent="0.25">
      <c r="A151" s="54">
        <f t="shared" si="154"/>
        <v>143</v>
      </c>
      <c r="B151" s="125"/>
      <c r="D151" s="2" t="s">
        <v>86</v>
      </c>
      <c r="E151" s="157">
        <f>2620+3719+2084+2162+481+316+450+2482+1654+869+1994+3027</f>
        <v>21858</v>
      </c>
      <c r="F151" s="140">
        <f>H151+0.00165</f>
        <v>0.19397</v>
      </c>
      <c r="G151" s="124">
        <f t="shared" si="162"/>
        <v>4239.7962600000001</v>
      </c>
      <c r="H151" s="140">
        <v>0.19231999999999999</v>
      </c>
      <c r="I151" s="124">
        <f t="shared" si="163"/>
        <v>4203.73056</v>
      </c>
      <c r="J151" s="152">
        <f>I151/I152</f>
        <v>0.16003950070679368</v>
      </c>
      <c r="K151" s="47"/>
      <c r="L151" s="140">
        <f>ROUND(H151*S152,5)</f>
        <v>0.19816</v>
      </c>
      <c r="M151" s="5">
        <f t="shared" si="164"/>
        <v>4331.3812800000005</v>
      </c>
      <c r="N151" s="5">
        <f t="shared" si="165"/>
        <v>127.65072000000055</v>
      </c>
      <c r="O151" s="4">
        <f t="shared" si="166"/>
        <v>3.0366056572379497E-2</v>
      </c>
      <c r="P151" s="4">
        <f>M151/M152</f>
        <v>0.1600530172497569</v>
      </c>
      <c r="Q151" s="16">
        <f t="shared" si="167"/>
        <v>1.3516542963221134E-5</v>
      </c>
      <c r="R151" s="16"/>
      <c r="T151" s="4">
        <f>L151/H151-1</f>
        <v>3.0366056572379341E-2</v>
      </c>
    </row>
    <row r="152" spans="1:20" s="6" customFormat="1" ht="20.399999999999999" customHeight="1" x14ac:dyDescent="0.3">
      <c r="A152" s="54">
        <f t="shared" si="154"/>
        <v>144</v>
      </c>
      <c r="C152" s="22"/>
      <c r="D152" s="24" t="s">
        <v>6</v>
      </c>
      <c r="E152" s="141"/>
      <c r="F152" s="141"/>
      <c r="G152" s="25">
        <f>SUM(G148:G151)</f>
        <v>26568.616259999999</v>
      </c>
      <c r="H152" s="141"/>
      <c r="I152" s="25">
        <f>SUM(I148:I151)</f>
        <v>26266.831259999999</v>
      </c>
      <c r="J152" s="158">
        <f>SUM(J148:J151)</f>
        <v>1</v>
      </c>
      <c r="K152" s="48">
        <f>I152+Summary!I19</f>
        <v>27064.03126</v>
      </c>
      <c r="L152" s="141"/>
      <c r="M152" s="25">
        <f>SUM(M148:M151)</f>
        <v>27062.16574</v>
      </c>
      <c r="N152" s="25">
        <f>SUM(N148:N151)</f>
        <v>795.33447999999953</v>
      </c>
      <c r="O152" s="26">
        <f t="shared" ref="O152" si="168">N152/I152</f>
        <v>3.0279041736228047E-2</v>
      </c>
      <c r="P152" s="26">
        <f>SUM(P148:P151)</f>
        <v>1</v>
      </c>
      <c r="Q152" s="27">
        <f t="shared" si="167"/>
        <v>0</v>
      </c>
      <c r="R152" s="40">
        <f>M152-K152</f>
        <v>-1.8655199999993783</v>
      </c>
      <c r="S152" s="99">
        <f>K152/I152</f>
        <v>1.0303500636262131</v>
      </c>
    </row>
    <row r="153" spans="1:20" x14ac:dyDescent="0.25">
      <c r="A153" s="54">
        <f t="shared" si="154"/>
        <v>145</v>
      </c>
      <c r="D153" s="2" t="s">
        <v>29</v>
      </c>
      <c r="G153" s="124">
        <v>-773.75</v>
      </c>
      <c r="I153" s="142">
        <f>G153+(0.00165*(E151))</f>
        <v>-737.68430000000001</v>
      </c>
      <c r="K153" s="56"/>
      <c r="M153" s="5">
        <f>I153</f>
        <v>-737.68430000000001</v>
      </c>
      <c r="N153" s="5">
        <f t="shared" si="165"/>
        <v>0</v>
      </c>
      <c r="O153" s="17">
        <v>0</v>
      </c>
    </row>
    <row r="154" spans="1:20" x14ac:dyDescent="0.25">
      <c r="A154" s="54">
        <f t="shared" si="154"/>
        <v>146</v>
      </c>
      <c r="D154" s="2" t="s">
        <v>30</v>
      </c>
      <c r="G154" s="124">
        <v>2015.17</v>
      </c>
      <c r="I154" s="142">
        <f t="shared" ref="I154:I156" si="169">G154</f>
        <v>2015.17</v>
      </c>
      <c r="M154" s="5">
        <f t="shared" ref="M154:M156" si="170">I154</f>
        <v>2015.17</v>
      </c>
      <c r="N154" s="5">
        <f t="shared" si="165"/>
        <v>0</v>
      </c>
      <c r="O154" s="17">
        <v>0</v>
      </c>
    </row>
    <row r="155" spans="1:20" x14ac:dyDescent="0.25">
      <c r="A155" s="54">
        <f t="shared" si="154"/>
        <v>147</v>
      </c>
      <c r="D155" s="2" t="s">
        <v>32</v>
      </c>
      <c r="G155" s="124">
        <v>0</v>
      </c>
      <c r="I155" s="142">
        <f t="shared" si="169"/>
        <v>0</v>
      </c>
      <c r="M155" s="5">
        <f t="shared" si="170"/>
        <v>0</v>
      </c>
      <c r="N155" s="5">
        <f t="shared" si="165"/>
        <v>0</v>
      </c>
      <c r="O155" s="17">
        <v>0</v>
      </c>
    </row>
    <row r="156" spans="1:20" x14ac:dyDescent="0.25">
      <c r="A156" s="54">
        <f t="shared" si="154"/>
        <v>148</v>
      </c>
      <c r="D156" s="2" t="s">
        <v>42</v>
      </c>
      <c r="G156" s="124">
        <v>0</v>
      </c>
      <c r="I156" s="142">
        <f t="shared" si="169"/>
        <v>0</v>
      </c>
      <c r="M156" s="5">
        <f t="shared" si="170"/>
        <v>0</v>
      </c>
      <c r="N156" s="5"/>
      <c r="O156" s="17"/>
    </row>
    <row r="157" spans="1:20" x14ac:dyDescent="0.25">
      <c r="A157" s="54">
        <f t="shared" si="154"/>
        <v>149</v>
      </c>
      <c r="D157" s="18" t="s">
        <v>8</v>
      </c>
      <c r="E157" s="144"/>
      <c r="F157" s="144"/>
      <c r="G157" s="143">
        <f>SUM(G153:G156)</f>
        <v>1241.42</v>
      </c>
      <c r="H157" s="144"/>
      <c r="I157" s="143">
        <f>SUM(I153:I156)</f>
        <v>1277.4857000000002</v>
      </c>
      <c r="J157" s="144"/>
      <c r="K157" s="49"/>
      <c r="L157" s="144"/>
      <c r="M157" s="19">
        <f>SUM(M153:M156)</f>
        <v>1277.4857000000002</v>
      </c>
      <c r="N157" s="19">
        <f t="shared" ref="N157:N159" si="171">M157-I157</f>
        <v>0</v>
      </c>
      <c r="O157" s="28">
        <f t="shared" ref="O157" si="172">N157-J157</f>
        <v>0</v>
      </c>
    </row>
    <row r="158" spans="1:20" s="6" customFormat="1" ht="26.4" customHeight="1" thickBot="1" x14ac:dyDescent="0.3">
      <c r="A158" s="54">
        <f t="shared" si="154"/>
        <v>150</v>
      </c>
      <c r="C158" s="22"/>
      <c r="D158" s="7" t="s">
        <v>19</v>
      </c>
      <c r="E158" s="146"/>
      <c r="F158" s="146"/>
      <c r="G158" s="145">
        <f>G152+G157</f>
        <v>27810.036260000001</v>
      </c>
      <c r="H158" s="146"/>
      <c r="I158" s="147">
        <f>I157+I152</f>
        <v>27544.31696</v>
      </c>
      <c r="J158" s="146"/>
      <c r="K158" s="50"/>
      <c r="L158" s="146"/>
      <c r="M158" s="8">
        <f>M157+M152</f>
        <v>28339.651440000001</v>
      </c>
      <c r="N158" s="8">
        <f t="shared" si="171"/>
        <v>795.33448000000135</v>
      </c>
      <c r="O158" s="9">
        <f>N158/I158</f>
        <v>2.8874721459057787E-2</v>
      </c>
      <c r="P158" s="2"/>
      <c r="Q158" s="2"/>
      <c r="R158" s="2"/>
    </row>
    <row r="159" spans="1:20" ht="13.8" thickTop="1" x14ac:dyDescent="0.25">
      <c r="A159" s="54">
        <f t="shared" si="154"/>
        <v>151</v>
      </c>
      <c r="D159" s="2" t="s">
        <v>18</v>
      </c>
      <c r="E159" s="139">
        <f>(E149+E150+E151)/E148</f>
        <v>439.66346153846155</v>
      </c>
      <c r="G159" s="148">
        <f>G158/E148</f>
        <v>66.851048701923077</v>
      </c>
      <c r="I159" s="148">
        <f>I158/E148</f>
        <v>66.212300384615389</v>
      </c>
      <c r="M159" s="15">
        <f>M158/E148</f>
        <v>68.124162115384621</v>
      </c>
      <c r="N159" s="15">
        <f t="shared" si="171"/>
        <v>1.9118617307692318</v>
      </c>
      <c r="O159" s="4">
        <f>N159/I159</f>
        <v>2.8874721459057753E-2</v>
      </c>
    </row>
    <row r="160" spans="1:20" ht="13.8" thickBot="1" x14ac:dyDescent="0.3">
      <c r="A160" s="54">
        <f t="shared" si="154"/>
        <v>152</v>
      </c>
    </row>
    <row r="161" spans="1:20" x14ac:dyDescent="0.25">
      <c r="A161" s="54">
        <f t="shared" si="154"/>
        <v>153</v>
      </c>
      <c r="B161" s="176" t="s">
        <v>87</v>
      </c>
      <c r="C161" s="35">
        <v>21</v>
      </c>
      <c r="D161" s="34"/>
      <c r="E161" s="149"/>
      <c r="F161" s="149"/>
      <c r="G161" s="149"/>
      <c r="H161" s="149"/>
      <c r="I161" s="149"/>
      <c r="J161" s="149"/>
      <c r="K161" s="46"/>
      <c r="L161" s="149"/>
      <c r="M161" s="34"/>
      <c r="N161" s="34"/>
      <c r="O161" s="34"/>
      <c r="P161" s="34"/>
      <c r="Q161" s="34"/>
      <c r="R161" s="34"/>
    </row>
    <row r="162" spans="1:20" x14ac:dyDescent="0.25">
      <c r="A162" s="54">
        <f t="shared" si="154"/>
        <v>154</v>
      </c>
      <c r="B162" s="177"/>
      <c r="C162" s="2"/>
      <c r="D162" s="2" t="s">
        <v>17</v>
      </c>
      <c r="E162" s="162">
        <v>10412</v>
      </c>
      <c r="F162" s="163">
        <f>H162</f>
        <v>21.25</v>
      </c>
      <c r="G162" s="164">
        <f>F162*E162</f>
        <v>221255</v>
      </c>
      <c r="H162" s="139">
        <f>H8</f>
        <v>21.25</v>
      </c>
      <c r="I162" s="124">
        <f>H162*E162</f>
        <v>221255</v>
      </c>
      <c r="J162" s="152">
        <f>I162/I164</f>
        <v>0.13765718121329878</v>
      </c>
      <c r="K162" s="47"/>
      <c r="L162" s="139">
        <f>L8</f>
        <v>21.89</v>
      </c>
      <c r="M162" s="5">
        <f>L162*E162</f>
        <v>227918.68</v>
      </c>
      <c r="N162" s="5">
        <f>M162-I162</f>
        <v>6663.679999999993</v>
      </c>
      <c r="O162" s="4">
        <f>IF(I162=0,0,N162/I162)</f>
        <v>3.0117647058823499E-2</v>
      </c>
      <c r="P162" s="4">
        <f>M162/M164</f>
        <v>0.13762958796479352</v>
      </c>
      <c r="Q162" s="16">
        <f>P162-J162</f>
        <v>-2.7593248505264345E-5</v>
      </c>
      <c r="R162" s="16"/>
      <c r="T162" s="4">
        <f>L162/H162-1</f>
        <v>3.0117647058823582E-2</v>
      </c>
    </row>
    <row r="163" spans="1:20" x14ac:dyDescent="0.25">
      <c r="A163" s="54">
        <f t="shared" si="154"/>
        <v>155</v>
      </c>
      <c r="D163" s="2" t="s">
        <v>88</v>
      </c>
      <c r="E163" s="162">
        <v>13026644</v>
      </c>
      <c r="F163" s="165">
        <f>H163+0.00165</f>
        <v>0.10804999999999999</v>
      </c>
      <c r="G163" s="164">
        <f t="shared" ref="G163" si="173">F163*E163</f>
        <v>1407528.8842</v>
      </c>
      <c r="H163" s="140">
        <f>H9</f>
        <v>0.10639999999999999</v>
      </c>
      <c r="I163" s="124">
        <f t="shared" ref="I163" si="174">H163*E163</f>
        <v>1386034.9216</v>
      </c>
      <c r="J163" s="152">
        <f>I163/I164</f>
        <v>0.86234281878670116</v>
      </c>
      <c r="K163" s="47"/>
      <c r="L163" s="140">
        <f>L9</f>
        <v>0.10963000000000001</v>
      </c>
      <c r="M163" s="5">
        <f t="shared" ref="M163" si="175">L163*E163</f>
        <v>1428110.98172</v>
      </c>
      <c r="N163" s="5">
        <f t="shared" ref="N163" si="176">M163-I163</f>
        <v>42076.060120000038</v>
      </c>
      <c r="O163" s="4">
        <f t="shared" ref="O163" si="177">IF(I163=0,0,N163/I163)</f>
        <v>3.0357142857142885E-2</v>
      </c>
      <c r="P163" s="4">
        <f>M163/M164</f>
        <v>0.86237041203520648</v>
      </c>
      <c r="Q163" s="16">
        <f t="shared" ref="Q163" si="178">P163-J163</f>
        <v>2.7593248505319856E-5</v>
      </c>
      <c r="R163" s="16"/>
      <c r="T163" s="4">
        <f>L163/H163-1</f>
        <v>3.0357142857142971E-2</v>
      </c>
    </row>
    <row r="164" spans="1:20" s="6" customFormat="1" ht="20.399999999999999" customHeight="1" x14ac:dyDescent="0.3">
      <c r="A164" s="54">
        <f t="shared" si="154"/>
        <v>156</v>
      </c>
      <c r="C164" s="22"/>
      <c r="D164" s="24" t="s">
        <v>6</v>
      </c>
      <c r="E164" s="141"/>
      <c r="F164" s="141"/>
      <c r="G164" s="25">
        <f>SUM(G162:G163)</f>
        <v>1628783.8842</v>
      </c>
      <c r="H164" s="141"/>
      <c r="I164" s="25">
        <f>SUM(I162:I163)</f>
        <v>1607289.9216</v>
      </c>
      <c r="J164" s="158">
        <f>SUM(J162:J163)</f>
        <v>1</v>
      </c>
      <c r="K164" s="48">
        <f>I164+Summary!I20</f>
        <v>1656071.5016000001</v>
      </c>
      <c r="L164" s="141"/>
      <c r="M164" s="25">
        <f>SUM(M162:M163)</f>
        <v>1656029.66172</v>
      </c>
      <c r="N164" s="25">
        <f>SUM(N162:N163)</f>
        <v>48739.740120000031</v>
      </c>
      <c r="O164" s="26">
        <f t="shared" ref="O164" si="179">N164/I164</f>
        <v>3.0324174540633811E-2</v>
      </c>
      <c r="P164" s="26">
        <f>SUM(P162:P163)</f>
        <v>1</v>
      </c>
      <c r="Q164" s="27">
        <f t="shared" ref="Q164" si="180">P164-J164</f>
        <v>0</v>
      </c>
      <c r="R164" s="40">
        <f>M164-K164</f>
        <v>-41.839880000101402</v>
      </c>
      <c r="S164" s="99">
        <f>K164/I164</f>
        <v>1.0303502058617027</v>
      </c>
    </row>
    <row r="165" spans="1:20" x14ac:dyDescent="0.25">
      <c r="A165" s="54">
        <f t="shared" si="154"/>
        <v>157</v>
      </c>
      <c r="D165" s="2" t="s">
        <v>29</v>
      </c>
      <c r="E165" s="166"/>
      <c r="F165" s="166"/>
      <c r="G165" s="164">
        <v>-75408.88</v>
      </c>
      <c r="I165" s="142">
        <f>G165+(0.00165*E163)</f>
        <v>-53914.917400000006</v>
      </c>
      <c r="K165" s="56"/>
      <c r="M165" s="5">
        <f>I165</f>
        <v>-53914.917400000006</v>
      </c>
      <c r="N165" s="5">
        <f t="shared" ref="N165:N167" si="181">M165-I165</f>
        <v>0</v>
      </c>
      <c r="O165" s="17">
        <v>0</v>
      </c>
    </row>
    <row r="166" spans="1:20" x14ac:dyDescent="0.25">
      <c r="A166" s="54">
        <f t="shared" si="154"/>
        <v>158</v>
      </c>
      <c r="D166" s="2" t="s">
        <v>30</v>
      </c>
      <c r="E166" s="166"/>
      <c r="F166" s="166"/>
      <c r="G166" s="164">
        <v>130130.18</v>
      </c>
      <c r="I166" s="142">
        <f t="shared" ref="I166:I168" si="182">G166</f>
        <v>130130.18</v>
      </c>
      <c r="M166" s="5">
        <f t="shared" ref="M166:M168" si="183">I166</f>
        <v>130130.18</v>
      </c>
      <c r="N166" s="5">
        <f t="shared" si="181"/>
        <v>0</v>
      </c>
      <c r="O166" s="17">
        <v>0</v>
      </c>
    </row>
    <row r="167" spans="1:20" x14ac:dyDescent="0.25">
      <c r="A167" s="54">
        <f t="shared" si="154"/>
        <v>159</v>
      </c>
      <c r="D167" s="2" t="s">
        <v>32</v>
      </c>
      <c r="E167" s="162">
        <f>G167/F167</f>
        <v>10129.563</v>
      </c>
      <c r="F167" s="163">
        <v>10</v>
      </c>
      <c r="G167" s="164">
        <v>101295.63</v>
      </c>
      <c r="I167" s="142">
        <f t="shared" si="182"/>
        <v>101295.63</v>
      </c>
      <c r="M167" s="5">
        <f t="shared" si="183"/>
        <v>101295.63</v>
      </c>
      <c r="N167" s="5">
        <f t="shared" si="181"/>
        <v>0</v>
      </c>
      <c r="O167" s="17">
        <v>0</v>
      </c>
    </row>
    <row r="168" spans="1:20" x14ac:dyDescent="0.25">
      <c r="A168" s="54">
        <f t="shared" si="154"/>
        <v>160</v>
      </c>
      <c r="D168" s="2" t="s">
        <v>42</v>
      </c>
      <c r="G168" s="124">
        <v>0</v>
      </c>
      <c r="I168" s="142">
        <f t="shared" si="182"/>
        <v>0</v>
      </c>
      <c r="M168" s="5">
        <f t="shared" si="183"/>
        <v>0</v>
      </c>
      <c r="N168" s="5"/>
      <c r="O168" s="17"/>
    </row>
    <row r="169" spans="1:20" x14ac:dyDescent="0.25">
      <c r="A169" s="54">
        <f t="shared" si="154"/>
        <v>161</v>
      </c>
      <c r="D169" s="18" t="s">
        <v>8</v>
      </c>
      <c r="E169" s="144"/>
      <c r="F169" s="144"/>
      <c r="G169" s="143">
        <f>SUM(G165:G168)</f>
        <v>156016.93</v>
      </c>
      <c r="H169" s="144"/>
      <c r="I169" s="143">
        <f>SUM(I165:I168)</f>
        <v>177510.89259999999</v>
      </c>
      <c r="J169" s="144"/>
      <c r="K169" s="49"/>
      <c r="L169" s="144"/>
      <c r="M169" s="19">
        <f>SUM(M165:M168)</f>
        <v>177510.89259999999</v>
      </c>
      <c r="N169" s="19">
        <f t="shared" ref="N169:N171" si="184">M169-I169</f>
        <v>0</v>
      </c>
      <c r="O169" s="28">
        <f t="shared" ref="O169" si="185">N169-J169</f>
        <v>0</v>
      </c>
    </row>
    <row r="170" spans="1:20" s="6" customFormat="1" ht="26.4" customHeight="1" thickBot="1" x14ac:dyDescent="0.3">
      <c r="A170" s="54">
        <f t="shared" si="154"/>
        <v>162</v>
      </c>
      <c r="C170" s="22"/>
      <c r="D170" s="7" t="s">
        <v>19</v>
      </c>
      <c r="E170" s="146"/>
      <c r="F170" s="146"/>
      <c r="G170" s="145">
        <f>G164+G169</f>
        <v>1784800.8141999999</v>
      </c>
      <c r="H170" s="146"/>
      <c r="I170" s="147">
        <f>I169+I164</f>
        <v>1784800.8141999999</v>
      </c>
      <c r="J170" s="146"/>
      <c r="K170" s="50"/>
      <c r="L170" s="146"/>
      <c r="M170" s="8">
        <f>M169+M164</f>
        <v>1833540.5543199999</v>
      </c>
      <c r="N170" s="8">
        <f t="shared" si="184"/>
        <v>48739.740119999973</v>
      </c>
      <c r="O170" s="9">
        <f>N170/I170</f>
        <v>2.7308223826559914E-2</v>
      </c>
      <c r="P170" s="2"/>
      <c r="Q170" s="2"/>
      <c r="R170" s="2"/>
    </row>
    <row r="171" spans="1:20" ht="13.8" thickTop="1" x14ac:dyDescent="0.25">
      <c r="A171" s="54">
        <f t="shared" si="154"/>
        <v>163</v>
      </c>
      <c r="D171" s="2" t="s">
        <v>18</v>
      </c>
      <c r="E171" s="139">
        <f>E163/E162</f>
        <v>1251.1183250096044</v>
      </c>
      <c r="G171" s="148">
        <f>G170/E162</f>
        <v>171.4176732808298</v>
      </c>
      <c r="I171" s="148">
        <f>I170/E162</f>
        <v>171.4176732808298</v>
      </c>
      <c r="M171" s="15">
        <f>M170/E162</f>
        <v>176.09878547061084</v>
      </c>
      <c r="N171" s="15">
        <f t="shared" si="184"/>
        <v>4.6811121897810324</v>
      </c>
      <c r="O171" s="4">
        <f>N171/I171</f>
        <v>2.730822382655999E-2</v>
      </c>
    </row>
    <row r="172" spans="1:20" ht="13.8" thickBot="1" x14ac:dyDescent="0.3">
      <c r="A172" s="54">
        <f t="shared" si="154"/>
        <v>164</v>
      </c>
    </row>
    <row r="173" spans="1:20" x14ac:dyDescent="0.25">
      <c r="A173" s="54">
        <f t="shared" si="154"/>
        <v>165</v>
      </c>
      <c r="B173" s="174" t="s">
        <v>89</v>
      </c>
      <c r="C173" s="35">
        <v>32</v>
      </c>
      <c r="D173" s="34"/>
      <c r="E173" s="149"/>
      <c r="F173" s="149"/>
      <c r="G173" s="149"/>
      <c r="H173" s="149"/>
      <c r="I173" s="149"/>
      <c r="J173" s="149"/>
      <c r="K173" s="46"/>
      <c r="L173" s="149"/>
      <c r="M173" s="34"/>
      <c r="N173" s="34"/>
      <c r="O173" s="34"/>
      <c r="P173" s="34"/>
      <c r="Q173" s="34"/>
      <c r="R173" s="34"/>
    </row>
    <row r="174" spans="1:20" x14ac:dyDescent="0.25">
      <c r="A174" s="54">
        <f t="shared" si="154"/>
        <v>166</v>
      </c>
      <c r="B174" s="175"/>
      <c r="C174" s="41"/>
      <c r="D174" s="2" t="s">
        <v>17</v>
      </c>
      <c r="E174" s="157">
        <v>231</v>
      </c>
      <c r="F174" s="139">
        <f>F124</f>
        <v>27.5</v>
      </c>
      <c r="G174" s="124">
        <f>F174*E174</f>
        <v>6352.5</v>
      </c>
      <c r="H174" s="139">
        <f>H124</f>
        <v>27.5</v>
      </c>
      <c r="I174" s="124">
        <f>H174*E174</f>
        <v>6352.5</v>
      </c>
      <c r="J174" s="152">
        <f>I174/I176</f>
        <v>0.27614441417817626</v>
      </c>
      <c r="K174" s="47"/>
      <c r="L174" s="139">
        <f>L124</f>
        <v>28.33</v>
      </c>
      <c r="M174" s="5">
        <f>L174*E174</f>
        <v>6544.23</v>
      </c>
      <c r="N174" s="5">
        <f>M174-I174</f>
        <v>191.72999999999956</v>
      </c>
      <c r="O174" s="4">
        <f>IF(I174=0,0,N174/I174)</f>
        <v>3.0181818181818112E-2</v>
      </c>
      <c r="P174" s="4">
        <f>M174/M176</f>
        <v>0.2761107725722724</v>
      </c>
      <c r="Q174" s="16">
        <f>P174-J174</f>
        <v>-3.3641605903855787E-5</v>
      </c>
      <c r="R174" s="16"/>
    </row>
    <row r="175" spans="1:20" x14ac:dyDescent="0.25">
      <c r="A175" s="54">
        <f t="shared" si="154"/>
        <v>167</v>
      </c>
      <c r="C175" s="43"/>
      <c r="D175" s="2" t="s">
        <v>52</v>
      </c>
      <c r="E175" s="157">
        <v>119496</v>
      </c>
      <c r="F175" s="140">
        <f>F125</f>
        <v>0.14100000000000001</v>
      </c>
      <c r="G175" s="124">
        <f t="shared" ref="G175" si="186">F175*E175</f>
        <v>16848.936000000002</v>
      </c>
      <c r="H175" s="140">
        <f>H125</f>
        <v>0.13935</v>
      </c>
      <c r="I175" s="124">
        <f t="shared" ref="I175" si="187">H175*E175</f>
        <v>16651.767599999999</v>
      </c>
      <c r="J175" s="152">
        <f>I175/I176</f>
        <v>0.72385558582182374</v>
      </c>
      <c r="K175" s="47"/>
      <c r="L175" s="171">
        <f>L125</f>
        <v>0.14358000000000001</v>
      </c>
      <c r="M175" s="5">
        <f t="shared" ref="M175" si="188">L175*E175</f>
        <v>17157.235680000002</v>
      </c>
      <c r="N175" s="5">
        <f t="shared" ref="N175:N179" si="189">M175-I175</f>
        <v>505.46808000000237</v>
      </c>
      <c r="O175" s="4">
        <f t="shared" ref="O175" si="190">IF(I175=0,0,N175/I175)</f>
        <v>3.0355220667384428E-2</v>
      </c>
      <c r="P175" s="4">
        <f>M175/M176</f>
        <v>0.72388922742772766</v>
      </c>
      <c r="Q175" s="16">
        <f t="shared" ref="Q175:Q176" si="191">P175-J175</f>
        <v>3.3641605903911298E-5</v>
      </c>
      <c r="R175" s="16"/>
      <c r="T175" s="4">
        <f>L175/H175-1</f>
        <v>3.0355220667384275E-2</v>
      </c>
    </row>
    <row r="176" spans="1:20" s="6" customFormat="1" ht="20.399999999999999" customHeight="1" x14ac:dyDescent="0.3">
      <c r="A176" s="54">
        <f t="shared" si="154"/>
        <v>168</v>
      </c>
      <c r="C176" s="22"/>
      <c r="D176" s="24" t="s">
        <v>6</v>
      </c>
      <c r="E176" s="141"/>
      <c r="F176" s="141"/>
      <c r="G176" s="25">
        <f>SUM(G174:G175)</f>
        <v>23201.436000000002</v>
      </c>
      <c r="H176" s="141"/>
      <c r="I176" s="25">
        <f>SUM(I174:I175)</f>
        <v>23004.267599999999</v>
      </c>
      <c r="J176" s="158">
        <f>SUM(J174:J175)</f>
        <v>1</v>
      </c>
      <c r="K176" s="48">
        <f>I176+Summary!I21</f>
        <v>23702.4476</v>
      </c>
      <c r="L176" s="141"/>
      <c r="M176" s="25">
        <f>SUM(M174:M175)</f>
        <v>23701.465680000001</v>
      </c>
      <c r="N176" s="25">
        <f>SUM(N174:N175)</f>
        <v>697.19808000000194</v>
      </c>
      <c r="O176" s="26">
        <f t="shared" ref="O176" si="192">N176/I176</f>
        <v>3.0307336539590678E-2</v>
      </c>
      <c r="P176" s="26">
        <f>SUM(P174:P175)</f>
        <v>1</v>
      </c>
      <c r="Q176" s="27">
        <f t="shared" si="191"/>
        <v>0</v>
      </c>
      <c r="R176" s="40">
        <f>M176-K176</f>
        <v>-0.98191999999835389</v>
      </c>
      <c r="S176" s="99">
        <f>K176/I176</f>
        <v>1.0303500207935332</v>
      </c>
    </row>
    <row r="177" spans="1:20" x14ac:dyDescent="0.25">
      <c r="A177" s="54">
        <f t="shared" si="154"/>
        <v>169</v>
      </c>
      <c r="D177" s="2" t="s">
        <v>29</v>
      </c>
      <c r="G177" s="124">
        <v>-696.71</v>
      </c>
      <c r="I177" s="142">
        <f>G177+(0.00165*(E175))</f>
        <v>-499.54160000000002</v>
      </c>
      <c r="K177" s="56"/>
      <c r="M177" s="5">
        <f>I177</f>
        <v>-499.54160000000002</v>
      </c>
      <c r="N177" s="5">
        <f t="shared" si="189"/>
        <v>0</v>
      </c>
      <c r="O177" s="17">
        <v>0</v>
      </c>
    </row>
    <row r="178" spans="1:20" x14ac:dyDescent="0.25">
      <c r="A178" s="54">
        <f t="shared" si="154"/>
        <v>170</v>
      </c>
      <c r="D178" s="2" t="s">
        <v>30</v>
      </c>
      <c r="G178" s="124">
        <v>1828.23</v>
      </c>
      <c r="I178" s="142">
        <f t="shared" ref="I178:I180" si="193">G178</f>
        <v>1828.23</v>
      </c>
      <c r="M178" s="5">
        <f t="shared" ref="M178:M180" si="194">I178</f>
        <v>1828.23</v>
      </c>
      <c r="N178" s="5">
        <f t="shared" si="189"/>
        <v>0</v>
      </c>
      <c r="O178" s="17">
        <v>0</v>
      </c>
    </row>
    <row r="179" spans="1:20" x14ac:dyDescent="0.25">
      <c r="A179" s="54">
        <f t="shared" si="154"/>
        <v>171</v>
      </c>
      <c r="D179" s="2" t="s">
        <v>32</v>
      </c>
      <c r="E179" s="162">
        <f>G179/F179</f>
        <v>222.72399999999999</v>
      </c>
      <c r="F179" s="163">
        <v>10</v>
      </c>
      <c r="G179" s="124">
        <v>2227.2399999999998</v>
      </c>
      <c r="I179" s="142">
        <f t="shared" si="193"/>
        <v>2227.2399999999998</v>
      </c>
      <c r="M179" s="5">
        <f t="shared" si="194"/>
        <v>2227.2399999999998</v>
      </c>
      <c r="N179" s="5">
        <f t="shared" si="189"/>
        <v>0</v>
      </c>
      <c r="O179" s="17">
        <v>0</v>
      </c>
    </row>
    <row r="180" spans="1:20" x14ac:dyDescent="0.25">
      <c r="A180" s="54">
        <f t="shared" si="154"/>
        <v>172</v>
      </c>
      <c r="D180" s="2" t="s">
        <v>42</v>
      </c>
      <c r="F180" s="135" t="s">
        <v>90</v>
      </c>
      <c r="G180" s="124">
        <v>0</v>
      </c>
      <c r="I180" s="142">
        <f t="shared" si="193"/>
        <v>0</v>
      </c>
      <c r="M180" s="5">
        <f t="shared" si="194"/>
        <v>0</v>
      </c>
      <c r="N180" s="5"/>
      <c r="O180" s="17"/>
    </row>
    <row r="181" spans="1:20" x14ac:dyDescent="0.25">
      <c r="A181" s="54">
        <f t="shared" si="154"/>
        <v>173</v>
      </c>
      <c r="D181" s="18" t="s">
        <v>8</v>
      </c>
      <c r="E181" s="144"/>
      <c r="F181" s="144"/>
      <c r="G181" s="143">
        <f>SUM(G177:G180)</f>
        <v>3358.7599999999998</v>
      </c>
      <c r="H181" s="144"/>
      <c r="I181" s="143">
        <f>SUM(I177:I180)</f>
        <v>3555.9283999999998</v>
      </c>
      <c r="J181" s="144"/>
      <c r="K181" s="49"/>
      <c r="L181" s="144"/>
      <c r="M181" s="19">
        <f>SUM(M177:M180)</f>
        <v>3555.9283999999998</v>
      </c>
      <c r="N181" s="19">
        <f t="shared" ref="N181:N183" si="195">M181-I181</f>
        <v>0</v>
      </c>
      <c r="O181" s="28">
        <f t="shared" ref="O181" si="196">N181-J181</f>
        <v>0</v>
      </c>
    </row>
    <row r="182" spans="1:20" s="6" customFormat="1" ht="26.4" customHeight="1" thickBot="1" x14ac:dyDescent="0.3">
      <c r="A182" s="54">
        <f t="shared" si="154"/>
        <v>174</v>
      </c>
      <c r="C182" s="22"/>
      <c r="D182" s="7" t="s">
        <v>19</v>
      </c>
      <c r="E182" s="146"/>
      <c r="F182" s="146"/>
      <c r="G182" s="145">
        <f>G176+G181</f>
        <v>26560.196</v>
      </c>
      <c r="H182" s="146"/>
      <c r="I182" s="147">
        <f>I181+I176</f>
        <v>26560.196</v>
      </c>
      <c r="J182" s="146"/>
      <c r="K182" s="50"/>
      <c r="L182" s="146"/>
      <c r="M182" s="8">
        <f>M181+M176</f>
        <v>27257.394080000002</v>
      </c>
      <c r="N182" s="8">
        <f t="shared" si="195"/>
        <v>697.19808000000194</v>
      </c>
      <c r="O182" s="9">
        <f>N182/I182</f>
        <v>2.6249734000456996E-2</v>
      </c>
      <c r="P182" s="2"/>
      <c r="Q182" s="2"/>
      <c r="R182" s="2"/>
    </row>
    <row r="183" spans="1:20" ht="13.8" thickTop="1" x14ac:dyDescent="0.25">
      <c r="A183" s="54">
        <f t="shared" si="154"/>
        <v>175</v>
      </c>
      <c r="D183" s="2" t="s">
        <v>18</v>
      </c>
      <c r="E183" s="139">
        <f>E175/E174</f>
        <v>517.2987012987013</v>
      </c>
      <c r="G183" s="148">
        <f>G182/E174</f>
        <v>114.97920346320346</v>
      </c>
      <c r="I183" s="148">
        <f>I182/E174</f>
        <v>114.97920346320346</v>
      </c>
      <c r="M183" s="15">
        <f>M182/E174</f>
        <v>117.99737696969697</v>
      </c>
      <c r="N183" s="15">
        <f t="shared" si="195"/>
        <v>3.0181735064935111</v>
      </c>
      <c r="O183" s="4">
        <f>N183/I183</f>
        <v>2.6249734000456965E-2</v>
      </c>
    </row>
    <row r="184" spans="1:20" ht="13.8" thickBot="1" x14ac:dyDescent="0.3">
      <c r="A184" s="54">
        <f t="shared" si="154"/>
        <v>176</v>
      </c>
    </row>
    <row r="185" spans="1:20" x14ac:dyDescent="0.25">
      <c r="A185" s="54">
        <f t="shared" si="154"/>
        <v>177</v>
      </c>
      <c r="B185" s="174" t="s">
        <v>101</v>
      </c>
      <c r="C185" s="35">
        <v>22</v>
      </c>
      <c r="D185" s="34"/>
      <c r="E185" s="149"/>
      <c r="F185" s="149"/>
      <c r="G185" s="149"/>
      <c r="H185" s="149"/>
      <c r="I185" s="149"/>
      <c r="J185" s="149"/>
      <c r="K185" s="46"/>
      <c r="L185" s="149"/>
      <c r="M185" s="34"/>
      <c r="N185" s="34"/>
      <c r="O185" s="34"/>
      <c r="P185" s="34"/>
      <c r="Q185" s="34"/>
      <c r="R185" s="34"/>
    </row>
    <row r="186" spans="1:20" x14ac:dyDescent="0.25">
      <c r="A186" s="54">
        <f t="shared" si="154"/>
        <v>178</v>
      </c>
      <c r="B186" s="175"/>
      <c r="C186" s="2"/>
      <c r="D186" s="2" t="s">
        <v>17</v>
      </c>
      <c r="E186" s="157">
        <v>51</v>
      </c>
      <c r="F186" s="139">
        <f>H186</f>
        <v>21.25</v>
      </c>
      <c r="G186" s="124">
        <f>F186*E186</f>
        <v>1083.75</v>
      </c>
      <c r="H186" s="139">
        <f>H8</f>
        <v>21.25</v>
      </c>
      <c r="I186" s="124">
        <f>H186*E186</f>
        <v>1083.75</v>
      </c>
      <c r="J186" s="152">
        <f>I186/I188</f>
        <v>0.18768203208856205</v>
      </c>
      <c r="K186" s="47"/>
      <c r="L186" s="139">
        <f>L8</f>
        <v>21.89</v>
      </c>
      <c r="M186" s="5">
        <f>L186*E186</f>
        <v>1116.3900000000001</v>
      </c>
      <c r="N186" s="5">
        <f>M186-I186</f>
        <v>32.6400000000001</v>
      </c>
      <c r="O186" s="4">
        <f>IF(I186=0,0,N186/I186)</f>
        <v>3.011764705882362E-2</v>
      </c>
      <c r="P186" s="4">
        <f>M186/M188</f>
        <v>0.1876465933858471</v>
      </c>
      <c r="Q186" s="16">
        <f>P186-J186</f>
        <v>-3.543870271494054E-5</v>
      </c>
      <c r="R186" s="16"/>
      <c r="T186" s="4">
        <f>L186/H186-1</f>
        <v>3.0117647058823582E-2</v>
      </c>
    </row>
    <row r="187" spans="1:20" x14ac:dyDescent="0.25">
      <c r="A187" s="54">
        <f t="shared" si="154"/>
        <v>179</v>
      </c>
      <c r="D187" s="2" t="s">
        <v>52</v>
      </c>
      <c r="E187" s="157">
        <v>44085</v>
      </c>
      <c r="F187" s="140">
        <f>H187+0.00165</f>
        <v>0.10804999999999999</v>
      </c>
      <c r="G187" s="124">
        <f t="shared" ref="G187" si="197">F187*E187</f>
        <v>4763.3842500000001</v>
      </c>
      <c r="H187" s="140">
        <f>H9</f>
        <v>0.10639999999999999</v>
      </c>
      <c r="I187" s="124">
        <f t="shared" ref="I187" si="198">H187*E187</f>
        <v>4690.6439999999993</v>
      </c>
      <c r="J187" s="152">
        <f>I187/I188</f>
        <v>0.81231796791143795</v>
      </c>
      <c r="K187" s="47"/>
      <c r="L187" s="140">
        <f>L9</f>
        <v>0.10963000000000001</v>
      </c>
      <c r="M187" s="5">
        <f t="shared" ref="M187" si="199">L187*E187</f>
        <v>4833.0385500000002</v>
      </c>
      <c r="N187" s="5">
        <f t="shared" ref="N187:N191" si="200">M187-I187</f>
        <v>142.39455000000089</v>
      </c>
      <c r="O187" s="4">
        <f t="shared" ref="O187" si="201">IF(I187=0,0,N187/I187)</f>
        <v>3.0357142857143051E-2</v>
      </c>
      <c r="P187" s="4">
        <f>M187/M188</f>
        <v>0.8123534066141529</v>
      </c>
      <c r="Q187" s="16">
        <f t="shared" ref="Q187:Q188" si="202">P187-J187</f>
        <v>3.543870271494054E-5</v>
      </c>
      <c r="R187" s="16"/>
      <c r="T187" s="4">
        <f>L187/H187-1</f>
        <v>3.0357142857142971E-2</v>
      </c>
    </row>
    <row r="188" spans="1:20" s="6" customFormat="1" ht="20.399999999999999" customHeight="1" x14ac:dyDescent="0.3">
      <c r="A188" s="54">
        <f t="shared" si="154"/>
        <v>180</v>
      </c>
      <c r="C188" s="22"/>
      <c r="D188" s="24" t="s">
        <v>6</v>
      </c>
      <c r="E188" s="141"/>
      <c r="F188" s="141"/>
      <c r="G188" s="25">
        <f>SUM(G186:G187)</f>
        <v>5847.1342500000001</v>
      </c>
      <c r="H188" s="141"/>
      <c r="I188" s="25">
        <f>SUM(I186:I187)</f>
        <v>5774.3939999999993</v>
      </c>
      <c r="J188" s="158">
        <f>SUM(J186:J187)</f>
        <v>1</v>
      </c>
      <c r="K188" s="48">
        <f>I188+Summary!I22</f>
        <v>5949.6439999999993</v>
      </c>
      <c r="L188" s="141"/>
      <c r="M188" s="25">
        <f>SUM(M186:M187)</f>
        <v>5949.4285500000005</v>
      </c>
      <c r="N188" s="25">
        <f>SUM(N186:N187)</f>
        <v>175.03455000000099</v>
      </c>
      <c r="O188" s="26">
        <f t="shared" ref="O188" si="203">N188/I188</f>
        <v>3.0312193799037788E-2</v>
      </c>
      <c r="P188" s="26">
        <f>SUM(P186:P187)</f>
        <v>1</v>
      </c>
      <c r="Q188" s="27">
        <f t="shared" si="202"/>
        <v>0</v>
      </c>
      <c r="R188" s="40">
        <f>M188-K188</f>
        <v>-0.215449999998782</v>
      </c>
      <c r="S188" s="99">
        <f>K188/I188</f>
        <v>1.030349505073606</v>
      </c>
    </row>
    <row r="189" spans="1:20" x14ac:dyDescent="0.25">
      <c r="A189" s="54">
        <f t="shared" si="154"/>
        <v>181</v>
      </c>
      <c r="D189" s="2" t="s">
        <v>29</v>
      </c>
      <c r="G189" s="124">
        <v>-200.56</v>
      </c>
      <c r="I189" s="142">
        <f>G189+(0.00165*(E187))</f>
        <v>-127.81975</v>
      </c>
      <c r="K189" s="56"/>
      <c r="M189" s="5">
        <f>I189</f>
        <v>-127.81975</v>
      </c>
      <c r="N189" s="5">
        <f t="shared" si="200"/>
        <v>0</v>
      </c>
      <c r="O189" s="17">
        <v>0</v>
      </c>
    </row>
    <row r="190" spans="1:20" x14ac:dyDescent="0.25">
      <c r="A190" s="54">
        <f t="shared" si="154"/>
        <v>182</v>
      </c>
      <c r="D190" s="2" t="s">
        <v>30</v>
      </c>
      <c r="G190" s="124">
        <v>406.81</v>
      </c>
      <c r="I190" s="142">
        <f t="shared" ref="I190:I192" si="204">G190</f>
        <v>406.81</v>
      </c>
      <c r="M190" s="5">
        <f t="shared" ref="M190:M192" si="205">I190</f>
        <v>406.81</v>
      </c>
      <c r="N190" s="5">
        <f t="shared" si="200"/>
        <v>0</v>
      </c>
      <c r="O190" s="17">
        <v>0</v>
      </c>
    </row>
    <row r="191" spans="1:20" x14ac:dyDescent="0.25">
      <c r="A191" s="54">
        <f t="shared" si="154"/>
        <v>183</v>
      </c>
      <c r="D191" s="2" t="s">
        <v>32</v>
      </c>
      <c r="G191" s="124">
        <v>0</v>
      </c>
      <c r="I191" s="142">
        <f t="shared" si="204"/>
        <v>0</v>
      </c>
      <c r="M191" s="5">
        <f t="shared" si="205"/>
        <v>0</v>
      </c>
      <c r="N191" s="5">
        <f t="shared" si="200"/>
        <v>0</v>
      </c>
      <c r="O191" s="17">
        <v>0</v>
      </c>
    </row>
    <row r="192" spans="1:20" x14ac:dyDescent="0.25">
      <c r="A192" s="54">
        <f t="shared" si="154"/>
        <v>184</v>
      </c>
      <c r="D192" s="2" t="s">
        <v>42</v>
      </c>
      <c r="G192" s="124">
        <v>0</v>
      </c>
      <c r="I192" s="142">
        <f t="shared" si="204"/>
        <v>0</v>
      </c>
      <c r="M192" s="5">
        <f t="shared" si="205"/>
        <v>0</v>
      </c>
      <c r="N192" s="5"/>
      <c r="O192" s="17"/>
    </row>
    <row r="193" spans="1:20" x14ac:dyDescent="0.25">
      <c r="A193" s="54">
        <f t="shared" si="154"/>
        <v>185</v>
      </c>
      <c r="D193" s="18" t="s">
        <v>8</v>
      </c>
      <c r="E193" s="144"/>
      <c r="F193" s="144"/>
      <c r="G193" s="143">
        <f>SUM(G189:G192)</f>
        <v>206.25</v>
      </c>
      <c r="H193" s="144"/>
      <c r="I193" s="143">
        <f>SUM(I189:I192)</f>
        <v>278.99025</v>
      </c>
      <c r="J193" s="144"/>
      <c r="K193" s="49"/>
      <c r="L193" s="144"/>
      <c r="M193" s="19">
        <f>SUM(M189:M192)</f>
        <v>278.99025</v>
      </c>
      <c r="N193" s="19">
        <f t="shared" ref="N193:N195" si="206">M193-I193</f>
        <v>0</v>
      </c>
      <c r="O193" s="28">
        <f t="shared" ref="O193" si="207">N193-J193</f>
        <v>0</v>
      </c>
    </row>
    <row r="194" spans="1:20" s="6" customFormat="1" ht="26.4" customHeight="1" thickBot="1" x14ac:dyDescent="0.3">
      <c r="A194" s="54">
        <f t="shared" si="154"/>
        <v>186</v>
      </c>
      <c r="C194" s="22"/>
      <c r="D194" s="7" t="s">
        <v>19</v>
      </c>
      <c r="E194" s="146"/>
      <c r="F194" s="146"/>
      <c r="G194" s="145">
        <f>G188+G193</f>
        <v>6053.3842500000001</v>
      </c>
      <c r="H194" s="146"/>
      <c r="I194" s="147">
        <f>I193+I188</f>
        <v>6053.3842499999992</v>
      </c>
      <c r="J194" s="146"/>
      <c r="K194" s="50"/>
      <c r="L194" s="146"/>
      <c r="M194" s="8">
        <f>M193+M188</f>
        <v>6228.4188000000004</v>
      </c>
      <c r="N194" s="8">
        <f t="shared" si="206"/>
        <v>175.03455000000122</v>
      </c>
      <c r="O194" s="9">
        <f>N194/I194</f>
        <v>2.891515601376226E-2</v>
      </c>
      <c r="P194" s="2"/>
      <c r="Q194" s="2"/>
      <c r="R194" s="2"/>
    </row>
    <row r="195" spans="1:20" ht="13.8" thickTop="1" x14ac:dyDescent="0.25">
      <c r="A195" s="54">
        <f t="shared" si="154"/>
        <v>187</v>
      </c>
      <c r="E195" s="167">
        <f>E187</f>
        <v>44085</v>
      </c>
      <c r="G195" s="148">
        <f>G194/E186</f>
        <v>118.69380882352941</v>
      </c>
      <c r="I195" s="148">
        <f>I194/E186</f>
        <v>118.69380882352939</v>
      </c>
      <c r="M195" s="15">
        <f>M194/E186</f>
        <v>122.12585882352941</v>
      </c>
      <c r="N195" s="15">
        <f t="shared" si="206"/>
        <v>3.432050000000018</v>
      </c>
      <c r="O195" s="4">
        <f>N195/I195</f>
        <v>2.8915156013762211E-2</v>
      </c>
    </row>
    <row r="196" spans="1:20" ht="13.8" thickBot="1" x14ac:dyDescent="0.3">
      <c r="A196" s="54">
        <f t="shared" si="154"/>
        <v>188</v>
      </c>
      <c r="B196" s="41"/>
      <c r="C196" s="43"/>
      <c r="D196" s="41"/>
      <c r="M196" s="41"/>
      <c r="N196" s="41"/>
      <c r="O196" s="41"/>
      <c r="P196" s="41"/>
      <c r="Q196" s="41"/>
      <c r="R196" s="41"/>
    </row>
    <row r="197" spans="1:20" x14ac:dyDescent="0.25">
      <c r="A197" s="54">
        <f t="shared" si="154"/>
        <v>189</v>
      </c>
      <c r="B197" s="174" t="s">
        <v>102</v>
      </c>
      <c r="C197" s="35">
        <v>28</v>
      </c>
      <c r="D197" s="34"/>
      <c r="E197" s="149"/>
      <c r="F197" s="149"/>
      <c r="G197" s="149"/>
      <c r="H197" s="149"/>
      <c r="I197" s="149"/>
      <c r="J197" s="149"/>
      <c r="K197" s="46"/>
      <c r="L197" s="149"/>
      <c r="M197" s="34"/>
      <c r="N197" s="34"/>
      <c r="O197" s="34"/>
      <c r="P197" s="34"/>
      <c r="Q197" s="34"/>
      <c r="R197" s="34"/>
    </row>
    <row r="198" spans="1:20" x14ac:dyDescent="0.25">
      <c r="A198" s="54">
        <f t="shared" si="154"/>
        <v>190</v>
      </c>
      <c r="B198" s="175"/>
      <c r="C198" s="2"/>
      <c r="D198" s="2" t="s">
        <v>17</v>
      </c>
      <c r="E198" s="157">
        <v>12</v>
      </c>
      <c r="F198" s="139">
        <f>F124</f>
        <v>27.5</v>
      </c>
      <c r="G198" s="124">
        <f>F198*E198</f>
        <v>330</v>
      </c>
      <c r="H198" s="139">
        <f>H124</f>
        <v>27.5</v>
      </c>
      <c r="I198" s="124">
        <f>H198*E198</f>
        <v>330</v>
      </c>
      <c r="J198" s="152">
        <f>I198/I200</f>
        <v>0.17170201022469861</v>
      </c>
      <c r="K198" s="47"/>
      <c r="L198" s="139">
        <f>L124</f>
        <v>28.33</v>
      </c>
      <c r="M198" s="5">
        <f>L198*E198</f>
        <v>339.96</v>
      </c>
      <c r="N198" s="5">
        <f>M198-I198</f>
        <v>9.9599999999999795</v>
      </c>
      <c r="O198" s="4">
        <f>IF(I198=0,0,N198/I198)</f>
        <v>3.0181818181818119E-2</v>
      </c>
      <c r="P198" s="4">
        <f>M198/M200</f>
        <v>0.17167807470402041</v>
      </c>
      <c r="Q198" s="16">
        <f>P198-J198</f>
        <v>-2.3935520678197708E-5</v>
      </c>
      <c r="R198" s="16"/>
      <c r="T198" s="4">
        <f>L198/H198-1</f>
        <v>3.0181818181818088E-2</v>
      </c>
    </row>
    <row r="199" spans="1:20" x14ac:dyDescent="0.25">
      <c r="A199" s="54">
        <f t="shared" si="154"/>
        <v>191</v>
      </c>
      <c r="D199" s="2" t="s">
        <v>52</v>
      </c>
      <c r="E199" s="157">
        <v>11424</v>
      </c>
      <c r="F199" s="140">
        <f>F125</f>
        <v>0.14100000000000001</v>
      </c>
      <c r="G199" s="124">
        <f t="shared" ref="G199" si="208">F199*E199</f>
        <v>1610.7840000000001</v>
      </c>
      <c r="H199" s="140">
        <f>H125</f>
        <v>0.13935</v>
      </c>
      <c r="I199" s="124">
        <f t="shared" ref="I199" si="209">H199*E199</f>
        <v>1591.9344000000001</v>
      </c>
      <c r="J199" s="152">
        <f>I199/I200</f>
        <v>0.82829798977530145</v>
      </c>
      <c r="K199" s="47"/>
      <c r="L199" s="140">
        <f>L125</f>
        <v>0.14358000000000001</v>
      </c>
      <c r="M199" s="5">
        <f t="shared" ref="M199" si="210">L199*E199</f>
        <v>1640.2579200000002</v>
      </c>
      <c r="N199" s="5">
        <f t="shared" ref="N199" si="211">M199-I199</f>
        <v>48.323520000000144</v>
      </c>
      <c r="O199" s="4">
        <f t="shared" ref="O199" si="212">IF(I199=0,0,N199/I199)</f>
        <v>3.0355220667384372E-2</v>
      </c>
      <c r="P199" s="4">
        <f>M199/M200</f>
        <v>0.82832192529597959</v>
      </c>
      <c r="Q199" s="16">
        <f t="shared" ref="Q199:Q200" si="213">P199-J199</f>
        <v>2.3935520678142197E-5</v>
      </c>
      <c r="R199" s="16"/>
      <c r="T199" s="4">
        <f>L199/H199-1</f>
        <v>3.0355220667384275E-2</v>
      </c>
    </row>
    <row r="200" spans="1:20" s="6" customFormat="1" ht="20.399999999999999" customHeight="1" x14ac:dyDescent="0.3">
      <c r="A200" s="54">
        <f t="shared" si="154"/>
        <v>192</v>
      </c>
      <c r="C200" s="22"/>
      <c r="D200" s="24" t="s">
        <v>6</v>
      </c>
      <c r="E200" s="141"/>
      <c r="F200" s="141"/>
      <c r="G200" s="25">
        <f>SUM(G198:G199)</f>
        <v>1940.7840000000001</v>
      </c>
      <c r="H200" s="141"/>
      <c r="I200" s="25">
        <f>SUM(I198:I199)</f>
        <v>1921.9344000000001</v>
      </c>
      <c r="J200" s="158">
        <f>SUM(J198:J199)</f>
        <v>1</v>
      </c>
      <c r="K200" s="48">
        <f>I200+Summary!I23</f>
        <v>1980.2644</v>
      </c>
      <c r="L200" s="141"/>
      <c r="M200" s="25">
        <f>SUM(M198:M199)</f>
        <v>1980.2179200000003</v>
      </c>
      <c r="N200" s="25">
        <f>SUM(N198:N199)</f>
        <v>58.283520000000124</v>
      </c>
      <c r="O200" s="26">
        <f t="shared" ref="O200" si="214">N200/I200</f>
        <v>3.0325447112034689E-2</v>
      </c>
      <c r="P200" s="26">
        <f>SUM(P198:P199)</f>
        <v>1</v>
      </c>
      <c r="Q200" s="27">
        <f t="shared" si="213"/>
        <v>0</v>
      </c>
      <c r="R200" s="40">
        <f>M200-K200</f>
        <v>-4.6479999999746724E-2</v>
      </c>
      <c r="S200" s="99">
        <f>K200/I200</f>
        <v>1.0303496310800202</v>
      </c>
    </row>
    <row r="201" spans="1:20" x14ac:dyDescent="0.25">
      <c r="A201" s="54">
        <f t="shared" si="154"/>
        <v>193</v>
      </c>
      <c r="D201" s="2" t="s">
        <v>29</v>
      </c>
      <c r="G201" s="124">
        <v>-131.30000000000001</v>
      </c>
      <c r="I201" s="142">
        <f>G201+(0.00165*(E199))</f>
        <v>-112.45040000000002</v>
      </c>
      <c r="K201" s="56"/>
      <c r="M201" s="5">
        <f>I201</f>
        <v>-112.45040000000002</v>
      </c>
      <c r="N201" s="5">
        <f t="shared" ref="N201:N203" si="215">M201-I201</f>
        <v>0</v>
      </c>
      <c r="O201" s="17">
        <v>0</v>
      </c>
    </row>
    <row r="202" spans="1:20" x14ac:dyDescent="0.25">
      <c r="A202" s="54">
        <f t="shared" si="154"/>
        <v>194</v>
      </c>
      <c r="D202" s="2" t="s">
        <v>30</v>
      </c>
      <c r="G202" s="124">
        <v>49.33</v>
      </c>
      <c r="I202" s="142">
        <f t="shared" ref="I202:I204" si="216">G202</f>
        <v>49.33</v>
      </c>
      <c r="M202" s="5">
        <f t="shared" ref="M202:M204" si="217">I202</f>
        <v>49.33</v>
      </c>
      <c r="N202" s="5">
        <f t="shared" si="215"/>
        <v>0</v>
      </c>
      <c r="O202" s="17">
        <v>0</v>
      </c>
    </row>
    <row r="203" spans="1:20" x14ac:dyDescent="0.25">
      <c r="A203" s="54">
        <f t="shared" si="154"/>
        <v>195</v>
      </c>
      <c r="D203" s="2" t="s">
        <v>32</v>
      </c>
      <c r="G203" s="124">
        <v>0</v>
      </c>
      <c r="I203" s="142">
        <f t="shared" si="216"/>
        <v>0</v>
      </c>
      <c r="M203" s="5">
        <f t="shared" si="217"/>
        <v>0</v>
      </c>
      <c r="N203" s="5">
        <f t="shared" si="215"/>
        <v>0</v>
      </c>
      <c r="O203" s="17">
        <v>0</v>
      </c>
    </row>
    <row r="204" spans="1:20" x14ac:dyDescent="0.25">
      <c r="A204" s="54">
        <f t="shared" ref="A204:A267" si="218">A203+1</f>
        <v>196</v>
      </c>
      <c r="D204" s="2" t="s">
        <v>42</v>
      </c>
      <c r="G204" s="124">
        <v>0</v>
      </c>
      <c r="I204" s="142">
        <f t="shared" si="216"/>
        <v>0</v>
      </c>
      <c r="M204" s="5">
        <f t="shared" si="217"/>
        <v>0</v>
      </c>
      <c r="N204" s="5"/>
      <c r="O204" s="17"/>
    </row>
    <row r="205" spans="1:20" x14ac:dyDescent="0.25">
      <c r="A205" s="54">
        <f t="shared" si="218"/>
        <v>197</v>
      </c>
      <c r="D205" s="18" t="s">
        <v>8</v>
      </c>
      <c r="E205" s="144"/>
      <c r="F205" s="144"/>
      <c r="G205" s="143">
        <f>SUM(G201:G204)</f>
        <v>-81.970000000000013</v>
      </c>
      <c r="H205" s="144"/>
      <c r="I205" s="143">
        <f>SUM(I201:I204)</f>
        <v>-63.120400000000018</v>
      </c>
      <c r="J205" s="144"/>
      <c r="K205" s="49"/>
      <c r="L205" s="144"/>
      <c r="M205" s="19">
        <f>SUM(M201:M204)</f>
        <v>-63.120400000000018</v>
      </c>
      <c r="N205" s="19">
        <f t="shared" ref="N205:N207" si="219">M205-I205</f>
        <v>0</v>
      </c>
      <c r="O205" s="28">
        <f t="shared" ref="O205" si="220">N205-J205</f>
        <v>0</v>
      </c>
    </row>
    <row r="206" spans="1:20" s="6" customFormat="1" ht="26.4" customHeight="1" thickBot="1" x14ac:dyDescent="0.3">
      <c r="A206" s="54">
        <f t="shared" si="218"/>
        <v>198</v>
      </c>
      <c r="C206" s="22"/>
      <c r="D206" s="7" t="s">
        <v>19</v>
      </c>
      <c r="E206" s="146"/>
      <c r="F206" s="146"/>
      <c r="G206" s="145">
        <f>G200+G205</f>
        <v>1858.8140000000001</v>
      </c>
      <c r="H206" s="146"/>
      <c r="I206" s="147">
        <f>I205+I200</f>
        <v>1858.8140000000001</v>
      </c>
      <c r="J206" s="146"/>
      <c r="K206" s="50"/>
      <c r="L206" s="146"/>
      <c r="M206" s="8">
        <f>M205+M200</f>
        <v>1917.0975200000003</v>
      </c>
      <c r="N206" s="8">
        <f t="shared" si="219"/>
        <v>58.283520000000181</v>
      </c>
      <c r="O206" s="9">
        <f>N206/I206</f>
        <v>3.1355218972958121E-2</v>
      </c>
      <c r="P206" s="2"/>
      <c r="Q206" s="2"/>
      <c r="R206" s="2"/>
    </row>
    <row r="207" spans="1:20" ht="13.8" thickTop="1" x14ac:dyDescent="0.25">
      <c r="A207" s="54">
        <f t="shared" si="218"/>
        <v>199</v>
      </c>
      <c r="E207" s="167">
        <f>E199</f>
        <v>11424</v>
      </c>
      <c r="G207" s="148">
        <f>G206/E198</f>
        <v>154.90116666666668</v>
      </c>
      <c r="I207" s="148">
        <f>I206/E198</f>
        <v>154.90116666666668</v>
      </c>
      <c r="M207" s="15">
        <f>M206/E198</f>
        <v>159.7581266666667</v>
      </c>
      <c r="N207" s="15">
        <f t="shared" si="219"/>
        <v>4.856960000000015</v>
      </c>
      <c r="O207" s="4">
        <f>N207/I207</f>
        <v>3.1355218972958121E-2</v>
      </c>
    </row>
    <row r="208" spans="1:20" ht="13.8" thickBot="1" x14ac:dyDescent="0.3">
      <c r="A208" s="54">
        <f t="shared" si="218"/>
        <v>200</v>
      </c>
      <c r="B208" s="41"/>
      <c r="C208" s="43"/>
      <c r="D208" s="41"/>
      <c r="M208" s="41"/>
      <c r="N208" s="41"/>
      <c r="O208" s="41"/>
      <c r="P208" s="41"/>
      <c r="Q208" s="41"/>
      <c r="R208" s="41"/>
    </row>
    <row r="209" spans="1:20" x14ac:dyDescent="0.25">
      <c r="A209" s="54">
        <f t="shared" si="218"/>
        <v>201</v>
      </c>
      <c r="B209" s="174" t="s">
        <v>99</v>
      </c>
      <c r="C209" s="35">
        <v>11</v>
      </c>
      <c r="D209" s="34"/>
      <c r="E209" s="149"/>
      <c r="F209" s="149"/>
      <c r="G209" s="149"/>
      <c r="H209" s="149"/>
      <c r="I209" s="149"/>
      <c r="J209" s="149"/>
      <c r="K209" s="46"/>
      <c r="L209" s="149"/>
      <c r="M209" s="34"/>
      <c r="N209" s="34"/>
      <c r="O209" s="34"/>
      <c r="P209" s="34"/>
      <c r="Q209" s="34"/>
      <c r="R209" s="34"/>
    </row>
    <row r="210" spans="1:20" x14ac:dyDescent="0.25">
      <c r="A210" s="54">
        <f t="shared" si="218"/>
        <v>202</v>
      </c>
      <c r="B210" s="175"/>
      <c r="C210" s="2"/>
      <c r="D210" s="2" t="s">
        <v>17</v>
      </c>
      <c r="E210" s="157">
        <v>143</v>
      </c>
      <c r="F210" s="159">
        <v>27.5</v>
      </c>
      <c r="G210" s="124">
        <f>F210*E210</f>
        <v>3932.5</v>
      </c>
      <c r="H210" s="139">
        <v>27.5</v>
      </c>
      <c r="I210" s="124">
        <f>H210*E210</f>
        <v>3932.5</v>
      </c>
      <c r="J210" s="152">
        <f>I210/I213</f>
        <v>0.68623237524044145</v>
      </c>
      <c r="K210" s="47"/>
      <c r="L210" s="139">
        <f>ROUND(H210*S213,2)</f>
        <v>28.33</v>
      </c>
      <c r="M210" s="5">
        <f>L210*E210</f>
        <v>4051.1899999999996</v>
      </c>
      <c r="N210" s="5">
        <f>M210-I210</f>
        <v>118.6899999999996</v>
      </c>
      <c r="O210" s="4">
        <f>IF(I210=0,0,N210/I210)</f>
        <v>3.0181818181818081E-2</v>
      </c>
      <c r="P210" s="4">
        <f>M210/M$213</f>
        <v>0.68620396066006284</v>
      </c>
      <c r="Q210" s="16">
        <f>P210-J210</f>
        <v>-2.8414580378610665E-5</v>
      </c>
      <c r="R210" s="16"/>
      <c r="T210" s="4">
        <f>L210/H210-1</f>
        <v>3.0181818181818088E-2</v>
      </c>
    </row>
    <row r="211" spans="1:20" x14ac:dyDescent="0.25">
      <c r="A211" s="54">
        <f t="shared" si="218"/>
        <v>203</v>
      </c>
      <c r="D211" s="2" t="s">
        <v>52</v>
      </c>
      <c r="E211" s="157">
        <v>4604</v>
      </c>
      <c r="F211" s="140">
        <f>H211+0.00165</f>
        <v>0.19748000000000002</v>
      </c>
      <c r="G211" s="124">
        <f t="shared" ref="G211:G212" si="221">F211*E211</f>
        <v>909.19792000000007</v>
      </c>
      <c r="H211" s="140">
        <v>0.19583</v>
      </c>
      <c r="I211" s="124">
        <f t="shared" ref="I211:I212" si="222">H211*E211</f>
        <v>901.60131999999999</v>
      </c>
      <c r="J211" s="152">
        <f>I211/I213</f>
        <v>0.15733198101551615</v>
      </c>
      <c r="K211" s="47"/>
      <c r="L211" s="173">
        <f>ROUND(H211*S213,5)</f>
        <v>0.20177</v>
      </c>
      <c r="M211" s="5">
        <f t="shared" ref="M211:M212" si="223">L211*E211</f>
        <v>928.94907999999998</v>
      </c>
      <c r="N211" s="5">
        <f t="shared" ref="N211:N212" si="224">M211-I211</f>
        <v>27.347759999999994</v>
      </c>
      <c r="O211" s="4">
        <f t="shared" ref="O211:O212" si="225">IF(I211=0,0,N211/I211)</f>
        <v>3.0332431190318126E-2</v>
      </c>
      <c r="P211" s="4">
        <f t="shared" ref="P211:P212" si="226">M211/M$213</f>
        <v>0.15734846747437706</v>
      </c>
      <c r="Q211" s="16">
        <f t="shared" ref="Q211:Q213" si="227">P211-J211</f>
        <v>1.6486458860903719E-5</v>
      </c>
      <c r="R211" s="16"/>
      <c r="T211" s="4">
        <f>L211/H211-1</f>
        <v>3.0332431190318143E-2</v>
      </c>
    </row>
    <row r="212" spans="1:20" x14ac:dyDescent="0.25">
      <c r="A212" s="54">
        <f t="shared" si="218"/>
        <v>204</v>
      </c>
      <c r="D212" s="2" t="s">
        <v>52</v>
      </c>
      <c r="E212" s="157">
        <v>15435</v>
      </c>
      <c r="F212" s="140">
        <f>H212+0.00165</f>
        <v>5.9729999999999998E-2</v>
      </c>
      <c r="G212" s="124">
        <f t="shared" si="221"/>
        <v>921.93254999999999</v>
      </c>
      <c r="H212" s="140">
        <v>5.808E-2</v>
      </c>
      <c r="I212" s="124">
        <f t="shared" si="222"/>
        <v>896.46479999999997</v>
      </c>
      <c r="J212" s="152">
        <f>I212/I213</f>
        <v>0.15643564374404254</v>
      </c>
      <c r="K212" s="47"/>
      <c r="L212" s="173">
        <f>ROUND(H212*S213,5)</f>
        <v>5.9839999999999997E-2</v>
      </c>
      <c r="M212" s="5">
        <f t="shared" si="223"/>
        <v>923.63040000000001</v>
      </c>
      <c r="N212" s="5">
        <f t="shared" si="224"/>
        <v>27.16560000000004</v>
      </c>
      <c r="O212" s="4">
        <f t="shared" si="225"/>
        <v>3.0303030303030349E-2</v>
      </c>
      <c r="P212" s="4">
        <f t="shared" si="226"/>
        <v>0.15644757186556005</v>
      </c>
      <c r="Q212" s="16">
        <f t="shared" si="227"/>
        <v>1.1928121517512658E-5</v>
      </c>
      <c r="R212" s="16"/>
      <c r="T212" s="4">
        <f>L212/H212-1</f>
        <v>3.0303030303030276E-2</v>
      </c>
    </row>
    <row r="213" spans="1:20" s="6" customFormat="1" ht="20.399999999999999" customHeight="1" x14ac:dyDescent="0.3">
      <c r="A213" s="54">
        <f t="shared" si="218"/>
        <v>205</v>
      </c>
      <c r="C213" s="22"/>
      <c r="D213" s="24" t="s">
        <v>6</v>
      </c>
      <c r="E213" s="141"/>
      <c r="F213" s="141"/>
      <c r="G213" s="25">
        <f>SUM(G210:G212)</f>
        <v>5763.6304700000001</v>
      </c>
      <c r="H213" s="141"/>
      <c r="I213" s="25">
        <f>SUM(I210:I212)</f>
        <v>5730.5661199999995</v>
      </c>
      <c r="J213" s="158">
        <f>SUM(J210:J212)</f>
        <v>1.0000000000000002</v>
      </c>
      <c r="K213" s="48">
        <f>I213+Summary!I24</f>
        <v>5904.4861199999996</v>
      </c>
      <c r="L213" s="141"/>
      <c r="M213" s="25">
        <f>SUM(M210:M212)</f>
        <v>5903.7694799999999</v>
      </c>
      <c r="N213" s="25">
        <f>SUM(N210:N212)</f>
        <v>173.20335999999963</v>
      </c>
      <c r="O213" s="26">
        <f t="shared" ref="O213" si="228">N213/I213</f>
        <v>3.0224476321023524E-2</v>
      </c>
      <c r="P213" s="26">
        <f>SUM(P210:P212)</f>
        <v>0.99999999999999989</v>
      </c>
      <c r="Q213" s="27">
        <f t="shared" si="227"/>
        <v>0</v>
      </c>
      <c r="R213" s="40">
        <f>M213-K213</f>
        <v>-0.7166399999996429</v>
      </c>
      <c r="S213" s="99">
        <f>K213/I213</f>
        <v>1.0303495320284342</v>
      </c>
    </row>
    <row r="214" spans="1:20" x14ac:dyDescent="0.25">
      <c r="A214" s="54">
        <f t="shared" si="218"/>
        <v>206</v>
      </c>
      <c r="D214" s="2" t="s">
        <v>29</v>
      </c>
      <c r="G214" s="124">
        <v>-262.06</v>
      </c>
      <c r="I214" s="142">
        <f>G214+(0.00165*(E212))</f>
        <v>-236.59225000000001</v>
      </c>
      <c r="K214" s="56"/>
      <c r="M214" s="5">
        <f>I214</f>
        <v>-236.59225000000001</v>
      </c>
      <c r="N214" s="5">
        <f t="shared" ref="N214:N216" si="229">M214-I214</f>
        <v>0</v>
      </c>
      <c r="O214" s="17">
        <v>0</v>
      </c>
    </row>
    <row r="215" spans="1:20" x14ac:dyDescent="0.25">
      <c r="A215" s="54">
        <f t="shared" si="218"/>
        <v>207</v>
      </c>
      <c r="D215" s="2" t="s">
        <v>30</v>
      </c>
      <c r="G215" s="124">
        <v>778.11</v>
      </c>
      <c r="I215" s="142">
        <f t="shared" ref="I215:I217" si="230">G215</f>
        <v>778.11</v>
      </c>
      <c r="M215" s="5">
        <f t="shared" ref="M215:M217" si="231">I215</f>
        <v>778.11</v>
      </c>
      <c r="N215" s="5">
        <f t="shared" si="229"/>
        <v>0</v>
      </c>
      <c r="O215" s="17">
        <v>0</v>
      </c>
    </row>
    <row r="216" spans="1:20" x14ac:dyDescent="0.25">
      <c r="A216" s="54">
        <f t="shared" si="218"/>
        <v>208</v>
      </c>
      <c r="D216" s="2" t="s">
        <v>32</v>
      </c>
      <c r="G216" s="124">
        <v>0</v>
      </c>
      <c r="I216" s="142">
        <f t="shared" si="230"/>
        <v>0</v>
      </c>
      <c r="M216" s="5">
        <f t="shared" si="231"/>
        <v>0</v>
      </c>
      <c r="N216" s="5">
        <f t="shared" si="229"/>
        <v>0</v>
      </c>
      <c r="O216" s="17">
        <v>0</v>
      </c>
    </row>
    <row r="217" spans="1:20" x14ac:dyDescent="0.25">
      <c r="A217" s="54">
        <f t="shared" si="218"/>
        <v>209</v>
      </c>
      <c r="D217" s="2" t="s">
        <v>42</v>
      </c>
      <c r="G217" s="124">
        <v>0</v>
      </c>
      <c r="I217" s="142">
        <f t="shared" si="230"/>
        <v>0</v>
      </c>
      <c r="M217" s="5">
        <f t="shared" si="231"/>
        <v>0</v>
      </c>
      <c r="N217" s="5"/>
      <c r="O217" s="17"/>
    </row>
    <row r="218" spans="1:20" x14ac:dyDescent="0.25">
      <c r="A218" s="54">
        <f t="shared" si="218"/>
        <v>210</v>
      </c>
      <c r="D218" s="18" t="s">
        <v>8</v>
      </c>
      <c r="E218" s="144"/>
      <c r="F218" s="144"/>
      <c r="G218" s="143">
        <f>SUM(G214:G217)</f>
        <v>516.04999999999995</v>
      </c>
      <c r="H218" s="144"/>
      <c r="I218" s="143">
        <f>SUM(I214:I217)</f>
        <v>541.51774999999998</v>
      </c>
      <c r="J218" s="144"/>
      <c r="K218" s="49"/>
      <c r="L218" s="144"/>
      <c r="M218" s="19">
        <f>SUM(M214:M217)</f>
        <v>541.51774999999998</v>
      </c>
      <c r="N218" s="19">
        <f t="shared" ref="N218:N220" si="232">M218-I218</f>
        <v>0</v>
      </c>
      <c r="O218" s="28">
        <f t="shared" ref="O218" si="233">N218-J218</f>
        <v>0</v>
      </c>
    </row>
    <row r="219" spans="1:20" s="6" customFormat="1" ht="26.4" customHeight="1" thickBot="1" x14ac:dyDescent="0.3">
      <c r="A219" s="54">
        <f t="shared" si="218"/>
        <v>211</v>
      </c>
      <c r="C219" s="22"/>
      <c r="D219" s="7" t="s">
        <v>19</v>
      </c>
      <c r="E219" s="146"/>
      <c r="F219" s="146"/>
      <c r="G219" s="145">
        <f>G213+G218</f>
        <v>6279.6804700000002</v>
      </c>
      <c r="H219" s="146"/>
      <c r="I219" s="147">
        <f>I218+I213</f>
        <v>6272.0838699999995</v>
      </c>
      <c r="J219" s="146"/>
      <c r="K219" s="50"/>
      <c r="L219" s="146"/>
      <c r="M219" s="8">
        <f>M218+M213</f>
        <v>6445.2872299999999</v>
      </c>
      <c r="N219" s="8">
        <f t="shared" si="232"/>
        <v>173.20336000000043</v>
      </c>
      <c r="O219" s="9">
        <f>N219/I219</f>
        <v>2.7614962361783669E-2</v>
      </c>
      <c r="P219" s="2"/>
      <c r="Q219" s="2"/>
      <c r="R219" s="2"/>
    </row>
    <row r="220" spans="1:20" ht="13.8" thickTop="1" x14ac:dyDescent="0.25">
      <c r="A220" s="54">
        <f t="shared" si="218"/>
        <v>212</v>
      </c>
      <c r="D220" s="2" t="s">
        <v>18</v>
      </c>
      <c r="E220" s="139">
        <f>(E211+E212)/E210</f>
        <v>140.13286713286712</v>
      </c>
      <c r="G220" s="148">
        <f>G219/E210</f>
        <v>43.913849440559446</v>
      </c>
      <c r="I220" s="148">
        <f>I219/E210</f>
        <v>43.86072636363636</v>
      </c>
      <c r="M220" s="15">
        <f>M219/E210</f>
        <v>45.071938671328674</v>
      </c>
      <c r="N220" s="15">
        <f t="shared" si="232"/>
        <v>1.211212307692314</v>
      </c>
      <c r="O220" s="4">
        <f>N220/I220</f>
        <v>2.7614962361783742E-2</v>
      </c>
    </row>
    <row r="221" spans="1:20" ht="13.8" thickBot="1" x14ac:dyDescent="0.3">
      <c r="A221" s="54">
        <f t="shared" si="218"/>
        <v>213</v>
      </c>
    </row>
    <row r="222" spans="1:20" x14ac:dyDescent="0.25">
      <c r="A222" s="54">
        <f t="shared" si="218"/>
        <v>214</v>
      </c>
      <c r="B222" s="174" t="s">
        <v>100</v>
      </c>
      <c r="C222" s="35">
        <v>30</v>
      </c>
      <c r="D222" s="34"/>
      <c r="E222" s="149"/>
      <c r="F222" s="149"/>
      <c r="G222" s="149"/>
      <c r="H222" s="149"/>
      <c r="I222" s="149"/>
      <c r="J222" s="149"/>
      <c r="K222" s="46"/>
      <c r="L222" s="149"/>
      <c r="M222" s="34"/>
      <c r="N222" s="34"/>
      <c r="O222" s="34"/>
      <c r="P222" s="34"/>
      <c r="Q222" s="34"/>
      <c r="R222" s="34"/>
    </row>
    <row r="223" spans="1:20" x14ac:dyDescent="0.25">
      <c r="A223" s="54">
        <f t="shared" si="218"/>
        <v>215</v>
      </c>
      <c r="B223" s="175"/>
      <c r="C223" s="2"/>
      <c r="D223" s="2" t="s">
        <v>17</v>
      </c>
      <c r="E223" s="157">
        <v>24</v>
      </c>
      <c r="F223" s="159">
        <f>H223</f>
        <v>566.12</v>
      </c>
      <c r="G223" s="124">
        <f>F223*E223</f>
        <v>13586.880000000001</v>
      </c>
      <c r="H223" s="139">
        <v>566.12</v>
      </c>
      <c r="I223" s="124">
        <f>H223*E223</f>
        <v>13586.880000000001</v>
      </c>
      <c r="J223" s="152">
        <f>I223/I227</f>
        <v>7.6774390161244259E-3</v>
      </c>
      <c r="K223" s="47"/>
      <c r="L223" s="139">
        <f>ROUND(H223*S227,2)</f>
        <v>583.29999999999995</v>
      </c>
      <c r="M223" s="5">
        <f>L223*E223</f>
        <v>13999.199999999999</v>
      </c>
      <c r="N223" s="5">
        <f>M223-I223</f>
        <v>412.31999999999789</v>
      </c>
      <c r="O223" s="4">
        <f>IF(I223=0,0,N223/I223)</f>
        <v>3.0346922913869694E-2</v>
      </c>
      <c r="P223" s="4">
        <f>M223/M$227</f>
        <v>7.6773895588783539E-3</v>
      </c>
      <c r="Q223" s="16">
        <f>P223-J223</f>
        <v>-4.9457246071964167E-8</v>
      </c>
      <c r="R223" s="16"/>
      <c r="T223" s="4">
        <f>L223/H223-1</f>
        <v>3.0346922913869756E-2</v>
      </c>
    </row>
    <row r="224" spans="1:20" x14ac:dyDescent="0.25">
      <c r="A224" s="54">
        <f t="shared" si="218"/>
        <v>216</v>
      </c>
      <c r="D224" s="2" t="s">
        <v>52</v>
      </c>
      <c r="E224" s="157">
        <f>19301364+10519200</f>
        <v>29820564</v>
      </c>
      <c r="F224" s="140">
        <f>H224+0.00165</f>
        <v>4.6489999999999997E-2</v>
      </c>
      <c r="G224" s="124">
        <f t="shared" ref="G224:G226" si="234">F224*E224</f>
        <v>1386358.02036</v>
      </c>
      <c r="H224" s="140">
        <v>4.4839999999999998E-2</v>
      </c>
      <c r="I224" s="124">
        <f t="shared" ref="I224:I226" si="235">H224*E224</f>
        <v>1337154.0897599999</v>
      </c>
      <c r="J224" s="152">
        <f>I224/I227</f>
        <v>0.75557589227944644</v>
      </c>
      <c r="K224" s="47"/>
      <c r="L224" s="173">
        <f>ROUND(H224*S227,5)</f>
        <v>4.6199999999999998E-2</v>
      </c>
      <c r="M224" s="5">
        <f t="shared" ref="M224:M226" si="236">L224*E224</f>
        <v>1377710.0567999999</v>
      </c>
      <c r="N224" s="5">
        <f t="shared" ref="N224:N226" si="237">M224-I224</f>
        <v>40555.967040000018</v>
      </c>
      <c r="O224" s="4">
        <f t="shared" ref="O224:O226" si="238">IF(I224=0,0,N224/I224)</f>
        <v>3.0330062444246225E-2</v>
      </c>
      <c r="P224" s="4">
        <f t="shared" ref="P224:P226" si="239">M224/M$227</f>
        <v>0.75555866086905132</v>
      </c>
      <c r="Q224" s="16">
        <f t="shared" ref="Q224:Q227" si="240">P224-J224</f>
        <v>-1.7231410395113222E-5</v>
      </c>
      <c r="R224" s="16"/>
      <c r="T224" s="4">
        <f>L224/H224-1</f>
        <v>3.0330062444246186E-2</v>
      </c>
    </row>
    <row r="225" spans="1:20" x14ac:dyDescent="0.25">
      <c r="A225" s="54">
        <f t="shared" si="218"/>
        <v>217</v>
      </c>
      <c r="D225" s="2" t="s">
        <v>75</v>
      </c>
      <c r="E225" s="157">
        <f>35073+22876.4</f>
        <v>57949.4</v>
      </c>
      <c r="F225" s="139">
        <f>H225</f>
        <v>7.23</v>
      </c>
      <c r="G225" s="124">
        <f t="shared" ref="G225" si="241">F225*E225</f>
        <v>418974.16200000001</v>
      </c>
      <c r="H225" s="139">
        <v>7.23</v>
      </c>
      <c r="I225" s="124">
        <f t="shared" ref="I225" si="242">H225*E225</f>
        <v>418974.16200000001</v>
      </c>
      <c r="J225" s="152">
        <f>I225/I227</f>
        <v>0.23674666870442923</v>
      </c>
      <c r="K225" s="47"/>
      <c r="L225" s="139">
        <f>ROUND(H225*S227,2)</f>
        <v>7.45</v>
      </c>
      <c r="M225" s="5">
        <f t="shared" ref="M225" si="243">L225*E225</f>
        <v>431723.03</v>
      </c>
      <c r="N225" s="5">
        <f t="shared" ref="N225" si="244">M225-I225</f>
        <v>12748.868000000017</v>
      </c>
      <c r="O225" s="4">
        <f t="shared" ref="O225" si="245">IF(I225=0,0,N225/I225)</f>
        <v>3.0428769017980674E-2</v>
      </c>
      <c r="P225" s="4">
        <f t="shared" si="239"/>
        <v>0.23676394957207031</v>
      </c>
      <c r="Q225" s="16">
        <f t="shared" ref="Q225" si="246">P225-J225</f>
        <v>1.7280867641078501E-5</v>
      </c>
      <c r="R225" s="16"/>
      <c r="T225" s="4">
        <f>L225/H225-1</f>
        <v>3.0428769017980528E-2</v>
      </c>
    </row>
    <row r="226" spans="1:20" x14ac:dyDescent="0.25">
      <c r="A226" s="54">
        <f t="shared" si="218"/>
        <v>218</v>
      </c>
      <c r="D226" s="2" t="s">
        <v>76</v>
      </c>
      <c r="E226" s="157">
        <v>0</v>
      </c>
      <c r="F226" s="139">
        <f>H226</f>
        <v>10.5</v>
      </c>
      <c r="G226" s="124">
        <f t="shared" si="234"/>
        <v>0</v>
      </c>
      <c r="H226" s="139">
        <v>10.5</v>
      </c>
      <c r="I226" s="124">
        <f t="shared" si="235"/>
        <v>0</v>
      </c>
      <c r="J226" s="152">
        <f>I226/I227</f>
        <v>0</v>
      </c>
      <c r="K226" s="47"/>
      <c r="L226" s="139">
        <f>ROUND(H226*S227,2)</f>
        <v>10.82</v>
      </c>
      <c r="M226" s="5">
        <f t="shared" si="236"/>
        <v>0</v>
      </c>
      <c r="N226" s="5">
        <f t="shared" si="237"/>
        <v>0</v>
      </c>
      <c r="O226" s="4">
        <f t="shared" si="238"/>
        <v>0</v>
      </c>
      <c r="P226" s="4">
        <f t="shared" si="239"/>
        <v>0</v>
      </c>
      <c r="Q226" s="16">
        <f t="shared" si="240"/>
        <v>0</v>
      </c>
      <c r="R226" s="16"/>
      <c r="T226" s="4">
        <f>L226/H226-1</f>
        <v>3.0476190476190546E-2</v>
      </c>
    </row>
    <row r="227" spans="1:20" s="6" customFormat="1" ht="20.399999999999999" customHeight="1" x14ac:dyDescent="0.3">
      <c r="A227" s="54">
        <f t="shared" si="218"/>
        <v>219</v>
      </c>
      <c r="C227" s="22"/>
      <c r="D227" s="24" t="s">
        <v>6</v>
      </c>
      <c r="E227" s="141"/>
      <c r="F227" s="141"/>
      <c r="G227" s="25">
        <f>SUM(G223:G226)</f>
        <v>1818919.0623599999</v>
      </c>
      <c r="H227" s="141"/>
      <c r="I227" s="25">
        <f>SUM(I223:I226)</f>
        <v>1769715.1317599998</v>
      </c>
      <c r="J227" s="158">
        <f>SUM(J223:J226)</f>
        <v>1</v>
      </c>
      <c r="K227" s="48">
        <f>I227+Summary!I25</f>
        <v>1823426.3517599998</v>
      </c>
      <c r="L227" s="141"/>
      <c r="M227" s="25">
        <f>SUM(M223:M226)</f>
        <v>1823432.2867999999</v>
      </c>
      <c r="N227" s="25">
        <f>SUM(N223:N226)</f>
        <v>53717.155040000034</v>
      </c>
      <c r="O227" s="26">
        <f t="shared" ref="O227" si="247">N227/I227</f>
        <v>3.0353560341984404E-2</v>
      </c>
      <c r="P227" s="26">
        <f>SUM(P223:P226)</f>
        <v>1</v>
      </c>
      <c r="Q227" s="27">
        <f t="shared" si="240"/>
        <v>0</v>
      </c>
      <c r="R227" s="40">
        <f>M227-K227</f>
        <v>5.9350400001276284</v>
      </c>
      <c r="S227" s="99">
        <f>K227/I227</f>
        <v>1.0303502066722929</v>
      </c>
    </row>
    <row r="228" spans="1:20" x14ac:dyDescent="0.25">
      <c r="A228" s="54">
        <f t="shared" si="218"/>
        <v>220</v>
      </c>
      <c r="D228" s="2" t="s">
        <v>29</v>
      </c>
      <c r="G228" s="124">
        <f>-107271.01-54586.16</f>
        <v>-161857.16999999998</v>
      </c>
      <c r="I228" s="142">
        <f>G228+(0.00165*(E226))</f>
        <v>-161857.16999999998</v>
      </c>
      <c r="K228" s="56"/>
      <c r="M228" s="5">
        <f>I228</f>
        <v>-161857.16999999998</v>
      </c>
      <c r="N228" s="5">
        <f t="shared" ref="N228:N230" si="248">M228-I228</f>
        <v>0</v>
      </c>
      <c r="O228" s="17">
        <v>0</v>
      </c>
    </row>
    <row r="229" spans="1:20" x14ac:dyDescent="0.25">
      <c r="A229" s="54">
        <f t="shared" si="218"/>
        <v>221</v>
      </c>
      <c r="D229" s="2" t="s">
        <v>30</v>
      </c>
      <c r="G229" s="124">
        <f>92207.52+52267.45</f>
        <v>144474.97</v>
      </c>
      <c r="I229" s="142">
        <f t="shared" ref="I229:I231" si="249">G229</f>
        <v>144474.97</v>
      </c>
      <c r="M229" s="5">
        <f t="shared" ref="M229:M231" si="250">I229</f>
        <v>144474.97</v>
      </c>
      <c r="N229" s="5">
        <f t="shared" si="248"/>
        <v>0</v>
      </c>
      <c r="O229" s="17">
        <v>0</v>
      </c>
    </row>
    <row r="230" spans="1:20" x14ac:dyDescent="0.25">
      <c r="A230" s="54">
        <f t="shared" si="218"/>
        <v>222</v>
      </c>
      <c r="D230" s="2" t="s">
        <v>32</v>
      </c>
      <c r="G230" s="124">
        <v>0</v>
      </c>
      <c r="I230" s="142">
        <f t="shared" si="249"/>
        <v>0</v>
      </c>
      <c r="M230" s="5">
        <f t="shared" si="250"/>
        <v>0</v>
      </c>
      <c r="N230" s="5">
        <f t="shared" si="248"/>
        <v>0</v>
      </c>
      <c r="O230" s="17">
        <v>0</v>
      </c>
    </row>
    <row r="231" spans="1:20" x14ac:dyDescent="0.25">
      <c r="A231" s="54">
        <f t="shared" si="218"/>
        <v>223</v>
      </c>
      <c r="D231" s="2" t="s">
        <v>42</v>
      </c>
      <c r="G231" s="124">
        <v>0</v>
      </c>
      <c r="I231" s="142">
        <f t="shared" si="249"/>
        <v>0</v>
      </c>
      <c r="M231" s="5">
        <f t="shared" si="250"/>
        <v>0</v>
      </c>
      <c r="N231" s="5"/>
      <c r="O231" s="17"/>
    </row>
    <row r="232" spans="1:20" x14ac:dyDescent="0.25">
      <c r="A232" s="54">
        <f t="shared" si="218"/>
        <v>224</v>
      </c>
      <c r="D232" s="18" t="s">
        <v>8</v>
      </c>
      <c r="E232" s="144"/>
      <c r="F232" s="144"/>
      <c r="G232" s="143">
        <f>SUM(G228:G231)</f>
        <v>-17382.199999999983</v>
      </c>
      <c r="H232" s="144"/>
      <c r="I232" s="143">
        <f>SUM(I228:I231)</f>
        <v>-17382.199999999983</v>
      </c>
      <c r="J232" s="144"/>
      <c r="K232" s="49"/>
      <c r="L232" s="144"/>
      <c r="M232" s="19">
        <f>SUM(M228:M231)</f>
        <v>-17382.199999999983</v>
      </c>
      <c r="N232" s="19">
        <f t="shared" ref="N232:N234" si="251">M232-I232</f>
        <v>0</v>
      </c>
      <c r="O232" s="28">
        <f t="shared" ref="O232" si="252">N232-J232</f>
        <v>0</v>
      </c>
    </row>
    <row r="233" spans="1:20" s="6" customFormat="1" ht="26.4" customHeight="1" thickBot="1" x14ac:dyDescent="0.3">
      <c r="A233" s="54">
        <f t="shared" si="218"/>
        <v>225</v>
      </c>
      <c r="C233" s="22"/>
      <c r="D233" s="7" t="s">
        <v>19</v>
      </c>
      <c r="E233" s="146"/>
      <c r="F233" s="146"/>
      <c r="G233" s="145">
        <f>G227+G232</f>
        <v>1801536.8623599999</v>
      </c>
      <c r="H233" s="146"/>
      <c r="I233" s="147">
        <f>I232+I227</f>
        <v>1752332.9317599998</v>
      </c>
      <c r="J233" s="146"/>
      <c r="K233" s="50"/>
      <c r="L233" s="146"/>
      <c r="M233" s="8">
        <f>M232+M227</f>
        <v>1806050.0867999999</v>
      </c>
      <c r="N233" s="8">
        <f t="shared" si="251"/>
        <v>53717.1550400001</v>
      </c>
      <c r="O233" s="9">
        <f>N233/I233</f>
        <v>3.0654651331609637E-2</v>
      </c>
      <c r="P233" s="2"/>
      <c r="Q233" s="2"/>
      <c r="R233" s="2"/>
    </row>
    <row r="234" spans="1:20" ht="13.8" thickTop="1" x14ac:dyDescent="0.25">
      <c r="A234" s="54">
        <f t="shared" si="218"/>
        <v>226</v>
      </c>
      <c r="D234" s="2" t="s">
        <v>18</v>
      </c>
      <c r="E234" s="139">
        <f>E224/E223</f>
        <v>1242523.5</v>
      </c>
      <c r="G234" s="148">
        <f>G233/E223</f>
        <v>75064.035931666658</v>
      </c>
      <c r="I234" s="148">
        <f>I233/E223</f>
        <v>73013.872156666665</v>
      </c>
      <c r="M234" s="15">
        <f>M233/E223</f>
        <v>75252.086949999997</v>
      </c>
      <c r="N234" s="15">
        <f t="shared" si="251"/>
        <v>2238.2147933333326</v>
      </c>
      <c r="O234" s="4">
        <f>N234/I234</f>
        <v>3.0654651331609571E-2</v>
      </c>
    </row>
    <row r="235" spans="1:20" ht="13.8" thickBot="1" x14ac:dyDescent="0.3">
      <c r="A235" s="54">
        <f t="shared" si="218"/>
        <v>227</v>
      </c>
    </row>
    <row r="236" spans="1:20" x14ac:dyDescent="0.25">
      <c r="A236" s="54">
        <f t="shared" si="218"/>
        <v>228</v>
      </c>
      <c r="B236" s="34" t="s">
        <v>33</v>
      </c>
      <c r="C236" s="35">
        <v>6</v>
      </c>
      <c r="D236" s="34"/>
      <c r="E236" s="149"/>
      <c r="F236" s="149"/>
      <c r="G236" s="149"/>
      <c r="H236" s="149"/>
      <c r="I236" s="149"/>
      <c r="J236" s="149"/>
      <c r="K236" s="46"/>
      <c r="L236" s="149"/>
      <c r="M236" s="34"/>
      <c r="N236" s="34"/>
      <c r="O236" s="34"/>
      <c r="P236" s="34"/>
      <c r="Q236" s="34"/>
      <c r="R236" s="34"/>
    </row>
    <row r="237" spans="1:20" x14ac:dyDescent="0.25">
      <c r="A237" s="54">
        <f t="shared" si="218"/>
        <v>229</v>
      </c>
      <c r="B237" s="125"/>
      <c r="C237" s="126"/>
      <c r="D237" s="2" t="s">
        <v>66</v>
      </c>
      <c r="E237" s="157">
        <f>1366+246+1130+50+1355+250+1113+51+1134+241+1094+49+1329+242+1085+49+1316+239+1082+49+1315+239+1060+49+1291+235+1044+49+1266+231+1038+48+1262+229+1017+47+1238+223+1006+48+1221+220+1005+47+1204+215+976+45</f>
        <v>31338</v>
      </c>
      <c r="F237" s="139">
        <v>12.5</v>
      </c>
      <c r="G237" s="124">
        <f t="shared" ref="G237" si="253">F237*E237</f>
        <v>391725</v>
      </c>
      <c r="H237" s="139">
        <v>12.38</v>
      </c>
      <c r="I237" s="124">
        <f t="shared" ref="I237" si="254">H237*E237</f>
        <v>387964.44</v>
      </c>
      <c r="J237" s="152">
        <f t="shared" ref="J237:J242" si="255">I237/I$243</f>
        <v>0.56860833383909426</v>
      </c>
      <c r="K237" s="47"/>
      <c r="L237" s="139">
        <f t="shared" ref="L237:L242" si="256">ROUND(H237*S$243,2)</f>
        <v>12.76</v>
      </c>
      <c r="M237" s="5">
        <f t="shared" ref="M237" si="257">L237*E237</f>
        <v>399872.88</v>
      </c>
      <c r="N237" s="5">
        <f t="shared" ref="N237" si="258">M237-I237</f>
        <v>11908.440000000002</v>
      </c>
      <c r="O237" s="4">
        <f t="shared" ref="O237" si="259">IF(I237=0,0,N237/I237)</f>
        <v>3.069466882067852E-2</v>
      </c>
      <c r="P237" s="4">
        <f t="shared" ref="P237:P242" si="260">M237/M$243</f>
        <v>0.56862077202351913</v>
      </c>
      <c r="Q237" s="16">
        <f t="shared" ref="Q237" si="261">P237-J237</f>
        <v>1.2438184424867771E-5</v>
      </c>
      <c r="R237" s="16"/>
      <c r="T237" s="4">
        <f>L237/H237-1</f>
        <v>3.0694668820678395E-2</v>
      </c>
    </row>
    <row r="238" spans="1:20" x14ac:dyDescent="0.25">
      <c r="A238" s="54">
        <f t="shared" si="218"/>
        <v>230</v>
      </c>
      <c r="B238" s="125"/>
      <c r="C238" s="126"/>
      <c r="D238" s="2" t="s">
        <v>67</v>
      </c>
      <c r="E238" s="157">
        <v>0</v>
      </c>
      <c r="F238" s="139">
        <v>15</v>
      </c>
      <c r="G238" s="124">
        <f t="shared" ref="G238:G241" si="262">F238*E238</f>
        <v>0</v>
      </c>
      <c r="H238" s="139">
        <v>14.88</v>
      </c>
      <c r="I238" s="124">
        <f t="shared" ref="I238:I241" si="263">H238*E238</f>
        <v>0</v>
      </c>
      <c r="J238" s="152">
        <f t="shared" si="255"/>
        <v>0</v>
      </c>
      <c r="K238" s="47"/>
      <c r="L238" s="139">
        <f t="shared" si="256"/>
        <v>15.33</v>
      </c>
      <c r="M238" s="5">
        <f t="shared" ref="M238:M241" si="264">L238*E238</f>
        <v>0</v>
      </c>
      <c r="N238" s="5">
        <f t="shared" ref="N238:N241" si="265">M238-I238</f>
        <v>0</v>
      </c>
      <c r="O238" s="4">
        <f t="shared" ref="O238:O241" si="266">IF(I238=0,0,N238/I238)</f>
        <v>0</v>
      </c>
      <c r="P238" s="4">
        <f t="shared" si="260"/>
        <v>0</v>
      </c>
      <c r="Q238" s="16">
        <f t="shared" ref="Q238:Q241" si="267">P238-J238</f>
        <v>0</v>
      </c>
      <c r="R238" s="16"/>
      <c r="T238" s="4">
        <f t="shared" ref="T238:T242" si="268">L238/H238-1</f>
        <v>3.0241935483870996E-2</v>
      </c>
    </row>
    <row r="239" spans="1:20" x14ac:dyDescent="0.25">
      <c r="A239" s="54">
        <f t="shared" si="218"/>
        <v>231</v>
      </c>
      <c r="B239" s="125"/>
      <c r="C239" s="126"/>
      <c r="D239" s="2" t="s">
        <v>71</v>
      </c>
      <c r="E239" s="157">
        <f>165+124+166+123+167+125+168+125+168+125+167+130+167+127+167+138+166+135+168+135+170+135</f>
        <v>3261</v>
      </c>
      <c r="F239" s="139">
        <v>21.45</v>
      </c>
      <c r="G239" s="124">
        <f t="shared" si="262"/>
        <v>69948.45</v>
      </c>
      <c r="H239" s="139">
        <v>21.33</v>
      </c>
      <c r="I239" s="124">
        <f t="shared" si="263"/>
        <v>69557.12999999999</v>
      </c>
      <c r="J239" s="152">
        <f t="shared" si="255"/>
        <v>0.10194430137960395</v>
      </c>
      <c r="K239" s="47"/>
      <c r="L239" s="139">
        <f t="shared" si="256"/>
        <v>21.98</v>
      </c>
      <c r="M239" s="5">
        <f t="shared" si="264"/>
        <v>71676.78</v>
      </c>
      <c r="N239" s="5">
        <f t="shared" si="265"/>
        <v>2119.6500000000087</v>
      </c>
      <c r="O239" s="4">
        <f t="shared" si="266"/>
        <v>3.0473511486169842E-2</v>
      </c>
      <c r="P239" s="4">
        <f t="shared" si="260"/>
        <v>0.101924656605269</v>
      </c>
      <c r="Q239" s="16">
        <f t="shared" si="267"/>
        <v>-1.9644774334942605E-5</v>
      </c>
      <c r="R239" s="16"/>
      <c r="T239" s="4">
        <f t="shared" si="268"/>
        <v>3.0473511486169835E-2</v>
      </c>
    </row>
    <row r="240" spans="1:20" x14ac:dyDescent="0.25">
      <c r="A240" s="54">
        <f t="shared" si="218"/>
        <v>232</v>
      </c>
      <c r="B240" s="125"/>
      <c r="C240" s="126"/>
      <c r="D240" s="2" t="s">
        <v>68</v>
      </c>
      <c r="E240" s="157">
        <f>1213+94+1235+95+1281+95+1310+95+1341+98+1356+100+1381+99+1419+103+1435+105+1467+108+1507+110+1527+110</f>
        <v>17684</v>
      </c>
      <c r="F240" s="139">
        <v>12.5</v>
      </c>
      <c r="G240" s="124">
        <f t="shared" si="262"/>
        <v>221050</v>
      </c>
      <c r="H240" s="139">
        <v>12.38</v>
      </c>
      <c r="I240" s="124">
        <f t="shared" si="263"/>
        <v>218927.92</v>
      </c>
      <c r="J240" s="152">
        <f t="shared" si="255"/>
        <v>0.32086507676337173</v>
      </c>
      <c r="K240" s="47"/>
      <c r="L240" s="139">
        <f t="shared" si="256"/>
        <v>12.76</v>
      </c>
      <c r="M240" s="5">
        <f t="shared" si="264"/>
        <v>225647.84</v>
      </c>
      <c r="N240" s="5">
        <f t="shared" si="265"/>
        <v>6719.9199999999837</v>
      </c>
      <c r="O240" s="4">
        <f t="shared" si="266"/>
        <v>3.0694668820678436E-2</v>
      </c>
      <c r="P240" s="4">
        <f t="shared" si="260"/>
        <v>0.32087209561758606</v>
      </c>
      <c r="Q240" s="16">
        <f t="shared" si="267"/>
        <v>7.0188542143356791E-6</v>
      </c>
      <c r="R240" s="16"/>
      <c r="T240" s="4">
        <f t="shared" si="268"/>
        <v>3.0694668820678395E-2</v>
      </c>
    </row>
    <row r="241" spans="1:20" x14ac:dyDescent="0.25">
      <c r="A241" s="54">
        <f t="shared" si="218"/>
        <v>233</v>
      </c>
      <c r="B241" s="125"/>
      <c r="C241" s="126"/>
      <c r="D241" s="2" t="s">
        <v>69</v>
      </c>
      <c r="E241" s="157">
        <v>0</v>
      </c>
      <c r="F241" s="139">
        <v>26</v>
      </c>
      <c r="G241" s="124">
        <f t="shared" si="262"/>
        <v>0</v>
      </c>
      <c r="H241" s="139">
        <v>25.88</v>
      </c>
      <c r="I241" s="124">
        <f t="shared" si="263"/>
        <v>0</v>
      </c>
      <c r="J241" s="152">
        <f t="shared" si="255"/>
        <v>0</v>
      </c>
      <c r="K241" s="47"/>
      <c r="L241" s="139">
        <f t="shared" si="256"/>
        <v>26.67</v>
      </c>
      <c r="M241" s="5">
        <f t="shared" si="264"/>
        <v>0</v>
      </c>
      <c r="N241" s="5">
        <f t="shared" si="265"/>
        <v>0</v>
      </c>
      <c r="O241" s="4">
        <f t="shared" si="266"/>
        <v>0</v>
      </c>
      <c r="P241" s="4">
        <f t="shared" si="260"/>
        <v>0</v>
      </c>
      <c r="Q241" s="16">
        <f t="shared" si="267"/>
        <v>0</v>
      </c>
      <c r="R241" s="16"/>
      <c r="T241" s="4">
        <f t="shared" si="268"/>
        <v>3.0525502318392794E-2</v>
      </c>
    </row>
    <row r="242" spans="1:20" x14ac:dyDescent="0.25">
      <c r="A242" s="54">
        <f t="shared" si="218"/>
        <v>234</v>
      </c>
      <c r="B242" s="125"/>
      <c r="C242" s="126"/>
      <c r="D242" s="2" t="s">
        <v>70</v>
      </c>
      <c r="E242" s="157">
        <f>41+41+41+39+39+39+39+39+39+39+39+38</f>
        <v>473</v>
      </c>
      <c r="F242" s="139">
        <v>12.5</v>
      </c>
      <c r="G242" s="124">
        <f t="shared" ref="G242" si="269">F242*E242</f>
        <v>5912.5</v>
      </c>
      <c r="H242" s="139">
        <v>12.38</v>
      </c>
      <c r="I242" s="124">
        <f t="shared" ref="I242" si="270">H242*E242</f>
        <v>5855.7400000000007</v>
      </c>
      <c r="J242" s="152">
        <f t="shared" si="255"/>
        <v>8.5822880179300415E-3</v>
      </c>
      <c r="K242" s="47"/>
      <c r="L242" s="139">
        <f t="shared" si="256"/>
        <v>12.76</v>
      </c>
      <c r="M242" s="5">
        <f t="shared" ref="M242" si="271">L242*E242</f>
        <v>6035.48</v>
      </c>
      <c r="N242" s="5">
        <f t="shared" ref="N242" si="272">M242-I242</f>
        <v>179.73999999999887</v>
      </c>
      <c r="O242" s="4">
        <f t="shared" ref="O242" si="273">IF(I242=0,0,N242/I242)</f>
        <v>3.0694668820678318E-2</v>
      </c>
      <c r="P242" s="4">
        <f t="shared" si="260"/>
        <v>8.5824757536257755E-3</v>
      </c>
      <c r="Q242" s="16">
        <f t="shared" ref="Q242" si="274">P242-J242</f>
        <v>1.8773569573395099E-7</v>
      </c>
      <c r="R242" s="16"/>
      <c r="T242" s="4">
        <f t="shared" si="268"/>
        <v>3.0694668820678395E-2</v>
      </c>
    </row>
    <row r="243" spans="1:20" s="6" customFormat="1" ht="24.6" customHeight="1" x14ac:dyDescent="0.3">
      <c r="A243" s="54">
        <f t="shared" si="218"/>
        <v>235</v>
      </c>
      <c r="C243" s="22"/>
      <c r="D243" s="24" t="s">
        <v>6</v>
      </c>
      <c r="E243" s="141"/>
      <c r="F243" s="141"/>
      <c r="G243" s="25">
        <f>SUM(G237:G242)</f>
        <v>688635.95</v>
      </c>
      <c r="H243" s="141"/>
      <c r="I243" s="25">
        <f>SUM(I237:I242)</f>
        <v>682305.23</v>
      </c>
      <c r="J243" s="158">
        <f>SUM(J237:J242)</f>
        <v>1</v>
      </c>
      <c r="K243" s="48">
        <f>I243+Summary!I26</f>
        <v>703013.33</v>
      </c>
      <c r="L243" s="141"/>
      <c r="M243" s="25">
        <f>SUM(M237:M242)</f>
        <v>703232.98</v>
      </c>
      <c r="N243" s="25">
        <f>SUM(N237:N242)</f>
        <v>20927.749999999993</v>
      </c>
      <c r="O243" s="26">
        <f t="shared" ref="O243" si="275">N243/I243</f>
        <v>3.067212309071703E-2</v>
      </c>
      <c r="P243" s="26">
        <f>SUM(P237:P242)</f>
        <v>1</v>
      </c>
      <c r="Q243" s="27">
        <f t="shared" ref="Q243" si="276">P243-J243</f>
        <v>0</v>
      </c>
      <c r="R243" s="40">
        <f>M243-K243</f>
        <v>219.65000000002328</v>
      </c>
      <c r="S243" s="99">
        <f>K243/I243</f>
        <v>1.0303501997192663</v>
      </c>
    </row>
    <row r="244" spans="1:20" x14ac:dyDescent="0.25">
      <c r="A244" s="54">
        <f t="shared" si="218"/>
        <v>236</v>
      </c>
      <c r="D244" s="2" t="s">
        <v>29</v>
      </c>
      <c r="G244" s="124">
        <f>-630.91-241.25</f>
        <v>-872.16</v>
      </c>
      <c r="I244" s="142">
        <f>G244</f>
        <v>-872.16</v>
      </c>
      <c r="K244" s="56"/>
      <c r="M244" s="5">
        <f>I244</f>
        <v>-872.16</v>
      </c>
      <c r="N244" s="5">
        <f>M244-I244</f>
        <v>0</v>
      </c>
      <c r="O244" s="17">
        <v>0</v>
      </c>
    </row>
    <row r="245" spans="1:20" x14ac:dyDescent="0.25">
      <c r="A245" s="54">
        <f t="shared" si="218"/>
        <v>237</v>
      </c>
      <c r="D245" s="2" t="s">
        <v>30</v>
      </c>
      <c r="G245" s="124">
        <f>1893.38+692.05</f>
        <v>2585.4300000000003</v>
      </c>
      <c r="I245" s="142">
        <f t="shared" ref="I245:I247" si="277">G245</f>
        <v>2585.4300000000003</v>
      </c>
      <c r="M245" s="5">
        <f t="shared" ref="M245:M246" si="278">I245</f>
        <v>2585.4300000000003</v>
      </c>
      <c r="N245" s="5">
        <f>M245-I245</f>
        <v>0</v>
      </c>
      <c r="O245" s="17">
        <v>0</v>
      </c>
    </row>
    <row r="246" spans="1:20" x14ac:dyDescent="0.25">
      <c r="A246" s="54">
        <f t="shared" si="218"/>
        <v>238</v>
      </c>
      <c r="D246" s="2" t="s">
        <v>32</v>
      </c>
      <c r="G246" s="124">
        <v>0</v>
      </c>
      <c r="I246" s="142">
        <f t="shared" si="277"/>
        <v>0</v>
      </c>
      <c r="M246" s="5">
        <f t="shared" si="278"/>
        <v>0</v>
      </c>
      <c r="N246" s="5">
        <f>M246-I246</f>
        <v>0</v>
      </c>
      <c r="O246" s="17">
        <v>0</v>
      </c>
    </row>
    <row r="247" spans="1:20" x14ac:dyDescent="0.25">
      <c r="A247" s="54">
        <f t="shared" si="218"/>
        <v>239</v>
      </c>
      <c r="D247" s="2" t="s">
        <v>92</v>
      </c>
      <c r="G247" s="124">
        <v>33</v>
      </c>
      <c r="I247" s="142">
        <f t="shared" si="277"/>
        <v>33</v>
      </c>
      <c r="M247" s="5">
        <f>I247</f>
        <v>33</v>
      </c>
      <c r="N247" s="5"/>
      <c r="O247" s="17"/>
    </row>
    <row r="248" spans="1:20" x14ac:dyDescent="0.25">
      <c r="A248" s="54">
        <f t="shared" si="218"/>
        <v>240</v>
      </c>
      <c r="D248" s="18" t="s">
        <v>8</v>
      </c>
      <c r="E248" s="144"/>
      <c r="F248" s="144"/>
      <c r="G248" s="143">
        <f>SUM(G244:G246)</f>
        <v>1713.2700000000004</v>
      </c>
      <c r="H248" s="144"/>
      <c r="I248" s="143">
        <f>SUM(I244:I246)</f>
        <v>1713.2700000000004</v>
      </c>
      <c r="J248" s="144"/>
      <c r="K248" s="49"/>
      <c r="L248" s="144"/>
      <c r="M248" s="19">
        <f>SUM(M244:M246)</f>
        <v>1713.2700000000004</v>
      </c>
      <c r="N248" s="19">
        <f>M248-I248</f>
        <v>0</v>
      </c>
      <c r="O248" s="28">
        <f>N248-J248</f>
        <v>0</v>
      </c>
    </row>
    <row r="249" spans="1:20" s="6" customFormat="1" ht="26.4" customHeight="1" thickBot="1" x14ac:dyDescent="0.3">
      <c r="A249" s="54">
        <f t="shared" si="218"/>
        <v>241</v>
      </c>
      <c r="C249" s="22"/>
      <c r="D249" s="7" t="s">
        <v>19</v>
      </c>
      <c r="E249" s="146"/>
      <c r="F249" s="146"/>
      <c r="G249" s="145">
        <f>G243+G248</f>
        <v>690349.22</v>
      </c>
      <c r="H249" s="146"/>
      <c r="I249" s="147">
        <f>I248+I243</f>
        <v>684018.5</v>
      </c>
      <c r="J249" s="146"/>
      <c r="K249" s="50"/>
      <c r="L249" s="146"/>
      <c r="M249" s="8">
        <f>M248+M243</f>
        <v>704946.25</v>
      </c>
      <c r="N249" s="8">
        <f>M249-I249</f>
        <v>20927.75</v>
      </c>
      <c r="O249" s="9">
        <f>N249/I249</f>
        <v>3.0595298226583054E-2</v>
      </c>
      <c r="P249" s="2"/>
      <c r="Q249" s="2"/>
      <c r="R249" s="2"/>
    </row>
    <row r="250" spans="1:20" ht="13.8" thickTop="1" x14ac:dyDescent="0.25">
      <c r="A250" s="54">
        <f t="shared" si="218"/>
        <v>242</v>
      </c>
      <c r="G250" s="148"/>
      <c r="I250" s="148"/>
      <c r="M250" s="15"/>
      <c r="N250" s="15"/>
      <c r="O250" s="4"/>
    </row>
    <row r="251" spans="1:20" x14ac:dyDescent="0.25">
      <c r="A251" s="54">
        <f t="shared" si="218"/>
        <v>243</v>
      </c>
      <c r="B251" s="29"/>
      <c r="C251" s="30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</row>
    <row r="252" spans="1:20" x14ac:dyDescent="0.25">
      <c r="A252" s="54">
        <f t="shared" si="218"/>
        <v>244</v>
      </c>
    </row>
    <row r="253" spans="1:20" s="6" customFormat="1" ht="19.95" customHeight="1" x14ac:dyDescent="0.3">
      <c r="A253" s="54">
        <f t="shared" si="218"/>
        <v>245</v>
      </c>
      <c r="B253" s="6" t="s">
        <v>31</v>
      </c>
      <c r="C253" s="55"/>
      <c r="D253" s="24" t="s">
        <v>6</v>
      </c>
      <c r="E253" s="141"/>
      <c r="F253" s="141"/>
      <c r="G253" s="168">
        <f>G10+G24+G36+G49+G88+G101+G114+G62+G243+G75+G126+G138+G152+G164+G176+G188</f>
        <v>27996122.756049998</v>
      </c>
      <c r="H253" s="168"/>
      <c r="I253" s="168">
        <f>I10+I24+I36+I49+I88+I101+I114+I62+I243+I75+I126+I138+I152+I164+I176+I188</f>
        <v>27592217.926720001</v>
      </c>
      <c r="J253" s="141"/>
      <c r="K253" s="51"/>
      <c r="L253" s="141"/>
      <c r="M253" s="39">
        <f t="shared" ref="M253:N257" si="279">M10+M24+M36+M49+M88+M101+M114+M62+M243+M75+M126+M138+M152+M164+M176+M188</f>
        <v>28429703.839803949</v>
      </c>
      <c r="N253" s="39">
        <f t="shared" si="279"/>
        <v>837485.91308395145</v>
      </c>
      <c r="O253" s="26">
        <f>N253/I253</f>
        <v>3.0352250598634889E-2</v>
      </c>
    </row>
    <row r="254" spans="1:20" x14ac:dyDescent="0.25">
      <c r="A254" s="54">
        <f t="shared" si="218"/>
        <v>246</v>
      </c>
      <c r="C254" s="43"/>
      <c r="D254" s="2" t="s">
        <v>29</v>
      </c>
      <c r="G254" s="142">
        <f>G11+G25+G37+G50+G89+G102+G115+G63+G244+G76+G127+G139+G153+G165+G177+G189</f>
        <v>-1065393.6000000001</v>
      </c>
      <c r="H254" s="142"/>
      <c r="I254" s="142">
        <f>I11+I25+I37+I50+I89+I102+I115+I63+I244+I76+I127+I139+I153+I165+I177+I189</f>
        <v>-710828.27820000006</v>
      </c>
      <c r="M254" s="14">
        <f t="shared" si="279"/>
        <v>-710828.27820000006</v>
      </c>
      <c r="N254" s="14">
        <f t="shared" si="279"/>
        <v>0</v>
      </c>
    </row>
    <row r="255" spans="1:20" x14ac:dyDescent="0.25">
      <c r="A255" s="54">
        <f t="shared" si="218"/>
        <v>247</v>
      </c>
      <c r="C255" s="43"/>
      <c r="D255" s="2" t="s">
        <v>30</v>
      </c>
      <c r="G255" s="142">
        <f>G12+G26+G38+G51+G90+G103+G116+G64+G245+G77+G128+G140+G154+G166+G178+G190</f>
        <v>2256228.4700000002</v>
      </c>
      <c r="H255" s="142"/>
      <c r="I255" s="142">
        <f>I12+I26+I38+I51+I90+I103+I116+I64+I245+I77+I128+I140+I154+I166+I178+I190</f>
        <v>2252776.8000000003</v>
      </c>
      <c r="M255" s="14">
        <f t="shared" si="279"/>
        <v>2252776.8000000003</v>
      </c>
      <c r="N255" s="14">
        <f t="shared" si="279"/>
        <v>0</v>
      </c>
    </row>
    <row r="256" spans="1:20" x14ac:dyDescent="0.25">
      <c r="A256" s="54">
        <f t="shared" si="218"/>
        <v>248</v>
      </c>
      <c r="C256" s="43"/>
      <c r="D256" s="2" t="s">
        <v>32</v>
      </c>
      <c r="G256" s="142">
        <f>G13+G27+G39+G52+G91+G104+G117+G65+G246+G78+G129+G141+G155+G167+G179+G191</f>
        <v>103522.87000000001</v>
      </c>
      <c r="H256" s="142"/>
      <c r="I256" s="142">
        <f>I13+I27+I39+I52+I91+I104+I117+I65+I246+I78+I129+I141+I155+I167+I179+I191</f>
        <v>103522.87000000001</v>
      </c>
      <c r="M256" s="14">
        <f t="shared" si="279"/>
        <v>103522.87000000001</v>
      </c>
      <c r="N256" s="14">
        <f t="shared" si="279"/>
        <v>0</v>
      </c>
    </row>
    <row r="257" spans="1:20" x14ac:dyDescent="0.25">
      <c r="A257" s="54">
        <f t="shared" si="218"/>
        <v>249</v>
      </c>
      <c r="C257" s="43"/>
      <c r="D257" s="2" t="s">
        <v>92</v>
      </c>
      <c r="G257" s="142">
        <f>G14+G28+G40+G53+G92+G105+G118+G66+G247+G79+G130+G142+G156+G168+G180+G192</f>
        <v>1459.41</v>
      </c>
      <c r="I257" s="142">
        <f>I14+I28+I40+I53+I92+I105+I118+I66+I247+I79+I130+I142+I156+I168+I180+I192</f>
        <v>1426.41</v>
      </c>
      <c r="M257" s="14">
        <f t="shared" si="279"/>
        <v>1426.41</v>
      </c>
      <c r="N257" s="14">
        <f t="shared" si="279"/>
        <v>0</v>
      </c>
      <c r="O257" s="17"/>
    </row>
    <row r="258" spans="1:20" x14ac:dyDescent="0.25">
      <c r="A258" s="54">
        <f t="shared" si="218"/>
        <v>250</v>
      </c>
      <c r="C258" s="43"/>
      <c r="D258" s="18" t="s">
        <v>8</v>
      </c>
      <c r="E258" s="144"/>
      <c r="F258" s="144"/>
      <c r="G258" s="169">
        <f>SUM(G254:G257)</f>
        <v>1295817.1500000001</v>
      </c>
      <c r="H258" s="169"/>
      <c r="I258" s="169">
        <f>SUM(I254:I257)</f>
        <v>1646897.8018000002</v>
      </c>
      <c r="J258" s="144"/>
      <c r="K258" s="49"/>
      <c r="L258" s="144"/>
      <c r="M258" s="38">
        <f>SUM(M254:M257)</f>
        <v>1646897.8018000002</v>
      </c>
      <c r="N258" s="38">
        <f>SUM(N254:N257)</f>
        <v>0</v>
      </c>
      <c r="O258" s="18"/>
    </row>
    <row r="259" spans="1:20" s="6" customFormat="1" ht="21" customHeight="1" thickBot="1" x14ac:dyDescent="0.35">
      <c r="A259" s="54">
        <f t="shared" si="218"/>
        <v>251</v>
      </c>
      <c r="C259" s="55"/>
      <c r="D259" s="7" t="s">
        <v>19</v>
      </c>
      <c r="E259" s="146"/>
      <c r="F259" s="146"/>
      <c r="G259" s="147">
        <f>G258+G253</f>
        <v>29291939.906049997</v>
      </c>
      <c r="H259" s="147"/>
      <c r="I259" s="147">
        <f>I258+I253</f>
        <v>29239115.728520002</v>
      </c>
      <c r="J259" s="146"/>
      <c r="K259" s="50"/>
      <c r="L259" s="146"/>
      <c r="M259" s="20">
        <f>M258+M253</f>
        <v>30076601.64160395</v>
      </c>
      <c r="N259" s="20">
        <f>N258+N253</f>
        <v>837485.91308395145</v>
      </c>
      <c r="O259" s="9">
        <f>N259/I259</f>
        <v>2.8642655299833942E-2</v>
      </c>
    </row>
    <row r="260" spans="1:20" ht="13.8" thickTop="1" x14ac:dyDescent="0.25">
      <c r="A260" s="54">
        <f t="shared" si="218"/>
        <v>252</v>
      </c>
      <c r="C260" s="43"/>
    </row>
    <row r="261" spans="1:20" x14ac:dyDescent="0.25">
      <c r="A261" s="54">
        <f t="shared" si="218"/>
        <v>253</v>
      </c>
      <c r="D261" s="2" t="s">
        <v>40</v>
      </c>
      <c r="N261" s="14">
        <f>N259-Summary!L4</f>
        <v>-53887.086916048545</v>
      </c>
    </row>
    <row r="262" spans="1:20" x14ac:dyDescent="0.25">
      <c r="A262" s="54">
        <f t="shared" si="218"/>
        <v>254</v>
      </c>
      <c r="N262" s="14"/>
    </row>
    <row r="263" spans="1:20" x14ac:dyDescent="0.25">
      <c r="A263" s="54">
        <f t="shared" si="218"/>
        <v>255</v>
      </c>
      <c r="B263" s="1" t="s">
        <v>64</v>
      </c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120"/>
      <c r="O263" s="29"/>
      <c r="P263" s="29"/>
      <c r="Q263" s="29"/>
      <c r="R263" s="29"/>
    </row>
    <row r="264" spans="1:20" ht="13.8" thickBot="1" x14ac:dyDescent="0.3">
      <c r="A264" s="54">
        <f t="shared" si="218"/>
        <v>256</v>
      </c>
      <c r="D264" s="21"/>
      <c r="E264" s="170"/>
      <c r="F264" s="170"/>
      <c r="G264" s="170"/>
      <c r="K264" s="2"/>
    </row>
    <row r="265" spans="1:20" x14ac:dyDescent="0.25">
      <c r="A265" s="54">
        <f t="shared" si="218"/>
        <v>257</v>
      </c>
      <c r="B265" s="174" t="s">
        <v>103</v>
      </c>
      <c r="C265" s="35">
        <v>15</v>
      </c>
      <c r="D265" s="34"/>
      <c r="E265" s="149"/>
      <c r="F265" s="149"/>
      <c r="G265" s="149"/>
      <c r="H265" s="149"/>
      <c r="I265" s="149"/>
      <c r="J265" s="149"/>
      <c r="K265" s="34"/>
      <c r="L265" s="149"/>
      <c r="M265" s="34"/>
      <c r="N265" s="34"/>
      <c r="O265" s="34"/>
      <c r="P265" s="34"/>
      <c r="Q265" s="34"/>
      <c r="R265" s="34"/>
    </row>
    <row r="266" spans="1:20" ht="12.6" customHeight="1" x14ac:dyDescent="0.25">
      <c r="A266" s="54">
        <f t="shared" si="218"/>
        <v>258</v>
      </c>
      <c r="B266" s="175"/>
      <c r="D266" s="2" t="s">
        <v>104</v>
      </c>
      <c r="E266" s="157"/>
      <c r="F266" s="139"/>
      <c r="G266" s="124"/>
      <c r="H266" s="139">
        <v>20</v>
      </c>
      <c r="I266" s="124"/>
      <c r="J266" s="152"/>
      <c r="K266" s="47"/>
      <c r="L266" s="139">
        <f>H266*S266</f>
        <v>20.607045011972698</v>
      </c>
      <c r="M266" s="5"/>
      <c r="N266" s="5"/>
      <c r="O266" s="4"/>
      <c r="P266" s="4"/>
      <c r="Q266" s="16"/>
      <c r="R266" s="16"/>
      <c r="S266" s="121">
        <f>1+$O$253</f>
        <v>1.0303522505986349</v>
      </c>
      <c r="T266" s="4">
        <f t="shared" ref="T266:T268" si="280">L266/H266-1</f>
        <v>3.0352250598634889E-2</v>
      </c>
    </row>
    <row r="267" spans="1:20" x14ac:dyDescent="0.25">
      <c r="A267" s="54">
        <f t="shared" si="218"/>
        <v>259</v>
      </c>
      <c r="D267" s="2" t="s">
        <v>52</v>
      </c>
      <c r="E267" s="157"/>
      <c r="F267" s="171"/>
      <c r="G267" s="124"/>
      <c r="H267" s="171">
        <v>6.3829999999999998E-2</v>
      </c>
      <c r="I267" s="124"/>
      <c r="J267" s="152"/>
      <c r="K267" s="47"/>
      <c r="L267" s="171">
        <f>H267*S267</f>
        <v>6.5767384155710859E-2</v>
      </c>
      <c r="M267" s="5"/>
      <c r="N267" s="5"/>
      <c r="O267" s="4"/>
      <c r="P267" s="4"/>
      <c r="Q267" s="16"/>
      <c r="R267" s="16"/>
      <c r="S267" s="121">
        <f t="shared" ref="S267:S268" si="281">1+$O$253</f>
        <v>1.0303522505986349</v>
      </c>
      <c r="T267" s="4">
        <f t="shared" si="280"/>
        <v>3.0352250598634889E-2</v>
      </c>
    </row>
    <row r="268" spans="1:20" ht="13.8" thickBot="1" x14ac:dyDescent="0.3">
      <c r="A268" s="54">
        <f t="shared" ref="A268:A302" si="282">A267+1</f>
        <v>260</v>
      </c>
      <c r="D268" s="2" t="s">
        <v>53</v>
      </c>
      <c r="E268" s="157"/>
      <c r="F268" s="171"/>
      <c r="G268" s="124"/>
      <c r="H268" s="172">
        <v>4.6100000000000003</v>
      </c>
      <c r="I268" s="124"/>
      <c r="J268" s="152"/>
      <c r="K268" s="47"/>
      <c r="L268" s="172">
        <f>H268*S268</f>
        <v>4.7499238752597073</v>
      </c>
      <c r="M268" s="5"/>
      <c r="N268" s="5"/>
      <c r="O268" s="4"/>
      <c r="P268" s="4"/>
      <c r="Q268" s="16"/>
      <c r="R268" s="16"/>
      <c r="S268" s="121">
        <f t="shared" si="281"/>
        <v>1.0303522505986349</v>
      </c>
      <c r="T268" s="4">
        <f t="shared" si="280"/>
        <v>3.0352250598634889E-2</v>
      </c>
    </row>
    <row r="269" spans="1:20" x14ac:dyDescent="0.25">
      <c r="A269" s="54">
        <f t="shared" si="282"/>
        <v>261</v>
      </c>
      <c r="B269" s="34" t="s">
        <v>105</v>
      </c>
      <c r="C269" s="35" t="s">
        <v>106</v>
      </c>
      <c r="D269" s="34"/>
      <c r="E269" s="149"/>
      <c r="F269" s="149"/>
      <c r="G269" s="149"/>
      <c r="H269" s="149"/>
      <c r="I269" s="149"/>
      <c r="J269" s="149"/>
      <c r="K269" s="34"/>
      <c r="L269" s="149"/>
      <c r="M269" s="34"/>
      <c r="N269" s="34"/>
      <c r="O269" s="34"/>
      <c r="P269" s="34"/>
      <c r="Q269" s="34"/>
      <c r="R269" s="34"/>
    </row>
    <row r="270" spans="1:20" ht="12.6" customHeight="1" x14ac:dyDescent="0.25">
      <c r="A270" s="54">
        <f t="shared" si="282"/>
        <v>262</v>
      </c>
      <c r="D270" s="2" t="s">
        <v>104</v>
      </c>
      <c r="E270" s="157"/>
      <c r="F270" s="139"/>
      <c r="G270" s="124"/>
      <c r="H270" s="139">
        <v>566.12</v>
      </c>
      <c r="I270" s="124"/>
      <c r="J270" s="152"/>
      <c r="K270" s="47"/>
      <c r="L270" s="139">
        <f>H270*S270</f>
        <v>583.30301610889921</v>
      </c>
      <c r="M270" s="5"/>
      <c r="N270" s="5"/>
      <c r="O270" s="4"/>
      <c r="P270" s="4"/>
      <c r="Q270" s="16"/>
      <c r="R270" s="16"/>
      <c r="S270" s="121">
        <f>1+$O$253</f>
        <v>1.0303522505986349</v>
      </c>
      <c r="T270" s="4">
        <f t="shared" ref="T270:T272" si="283">L270/H270-1</f>
        <v>3.0352250598634889E-2</v>
      </c>
    </row>
    <row r="271" spans="1:20" x14ac:dyDescent="0.25">
      <c r="A271" s="54">
        <f t="shared" si="282"/>
        <v>263</v>
      </c>
      <c r="D271" s="2" t="s">
        <v>53</v>
      </c>
      <c r="E271" s="157"/>
      <c r="F271" s="171"/>
      <c r="G271" s="124"/>
      <c r="H271" s="139">
        <v>10.5</v>
      </c>
      <c r="I271" s="124"/>
      <c r="J271" s="152"/>
      <c r="K271" s="47"/>
      <c r="L271" s="139">
        <f>H271*S271</f>
        <v>10.818698631285667</v>
      </c>
      <c r="M271" s="5"/>
      <c r="N271" s="5"/>
      <c r="O271" s="4"/>
      <c r="P271" s="4"/>
      <c r="Q271" s="16"/>
      <c r="R271" s="16"/>
      <c r="S271" s="121">
        <f t="shared" ref="S271:S272" si="284">1+$O$253</f>
        <v>1.0303522505986349</v>
      </c>
      <c r="T271" s="4">
        <f t="shared" si="283"/>
        <v>3.0352250598634889E-2</v>
      </c>
    </row>
    <row r="272" spans="1:20" ht="13.8" thickBot="1" x14ac:dyDescent="0.3">
      <c r="A272" s="54">
        <f t="shared" si="282"/>
        <v>264</v>
      </c>
      <c r="D272" s="2" t="s">
        <v>52</v>
      </c>
      <c r="E272" s="157"/>
      <c r="F272" s="171"/>
      <c r="G272" s="124"/>
      <c r="H272" s="171">
        <v>4.4850000000000001E-2</v>
      </c>
      <c r="I272" s="124"/>
      <c r="J272" s="152"/>
      <c r="K272" s="47"/>
      <c r="L272" s="171">
        <f>H272*S272</f>
        <v>4.6211298439348777E-2</v>
      </c>
      <c r="M272" s="5"/>
      <c r="N272" s="5"/>
      <c r="O272" s="4"/>
      <c r="P272" s="4"/>
      <c r="Q272" s="16"/>
      <c r="R272" s="16"/>
      <c r="S272" s="121">
        <f t="shared" si="284"/>
        <v>1.0303522505986349</v>
      </c>
      <c r="T272" s="4">
        <f t="shared" si="283"/>
        <v>3.0352250598634889E-2</v>
      </c>
    </row>
    <row r="273" spans="1:20" x14ac:dyDescent="0.25">
      <c r="A273" s="54">
        <f t="shared" si="282"/>
        <v>265</v>
      </c>
      <c r="B273" s="34" t="s">
        <v>105</v>
      </c>
      <c r="C273" s="35" t="s">
        <v>107</v>
      </c>
      <c r="D273" s="34"/>
      <c r="E273" s="149"/>
      <c r="F273" s="149"/>
      <c r="G273" s="149"/>
      <c r="H273" s="149"/>
      <c r="I273" s="149"/>
      <c r="J273" s="149"/>
      <c r="K273" s="34"/>
      <c r="L273" s="149"/>
      <c r="M273" s="34"/>
      <c r="N273" s="34"/>
      <c r="O273" s="34"/>
      <c r="P273" s="34"/>
      <c r="Q273" s="34"/>
      <c r="R273" s="34"/>
    </row>
    <row r="274" spans="1:20" ht="12.6" customHeight="1" x14ac:dyDescent="0.25">
      <c r="A274" s="54">
        <f t="shared" si="282"/>
        <v>266</v>
      </c>
      <c r="D274" s="2" t="s">
        <v>104</v>
      </c>
      <c r="E274" s="157"/>
      <c r="F274" s="139"/>
      <c r="G274" s="124"/>
      <c r="H274" s="139">
        <v>1131.19</v>
      </c>
      <c r="I274" s="124"/>
      <c r="J274" s="152"/>
      <c r="K274" s="47"/>
      <c r="L274" s="139">
        <f>H274*S274</f>
        <v>1165.5241623546699</v>
      </c>
      <c r="M274" s="5"/>
      <c r="N274" s="5"/>
      <c r="O274" s="4"/>
      <c r="P274" s="4"/>
      <c r="Q274" s="16"/>
      <c r="R274" s="16"/>
      <c r="S274" s="121">
        <f>1+$O$253</f>
        <v>1.0303522505986349</v>
      </c>
      <c r="T274" s="4">
        <f t="shared" ref="T274:T276" si="285">L274/H274-1</f>
        <v>3.0352250598634889E-2</v>
      </c>
    </row>
    <row r="275" spans="1:20" x14ac:dyDescent="0.25">
      <c r="A275" s="54">
        <f t="shared" si="282"/>
        <v>267</v>
      </c>
      <c r="D275" s="2" t="s">
        <v>53</v>
      </c>
      <c r="E275" s="157"/>
      <c r="F275" s="171"/>
      <c r="G275" s="124"/>
      <c r="H275" s="139">
        <v>10.5</v>
      </c>
      <c r="I275" s="124"/>
      <c r="J275" s="152"/>
      <c r="K275" s="47"/>
      <c r="L275" s="139">
        <f>H275*S275</f>
        <v>10.818698631285667</v>
      </c>
      <c r="M275" s="5"/>
      <c r="N275" s="5"/>
      <c r="O275" s="4"/>
      <c r="P275" s="4"/>
      <c r="Q275" s="16"/>
      <c r="R275" s="16"/>
      <c r="S275" s="121">
        <f t="shared" ref="S275:S276" si="286">1+$O$253</f>
        <v>1.0303522505986349</v>
      </c>
      <c r="T275" s="4">
        <f t="shared" si="285"/>
        <v>3.0352250598634889E-2</v>
      </c>
    </row>
    <row r="276" spans="1:20" ht="13.8" thickBot="1" x14ac:dyDescent="0.3">
      <c r="A276" s="54">
        <f t="shared" si="282"/>
        <v>268</v>
      </c>
      <c r="D276" s="2" t="s">
        <v>52</v>
      </c>
      <c r="E276" s="157"/>
      <c r="F276" s="171"/>
      <c r="G276" s="124"/>
      <c r="H276" s="171">
        <v>4.249E-2</v>
      </c>
      <c r="I276" s="124"/>
      <c r="J276" s="152"/>
      <c r="K276" s="47"/>
      <c r="L276" s="171">
        <f>H276*S276</f>
        <v>4.3779667127935996E-2</v>
      </c>
      <c r="M276" s="5"/>
      <c r="N276" s="5"/>
      <c r="O276" s="4"/>
      <c r="P276" s="4"/>
      <c r="Q276" s="16"/>
      <c r="R276" s="16"/>
      <c r="S276" s="121">
        <f t="shared" si="286"/>
        <v>1.0303522505986349</v>
      </c>
      <c r="T276" s="4">
        <f t="shared" si="285"/>
        <v>3.0352250598634889E-2</v>
      </c>
    </row>
    <row r="277" spans="1:20" x14ac:dyDescent="0.25">
      <c r="A277" s="54">
        <f t="shared" si="282"/>
        <v>269</v>
      </c>
      <c r="B277" s="34" t="s">
        <v>105</v>
      </c>
      <c r="C277" s="35" t="s">
        <v>108</v>
      </c>
      <c r="D277" s="34"/>
      <c r="E277" s="149"/>
      <c r="F277" s="149"/>
      <c r="G277" s="149"/>
      <c r="H277" s="149"/>
      <c r="I277" s="149"/>
      <c r="J277" s="149"/>
      <c r="K277" s="34"/>
      <c r="L277" s="149"/>
      <c r="M277" s="34"/>
      <c r="N277" s="34"/>
      <c r="O277" s="34"/>
      <c r="P277" s="34"/>
      <c r="Q277" s="34"/>
      <c r="R277" s="34"/>
    </row>
    <row r="278" spans="1:20" ht="12.6" customHeight="1" x14ac:dyDescent="0.25">
      <c r="A278" s="54">
        <f t="shared" si="282"/>
        <v>270</v>
      </c>
      <c r="D278" s="2" t="s">
        <v>104</v>
      </c>
      <c r="E278" s="157"/>
      <c r="F278" s="139"/>
      <c r="G278" s="124"/>
      <c r="H278" s="139">
        <v>1131.19</v>
      </c>
      <c r="I278" s="124"/>
      <c r="J278" s="152"/>
      <c r="K278" s="47"/>
      <c r="L278" s="139">
        <f>H278*S278</f>
        <v>1165.5241623546699</v>
      </c>
      <c r="M278" s="5"/>
      <c r="N278" s="5"/>
      <c r="O278" s="4"/>
      <c r="P278" s="4"/>
      <c r="Q278" s="16"/>
      <c r="R278" s="16"/>
      <c r="S278" s="121">
        <f>1+$O$253</f>
        <v>1.0303522505986349</v>
      </c>
      <c r="T278" s="4">
        <f t="shared" ref="T278:T280" si="287">L278/H278-1</f>
        <v>3.0352250598634889E-2</v>
      </c>
    </row>
    <row r="279" spans="1:20" x14ac:dyDescent="0.25">
      <c r="A279" s="54">
        <f t="shared" si="282"/>
        <v>271</v>
      </c>
      <c r="D279" s="2" t="s">
        <v>53</v>
      </c>
      <c r="E279" s="157"/>
      <c r="F279" s="171"/>
      <c r="G279" s="124"/>
      <c r="H279" s="139">
        <v>10.5</v>
      </c>
      <c r="I279" s="124"/>
      <c r="J279" s="152"/>
      <c r="K279" s="47"/>
      <c r="L279" s="139">
        <f>H279*S279</f>
        <v>10.818698631285667</v>
      </c>
      <c r="M279" s="5"/>
      <c r="N279" s="5"/>
      <c r="O279" s="4"/>
      <c r="P279" s="4"/>
      <c r="Q279" s="16"/>
      <c r="R279" s="16"/>
      <c r="S279" s="121">
        <f t="shared" ref="S279:S280" si="288">1+$O$253</f>
        <v>1.0303522505986349</v>
      </c>
      <c r="T279" s="4">
        <f t="shared" si="287"/>
        <v>3.0352250598634889E-2</v>
      </c>
    </row>
    <row r="280" spans="1:20" ht="13.8" thickBot="1" x14ac:dyDescent="0.3">
      <c r="A280" s="54">
        <f t="shared" si="282"/>
        <v>272</v>
      </c>
      <c r="D280" s="2" t="s">
        <v>52</v>
      </c>
      <c r="E280" s="157"/>
      <c r="F280" s="171"/>
      <c r="G280" s="124"/>
      <c r="H280" s="171">
        <v>4.1500000000000002E-2</v>
      </c>
      <c r="I280" s="124"/>
      <c r="J280" s="152"/>
      <c r="K280" s="47"/>
      <c r="L280" s="171">
        <f>H280*S280</f>
        <v>4.2759618399843352E-2</v>
      </c>
      <c r="M280" s="5"/>
      <c r="N280" s="5"/>
      <c r="O280" s="4"/>
      <c r="P280" s="4"/>
      <c r="Q280" s="16"/>
      <c r="R280" s="16"/>
      <c r="S280" s="121">
        <f t="shared" si="288"/>
        <v>1.0303522505986349</v>
      </c>
      <c r="T280" s="4">
        <f t="shared" si="287"/>
        <v>3.0352250598634889E-2</v>
      </c>
    </row>
    <row r="281" spans="1:20" x14ac:dyDescent="0.25">
      <c r="A281" s="54">
        <f t="shared" si="282"/>
        <v>273</v>
      </c>
      <c r="B281" s="34" t="s">
        <v>109</v>
      </c>
      <c r="C281" s="35" t="s">
        <v>110</v>
      </c>
      <c r="D281" s="34"/>
      <c r="E281" s="149"/>
      <c r="F281" s="149"/>
      <c r="G281" s="149"/>
      <c r="H281" s="149"/>
      <c r="I281" s="149"/>
      <c r="J281" s="149"/>
      <c r="K281" s="34"/>
      <c r="L281" s="149"/>
      <c r="M281" s="34"/>
      <c r="N281" s="34"/>
      <c r="O281" s="34"/>
      <c r="P281" s="34"/>
      <c r="Q281" s="34"/>
      <c r="R281" s="34"/>
    </row>
    <row r="282" spans="1:20" ht="12.6" customHeight="1" x14ac:dyDescent="0.25">
      <c r="A282" s="54">
        <f t="shared" si="282"/>
        <v>274</v>
      </c>
      <c r="D282" s="2" t="s">
        <v>104</v>
      </c>
      <c r="E282" s="157"/>
      <c r="F282" s="139"/>
      <c r="G282" s="124"/>
      <c r="H282" s="139">
        <v>566.12</v>
      </c>
      <c r="I282" s="124"/>
      <c r="J282" s="152"/>
      <c r="K282" s="47"/>
      <c r="L282" s="139">
        <f>H282*S282</f>
        <v>583.30301610889921</v>
      </c>
      <c r="M282" s="5"/>
      <c r="N282" s="5"/>
      <c r="O282" s="4"/>
      <c r="P282" s="4"/>
      <c r="Q282" s="16"/>
      <c r="R282" s="16"/>
      <c r="S282" s="121">
        <f>1+$O$253</f>
        <v>1.0303522505986349</v>
      </c>
      <c r="T282" s="4">
        <f t="shared" ref="T282:T284" si="289">L282/H282-1</f>
        <v>3.0352250598634889E-2</v>
      </c>
    </row>
    <row r="283" spans="1:20" x14ac:dyDescent="0.25">
      <c r="A283" s="54">
        <f t="shared" si="282"/>
        <v>275</v>
      </c>
      <c r="D283" s="2" t="s">
        <v>53</v>
      </c>
      <c r="E283" s="157"/>
      <c r="F283" s="171"/>
      <c r="G283" s="124"/>
      <c r="H283" s="139">
        <v>7.23</v>
      </c>
      <c r="I283" s="124"/>
      <c r="J283" s="152"/>
      <c r="K283" s="47"/>
      <c r="L283" s="139">
        <f>H283*S283</f>
        <v>7.4494467718281303</v>
      </c>
      <c r="M283" s="5"/>
      <c r="N283" s="5"/>
      <c r="O283" s="4"/>
      <c r="P283" s="4"/>
      <c r="Q283" s="16"/>
      <c r="R283" s="16"/>
      <c r="S283" s="121">
        <f t="shared" ref="S283:S284" si="290">1+$O$253</f>
        <v>1.0303522505986349</v>
      </c>
      <c r="T283" s="4">
        <f t="shared" si="289"/>
        <v>3.0352250598634889E-2</v>
      </c>
    </row>
    <row r="284" spans="1:20" ht="13.8" thickBot="1" x14ac:dyDescent="0.3">
      <c r="A284" s="54">
        <f t="shared" si="282"/>
        <v>276</v>
      </c>
      <c r="D284" s="2" t="s">
        <v>52</v>
      </c>
      <c r="E284" s="157"/>
      <c r="F284" s="171"/>
      <c r="G284" s="124"/>
      <c r="H284" s="171">
        <v>4.4850000000000001E-2</v>
      </c>
      <c r="I284" s="124"/>
      <c r="J284" s="152"/>
      <c r="K284" s="47"/>
      <c r="L284" s="171">
        <f>H284*S284</f>
        <v>4.6211298439348777E-2</v>
      </c>
      <c r="M284" s="5"/>
      <c r="N284" s="5"/>
      <c r="O284" s="4"/>
      <c r="P284" s="4"/>
      <c r="Q284" s="16"/>
      <c r="R284" s="16"/>
      <c r="S284" s="121">
        <f t="shared" si="290"/>
        <v>1.0303522505986349</v>
      </c>
      <c r="T284" s="4">
        <f t="shared" si="289"/>
        <v>3.0352250598634889E-2</v>
      </c>
    </row>
    <row r="285" spans="1:20" x14ac:dyDescent="0.25">
      <c r="A285" s="54">
        <f t="shared" si="282"/>
        <v>277</v>
      </c>
      <c r="B285" s="34" t="s">
        <v>109</v>
      </c>
      <c r="C285" s="35" t="s">
        <v>111</v>
      </c>
      <c r="D285" s="34"/>
      <c r="E285" s="149"/>
      <c r="F285" s="149"/>
      <c r="G285" s="149"/>
      <c r="H285" s="149"/>
      <c r="I285" s="149"/>
      <c r="J285" s="149"/>
      <c r="K285" s="34"/>
      <c r="L285" s="149"/>
      <c r="M285" s="34"/>
      <c r="N285" s="34"/>
      <c r="O285" s="34"/>
      <c r="P285" s="34"/>
      <c r="Q285" s="34"/>
      <c r="R285" s="34"/>
    </row>
    <row r="286" spans="1:20" ht="12.6" customHeight="1" x14ac:dyDescent="0.25">
      <c r="A286" s="54">
        <f t="shared" si="282"/>
        <v>278</v>
      </c>
      <c r="D286" s="2" t="s">
        <v>104</v>
      </c>
      <c r="E286" s="157"/>
      <c r="F286" s="139"/>
      <c r="G286" s="124"/>
      <c r="H286" s="139">
        <v>1131.19</v>
      </c>
      <c r="I286" s="124"/>
      <c r="J286" s="152"/>
      <c r="K286" s="47"/>
      <c r="L286" s="139">
        <f>H286*S286</f>
        <v>1165.5241623546699</v>
      </c>
      <c r="M286" s="5"/>
      <c r="N286" s="5"/>
      <c r="O286" s="4"/>
      <c r="P286" s="4"/>
      <c r="Q286" s="16"/>
      <c r="R286" s="16"/>
      <c r="S286" s="121">
        <f>1+$O$253</f>
        <v>1.0303522505986349</v>
      </c>
      <c r="T286" s="4">
        <f t="shared" ref="T286:T288" si="291">L286/H286-1</f>
        <v>3.0352250598634889E-2</v>
      </c>
    </row>
    <row r="287" spans="1:20" x14ac:dyDescent="0.25">
      <c r="A287" s="54">
        <f t="shared" si="282"/>
        <v>279</v>
      </c>
      <c r="D287" s="2" t="s">
        <v>53</v>
      </c>
      <c r="E287" s="157"/>
      <c r="F287" s="171"/>
      <c r="G287" s="124"/>
      <c r="H287" s="139">
        <v>10.5</v>
      </c>
      <c r="I287" s="124"/>
      <c r="J287" s="152"/>
      <c r="K287" s="47"/>
      <c r="L287" s="139">
        <f>H287*S287</f>
        <v>10.818698631285667</v>
      </c>
      <c r="M287" s="5"/>
      <c r="N287" s="5"/>
      <c r="O287" s="4"/>
      <c r="P287" s="4"/>
      <c r="Q287" s="16"/>
      <c r="R287" s="16"/>
      <c r="S287" s="121">
        <f t="shared" ref="S287:S288" si="292">1+$O$253</f>
        <v>1.0303522505986349</v>
      </c>
      <c r="T287" s="4">
        <f t="shared" si="291"/>
        <v>3.0352250598634889E-2</v>
      </c>
    </row>
    <row r="288" spans="1:20" ht="13.8" thickBot="1" x14ac:dyDescent="0.3">
      <c r="A288" s="54">
        <f t="shared" si="282"/>
        <v>280</v>
      </c>
      <c r="D288" s="2" t="s">
        <v>52</v>
      </c>
      <c r="E288" s="157"/>
      <c r="F288" s="171"/>
      <c r="G288" s="124"/>
      <c r="H288" s="171">
        <v>4.249E-2</v>
      </c>
      <c r="I288" s="124"/>
      <c r="J288" s="152"/>
      <c r="K288" s="47"/>
      <c r="L288" s="171">
        <f>H288*S288</f>
        <v>4.3779667127935996E-2</v>
      </c>
      <c r="M288" s="5"/>
      <c r="N288" s="5"/>
      <c r="O288" s="4"/>
      <c r="P288" s="4"/>
      <c r="Q288" s="16"/>
      <c r="R288" s="16"/>
      <c r="S288" s="121">
        <f t="shared" si="292"/>
        <v>1.0303522505986349</v>
      </c>
      <c r="T288" s="4">
        <f t="shared" si="291"/>
        <v>3.0352250598634889E-2</v>
      </c>
    </row>
    <row r="289" spans="1:20" x14ac:dyDescent="0.25">
      <c r="A289" s="54">
        <f t="shared" si="282"/>
        <v>281</v>
      </c>
      <c r="B289" s="34" t="s">
        <v>109</v>
      </c>
      <c r="C289" s="35" t="s">
        <v>114</v>
      </c>
      <c r="D289" s="34"/>
      <c r="E289" s="149"/>
      <c r="F289" s="149"/>
      <c r="G289" s="149"/>
      <c r="H289" s="149"/>
      <c r="I289" s="149"/>
      <c r="J289" s="149"/>
      <c r="K289" s="34"/>
      <c r="L289" s="149"/>
      <c r="M289" s="34"/>
      <c r="N289" s="34"/>
      <c r="O289" s="34"/>
      <c r="P289" s="34"/>
      <c r="Q289" s="34"/>
      <c r="R289" s="34"/>
    </row>
    <row r="290" spans="1:20" ht="12.6" customHeight="1" x14ac:dyDescent="0.25">
      <c r="A290" s="54">
        <f t="shared" si="282"/>
        <v>282</v>
      </c>
      <c r="D290" s="2" t="s">
        <v>104</v>
      </c>
      <c r="E290" s="157"/>
      <c r="F290" s="139"/>
      <c r="G290" s="124"/>
      <c r="H290" s="139">
        <v>1131.19</v>
      </c>
      <c r="I290" s="124"/>
      <c r="J290" s="152"/>
      <c r="K290" s="47"/>
      <c r="L290" s="139">
        <f>H290*S290</f>
        <v>1165.5241623546699</v>
      </c>
      <c r="M290" s="5"/>
      <c r="N290" s="5"/>
      <c r="O290" s="4"/>
      <c r="P290" s="4"/>
      <c r="Q290" s="16"/>
      <c r="R290" s="16"/>
      <c r="S290" s="121">
        <f>1+$O$253</f>
        <v>1.0303522505986349</v>
      </c>
      <c r="T290" s="4">
        <f t="shared" ref="T290:T292" si="293">L290/H290-1</f>
        <v>3.0352250598634889E-2</v>
      </c>
    </row>
    <row r="291" spans="1:20" x14ac:dyDescent="0.25">
      <c r="A291" s="54">
        <f t="shared" si="282"/>
        <v>283</v>
      </c>
      <c r="D291" s="2" t="s">
        <v>53</v>
      </c>
      <c r="E291" s="157"/>
      <c r="F291" s="171"/>
      <c r="G291" s="124"/>
      <c r="H291" s="139">
        <v>10.5</v>
      </c>
      <c r="I291" s="124"/>
      <c r="J291" s="152"/>
      <c r="K291" s="47"/>
      <c r="L291" s="139">
        <f>H291*S291</f>
        <v>10.818698631285667</v>
      </c>
      <c r="M291" s="5"/>
      <c r="N291" s="5"/>
      <c r="O291" s="4"/>
      <c r="P291" s="4"/>
      <c r="Q291" s="16"/>
      <c r="R291" s="16"/>
      <c r="S291" s="121">
        <f t="shared" ref="S291:S292" si="294">1+$O$253</f>
        <v>1.0303522505986349</v>
      </c>
      <c r="T291" s="4">
        <f t="shared" si="293"/>
        <v>3.0352250598634889E-2</v>
      </c>
    </row>
    <row r="292" spans="1:20" ht="13.8" thickBot="1" x14ac:dyDescent="0.3">
      <c r="A292" s="54">
        <f t="shared" si="282"/>
        <v>284</v>
      </c>
      <c r="D292" s="2" t="s">
        <v>52</v>
      </c>
      <c r="E292" s="157"/>
      <c r="F292" s="171"/>
      <c r="G292" s="124"/>
      <c r="H292" s="171">
        <v>4.1500000000000002E-2</v>
      </c>
      <c r="I292" s="124"/>
      <c r="J292" s="152"/>
      <c r="K292" s="47"/>
      <c r="L292" s="171">
        <f>H292*S292</f>
        <v>4.2759618399843352E-2</v>
      </c>
      <c r="M292" s="5"/>
      <c r="N292" s="5"/>
      <c r="O292" s="4"/>
      <c r="P292" s="4"/>
      <c r="Q292" s="16"/>
      <c r="R292" s="16"/>
      <c r="S292" s="121">
        <f t="shared" si="294"/>
        <v>1.0303522505986349</v>
      </c>
      <c r="T292" s="4">
        <f t="shared" si="293"/>
        <v>3.0352250598634889E-2</v>
      </c>
    </row>
    <row r="293" spans="1:20" x14ac:dyDescent="0.25">
      <c r="A293" s="54">
        <f t="shared" si="282"/>
        <v>285</v>
      </c>
      <c r="B293" s="34" t="s">
        <v>112</v>
      </c>
      <c r="C293" s="35" t="s">
        <v>113</v>
      </c>
      <c r="D293" s="34"/>
      <c r="E293" s="149"/>
      <c r="F293" s="149"/>
      <c r="G293" s="149"/>
      <c r="H293" s="149"/>
      <c r="I293" s="149"/>
      <c r="J293" s="149"/>
      <c r="K293" s="34"/>
      <c r="L293" s="149"/>
      <c r="M293" s="34"/>
      <c r="N293" s="34"/>
      <c r="O293" s="34"/>
      <c r="P293" s="34"/>
      <c r="Q293" s="34"/>
      <c r="R293" s="34"/>
    </row>
    <row r="294" spans="1:20" ht="12.6" customHeight="1" x14ac:dyDescent="0.25">
      <c r="A294" s="54">
        <f t="shared" si="282"/>
        <v>286</v>
      </c>
      <c r="D294" s="2" t="s">
        <v>104</v>
      </c>
      <c r="E294" s="157"/>
      <c r="F294" s="139"/>
      <c r="G294" s="124"/>
      <c r="H294" s="139">
        <v>1136.3699999999999</v>
      </c>
      <c r="I294" s="124"/>
      <c r="J294" s="152"/>
      <c r="K294" s="47"/>
      <c r="L294" s="139">
        <f>H294*S294</f>
        <v>1170.8613870127706</v>
      </c>
      <c r="M294" s="5"/>
      <c r="N294" s="5"/>
      <c r="O294" s="4"/>
      <c r="P294" s="4"/>
      <c r="Q294" s="16"/>
      <c r="R294" s="16"/>
      <c r="S294" s="121">
        <f>1+$O$253</f>
        <v>1.0303522505986349</v>
      </c>
      <c r="T294" s="4">
        <f t="shared" ref="T294:T297" si="295">L294/H294-1</f>
        <v>3.0352250598634889E-2</v>
      </c>
    </row>
    <row r="295" spans="1:20" x14ac:dyDescent="0.25">
      <c r="A295" s="54">
        <f t="shared" si="282"/>
        <v>287</v>
      </c>
      <c r="D295" s="2" t="s">
        <v>75</v>
      </c>
      <c r="E295" s="157"/>
      <c r="F295" s="171"/>
      <c r="G295" s="124"/>
      <c r="H295" s="139">
        <v>7.23</v>
      </c>
      <c r="I295" s="124"/>
      <c r="J295" s="152"/>
      <c r="K295" s="47"/>
      <c r="L295" s="139">
        <f>H295*S295</f>
        <v>7.4494467718281303</v>
      </c>
      <c r="M295" s="5"/>
      <c r="N295" s="5"/>
      <c r="O295" s="4"/>
      <c r="P295" s="4"/>
      <c r="Q295" s="16"/>
      <c r="R295" s="16"/>
      <c r="S295" s="121">
        <f t="shared" ref="S295:S297" si="296">1+$O$253</f>
        <v>1.0303522505986349</v>
      </c>
      <c r="T295" s="4">
        <f t="shared" ref="T295" si="297">L295/H295-1</f>
        <v>3.0352250598634889E-2</v>
      </c>
    </row>
    <row r="296" spans="1:20" x14ac:dyDescent="0.25">
      <c r="A296" s="54">
        <f t="shared" si="282"/>
        <v>288</v>
      </c>
      <c r="D296" s="2" t="s">
        <v>116</v>
      </c>
      <c r="E296" s="157"/>
      <c r="F296" s="171"/>
      <c r="G296" s="124"/>
      <c r="H296" s="139">
        <v>10.5</v>
      </c>
      <c r="I296" s="124"/>
      <c r="J296" s="152"/>
      <c r="K296" s="47"/>
      <c r="L296" s="139">
        <f>H296*S296</f>
        <v>10.818698631285667</v>
      </c>
      <c r="M296" s="5"/>
      <c r="N296" s="5"/>
      <c r="O296" s="4"/>
      <c r="P296" s="4"/>
      <c r="Q296" s="16"/>
      <c r="R296" s="16"/>
      <c r="S296" s="121">
        <f t="shared" si="296"/>
        <v>1.0303522505986349</v>
      </c>
      <c r="T296" s="4">
        <f t="shared" si="295"/>
        <v>3.0352250598634889E-2</v>
      </c>
    </row>
    <row r="297" spans="1:20" ht="13.8" thickBot="1" x14ac:dyDescent="0.3">
      <c r="A297" s="54">
        <f t="shared" si="282"/>
        <v>289</v>
      </c>
      <c r="D297" s="2" t="s">
        <v>52</v>
      </c>
      <c r="E297" s="157"/>
      <c r="F297" s="171"/>
      <c r="G297" s="124"/>
      <c r="H297" s="171">
        <v>4.249E-2</v>
      </c>
      <c r="I297" s="124"/>
      <c r="J297" s="152"/>
      <c r="K297" s="47"/>
      <c r="L297" s="171">
        <f>H297*S297</f>
        <v>4.3779667127935996E-2</v>
      </c>
      <c r="M297" s="5"/>
      <c r="N297" s="5"/>
      <c r="O297" s="4"/>
      <c r="P297" s="4"/>
      <c r="Q297" s="16"/>
      <c r="R297" s="16"/>
      <c r="S297" s="121">
        <f t="shared" si="296"/>
        <v>1.0303522505986349</v>
      </c>
      <c r="T297" s="4">
        <f t="shared" si="295"/>
        <v>3.0352250598634889E-2</v>
      </c>
    </row>
    <row r="298" spans="1:20" x14ac:dyDescent="0.25">
      <c r="A298" s="54">
        <f t="shared" si="282"/>
        <v>290</v>
      </c>
      <c r="B298" s="34" t="s">
        <v>112</v>
      </c>
      <c r="C298" s="35" t="s">
        <v>115</v>
      </c>
      <c r="D298" s="34"/>
      <c r="E298" s="149"/>
      <c r="F298" s="149"/>
      <c r="G298" s="149"/>
      <c r="H298" s="149"/>
      <c r="I298" s="149"/>
      <c r="J298" s="149"/>
      <c r="K298" s="34"/>
      <c r="L298" s="149"/>
      <c r="M298" s="34"/>
      <c r="N298" s="34"/>
      <c r="O298" s="34"/>
      <c r="P298" s="34"/>
      <c r="Q298" s="34"/>
      <c r="R298" s="34"/>
    </row>
    <row r="299" spans="1:20" ht="12.6" customHeight="1" x14ac:dyDescent="0.25">
      <c r="A299" s="54">
        <f t="shared" si="282"/>
        <v>291</v>
      </c>
      <c r="D299" s="2" t="s">
        <v>104</v>
      </c>
      <c r="E299" s="157"/>
      <c r="F299" s="139"/>
      <c r="G299" s="124"/>
      <c r="H299" s="139">
        <v>1136.3699999999999</v>
      </c>
      <c r="I299" s="124"/>
      <c r="J299" s="152"/>
      <c r="K299" s="47"/>
      <c r="L299" s="139">
        <f>H299*S299</f>
        <v>1170.8613870127706</v>
      </c>
      <c r="M299" s="5"/>
      <c r="N299" s="5"/>
      <c r="O299" s="4"/>
      <c r="P299" s="4"/>
      <c r="Q299" s="16"/>
      <c r="R299" s="16"/>
      <c r="S299" s="121">
        <f>1+$O$253</f>
        <v>1.0303522505986349</v>
      </c>
      <c r="T299" s="4">
        <f t="shared" ref="T299:T301" si="298">L299/H299-1</f>
        <v>3.0352250598634889E-2</v>
      </c>
    </row>
    <row r="300" spans="1:20" x14ac:dyDescent="0.25">
      <c r="A300" s="54">
        <f t="shared" si="282"/>
        <v>292</v>
      </c>
      <c r="D300" s="2" t="s">
        <v>75</v>
      </c>
      <c r="E300" s="157"/>
      <c r="F300" s="171"/>
      <c r="G300" s="124"/>
      <c r="H300" s="139">
        <v>7.23</v>
      </c>
      <c r="I300" s="124"/>
      <c r="J300" s="152"/>
      <c r="K300" s="47"/>
      <c r="L300" s="139">
        <f>H300*S300</f>
        <v>7.4494467718281303</v>
      </c>
      <c r="M300" s="5"/>
      <c r="N300" s="5"/>
      <c r="O300" s="4"/>
      <c r="P300" s="4"/>
      <c r="Q300" s="16"/>
      <c r="R300" s="16"/>
      <c r="S300" s="121">
        <f t="shared" ref="S300:S302" si="299">1+$O$253</f>
        <v>1.0303522505986349</v>
      </c>
      <c r="T300" s="4">
        <f t="shared" si="298"/>
        <v>3.0352250598634889E-2</v>
      </c>
    </row>
    <row r="301" spans="1:20" x14ac:dyDescent="0.25">
      <c r="A301" s="54">
        <f t="shared" si="282"/>
        <v>293</v>
      </c>
      <c r="D301" s="2" t="s">
        <v>116</v>
      </c>
      <c r="E301" s="157"/>
      <c r="F301" s="171"/>
      <c r="G301" s="124"/>
      <c r="H301" s="139">
        <v>10.5</v>
      </c>
      <c r="I301" s="124"/>
      <c r="J301" s="152"/>
      <c r="K301" s="47"/>
      <c r="L301" s="139">
        <f>H301*S301</f>
        <v>10.818698631285667</v>
      </c>
      <c r="M301" s="5"/>
      <c r="N301" s="5"/>
      <c r="O301" s="4"/>
      <c r="P301" s="4"/>
      <c r="Q301" s="16"/>
      <c r="R301" s="16"/>
      <c r="S301" s="121">
        <f t="shared" si="299"/>
        <v>1.0303522505986349</v>
      </c>
      <c r="T301" s="4">
        <f t="shared" si="298"/>
        <v>3.0352250598634889E-2</v>
      </c>
    </row>
    <row r="302" spans="1:20" x14ac:dyDescent="0.25">
      <c r="A302" s="54">
        <f t="shared" si="282"/>
        <v>294</v>
      </c>
      <c r="D302" s="2" t="s">
        <v>52</v>
      </c>
      <c r="H302" s="171">
        <v>4.1500000000000002E-2</v>
      </c>
      <c r="L302" s="140">
        <f>H302*S302</f>
        <v>4.2759618399843352E-2</v>
      </c>
      <c r="S302" s="121">
        <f t="shared" si="299"/>
        <v>1.0303522505986349</v>
      </c>
      <c r="T302" s="4">
        <f t="shared" ref="T302" si="300">L302/H302-1</f>
        <v>3.0352250598634889E-2</v>
      </c>
    </row>
  </sheetData>
  <mergeCells count="13">
    <mergeCell ref="B209:B210"/>
    <mergeCell ref="B222:B223"/>
    <mergeCell ref="B265:B266"/>
    <mergeCell ref="B110:B111"/>
    <mergeCell ref="B123:B124"/>
    <mergeCell ref="B135:B136"/>
    <mergeCell ref="B147:B148"/>
    <mergeCell ref="B197:B198"/>
    <mergeCell ref="B84:B85"/>
    <mergeCell ref="B97:B98"/>
    <mergeCell ref="B161:B162"/>
    <mergeCell ref="B173:B174"/>
    <mergeCell ref="B185:B186"/>
  </mergeCells>
  <phoneticPr fontId="10" type="noConversion"/>
  <printOptions horizontalCentered="1"/>
  <pageMargins left="0.7" right="0.7" top="0.75" bottom="0.75" header="0.3" footer="0.3"/>
  <pageSetup scale="57" fitToHeight="7" orientation="landscape" r:id="rId1"/>
  <headerFooter>
    <oddHeader>&amp;R&amp;"Arial,Bold"&amp;10Exhibit 3
Page &amp;P of &amp;N</oddHeader>
  </headerFooter>
  <rowBreaks count="6" manualBreakCount="6">
    <brk id="44" max="17" man="1"/>
    <brk id="95" max="17" man="1"/>
    <brk id="134" max="17" man="1"/>
    <brk id="172" max="17" man="1"/>
    <brk id="208" max="17" man="1"/>
    <brk id="261" max="17" man="1"/>
  </rowBreaks>
  <ignoredErrors>
    <ignoredError sqref="M10 N10:N243 O10:O25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dimension ref="A1:K156"/>
  <sheetViews>
    <sheetView view="pageBreakPreview" zoomScale="60" zoomScaleNormal="85" workbookViewId="0">
      <selection activeCell="E8" sqref="E8"/>
    </sheetView>
  </sheetViews>
  <sheetFormatPr defaultRowHeight="13.2" x14ac:dyDescent="0.25"/>
  <cols>
    <col min="1" max="1" width="1.44140625" style="2" customWidth="1"/>
    <col min="2" max="2" width="1.21875" style="2" customWidth="1"/>
    <col min="3" max="3" width="8" style="21" customWidth="1"/>
    <col min="4" max="4" width="38.5546875" style="21" customWidth="1"/>
    <col min="5" max="5" width="33.77734375" style="2" bestFit="1" customWidth="1"/>
    <col min="6" max="6" width="14.6640625" style="2" customWidth="1"/>
    <col min="7" max="7" width="12.5546875" style="2" customWidth="1"/>
    <col min="8" max="16384" width="8.88671875" style="2"/>
  </cols>
  <sheetData>
    <row r="1" spans="1:10" x14ac:dyDescent="0.25">
      <c r="A1" s="1" t="str">
        <f>Summary!A1</f>
        <v>GRAYSON RECC</v>
      </c>
    </row>
    <row r="2" spans="1:10" x14ac:dyDescent="0.25">
      <c r="A2" s="1" t="s">
        <v>49</v>
      </c>
    </row>
    <row r="4" spans="1:10" x14ac:dyDescent="0.25">
      <c r="A4" s="132" t="s">
        <v>118</v>
      </c>
      <c r="B4" s="104"/>
      <c r="C4" s="133"/>
      <c r="D4" s="90"/>
      <c r="E4" s="90" t="s">
        <v>2</v>
      </c>
      <c r="F4" s="93" t="s">
        <v>50</v>
      </c>
      <c r="G4" s="93" t="s">
        <v>51</v>
      </c>
    </row>
    <row r="5" spans="1:10" x14ac:dyDescent="0.25">
      <c r="C5" s="21">
        <f>'Billing Detail'!C7</f>
        <v>1</v>
      </c>
      <c r="D5" s="114" t="str">
        <f>'Billing Detail'!B7</f>
        <v xml:space="preserve">Residential  </v>
      </c>
    </row>
    <row r="6" spans="1:10" x14ac:dyDescent="0.25">
      <c r="D6" s="114"/>
      <c r="E6" s="2" t="str">
        <f>'Billing Detail'!D8</f>
        <v>Customer Charge</v>
      </c>
      <c r="F6" s="91">
        <f>'Billing Detail'!H8</f>
        <v>21.25</v>
      </c>
      <c r="G6" s="91">
        <f>'Billing Detail'!L8</f>
        <v>21.89</v>
      </c>
      <c r="J6" s="4">
        <f>G6/F6-1</f>
        <v>3.0117647058823582E-2</v>
      </c>
    </row>
    <row r="7" spans="1:10" x14ac:dyDescent="0.25">
      <c r="D7" s="114"/>
      <c r="E7" s="2" t="str">
        <f>'Billing Detail'!D9</f>
        <v>Energy Charge per kWh</v>
      </c>
      <c r="F7" s="92">
        <f>'Billing Detail'!H9</f>
        <v>0.10639999999999999</v>
      </c>
      <c r="G7" s="92">
        <f>'Billing Detail'!L9</f>
        <v>0.10963000000000001</v>
      </c>
      <c r="J7" s="4">
        <f t="shared" ref="J7:J69" si="0">G7/F7-1</f>
        <v>3.0357142857142971E-2</v>
      </c>
    </row>
    <row r="8" spans="1:10" x14ac:dyDescent="0.25">
      <c r="C8" s="21">
        <f>'Billing Detail'!C33</f>
        <v>2</v>
      </c>
      <c r="D8" s="114" t="str">
        <f>'Billing Detail'!B33</f>
        <v>Commercial &amp; Small Power</v>
      </c>
      <c r="F8" s="92"/>
      <c r="G8" s="92"/>
      <c r="J8" s="4"/>
    </row>
    <row r="9" spans="1:10" x14ac:dyDescent="0.25">
      <c r="D9" s="114"/>
      <c r="E9" s="2" t="str">
        <f>'Billing Detail'!D34</f>
        <v>Customer Charge</v>
      </c>
      <c r="F9" s="91">
        <f>'Billing Detail'!H34</f>
        <v>30</v>
      </c>
      <c r="G9" s="91">
        <f>'Billing Detail'!L34</f>
        <v>30.91</v>
      </c>
      <c r="J9" s="4">
        <f t="shared" si="0"/>
        <v>3.0333333333333323E-2</v>
      </c>
    </row>
    <row r="10" spans="1:10" x14ac:dyDescent="0.25">
      <c r="D10" s="114"/>
      <c r="E10" s="2" t="str">
        <f>'Billing Detail'!D35</f>
        <v>Energy Charge per kWh</v>
      </c>
      <c r="F10" s="92">
        <f>'Billing Detail'!H35</f>
        <v>0.10639999999999999</v>
      </c>
      <c r="G10" s="92">
        <f>'Billing Detail'!L35</f>
        <v>0.10963000000000001</v>
      </c>
      <c r="J10" s="4">
        <f t="shared" si="0"/>
        <v>3.0357142857142971E-2</v>
      </c>
    </row>
    <row r="11" spans="1:10" x14ac:dyDescent="0.25">
      <c r="C11" s="21">
        <f>'Billing Detail'!C45</f>
        <v>4</v>
      </c>
      <c r="D11" s="114" t="str">
        <f>'Billing Detail'!B45</f>
        <v xml:space="preserve">Large Power </v>
      </c>
      <c r="F11" s="91"/>
      <c r="G11" s="91"/>
      <c r="J11" s="4"/>
    </row>
    <row r="12" spans="1:10" x14ac:dyDescent="0.25">
      <c r="D12" s="114"/>
      <c r="E12" s="2" t="str">
        <f>'Billing Detail'!D46</f>
        <v>Customer Charge</v>
      </c>
      <c r="F12" s="91">
        <f>'Billing Detail'!H46</f>
        <v>67.5</v>
      </c>
      <c r="G12" s="91">
        <f>'Billing Detail'!L46</f>
        <v>69.55</v>
      </c>
      <c r="J12" s="4">
        <f t="shared" si="0"/>
        <v>3.0370370370370381E-2</v>
      </c>
    </row>
    <row r="13" spans="1:10" x14ac:dyDescent="0.25">
      <c r="D13" s="114"/>
      <c r="E13" s="2" t="str">
        <f>'Billing Detail'!D47</f>
        <v>Demand Charge per kW</v>
      </c>
      <c r="F13" s="91">
        <f>'Billing Detail'!H47</f>
        <v>8.5399999999999991</v>
      </c>
      <c r="G13" s="91">
        <f>'Billing Detail'!L47</f>
        <v>8.8000000000000007</v>
      </c>
      <c r="J13" s="4">
        <f t="shared" si="0"/>
        <v>3.0444964871194635E-2</v>
      </c>
    </row>
    <row r="14" spans="1:10" x14ac:dyDescent="0.25">
      <c r="D14" s="114"/>
      <c r="E14" s="2" t="str">
        <f>'Billing Detail'!D48</f>
        <v>Energy Charge per kWh</v>
      </c>
      <c r="F14" s="92">
        <f>'Billing Detail'!H48</f>
        <v>5.8549999999999998E-2</v>
      </c>
      <c r="G14" s="92">
        <f>'Billing Detail'!L48</f>
        <v>6.0330000000000002E-2</v>
      </c>
      <c r="J14" s="4">
        <f t="shared" si="0"/>
        <v>3.0401366353544068E-2</v>
      </c>
    </row>
    <row r="15" spans="1:10" x14ac:dyDescent="0.25">
      <c r="C15" s="21">
        <f>'Billing Detail'!C58</f>
        <v>7</v>
      </c>
      <c r="D15" s="114" t="str">
        <f>'Billing Detail'!B58</f>
        <v>All Electric Schools</v>
      </c>
      <c r="F15" s="92"/>
      <c r="G15" s="92"/>
      <c r="J15" s="4"/>
    </row>
    <row r="16" spans="1:10" x14ac:dyDescent="0.25">
      <c r="D16" s="114"/>
      <c r="E16" s="2" t="str">
        <f>'Billing Detail'!D59</f>
        <v>Customer Charge</v>
      </c>
      <c r="F16" s="102">
        <f>'Billing Detail'!H59</f>
        <v>37.5</v>
      </c>
      <c r="G16" s="102">
        <f>'Billing Detail'!L59</f>
        <v>38.64</v>
      </c>
      <c r="J16" s="4">
        <f t="shared" si="0"/>
        <v>3.0399999999999983E-2</v>
      </c>
    </row>
    <row r="17" spans="3:10" x14ac:dyDescent="0.25">
      <c r="D17" s="114"/>
      <c r="E17" s="2" t="str">
        <f>'Billing Detail'!D60</f>
        <v>Demand Charge per kW</v>
      </c>
      <c r="F17" s="102">
        <f>'Billing Detail'!H60</f>
        <v>6.6</v>
      </c>
      <c r="G17" s="102">
        <f>'Billing Detail'!L60</f>
        <v>6.8</v>
      </c>
      <c r="J17" s="4">
        <f t="shared" ref="J17:J18" si="1">G17/F17-1</f>
        <v>3.0303030303030276E-2</v>
      </c>
    </row>
    <row r="18" spans="3:10" x14ac:dyDescent="0.25">
      <c r="D18" s="114"/>
      <c r="E18" s="2" t="str">
        <f>'Billing Detail'!D61</f>
        <v>Energy Charge per kWh</v>
      </c>
      <c r="F18" s="92">
        <f>'Billing Detail'!H61</f>
        <v>7.3810000000000001E-2</v>
      </c>
      <c r="G18" s="92">
        <f>'Billing Detail'!L61</f>
        <v>7.6050000000000006E-2</v>
      </c>
      <c r="J18" s="4">
        <f t="shared" si="1"/>
        <v>3.0348191301991623E-2</v>
      </c>
    </row>
    <row r="19" spans="3:10" x14ac:dyDescent="0.25">
      <c r="C19" s="21">
        <f>'Billing Detail'!C71</f>
        <v>10</v>
      </c>
      <c r="D19" s="114" t="str">
        <f>'Billing Detail'!B71</f>
        <v>Schedule 10 - Residential TOD</v>
      </c>
      <c r="F19" s="91"/>
      <c r="G19" s="91"/>
      <c r="J19" s="4"/>
    </row>
    <row r="20" spans="3:10" x14ac:dyDescent="0.25">
      <c r="D20" s="114"/>
      <c r="E20" s="2" t="str">
        <f>'Billing Detail'!D72</f>
        <v>Customer Charge</v>
      </c>
      <c r="F20" s="91">
        <f>'Billing Detail'!H72</f>
        <v>21.25</v>
      </c>
      <c r="G20" s="91">
        <f>'Billing Detail'!L72</f>
        <v>21.89</v>
      </c>
      <c r="J20" s="4">
        <f t="shared" si="0"/>
        <v>3.0117647058823582E-2</v>
      </c>
    </row>
    <row r="21" spans="3:10" x14ac:dyDescent="0.25">
      <c r="D21" s="114"/>
      <c r="E21" s="2" t="str">
        <f>'Billing Detail'!D73</f>
        <v>Energy Charge On Peak per kWh</v>
      </c>
      <c r="F21" s="92">
        <f>'Billing Detail'!H73</f>
        <v>0.20036000000000001</v>
      </c>
      <c r="G21" s="92">
        <f>'Billing Detail'!L73</f>
        <v>0.20644000000000001</v>
      </c>
      <c r="J21" s="4">
        <f t="shared" ref="J21:J22" si="2">G21/F21-1</f>
        <v>3.0345378319025729E-2</v>
      </c>
    </row>
    <row r="22" spans="3:10" x14ac:dyDescent="0.25">
      <c r="D22" s="114"/>
      <c r="E22" s="2" t="str">
        <f>'Billing Detail'!D74</f>
        <v>Energy Charge Off Peak per kWh</v>
      </c>
      <c r="F22" s="92">
        <f>'Billing Detail'!H74</f>
        <v>6.3350000000000004E-2</v>
      </c>
      <c r="G22" s="92">
        <f>'Billing Detail'!L74</f>
        <v>6.5269999999999995E-2</v>
      </c>
      <c r="J22" s="4">
        <f t="shared" si="2"/>
        <v>3.0307813733227995E-2</v>
      </c>
    </row>
    <row r="23" spans="3:10" x14ac:dyDescent="0.25">
      <c r="C23" s="21">
        <f>'Billing Detail'!C97</f>
        <v>16</v>
      </c>
      <c r="D23" s="114" t="str">
        <f>'Billing Detail'!B97</f>
        <v>Schedule 16 - Small Commercial Demand &amp; Energy Rate</v>
      </c>
      <c r="F23" s="91"/>
      <c r="G23" s="91"/>
      <c r="J23" s="4"/>
    </row>
    <row r="24" spans="3:10" x14ac:dyDescent="0.25">
      <c r="D24" s="114"/>
      <c r="E24" s="2" t="str">
        <f>'Billing Detail'!D98</f>
        <v>Customer Charge</v>
      </c>
      <c r="F24" s="102">
        <f>'Billing Detail'!H98</f>
        <v>30</v>
      </c>
      <c r="G24" s="102">
        <f>'Billing Detail'!L98</f>
        <v>30.91</v>
      </c>
      <c r="J24" s="4">
        <f t="shared" si="0"/>
        <v>3.0333333333333323E-2</v>
      </c>
    </row>
    <row r="25" spans="3:10" x14ac:dyDescent="0.25">
      <c r="D25" s="114"/>
      <c r="E25" s="2" t="str">
        <f>'Billing Detail'!D99</f>
        <v>Energy Charge per kWh</v>
      </c>
      <c r="F25" s="92">
        <f>'Billing Detail'!H99</f>
        <v>6.232E-2</v>
      </c>
      <c r="G25" s="92">
        <f>'Billing Detail'!L99</f>
        <v>6.4210000000000003E-2</v>
      </c>
      <c r="J25" s="4">
        <f t="shared" si="0"/>
        <v>3.0327342747111796E-2</v>
      </c>
    </row>
    <row r="26" spans="3:10" x14ac:dyDescent="0.25">
      <c r="D26" s="114"/>
      <c r="E26" s="2" t="str">
        <f>'Billing Detail'!D100</f>
        <v>Demand Charge per kW</v>
      </c>
      <c r="F26" s="91">
        <f>'Billing Detail'!H100</f>
        <v>6.6</v>
      </c>
      <c r="G26" s="91">
        <f>'Billing Detail'!L100</f>
        <v>6.8003099999999996</v>
      </c>
      <c r="J26" s="4">
        <f t="shared" si="0"/>
        <v>3.0350000000000099E-2</v>
      </c>
    </row>
    <row r="27" spans="3:10" x14ac:dyDescent="0.25">
      <c r="C27" s="21">
        <f>'Billing Detail'!C110</f>
        <v>17</v>
      </c>
      <c r="D27" s="114" t="str">
        <f>'Billing Detail'!B110</f>
        <v>Schedule 17 - Water Pumping Service</v>
      </c>
      <c r="F27" s="91"/>
      <c r="G27" s="91"/>
      <c r="J27" s="4"/>
    </row>
    <row r="28" spans="3:10" x14ac:dyDescent="0.25">
      <c r="D28" s="114"/>
      <c r="E28" s="2" t="str">
        <f>'Billing Detail'!D111</f>
        <v>Customer Charge</v>
      </c>
      <c r="F28" s="102">
        <f>'Billing Detail'!H111</f>
        <v>45</v>
      </c>
      <c r="G28" s="102">
        <f>'Billing Detail'!L111</f>
        <v>46.37</v>
      </c>
      <c r="J28" s="4">
        <f t="shared" si="0"/>
        <v>3.0444444444444496E-2</v>
      </c>
    </row>
    <row r="29" spans="3:10" x14ac:dyDescent="0.25">
      <c r="D29" s="114"/>
      <c r="E29" s="2" t="str">
        <f>'Billing Detail'!D112</f>
        <v>Energy Charge On Peak per kWh</v>
      </c>
      <c r="F29" s="92">
        <f>'Billing Detail'!H112</f>
        <v>0.13822000000000001</v>
      </c>
      <c r="G29" s="92">
        <f>'Billing Detail'!L112</f>
        <v>0.14241999999999999</v>
      </c>
      <c r="J29" s="4">
        <f t="shared" si="0"/>
        <v>3.0386340616408436E-2</v>
      </c>
    </row>
    <row r="30" spans="3:10" x14ac:dyDescent="0.25">
      <c r="D30" s="114"/>
      <c r="E30" s="2" t="str">
        <f>'Billing Detail'!D113</f>
        <v>Energy Charge Off Peak per kWh</v>
      </c>
      <c r="F30" s="92">
        <f>'Billing Detail'!H113</f>
        <v>6.8349999999999994E-2</v>
      </c>
      <c r="G30" s="92">
        <f>'Billing Detail'!L113</f>
        <v>7.0419999999999996E-2</v>
      </c>
      <c r="J30" s="4">
        <f t="shared" si="0"/>
        <v>3.0285296269202622E-2</v>
      </c>
    </row>
    <row r="31" spans="3:10" x14ac:dyDescent="0.25">
      <c r="C31" s="21">
        <f>'Billing Detail'!C123</f>
        <v>18</v>
      </c>
      <c r="D31" s="114" t="str">
        <f>'Billing Detail'!B123</f>
        <v>Schedule 18 - General Service Rate</v>
      </c>
      <c r="F31" s="102"/>
      <c r="G31" s="102"/>
      <c r="J31" s="4"/>
    </row>
    <row r="32" spans="3:10" x14ac:dyDescent="0.25">
      <c r="D32" s="114"/>
      <c r="E32" s="2" t="str">
        <f>'Billing Detail'!D124</f>
        <v>Customer Charge</v>
      </c>
      <c r="F32" s="102">
        <f>'Billing Detail'!H124</f>
        <v>27.5</v>
      </c>
      <c r="G32" s="102">
        <f>'Billing Detail'!L124</f>
        <v>28.33</v>
      </c>
      <c r="J32" s="4">
        <f t="shared" si="0"/>
        <v>3.0181818181818088E-2</v>
      </c>
    </row>
    <row r="33" spans="3:10" x14ac:dyDescent="0.25">
      <c r="D33" s="114"/>
      <c r="E33" s="2" t="str">
        <f>'Billing Detail'!D125</f>
        <v>Energy Charge per kWh</v>
      </c>
      <c r="F33" s="92">
        <f>'Billing Detail'!H125</f>
        <v>0.13935</v>
      </c>
      <c r="G33" s="92">
        <f>'Billing Detail'!L125</f>
        <v>0.14358000000000001</v>
      </c>
      <c r="J33" s="4">
        <f t="shared" si="0"/>
        <v>3.0355220667384275E-2</v>
      </c>
    </row>
    <row r="34" spans="3:10" x14ac:dyDescent="0.25">
      <c r="C34" s="21">
        <f>'Billing Detail'!C135</f>
        <v>19</v>
      </c>
      <c r="D34" s="114" t="str">
        <f>'Billing Detail'!B135</f>
        <v>Schedule 19 - Temporary Service Rate</v>
      </c>
      <c r="E34" s="88"/>
      <c r="F34" s="91"/>
      <c r="G34" s="91"/>
      <c r="J34" s="4"/>
    </row>
    <row r="35" spans="3:10" x14ac:dyDescent="0.25">
      <c r="D35" s="114"/>
      <c r="E35" s="2" t="str">
        <f>'Billing Detail'!D136</f>
        <v>Customer Charge</v>
      </c>
      <c r="F35" s="91">
        <f>'Billing Detail'!H136</f>
        <v>55</v>
      </c>
      <c r="G35" s="91">
        <f>'Billing Detail'!L136</f>
        <v>56.67</v>
      </c>
      <c r="J35" s="4">
        <f t="shared" si="0"/>
        <v>3.036363636363637E-2</v>
      </c>
    </row>
    <row r="36" spans="3:10" x14ac:dyDescent="0.25">
      <c r="D36" s="114"/>
      <c r="E36" s="2" t="str">
        <f>'Billing Detail'!D137</f>
        <v>Energy Charge per kWh</v>
      </c>
      <c r="F36" s="92">
        <f>'Billing Detail'!H137</f>
        <v>0.10203</v>
      </c>
      <c r="G36" s="92">
        <f>'Billing Detail'!L137</f>
        <v>0.10513</v>
      </c>
      <c r="J36" s="4">
        <f t="shared" si="0"/>
        <v>3.0383220621385876E-2</v>
      </c>
    </row>
    <row r="37" spans="3:10" x14ac:dyDescent="0.25">
      <c r="C37" s="21">
        <f>'Billing Detail'!C147</f>
        <v>20</v>
      </c>
      <c r="D37" s="114" t="str">
        <f>'Billing Detail'!B147</f>
        <v>Schedule 20 - Inclining Block Rate</v>
      </c>
      <c r="F37" s="91"/>
      <c r="G37" s="91"/>
      <c r="J37" s="4"/>
    </row>
    <row r="38" spans="3:10" x14ac:dyDescent="0.25">
      <c r="D38" s="114"/>
      <c r="E38" s="2" t="str">
        <f>'Billing Detail'!D148</f>
        <v>Customer Charge</v>
      </c>
      <c r="F38" s="17">
        <f>'Billing Detail'!H148</f>
        <v>21.25</v>
      </c>
      <c r="G38" s="17">
        <f>'Billing Detail'!L148</f>
        <v>21.89</v>
      </c>
      <c r="J38" s="4">
        <f t="shared" si="0"/>
        <v>3.0117647058823582E-2</v>
      </c>
    </row>
    <row r="39" spans="3:10" x14ac:dyDescent="0.25">
      <c r="D39" s="114"/>
      <c r="E39" s="2" t="str">
        <f>'Billing Detail'!D149</f>
        <v>Energy Charge Per KWH - First 300</v>
      </c>
      <c r="F39" s="92">
        <f>'Billing Detail'!H149</f>
        <v>7.8350000000000003E-2</v>
      </c>
      <c r="G39" s="92">
        <f>'Billing Detail'!L149</f>
        <v>8.0729999999999996E-2</v>
      </c>
      <c r="J39" s="4">
        <f t="shared" ref="J39:J41" si="3">G39/F39-1</f>
        <v>3.0376515634971124E-2</v>
      </c>
    </row>
    <row r="40" spans="3:10" x14ac:dyDescent="0.25">
      <c r="D40" s="114"/>
      <c r="E40" s="2" t="str">
        <f>'Billing Detail'!D150</f>
        <v>Energy Charge Per KWH - Next 200</v>
      </c>
      <c r="F40" s="92">
        <f>'Billing Detail'!H150</f>
        <v>9.8350000000000007E-2</v>
      </c>
      <c r="G40" s="92">
        <f>'Billing Detail'!L150</f>
        <v>0.10133</v>
      </c>
      <c r="J40" s="4">
        <f t="shared" si="3"/>
        <v>3.0299949161159079E-2</v>
      </c>
    </row>
    <row r="41" spans="3:10" x14ac:dyDescent="0.25">
      <c r="D41" s="114"/>
      <c r="E41" s="2" t="str">
        <f>'Billing Detail'!D151</f>
        <v>Energy Charge Per KWH - All Over 500</v>
      </c>
      <c r="F41" s="92">
        <f>'Billing Detail'!H151</f>
        <v>0.19231999999999999</v>
      </c>
      <c r="G41" s="92">
        <f>'Billing Detail'!L151</f>
        <v>0.19816</v>
      </c>
      <c r="J41" s="4">
        <f t="shared" si="3"/>
        <v>3.0366056572379341E-2</v>
      </c>
    </row>
    <row r="42" spans="3:10" x14ac:dyDescent="0.25">
      <c r="C42" s="21">
        <f>'Billing Detail'!C161</f>
        <v>21</v>
      </c>
      <c r="D42" s="114" t="str">
        <f>'Billing Detail'!B161</f>
        <v>Schedule 21 - Prepay Metering Program (Residential)</v>
      </c>
      <c r="F42" s="91"/>
      <c r="G42" s="91"/>
      <c r="J42" s="4"/>
    </row>
    <row r="43" spans="3:10" x14ac:dyDescent="0.25">
      <c r="D43" s="114"/>
      <c r="E43" s="2" t="str">
        <f>'Billing Detail'!D162</f>
        <v>Customer Charge</v>
      </c>
      <c r="F43" s="91">
        <f>'Billing Detail'!H162</f>
        <v>21.25</v>
      </c>
      <c r="G43" s="91">
        <f>'Billing Detail'!L162</f>
        <v>21.89</v>
      </c>
      <c r="J43" s="4">
        <f t="shared" si="0"/>
        <v>3.0117647058823582E-2</v>
      </c>
    </row>
    <row r="44" spans="3:10" x14ac:dyDescent="0.25">
      <c r="D44" s="114"/>
      <c r="E44" s="2" t="str">
        <f>'Billing Detail'!D163</f>
        <v>Energy Charge Per KWH</v>
      </c>
      <c r="F44" s="92">
        <f>'Billing Detail'!H163</f>
        <v>0.10639999999999999</v>
      </c>
      <c r="G44" s="92">
        <f>'Billing Detail'!L163</f>
        <v>0.10963000000000001</v>
      </c>
      <c r="J44" s="4">
        <f t="shared" si="0"/>
        <v>3.0357142857142971E-2</v>
      </c>
    </row>
    <row r="45" spans="3:10" x14ac:dyDescent="0.25">
      <c r="C45" s="21">
        <f>'Billing Detail'!C173</f>
        <v>32</v>
      </c>
      <c r="D45" s="114" t="str">
        <f>'Billing Detail'!B173</f>
        <v>Schedule 21 - Prepay Metering Program (General Service)</v>
      </c>
      <c r="F45" s="91"/>
      <c r="G45" s="91"/>
      <c r="J45" s="4"/>
    </row>
    <row r="46" spans="3:10" x14ac:dyDescent="0.25">
      <c r="D46" s="114"/>
      <c r="E46" s="2" t="str">
        <f>'Billing Detail'!D174</f>
        <v>Customer Charge</v>
      </c>
      <c r="F46" s="91">
        <f>'Billing Detail'!H174</f>
        <v>27.5</v>
      </c>
      <c r="G46" s="91">
        <f>'Billing Detail'!L174</f>
        <v>28.33</v>
      </c>
      <c r="J46" s="4">
        <f t="shared" si="0"/>
        <v>3.0181818181818088E-2</v>
      </c>
    </row>
    <row r="47" spans="3:10" x14ac:dyDescent="0.25">
      <c r="D47" s="114"/>
      <c r="E47" s="2" t="str">
        <f>'Billing Detail'!D175</f>
        <v>Energy Charge per kWh</v>
      </c>
      <c r="F47" s="92">
        <f>'Billing Detail'!H175</f>
        <v>0.13935</v>
      </c>
      <c r="G47" s="92">
        <f>'Billing Detail'!L175</f>
        <v>0.14358000000000001</v>
      </c>
      <c r="J47" s="4">
        <f t="shared" si="0"/>
        <v>3.0355220667384275E-2</v>
      </c>
    </row>
    <row r="48" spans="3:10" x14ac:dyDescent="0.25">
      <c r="C48" s="21">
        <f>'Billing Detail'!C185</f>
        <v>22</v>
      </c>
      <c r="D48" s="114" t="str">
        <f>'Billing Detail'!B185</f>
        <v>Schedule NM - Residential Net Metering</v>
      </c>
      <c r="F48" s="91"/>
      <c r="G48" s="91"/>
      <c r="J48" s="4"/>
    </row>
    <row r="49" spans="3:10" x14ac:dyDescent="0.25">
      <c r="D49" s="114"/>
      <c r="E49" s="88" t="str">
        <f>'Billing Detail'!D186</f>
        <v>Customer Charge</v>
      </c>
      <c r="F49" s="102">
        <f>'Billing Detail'!H186</f>
        <v>21.25</v>
      </c>
      <c r="G49" s="102">
        <f>'Billing Detail'!L186</f>
        <v>21.89</v>
      </c>
      <c r="J49" s="4">
        <f t="shared" si="0"/>
        <v>3.0117647058823582E-2</v>
      </c>
    </row>
    <row r="50" spans="3:10" x14ac:dyDescent="0.25">
      <c r="D50" s="114"/>
      <c r="E50" s="88" t="str">
        <f>'Billing Detail'!D187</f>
        <v>Energy Charge per kWh</v>
      </c>
      <c r="F50" s="92">
        <f>'Billing Detail'!H187</f>
        <v>0.10639999999999999</v>
      </c>
      <c r="G50" s="92">
        <f>'Billing Detail'!L187</f>
        <v>0.10963000000000001</v>
      </c>
      <c r="J50" s="4">
        <f t="shared" ref="J50" si="4">G50/F50-1</f>
        <v>3.0357142857142971E-2</v>
      </c>
    </row>
    <row r="51" spans="3:10" x14ac:dyDescent="0.25">
      <c r="C51" s="21">
        <f>'Billing Detail'!C197</f>
        <v>28</v>
      </c>
      <c r="D51" s="114" t="str">
        <f>'Billing Detail'!B197</f>
        <v>Schedule NM - General Service Net Metering</v>
      </c>
      <c r="E51" s="88"/>
      <c r="F51" s="101"/>
      <c r="G51" s="101"/>
      <c r="J51" s="4"/>
    </row>
    <row r="52" spans="3:10" x14ac:dyDescent="0.25">
      <c r="D52" s="114"/>
      <c r="E52" s="88" t="str">
        <f>'Billing Detail'!D198</f>
        <v>Customer Charge</v>
      </c>
      <c r="F52" s="102">
        <f>'Billing Detail'!H198</f>
        <v>27.5</v>
      </c>
      <c r="G52" s="102">
        <f>'Billing Detail'!L198</f>
        <v>28.33</v>
      </c>
      <c r="J52" s="4">
        <f t="shared" si="0"/>
        <v>3.0181818181818088E-2</v>
      </c>
    </row>
    <row r="53" spans="3:10" x14ac:dyDescent="0.25">
      <c r="D53" s="114"/>
      <c r="E53" s="88" t="str">
        <f>'Billing Detail'!D199</f>
        <v>Energy Charge per kWh</v>
      </c>
      <c r="F53" s="92">
        <f>'Billing Detail'!H199</f>
        <v>0.13935</v>
      </c>
      <c r="G53" s="92">
        <f>'Billing Detail'!L199</f>
        <v>0.14358000000000001</v>
      </c>
      <c r="J53" s="4">
        <f t="shared" si="0"/>
        <v>3.0355220667384275E-2</v>
      </c>
    </row>
    <row r="54" spans="3:10" x14ac:dyDescent="0.25">
      <c r="C54" s="21">
        <f>'Billing Detail'!C209</f>
        <v>11</v>
      </c>
      <c r="D54" s="114" t="str">
        <f>'Billing Detail'!B209</f>
        <v>Schedule 11 - Small Commercial TOD</v>
      </c>
      <c r="E54" s="88"/>
      <c r="F54" s="101"/>
      <c r="G54" s="101"/>
      <c r="J54" s="4"/>
    </row>
    <row r="55" spans="3:10" x14ac:dyDescent="0.25">
      <c r="D55" s="114"/>
      <c r="E55" s="88" t="str">
        <f>'Billing Detail'!D210</f>
        <v>Customer Charge</v>
      </c>
      <c r="F55" s="102">
        <f>'Billing Detail'!H210</f>
        <v>27.5</v>
      </c>
      <c r="G55" s="102">
        <f>'Billing Detail'!L210</f>
        <v>28.33</v>
      </c>
      <c r="J55" s="4">
        <f t="shared" si="0"/>
        <v>3.0181818181818088E-2</v>
      </c>
    </row>
    <row r="56" spans="3:10" x14ac:dyDescent="0.25">
      <c r="D56" s="114"/>
      <c r="E56" s="88" t="str">
        <f>'Billing Detail'!D211</f>
        <v>Energy Charge per kWh</v>
      </c>
      <c r="F56" s="92">
        <f>'Billing Detail'!H211</f>
        <v>0.19583</v>
      </c>
      <c r="G56" s="92">
        <f>'Billing Detail'!L211</f>
        <v>0.20177</v>
      </c>
      <c r="J56" s="4">
        <f t="shared" si="0"/>
        <v>3.0332431190318143E-2</v>
      </c>
    </row>
    <row r="57" spans="3:10" x14ac:dyDescent="0.25">
      <c r="D57" s="114"/>
      <c r="E57" s="88" t="str">
        <f>'Billing Detail'!D212</f>
        <v>Energy Charge per kWh</v>
      </c>
      <c r="F57" s="92">
        <f>'Billing Detail'!H212</f>
        <v>5.808E-2</v>
      </c>
      <c r="G57" s="92">
        <f>'Billing Detail'!L212</f>
        <v>5.9839999999999997E-2</v>
      </c>
      <c r="J57" s="4">
        <f t="shared" si="0"/>
        <v>3.0303030303030276E-2</v>
      </c>
    </row>
    <row r="58" spans="3:10" x14ac:dyDescent="0.25">
      <c r="C58" s="21">
        <f>'Billing Detail'!C222</f>
        <v>30</v>
      </c>
      <c r="D58" s="114" t="str">
        <f>'Billing Detail'!B222</f>
        <v>Industrial 14(a) - Large Industrial Service MLF</v>
      </c>
      <c r="E58" s="88"/>
      <c r="F58" s="101"/>
      <c r="G58" s="101"/>
      <c r="J58" s="4"/>
    </row>
    <row r="59" spans="3:10" x14ac:dyDescent="0.25">
      <c r="D59" s="114"/>
      <c r="E59" s="88" t="str">
        <f>'Billing Detail'!D223</f>
        <v>Customer Charge</v>
      </c>
      <c r="F59" s="102">
        <f>'Billing Detail'!H223</f>
        <v>566.12</v>
      </c>
      <c r="G59" s="102">
        <f>'Billing Detail'!L223</f>
        <v>583.29999999999995</v>
      </c>
      <c r="J59" s="4">
        <f t="shared" si="0"/>
        <v>3.0346922913869756E-2</v>
      </c>
    </row>
    <row r="60" spans="3:10" x14ac:dyDescent="0.25">
      <c r="D60" s="114"/>
      <c r="E60" s="88" t="str">
        <f>'Billing Detail'!D224</f>
        <v>Energy Charge per kWh</v>
      </c>
      <c r="F60" s="92">
        <f>'Billing Detail'!H224</f>
        <v>4.4839999999999998E-2</v>
      </c>
      <c r="G60" s="92">
        <f>'Billing Detail'!L224</f>
        <v>4.6199999999999998E-2</v>
      </c>
      <c r="J60" s="4">
        <f t="shared" si="0"/>
        <v>3.0330062444246186E-2</v>
      </c>
    </row>
    <row r="61" spans="3:10" x14ac:dyDescent="0.25">
      <c r="D61" s="114"/>
      <c r="E61" s="88" t="str">
        <f>'Billing Detail'!D225</f>
        <v>Demand Charge Contract per kW</v>
      </c>
      <c r="F61" s="102">
        <f>'Billing Detail'!H225</f>
        <v>7.23</v>
      </c>
      <c r="G61" s="102">
        <f>'Billing Detail'!L225</f>
        <v>7.45</v>
      </c>
      <c r="J61" s="4">
        <f t="shared" si="0"/>
        <v>3.0428769017980528E-2</v>
      </c>
    </row>
    <row r="62" spans="3:10" x14ac:dyDescent="0.25">
      <c r="D62" s="114"/>
      <c r="E62" s="88" t="str">
        <f>'Billing Detail'!D226</f>
        <v>Demand Charge Excess per kW</v>
      </c>
      <c r="F62" s="102">
        <f>'Billing Detail'!H226</f>
        <v>10.5</v>
      </c>
      <c r="G62" s="102">
        <f>'Billing Detail'!L226</f>
        <v>10.82</v>
      </c>
      <c r="J62" s="4">
        <f t="shared" si="0"/>
        <v>3.0476190476190546E-2</v>
      </c>
    </row>
    <row r="63" spans="3:10" x14ac:dyDescent="0.25">
      <c r="C63" s="21">
        <f>'Billing Detail'!C236</f>
        <v>6</v>
      </c>
      <c r="D63" s="114" t="str">
        <f>'Billing Detail'!B236</f>
        <v>Lighting</v>
      </c>
      <c r="F63" s="91"/>
      <c r="G63" s="91"/>
      <c r="J63" s="4"/>
    </row>
    <row r="64" spans="3:10" x14ac:dyDescent="0.25">
      <c r="D64" s="114"/>
      <c r="E64" s="2" t="str">
        <f>'Billing Detail'!D237</f>
        <v>7000 Lumens</v>
      </c>
      <c r="F64" s="91">
        <f>'Billing Detail'!H237</f>
        <v>12.38</v>
      </c>
      <c r="G64" s="91">
        <f>'Billing Detail'!L237</f>
        <v>12.76</v>
      </c>
      <c r="J64" s="4">
        <f t="shared" si="0"/>
        <v>3.0694668820678395E-2</v>
      </c>
    </row>
    <row r="65" spans="3:10" x14ac:dyDescent="0.25">
      <c r="D65" s="2"/>
      <c r="E65" s="2" t="str">
        <f>'Billing Detail'!D238</f>
        <v>10000 Lumens</v>
      </c>
      <c r="F65" s="91">
        <f>'Billing Detail'!H238</f>
        <v>14.88</v>
      </c>
      <c r="G65" s="91">
        <f>'Billing Detail'!L238</f>
        <v>15.33</v>
      </c>
      <c r="J65" s="4">
        <f t="shared" si="0"/>
        <v>3.0241935483870996E-2</v>
      </c>
    </row>
    <row r="66" spans="3:10" x14ac:dyDescent="0.25">
      <c r="D66" s="2"/>
      <c r="E66" s="2" t="str">
        <f>'Billing Detail'!D239</f>
        <v>Flood Lighting</v>
      </c>
      <c r="F66" s="91">
        <f>'Billing Detail'!H239</f>
        <v>21.33</v>
      </c>
      <c r="G66" s="91">
        <f>'Billing Detail'!L239</f>
        <v>21.98</v>
      </c>
      <c r="J66" s="4">
        <f t="shared" si="0"/>
        <v>3.0473511486169835E-2</v>
      </c>
    </row>
    <row r="67" spans="3:10" x14ac:dyDescent="0.25">
      <c r="D67" s="2"/>
      <c r="E67" s="2" t="str">
        <f>'Billing Detail'!D240</f>
        <v>3600 LED Yard Light</v>
      </c>
      <c r="F67" s="91">
        <f>'Billing Detail'!H240</f>
        <v>12.38</v>
      </c>
      <c r="G67" s="91">
        <f>'Billing Detail'!L240</f>
        <v>12.76</v>
      </c>
      <c r="J67" s="4">
        <f t="shared" si="0"/>
        <v>3.0694668820678395E-2</v>
      </c>
    </row>
    <row r="68" spans="3:10" x14ac:dyDescent="0.25">
      <c r="D68" s="2"/>
      <c r="E68" s="2" t="str">
        <f>'Billing Detail'!D241</f>
        <v>19176 LED Flood Light</v>
      </c>
      <c r="F68" s="91">
        <f>'Billing Detail'!H241</f>
        <v>25.88</v>
      </c>
      <c r="G68" s="91">
        <f>'Billing Detail'!L241</f>
        <v>26.67</v>
      </c>
      <c r="J68" s="4">
        <f t="shared" si="0"/>
        <v>3.0525502318392794E-2</v>
      </c>
    </row>
    <row r="69" spans="3:10" x14ac:dyDescent="0.25">
      <c r="D69" s="2"/>
      <c r="E69" s="2" t="str">
        <f>'Billing Detail'!D242</f>
        <v>7000 Lumens SL</v>
      </c>
      <c r="F69" s="91">
        <f>'Billing Detail'!H242</f>
        <v>12.38</v>
      </c>
      <c r="G69" s="91">
        <f>'Billing Detail'!L242</f>
        <v>12.76</v>
      </c>
      <c r="J69" s="4">
        <f t="shared" si="0"/>
        <v>3.0694668820678395E-2</v>
      </c>
    </row>
    <row r="70" spans="3:10" x14ac:dyDescent="0.25">
      <c r="C70" s="21">
        <f>'Billing Detail'!C265</f>
        <v>15</v>
      </c>
      <c r="D70" s="2" t="str">
        <f>'Billing Detail'!B265</f>
        <v>Residential Demand &amp; Energy Rate</v>
      </c>
      <c r="F70" s="91"/>
      <c r="G70" s="91"/>
      <c r="J70" s="4"/>
    </row>
    <row r="71" spans="3:10" x14ac:dyDescent="0.25">
      <c r="D71" s="2"/>
      <c r="E71" s="2" t="str">
        <f>'Billing Detail'!D266</f>
        <v xml:space="preserve">Customer Charge </v>
      </c>
      <c r="F71" s="91">
        <f>'Billing Detail'!H266</f>
        <v>20</v>
      </c>
      <c r="G71" s="91">
        <f>'Billing Detail'!L266</f>
        <v>20.607045011972698</v>
      </c>
      <c r="J71" s="4">
        <f t="shared" ref="J71:J107" si="5">G71/F71-1</f>
        <v>3.0352250598634889E-2</v>
      </c>
    </row>
    <row r="72" spans="3:10" x14ac:dyDescent="0.25">
      <c r="D72" s="2"/>
      <c r="E72" s="2" t="str">
        <f>'Billing Detail'!D267</f>
        <v>Energy Charge per kWh</v>
      </c>
      <c r="F72" s="92">
        <f>'Billing Detail'!H267</f>
        <v>6.3829999999999998E-2</v>
      </c>
      <c r="G72" s="92">
        <f>'Billing Detail'!L267</f>
        <v>6.5767384155710859E-2</v>
      </c>
      <c r="J72" s="4">
        <f t="shared" si="5"/>
        <v>3.0352250598634889E-2</v>
      </c>
    </row>
    <row r="73" spans="3:10" x14ac:dyDescent="0.25">
      <c r="D73" s="2"/>
      <c r="E73" s="2" t="str">
        <f>'Billing Detail'!D268</f>
        <v>Demand Charge per kW</v>
      </c>
      <c r="F73" s="91">
        <f>'Billing Detail'!H268</f>
        <v>4.6100000000000003</v>
      </c>
      <c r="G73" s="91">
        <f>'Billing Detail'!L268</f>
        <v>4.7499238752597073</v>
      </c>
      <c r="J73" s="4">
        <f t="shared" si="5"/>
        <v>3.0352250598634889E-2</v>
      </c>
    </row>
    <row r="74" spans="3:10" x14ac:dyDescent="0.25">
      <c r="C74" s="21" t="str">
        <f>'Billing Detail'!C269</f>
        <v>12(a)</v>
      </c>
      <c r="D74" s="2" t="str">
        <f>'Billing Detail'!B269</f>
        <v>Large Industrial LLF</v>
      </c>
      <c r="F74" s="91"/>
      <c r="G74" s="91"/>
      <c r="J74" s="4"/>
    </row>
    <row r="75" spans="3:10" x14ac:dyDescent="0.25">
      <c r="D75" s="2"/>
      <c r="E75" s="2" t="str">
        <f>'Billing Detail'!D270</f>
        <v xml:space="preserve">Customer Charge </v>
      </c>
      <c r="F75" s="91">
        <f>'Billing Detail'!H270</f>
        <v>566.12</v>
      </c>
      <c r="G75" s="91">
        <f>'Billing Detail'!L270</f>
        <v>583.30301610889921</v>
      </c>
      <c r="J75" s="4">
        <f t="shared" si="5"/>
        <v>3.0352250598634889E-2</v>
      </c>
    </row>
    <row r="76" spans="3:10" x14ac:dyDescent="0.25">
      <c r="D76" s="2"/>
      <c r="E76" s="2" t="str">
        <f>'Billing Detail'!D271</f>
        <v>Demand Charge per kW</v>
      </c>
      <c r="F76" s="91">
        <f>'Billing Detail'!H271</f>
        <v>10.5</v>
      </c>
      <c r="G76" s="91">
        <f>'Billing Detail'!L271</f>
        <v>10.818698631285667</v>
      </c>
      <c r="J76" s="4">
        <f t="shared" si="5"/>
        <v>3.0352250598634889E-2</v>
      </c>
    </row>
    <row r="77" spans="3:10" x14ac:dyDescent="0.25">
      <c r="D77" s="2"/>
      <c r="E77" s="2" t="str">
        <f>'Billing Detail'!D272</f>
        <v>Energy Charge per kWh</v>
      </c>
      <c r="F77" s="92">
        <f>'Billing Detail'!H272</f>
        <v>4.4850000000000001E-2</v>
      </c>
      <c r="G77" s="92">
        <f>'Billing Detail'!L272</f>
        <v>4.6211298439348777E-2</v>
      </c>
      <c r="J77" s="4">
        <f t="shared" si="5"/>
        <v>3.0352250598634889E-2</v>
      </c>
    </row>
    <row r="78" spans="3:10" x14ac:dyDescent="0.25">
      <c r="C78" s="21" t="str">
        <f>'Billing Detail'!C273</f>
        <v>12(b)</v>
      </c>
      <c r="D78" s="2" t="str">
        <f>'Billing Detail'!B273</f>
        <v>Large Industrial LLF</v>
      </c>
      <c r="F78" s="91"/>
      <c r="G78" s="91"/>
      <c r="J78" s="4"/>
    </row>
    <row r="79" spans="3:10" x14ac:dyDescent="0.25">
      <c r="D79" s="2"/>
      <c r="E79" s="2" t="str">
        <f>'Billing Detail'!D274</f>
        <v xml:space="preserve">Customer Charge </v>
      </c>
      <c r="F79" s="91">
        <f>'Billing Detail'!H274</f>
        <v>1131.19</v>
      </c>
      <c r="G79" s="91">
        <f>'Billing Detail'!L274</f>
        <v>1165.5241623546699</v>
      </c>
      <c r="J79" s="4">
        <f t="shared" si="5"/>
        <v>3.0352250598634889E-2</v>
      </c>
    </row>
    <row r="80" spans="3:10" x14ac:dyDescent="0.25">
      <c r="D80" s="2"/>
      <c r="E80" s="2" t="str">
        <f>'Billing Detail'!D275</f>
        <v>Demand Charge per kW</v>
      </c>
      <c r="F80" s="91">
        <f>'Billing Detail'!H275</f>
        <v>10.5</v>
      </c>
      <c r="G80" s="91">
        <f>'Billing Detail'!L275</f>
        <v>10.818698631285667</v>
      </c>
      <c r="J80" s="4">
        <f t="shared" si="5"/>
        <v>3.0352250598634889E-2</v>
      </c>
    </row>
    <row r="81" spans="3:10" x14ac:dyDescent="0.25">
      <c r="D81" s="2"/>
      <c r="E81" s="2" t="str">
        <f>'Billing Detail'!D276</f>
        <v>Energy Charge per kWh</v>
      </c>
      <c r="F81" s="92">
        <f>'Billing Detail'!H276</f>
        <v>4.249E-2</v>
      </c>
      <c r="G81" s="92">
        <f>'Billing Detail'!L276</f>
        <v>4.3779667127935996E-2</v>
      </c>
      <c r="J81" s="4">
        <f t="shared" si="5"/>
        <v>3.0352250598634889E-2</v>
      </c>
    </row>
    <row r="82" spans="3:10" x14ac:dyDescent="0.25">
      <c r="C82" s="21" t="str">
        <f>'Billing Detail'!C277</f>
        <v>12(c)</v>
      </c>
      <c r="D82" s="2" t="str">
        <f>'Billing Detail'!B277</f>
        <v>Large Industrial LLF</v>
      </c>
      <c r="F82" s="91"/>
      <c r="G82" s="91"/>
      <c r="J82" s="4"/>
    </row>
    <row r="83" spans="3:10" x14ac:dyDescent="0.25">
      <c r="D83" s="2"/>
      <c r="E83" s="2" t="str">
        <f>'Billing Detail'!D278</f>
        <v xml:space="preserve">Customer Charge </v>
      </c>
      <c r="F83" s="91">
        <f>'Billing Detail'!H278</f>
        <v>1131.19</v>
      </c>
      <c r="G83" s="91">
        <f>'Billing Detail'!L278</f>
        <v>1165.5241623546699</v>
      </c>
      <c r="J83" s="4">
        <f t="shared" si="5"/>
        <v>3.0352250598634889E-2</v>
      </c>
    </row>
    <row r="84" spans="3:10" x14ac:dyDescent="0.25">
      <c r="D84" s="2"/>
      <c r="E84" s="2" t="str">
        <f>'Billing Detail'!D279</f>
        <v>Demand Charge per kW</v>
      </c>
      <c r="F84" s="91">
        <f>'Billing Detail'!H279</f>
        <v>10.5</v>
      </c>
      <c r="G84" s="91">
        <f>'Billing Detail'!L279</f>
        <v>10.818698631285667</v>
      </c>
      <c r="J84" s="4">
        <f t="shared" si="5"/>
        <v>3.0352250598634889E-2</v>
      </c>
    </row>
    <row r="85" spans="3:10" x14ac:dyDescent="0.25">
      <c r="D85" s="2"/>
      <c r="E85" s="2" t="str">
        <f>'Billing Detail'!D280</f>
        <v>Energy Charge per kWh</v>
      </c>
      <c r="F85" s="92">
        <f>'Billing Detail'!H280</f>
        <v>4.1500000000000002E-2</v>
      </c>
      <c r="G85" s="92">
        <f>'Billing Detail'!L280</f>
        <v>4.2759618399843352E-2</v>
      </c>
      <c r="J85" s="4">
        <f t="shared" si="5"/>
        <v>3.0352250598634889E-2</v>
      </c>
    </row>
    <row r="86" spans="3:10" x14ac:dyDescent="0.25">
      <c r="C86" s="21" t="str">
        <f>'Billing Detail'!C281</f>
        <v>13(a)</v>
      </c>
      <c r="D86" s="3" t="str">
        <f>'Billing Detail'!B281</f>
        <v>Large Industrial HLF</v>
      </c>
      <c r="F86" s="91"/>
      <c r="G86" s="91"/>
      <c r="J86" s="4"/>
    </row>
    <row r="87" spans="3:10" x14ac:dyDescent="0.25">
      <c r="D87" s="3"/>
      <c r="E87" s="2" t="str">
        <f>'Billing Detail'!D282</f>
        <v xml:space="preserve">Customer Charge </v>
      </c>
      <c r="F87" s="91">
        <f>'Billing Detail'!H282</f>
        <v>566.12</v>
      </c>
      <c r="G87" s="91">
        <f>'Billing Detail'!L282</f>
        <v>583.30301610889921</v>
      </c>
      <c r="J87" s="4">
        <f t="shared" si="5"/>
        <v>3.0352250598634889E-2</v>
      </c>
    </row>
    <row r="88" spans="3:10" x14ac:dyDescent="0.25">
      <c r="D88" s="3"/>
      <c r="E88" s="2" t="str">
        <f>'Billing Detail'!D283</f>
        <v>Demand Charge per kW</v>
      </c>
      <c r="F88" s="91">
        <f>'Billing Detail'!H283</f>
        <v>7.23</v>
      </c>
      <c r="G88" s="91">
        <f>'Billing Detail'!L283</f>
        <v>7.4494467718281303</v>
      </c>
      <c r="J88" s="4">
        <f t="shared" si="5"/>
        <v>3.0352250598634889E-2</v>
      </c>
    </row>
    <row r="89" spans="3:10" x14ac:dyDescent="0.25">
      <c r="D89" s="3"/>
      <c r="E89" s="2" t="str">
        <f>'Billing Detail'!D284</f>
        <v>Energy Charge per kWh</v>
      </c>
      <c r="F89" s="92">
        <f>'Billing Detail'!H284</f>
        <v>4.4850000000000001E-2</v>
      </c>
      <c r="G89" s="92">
        <f>'Billing Detail'!L284</f>
        <v>4.6211298439348777E-2</v>
      </c>
      <c r="J89" s="4">
        <f t="shared" si="5"/>
        <v>3.0352250598634889E-2</v>
      </c>
    </row>
    <row r="90" spans="3:10" x14ac:dyDescent="0.25">
      <c r="C90" s="21" t="str">
        <f>'Billing Detail'!C285</f>
        <v>13(b)</v>
      </c>
      <c r="D90" s="3" t="str">
        <f>'Billing Detail'!B285</f>
        <v>Large Industrial HLF</v>
      </c>
      <c r="F90" s="91"/>
      <c r="G90" s="91"/>
      <c r="J90" s="4"/>
    </row>
    <row r="91" spans="3:10" x14ac:dyDescent="0.25">
      <c r="D91" s="3"/>
      <c r="E91" s="2" t="str">
        <f>'Billing Detail'!D286</f>
        <v xml:space="preserve">Customer Charge </v>
      </c>
      <c r="F91" s="91">
        <f>'Billing Detail'!H286</f>
        <v>1131.19</v>
      </c>
      <c r="G91" s="91">
        <f>'Billing Detail'!L286</f>
        <v>1165.5241623546699</v>
      </c>
      <c r="J91" s="4">
        <f t="shared" si="5"/>
        <v>3.0352250598634889E-2</v>
      </c>
    </row>
    <row r="92" spans="3:10" x14ac:dyDescent="0.25">
      <c r="D92" s="3"/>
      <c r="E92" s="2" t="str">
        <f>'Billing Detail'!D287</f>
        <v>Demand Charge per kW</v>
      </c>
      <c r="F92" s="91">
        <f>'Billing Detail'!H287</f>
        <v>10.5</v>
      </c>
      <c r="G92" s="91">
        <f>'Billing Detail'!L287</f>
        <v>10.818698631285667</v>
      </c>
      <c r="J92" s="4">
        <f t="shared" si="5"/>
        <v>3.0352250598634889E-2</v>
      </c>
    </row>
    <row r="93" spans="3:10" x14ac:dyDescent="0.25">
      <c r="D93" s="3"/>
      <c r="E93" s="2" t="str">
        <f>'Billing Detail'!D288</f>
        <v>Energy Charge per kWh</v>
      </c>
      <c r="F93" s="92">
        <f>'Billing Detail'!H288</f>
        <v>4.249E-2</v>
      </c>
      <c r="G93" s="92">
        <f>'Billing Detail'!L288</f>
        <v>4.3779667127935996E-2</v>
      </c>
      <c r="J93" s="4">
        <f t="shared" si="5"/>
        <v>3.0352250598634889E-2</v>
      </c>
    </row>
    <row r="94" spans="3:10" x14ac:dyDescent="0.25">
      <c r="C94" s="21" t="str">
        <f>'Billing Detail'!C289</f>
        <v>13(c)</v>
      </c>
      <c r="D94" s="3" t="str">
        <f>'Billing Detail'!B289</f>
        <v>Large Industrial HLF</v>
      </c>
      <c r="F94" s="91"/>
      <c r="G94" s="91"/>
      <c r="J94" s="4"/>
    </row>
    <row r="95" spans="3:10" x14ac:dyDescent="0.25">
      <c r="D95" s="3"/>
      <c r="E95" s="2" t="str">
        <f>'Billing Detail'!D290</f>
        <v xml:space="preserve">Customer Charge </v>
      </c>
      <c r="F95" s="91">
        <f>'Billing Detail'!H290</f>
        <v>1131.19</v>
      </c>
      <c r="G95" s="91">
        <f>'Billing Detail'!L290</f>
        <v>1165.5241623546699</v>
      </c>
      <c r="J95" s="4">
        <f t="shared" si="5"/>
        <v>3.0352250598634889E-2</v>
      </c>
    </row>
    <row r="96" spans="3:10" x14ac:dyDescent="0.25">
      <c r="D96" s="3"/>
      <c r="E96" s="2" t="str">
        <f>'Billing Detail'!D291</f>
        <v>Demand Charge per kW</v>
      </c>
      <c r="F96" s="91">
        <f>'Billing Detail'!H291</f>
        <v>10.5</v>
      </c>
      <c r="G96" s="91">
        <f>'Billing Detail'!L291</f>
        <v>10.818698631285667</v>
      </c>
      <c r="J96" s="4">
        <f t="shared" si="5"/>
        <v>3.0352250598634889E-2</v>
      </c>
    </row>
    <row r="97" spans="3:10" x14ac:dyDescent="0.25">
      <c r="D97" s="3"/>
      <c r="E97" s="2" t="str">
        <f>'Billing Detail'!D292</f>
        <v>Energy Charge per kWh</v>
      </c>
      <c r="F97" s="92">
        <f>'Billing Detail'!H292</f>
        <v>4.1500000000000002E-2</v>
      </c>
      <c r="G97" s="92">
        <f>'Billing Detail'!L292</f>
        <v>4.2759618399843352E-2</v>
      </c>
      <c r="J97" s="4">
        <f t="shared" si="5"/>
        <v>3.0352250598634889E-2</v>
      </c>
    </row>
    <row r="98" spans="3:10" x14ac:dyDescent="0.25">
      <c r="C98" s="21" t="str">
        <f>'Billing Detail'!C293</f>
        <v>14(b)</v>
      </c>
      <c r="D98" s="3" t="str">
        <f>'Billing Detail'!B293</f>
        <v>Large Industrial MLF</v>
      </c>
      <c r="F98" s="91"/>
      <c r="G98" s="91"/>
      <c r="J98" s="4"/>
    </row>
    <row r="99" spans="3:10" x14ac:dyDescent="0.25">
      <c r="D99" s="3"/>
      <c r="E99" s="2" t="str">
        <f>'Billing Detail'!D294</f>
        <v xml:space="preserve">Customer Charge </v>
      </c>
      <c r="F99" s="91">
        <f>'Billing Detail'!H294</f>
        <v>1136.3699999999999</v>
      </c>
      <c r="G99" s="91">
        <f>'Billing Detail'!L294</f>
        <v>1170.8613870127706</v>
      </c>
      <c r="J99" s="4">
        <f t="shared" si="5"/>
        <v>3.0352250598634889E-2</v>
      </c>
    </row>
    <row r="100" spans="3:10" x14ac:dyDescent="0.25">
      <c r="D100" s="3"/>
      <c r="E100" s="2" t="str">
        <f>'Billing Detail'!D295</f>
        <v>Demand Charge Contract per kW</v>
      </c>
      <c r="F100" s="91">
        <f>'Billing Detail'!H295</f>
        <v>7.23</v>
      </c>
      <c r="G100" s="91">
        <f>'Billing Detail'!L295</f>
        <v>7.4494467718281303</v>
      </c>
      <c r="J100" s="4">
        <f t="shared" si="5"/>
        <v>3.0352250598634889E-2</v>
      </c>
    </row>
    <row r="101" spans="3:10" x14ac:dyDescent="0.25">
      <c r="D101" s="3"/>
      <c r="E101" s="2" t="str">
        <f>'Billing Detail'!D296</f>
        <v>Demand Charge Demand per kW</v>
      </c>
      <c r="F101" s="91">
        <f>'Billing Detail'!H296</f>
        <v>10.5</v>
      </c>
      <c r="G101" s="91">
        <f>'Billing Detail'!L296</f>
        <v>10.818698631285667</v>
      </c>
      <c r="J101" s="4">
        <f t="shared" si="5"/>
        <v>3.0352250598634889E-2</v>
      </c>
    </row>
    <row r="102" spans="3:10" x14ac:dyDescent="0.25">
      <c r="D102" s="3"/>
      <c r="E102" s="2" t="str">
        <f>'Billing Detail'!D297</f>
        <v>Energy Charge per kWh</v>
      </c>
      <c r="F102" s="92">
        <f>'Billing Detail'!H297</f>
        <v>4.249E-2</v>
      </c>
      <c r="G102" s="92">
        <f>'Billing Detail'!L297</f>
        <v>4.3779667127935996E-2</v>
      </c>
      <c r="J102" s="4">
        <f t="shared" si="5"/>
        <v>3.0352250598634889E-2</v>
      </c>
    </row>
    <row r="103" spans="3:10" x14ac:dyDescent="0.25">
      <c r="C103" s="21" t="str">
        <f>'Billing Detail'!C298</f>
        <v>14(c )</v>
      </c>
      <c r="D103" s="3" t="str">
        <f>'Billing Detail'!B298</f>
        <v>Large Industrial MLF</v>
      </c>
      <c r="F103" s="91"/>
      <c r="G103" s="91"/>
      <c r="J103" s="4"/>
    </row>
    <row r="104" spans="3:10" x14ac:dyDescent="0.25">
      <c r="D104" s="3"/>
      <c r="E104" s="2" t="str">
        <f>'Billing Detail'!D299</f>
        <v xml:space="preserve">Customer Charge </v>
      </c>
      <c r="F104" s="91">
        <f>'Billing Detail'!H299</f>
        <v>1136.3699999999999</v>
      </c>
      <c r="G104" s="91">
        <f>'Billing Detail'!L299</f>
        <v>1170.8613870127706</v>
      </c>
      <c r="J104" s="4">
        <f t="shared" si="5"/>
        <v>3.0352250598634889E-2</v>
      </c>
    </row>
    <row r="105" spans="3:10" x14ac:dyDescent="0.25">
      <c r="D105" s="3"/>
      <c r="E105" s="2" t="str">
        <f>'Billing Detail'!D300</f>
        <v>Demand Charge Contract per kW</v>
      </c>
      <c r="F105" s="91">
        <f>'Billing Detail'!H300</f>
        <v>7.23</v>
      </c>
      <c r="G105" s="91">
        <f>'Billing Detail'!L300</f>
        <v>7.4494467718281303</v>
      </c>
      <c r="J105" s="4">
        <f t="shared" si="5"/>
        <v>3.0352250598634889E-2</v>
      </c>
    </row>
    <row r="106" spans="3:10" x14ac:dyDescent="0.25">
      <c r="D106" s="3"/>
      <c r="E106" s="2" t="str">
        <f>'Billing Detail'!D301</f>
        <v>Demand Charge Demand per kW</v>
      </c>
      <c r="F106" s="91">
        <f>'Billing Detail'!H301</f>
        <v>10.5</v>
      </c>
      <c r="G106" s="91">
        <f>'Billing Detail'!L301</f>
        <v>10.818698631285667</v>
      </c>
      <c r="J106" s="4">
        <f t="shared" si="5"/>
        <v>3.0352250598634889E-2</v>
      </c>
    </row>
    <row r="107" spans="3:10" x14ac:dyDescent="0.25">
      <c r="D107" s="3"/>
      <c r="E107" s="2" t="str">
        <f>'Billing Detail'!D302</f>
        <v>Energy Charge per kWh</v>
      </c>
      <c r="F107" s="92">
        <f>'Billing Detail'!H302</f>
        <v>4.1500000000000002E-2</v>
      </c>
      <c r="G107" s="92">
        <f>'Billing Detail'!L302</f>
        <v>4.2759618399843352E-2</v>
      </c>
      <c r="J107" s="4">
        <f t="shared" si="5"/>
        <v>3.0352250598634889E-2</v>
      </c>
    </row>
    <row r="108" spans="3:10" x14ac:dyDescent="0.25">
      <c r="D108" s="3"/>
      <c r="F108" s="91"/>
      <c r="G108" s="91"/>
    </row>
    <row r="109" spans="3:10" x14ac:dyDescent="0.25">
      <c r="F109" s="91"/>
      <c r="G109" s="91"/>
    </row>
    <row r="110" spans="3:10" ht="41.4" customHeight="1" x14ac:dyDescent="0.25">
      <c r="C110" s="178" t="s">
        <v>55</v>
      </c>
      <c r="D110" s="178"/>
      <c r="E110" s="178"/>
      <c r="F110" s="178"/>
      <c r="G110" s="178"/>
    </row>
    <row r="111" spans="3:10" x14ac:dyDescent="0.25">
      <c r="D111" s="2"/>
      <c r="F111" s="179" t="s">
        <v>56</v>
      </c>
      <c r="G111" s="179"/>
    </row>
    <row r="112" spans="3:10" x14ac:dyDescent="0.25">
      <c r="C112" s="130" t="s">
        <v>57</v>
      </c>
      <c r="D112" s="103"/>
      <c r="E112" s="104"/>
      <c r="F112" s="105" t="s">
        <v>58</v>
      </c>
      <c r="G112" s="105" t="s">
        <v>59</v>
      </c>
    </row>
    <row r="113" spans="3:8" x14ac:dyDescent="0.25">
      <c r="C113" s="111">
        <f>Summary!C8</f>
        <v>1</v>
      </c>
      <c r="D113" s="3" t="str">
        <f>Summary!B8</f>
        <v xml:space="preserve">Residential  </v>
      </c>
      <c r="F113" s="106">
        <f>Summary!L8</f>
        <v>566413.37458000146</v>
      </c>
      <c r="G113" s="107">
        <f>Summary!N8</f>
        <v>2.863928591075977E-2</v>
      </c>
    </row>
    <row r="114" spans="3:8" x14ac:dyDescent="0.25">
      <c r="C114" s="111">
        <f>Summary!C10</f>
        <v>2</v>
      </c>
      <c r="D114" s="3" t="str">
        <f>Summary!B10</f>
        <v>Commercial &amp; Small Power</v>
      </c>
      <c r="F114" s="106">
        <f>Summary!L10</f>
        <v>65289.252360000042</v>
      </c>
      <c r="G114" s="107">
        <f>Summary!N10</f>
        <v>2.8707194560146188E-2</v>
      </c>
      <c r="H114" s="1"/>
    </row>
    <row r="115" spans="3:8" x14ac:dyDescent="0.25">
      <c r="C115" s="111">
        <f>Summary!C11</f>
        <v>4</v>
      </c>
      <c r="D115" s="3" t="str">
        <f>Summary!B11</f>
        <v xml:space="preserve">Large Power </v>
      </c>
      <c r="F115" s="106">
        <f>Summary!L11</f>
        <v>51454.885200000062</v>
      </c>
      <c r="G115" s="107">
        <f>Summary!N11</f>
        <v>2.9095342032557071E-2</v>
      </c>
      <c r="H115" s="1"/>
    </row>
    <row r="116" spans="3:8" x14ac:dyDescent="0.25">
      <c r="C116" s="111">
        <f>Summary!C12</f>
        <v>7</v>
      </c>
      <c r="D116" s="3" t="str">
        <f>Summary!B12</f>
        <v>All Electric Schools</v>
      </c>
      <c r="F116" s="106">
        <f>Summary!L12</f>
        <v>14990.487680000038</v>
      </c>
      <c r="G116" s="107">
        <f>Summary!N12</f>
        <v>2.8991485089337667E-2</v>
      </c>
      <c r="H116" s="1"/>
    </row>
    <row r="117" spans="3:8" x14ac:dyDescent="0.25">
      <c r="C117" s="111">
        <f>Summary!C13</f>
        <v>10</v>
      </c>
      <c r="D117" s="3" t="str">
        <f>Summary!B13</f>
        <v>Schedule 10 - Residential TOD</v>
      </c>
      <c r="F117" s="106">
        <f>Summary!L13</f>
        <v>176.20096000000001</v>
      </c>
      <c r="G117" s="107">
        <f>Summary!N13</f>
        <v>2.8805178118774755E-2</v>
      </c>
      <c r="H117" s="1"/>
    </row>
    <row r="118" spans="3:8" x14ac:dyDescent="0.25">
      <c r="C118" s="111">
        <f>Summary!C14</f>
        <v>14</v>
      </c>
      <c r="D118" s="3" t="str">
        <f>Summary!B14</f>
        <v>Schedule 14 - Large Industrial Service w/Pri Disc</v>
      </c>
      <c r="F118" s="106">
        <f>Summary!L14</f>
        <v>17260.330800000047</v>
      </c>
      <c r="G118" s="107">
        <f>Summary!N14</f>
        <v>3.1106661917653596E-2</v>
      </c>
      <c r="H118" s="1"/>
    </row>
    <row r="119" spans="3:8" x14ac:dyDescent="0.25">
      <c r="C119" s="111">
        <f>Summary!C15</f>
        <v>16</v>
      </c>
      <c r="D119" s="3" t="str">
        <f>Summary!B15</f>
        <v>Schedule 16 - Small Commercial Demand &amp; Energy Rate</v>
      </c>
      <c r="F119" s="106">
        <f>Summary!L15</f>
        <v>650.89339394999979</v>
      </c>
      <c r="G119" s="107">
        <f>Summary!N15</f>
        <v>2.9326750038910814E-2</v>
      </c>
      <c r="H119" s="1"/>
    </row>
    <row r="120" spans="3:8" x14ac:dyDescent="0.25">
      <c r="C120" s="111">
        <f>Summary!C16</f>
        <v>17</v>
      </c>
      <c r="D120" s="3" t="str">
        <f>Summary!B16</f>
        <v>Schedule 17 - Water Pumping Service</v>
      </c>
      <c r="F120" s="106">
        <f>Summary!L16</f>
        <v>43.229999999999961</v>
      </c>
      <c r="G120" s="107">
        <f>Summary!N16</f>
        <v>2.7867410175788386E-2</v>
      </c>
      <c r="H120" s="1"/>
    </row>
    <row r="121" spans="3:8" x14ac:dyDescent="0.25">
      <c r="C121" s="111">
        <f>Summary!C17</f>
        <v>18</v>
      </c>
      <c r="D121" s="3" t="str">
        <f>Summary!B17</f>
        <v>Schedule 18 - General Service Rate</v>
      </c>
      <c r="F121" s="106">
        <f>Summary!L17</f>
        <v>47732.070580000058</v>
      </c>
      <c r="G121" s="107">
        <f>Summary!N17</f>
        <v>2.8279188507407904E-2</v>
      </c>
      <c r="H121" s="1"/>
    </row>
    <row r="122" spans="3:8" x14ac:dyDescent="0.25">
      <c r="C122" s="111">
        <f>Summary!C18</f>
        <v>19</v>
      </c>
      <c r="D122" s="3" t="str">
        <f>Summary!B18</f>
        <v>Schedule 19 - Temporary Service Rate</v>
      </c>
      <c r="F122" s="106">
        <f>Summary!L18</f>
        <v>2140.1303000000044</v>
      </c>
      <c r="G122" s="107">
        <f>Summary!N18</f>
        <v>2.8328998040952749E-2</v>
      </c>
      <c r="H122" s="1"/>
    </row>
    <row r="123" spans="3:8" x14ac:dyDescent="0.25">
      <c r="C123" s="111">
        <f>Summary!C19</f>
        <v>20</v>
      </c>
      <c r="D123" s="3" t="str">
        <f>Summary!B19</f>
        <v>Schedule 20 - Inclining Block Rate</v>
      </c>
      <c r="F123" s="106">
        <f>Summary!L19</f>
        <v>795.33447999999953</v>
      </c>
      <c r="G123" s="107">
        <f>Summary!N19</f>
        <v>2.8874721459057787E-2</v>
      </c>
      <c r="H123" s="1"/>
    </row>
    <row r="124" spans="3:8" x14ac:dyDescent="0.25">
      <c r="C124" s="111">
        <f>Summary!C20</f>
        <v>21</v>
      </c>
      <c r="D124" s="3" t="str">
        <f>Summary!B20</f>
        <v>Schedule 21 - Prepay Metering Program (Residential)</v>
      </c>
      <c r="F124" s="106">
        <f>Summary!L20</f>
        <v>48739.740120000031</v>
      </c>
      <c r="G124" s="107">
        <f>Summary!N20</f>
        <v>2.7308223826559914E-2</v>
      </c>
      <c r="H124" s="1"/>
    </row>
    <row r="125" spans="3:8" x14ac:dyDescent="0.25">
      <c r="C125" s="111">
        <f>Summary!C21</f>
        <v>32</v>
      </c>
      <c r="D125" s="3" t="str">
        <f>Summary!B21</f>
        <v>Schedule 21 - Prepay Metering Program (General Service)</v>
      </c>
      <c r="F125" s="106">
        <f>Summary!L21</f>
        <v>697.19808000000194</v>
      </c>
      <c r="G125" s="107">
        <f>Summary!N21</f>
        <v>2.6249734000456996E-2</v>
      </c>
      <c r="H125" s="1"/>
    </row>
    <row r="126" spans="3:8" x14ac:dyDescent="0.25">
      <c r="C126" s="111">
        <f>Summary!C22</f>
        <v>22</v>
      </c>
      <c r="D126" s="3" t="str">
        <f>Summary!B22</f>
        <v>Schedule NM - Residential Net Metering</v>
      </c>
      <c r="F126" s="106">
        <f>Summary!L22</f>
        <v>175.03455000000099</v>
      </c>
      <c r="G126" s="107">
        <f>Summary!N22</f>
        <v>2.891515601376226E-2</v>
      </c>
      <c r="H126" s="1"/>
    </row>
    <row r="127" spans="3:8" x14ac:dyDescent="0.25">
      <c r="C127" s="111">
        <f>Summary!C23</f>
        <v>28</v>
      </c>
      <c r="D127" s="3" t="str">
        <f>Summary!B23</f>
        <v>Schedule NM - General Service Net Metering</v>
      </c>
      <c r="F127" s="106">
        <f>Summary!L23</f>
        <v>58.283520000000124</v>
      </c>
      <c r="G127" s="107">
        <f>Summary!N23</f>
        <v>3.1355218972958121E-2</v>
      </c>
      <c r="H127" s="1"/>
    </row>
    <row r="128" spans="3:8" x14ac:dyDescent="0.25">
      <c r="C128" s="111">
        <f>Summary!C24</f>
        <v>11</v>
      </c>
      <c r="D128" s="3" t="str">
        <f>Summary!B24</f>
        <v>Schedule 11 - Small Commercial TOD</v>
      </c>
      <c r="F128" s="106">
        <f>Summary!L24</f>
        <v>173.20335999999963</v>
      </c>
      <c r="G128" s="107">
        <f>Summary!N24</f>
        <v>2.7614962361783669E-2</v>
      </c>
    </row>
    <row r="129" spans="3:11" x14ac:dyDescent="0.25">
      <c r="C129" s="111">
        <f>Summary!C25</f>
        <v>30</v>
      </c>
      <c r="D129" s="3" t="str">
        <f>Summary!B25</f>
        <v>Industrial 14(a) - Large Industrial Service MLF</v>
      </c>
      <c r="F129" s="106">
        <f>Summary!L25</f>
        <v>53717.155040000034</v>
      </c>
      <c r="G129" s="107">
        <f>Summary!N25</f>
        <v>3.0654651331609637E-2</v>
      </c>
    </row>
    <row r="130" spans="3:11" x14ac:dyDescent="0.25">
      <c r="C130" s="111">
        <f>Summary!C26</f>
        <v>6</v>
      </c>
      <c r="D130" s="3" t="str">
        <f>Summary!B26</f>
        <v>Lighting</v>
      </c>
      <c r="F130" s="106">
        <f>Summary!L26</f>
        <v>20927.75</v>
      </c>
      <c r="G130" s="107">
        <f>Summary!N26</f>
        <v>3.0595298226583054E-2</v>
      </c>
    </row>
    <row r="131" spans="3:11" x14ac:dyDescent="0.25">
      <c r="C131" s="116"/>
      <c r="D131" s="127" t="s">
        <v>60</v>
      </c>
      <c r="E131" s="108"/>
      <c r="F131" s="128">
        <f>Summary!L38</f>
        <v>891434.55500395223</v>
      </c>
      <c r="G131" s="129">
        <f>Summary!N38</f>
        <v>2.8740671359622494E-2</v>
      </c>
    </row>
    <row r="132" spans="3:11" x14ac:dyDescent="0.25">
      <c r="D132" s="2"/>
    </row>
    <row r="133" spans="3:11" ht="40.200000000000003" customHeight="1" x14ac:dyDescent="0.25">
      <c r="C133" s="178" t="s">
        <v>61</v>
      </c>
      <c r="D133" s="178"/>
      <c r="E133" s="178"/>
      <c r="F133" s="178"/>
      <c r="G133" s="178"/>
      <c r="H133" s="178"/>
    </row>
    <row r="134" spans="3:11" x14ac:dyDescent="0.25">
      <c r="D134" s="2"/>
      <c r="E134" s="109" t="s">
        <v>18</v>
      </c>
      <c r="F134" s="179" t="s">
        <v>56</v>
      </c>
      <c r="G134" s="179"/>
    </row>
    <row r="135" spans="3:11" x14ac:dyDescent="0.25">
      <c r="C135" s="130" t="s">
        <v>57</v>
      </c>
      <c r="D135" s="104"/>
      <c r="E135" s="110" t="s">
        <v>62</v>
      </c>
      <c r="F135" s="105" t="s">
        <v>58</v>
      </c>
      <c r="G135" s="105" t="s">
        <v>59</v>
      </c>
    </row>
    <row r="136" spans="3:11" x14ac:dyDescent="0.25">
      <c r="C136" s="21">
        <f>Summary!C8</f>
        <v>1</v>
      </c>
      <c r="D136" s="123" t="str">
        <f>Summary!B8</f>
        <v xml:space="preserve">Residential  </v>
      </c>
      <c r="E136" s="112">
        <f>'Billing Detail'!E17</f>
        <v>1153.1207551531497</v>
      </c>
      <c r="F136" s="91">
        <f>'Billing Detail'!N17</f>
        <v>4.3645800391446699</v>
      </c>
      <c r="G136" s="4">
        <f>Summary!N8</f>
        <v>2.863928591075977E-2</v>
      </c>
      <c r="K136" s="16"/>
    </row>
    <row r="137" spans="3:11" x14ac:dyDescent="0.25">
      <c r="C137" s="21">
        <f>Summary!C10</f>
        <v>2</v>
      </c>
      <c r="D137" s="123" t="str">
        <f>Summary!B10</f>
        <v>Commercial &amp; Small Power</v>
      </c>
      <c r="E137" s="112">
        <f>'Billing Detail'!E43</f>
        <v>1238.0700751879699</v>
      </c>
      <c r="F137" s="91">
        <f>'Billing Detail'!N43</f>
        <v>4.9089663428571555</v>
      </c>
      <c r="G137" s="4">
        <f>Summary!N10</f>
        <v>2.8707194560146188E-2</v>
      </c>
      <c r="K137" s="16"/>
    </row>
    <row r="138" spans="3:11" x14ac:dyDescent="0.25">
      <c r="C138" s="21">
        <f>Summary!C11</f>
        <v>4</v>
      </c>
      <c r="D138" s="123" t="str">
        <f>Summary!B11</f>
        <v xml:space="preserve">Large Power </v>
      </c>
      <c r="E138" s="112">
        <f>'Billing Detail'!E56</f>
        <v>24476.86782376502</v>
      </c>
      <c r="F138" s="91">
        <f>'Billing Detail'!N56</f>
        <v>68.698111081441766</v>
      </c>
      <c r="G138" s="4">
        <f>Summary!N11</f>
        <v>2.9095342032557071E-2</v>
      </c>
      <c r="K138" s="16"/>
    </row>
    <row r="139" spans="3:11" x14ac:dyDescent="0.25">
      <c r="C139" s="21">
        <f>Summary!C12</f>
        <v>7</v>
      </c>
      <c r="D139" s="123" t="str">
        <f>Summary!B12</f>
        <v>All Electric Schools</v>
      </c>
      <c r="E139" s="112">
        <f>'Billing Detail'!E69</f>
        <v>47122.981481481482</v>
      </c>
      <c r="F139" s="91">
        <f>'Billing Detail'!N69</f>
        <v>138.80081185185099</v>
      </c>
      <c r="G139" s="4">
        <f>Summary!N12</f>
        <v>2.8991485089337667E-2</v>
      </c>
      <c r="K139" s="16"/>
    </row>
    <row r="140" spans="3:11" x14ac:dyDescent="0.25">
      <c r="C140" s="21">
        <f>Summary!C13</f>
        <v>10</v>
      </c>
      <c r="D140" s="123" t="str">
        <f>Summary!B13</f>
        <v>Schedule 10 - Residential TOD</v>
      </c>
      <c r="E140" s="112">
        <f>'Billing Detail'!E82</f>
        <v>2165.375</v>
      </c>
      <c r="F140" s="91">
        <f>'Billing Detail'!N82</f>
        <v>7.3417066666666528</v>
      </c>
      <c r="G140" s="4">
        <f>Summary!N13</f>
        <v>2.8805178118774755E-2</v>
      </c>
      <c r="K140" s="16"/>
    </row>
    <row r="141" spans="3:11" x14ac:dyDescent="0.25">
      <c r="C141" s="21">
        <f>Summary!C14</f>
        <v>14</v>
      </c>
      <c r="D141" s="123" t="str">
        <f>Summary!B14</f>
        <v>Schedule 14 - Large Industrial Service w/Pri Disc</v>
      </c>
      <c r="E141" s="112">
        <f>'Billing Detail'!E95</f>
        <v>87452.5</v>
      </c>
      <c r="F141" s="91">
        <f>'Billing Detail'!N95</f>
        <v>239.72681666666813</v>
      </c>
      <c r="G141" s="4">
        <f>Summary!N14</f>
        <v>3.1106661917653596E-2</v>
      </c>
      <c r="K141" s="16"/>
    </row>
    <row r="142" spans="3:11" x14ac:dyDescent="0.25">
      <c r="C142" s="21">
        <f>Summary!C15</f>
        <v>16</v>
      </c>
      <c r="D142" s="123" t="str">
        <f>Summary!B15</f>
        <v>Schedule 16 - Small Commercial Demand &amp; Energy Rate</v>
      </c>
      <c r="E142" s="112">
        <f>'Billing Detail'!E108</f>
        <v>4299.083333333333</v>
      </c>
      <c r="F142" s="91">
        <f>'Billing Detail'!N108</f>
        <v>10.84822323249989</v>
      </c>
      <c r="G142" s="4">
        <f>Summary!N15</f>
        <v>2.9326750038910814E-2</v>
      </c>
      <c r="K142" s="16"/>
    </row>
    <row r="143" spans="3:11" x14ac:dyDescent="0.25">
      <c r="C143" s="21">
        <f>Summary!C16</f>
        <v>17</v>
      </c>
      <c r="D143" s="123" t="str">
        <f>Summary!B16</f>
        <v>Schedule 17 - Water Pumping Service</v>
      </c>
      <c r="E143" s="112">
        <f>'Billing Detail'!E121</f>
        <v>776.66666666666663</v>
      </c>
      <c r="F143" s="91">
        <f>'Billing Detail'!N121</f>
        <v>3.602499999999992</v>
      </c>
      <c r="G143" s="4">
        <f>Summary!N16</f>
        <v>2.7867410175788386E-2</v>
      </c>
      <c r="K143" s="16"/>
    </row>
    <row r="144" spans="3:11" x14ac:dyDescent="0.25">
      <c r="C144" s="21">
        <f>Summary!C17</f>
        <v>18</v>
      </c>
      <c r="D144" s="123" t="str">
        <f>Summary!B17</f>
        <v>Schedule 18 - General Service Rate</v>
      </c>
      <c r="E144" s="113">
        <f>'Billing Detail'!E133</f>
        <v>232.88762976765412</v>
      </c>
      <c r="F144" s="91">
        <f>'Billing Detail'!N133</f>
        <v>1.8151146739171793</v>
      </c>
      <c r="G144" s="4">
        <f>Summary!N17</f>
        <v>2.8279188507407904E-2</v>
      </c>
      <c r="K144" s="16"/>
    </row>
    <row r="145" spans="3:11" x14ac:dyDescent="0.25">
      <c r="C145" s="21">
        <f>Summary!C18</f>
        <v>19</v>
      </c>
      <c r="D145" s="123" t="str">
        <f>Summary!B18</f>
        <v>Schedule 19 - Temporary Service Rate</v>
      </c>
      <c r="E145" s="112">
        <f>'Billing Detail'!E145</f>
        <v>651.57413793103444</v>
      </c>
      <c r="F145" s="91">
        <f>'Billing Detail'!N145</f>
        <v>3.6898798275862248</v>
      </c>
      <c r="G145" s="4">
        <f>Summary!N18</f>
        <v>2.8328998040952749E-2</v>
      </c>
      <c r="K145" s="16"/>
    </row>
    <row r="146" spans="3:11" x14ac:dyDescent="0.25">
      <c r="C146" s="21">
        <f>Summary!C19</f>
        <v>20</v>
      </c>
      <c r="D146" s="123" t="str">
        <f>Summary!B19</f>
        <v>Schedule 20 - Inclining Block Rate</v>
      </c>
      <c r="E146" s="112">
        <f>'Billing Detail'!E159</f>
        <v>439.66346153846155</v>
      </c>
      <c r="F146" s="91">
        <f>'Billing Detail'!N159</f>
        <v>1.9118617307692318</v>
      </c>
      <c r="G146" s="4">
        <f>Summary!N19</f>
        <v>2.8874721459057787E-2</v>
      </c>
      <c r="K146" s="16"/>
    </row>
    <row r="147" spans="3:11" x14ac:dyDescent="0.25">
      <c r="C147" s="21">
        <f>Summary!C20</f>
        <v>21</v>
      </c>
      <c r="D147" s="123" t="str">
        <f>Summary!B20</f>
        <v>Schedule 21 - Prepay Metering Program (Residential)</v>
      </c>
      <c r="E147" s="112">
        <f>'Billing Detail'!E171</f>
        <v>1251.1183250096044</v>
      </c>
      <c r="F147" s="91">
        <f>'Billing Detail'!N171</f>
        <v>4.6811121897810324</v>
      </c>
      <c r="G147" s="4">
        <f>Summary!N20</f>
        <v>2.7308223826559914E-2</v>
      </c>
      <c r="K147" s="16"/>
    </row>
    <row r="148" spans="3:11" x14ac:dyDescent="0.25">
      <c r="C148" s="21">
        <f>Summary!C21</f>
        <v>32</v>
      </c>
      <c r="D148" s="123" t="str">
        <f>Summary!B21</f>
        <v>Schedule 21 - Prepay Metering Program (General Service)</v>
      </c>
      <c r="E148" s="112">
        <f>'Billing Detail'!E183</f>
        <v>517.2987012987013</v>
      </c>
      <c r="F148" s="91">
        <f>'Billing Detail'!N183</f>
        <v>3.0181735064935111</v>
      </c>
      <c r="G148" s="4">
        <f>Summary!N21</f>
        <v>2.6249734000456996E-2</v>
      </c>
      <c r="K148" s="16"/>
    </row>
    <row r="149" spans="3:11" x14ac:dyDescent="0.25">
      <c r="C149" s="21">
        <f>Summary!C22</f>
        <v>22</v>
      </c>
      <c r="D149" s="123" t="str">
        <f>Summary!B22</f>
        <v>Schedule NM - Residential Net Metering</v>
      </c>
      <c r="E149" s="118">
        <f>'Billing Detail'!E195</f>
        <v>44085</v>
      </c>
      <c r="F149" s="117">
        <f>'Billing Detail'!N195</f>
        <v>3.432050000000018</v>
      </c>
      <c r="G149" s="4">
        <f>Summary!N22</f>
        <v>2.891515601376226E-2</v>
      </c>
      <c r="K149" s="16"/>
    </row>
    <row r="150" spans="3:11" x14ac:dyDescent="0.25">
      <c r="C150" s="21">
        <f>'Billing Detail'!C197</f>
        <v>28</v>
      </c>
      <c r="D150" s="123" t="str">
        <f>'Billing Detail'!B197</f>
        <v>Schedule NM - General Service Net Metering</v>
      </c>
      <c r="E150" s="118">
        <f>'Billing Detail'!E207</f>
        <v>11424</v>
      </c>
      <c r="F150" s="117">
        <f>'Billing Detail'!N207</f>
        <v>4.856960000000015</v>
      </c>
      <c r="G150" s="4">
        <f>Summary!N23</f>
        <v>3.1355218972958121E-2</v>
      </c>
      <c r="K150" s="16"/>
    </row>
    <row r="151" spans="3:11" x14ac:dyDescent="0.25">
      <c r="C151" s="21">
        <f>'Billing Detail'!C209</f>
        <v>11</v>
      </c>
      <c r="D151" s="2" t="str">
        <f>'Billing Detail'!B209</f>
        <v>Schedule 11 - Small Commercial TOD</v>
      </c>
      <c r="E151" s="88">
        <f>'Billing Detail'!E220</f>
        <v>140.13286713286712</v>
      </c>
      <c r="F151" s="15">
        <f>'Billing Detail'!N220</f>
        <v>1.211212307692314</v>
      </c>
      <c r="G151" s="4">
        <f>Summary!N24</f>
        <v>2.7614962361783669E-2</v>
      </c>
      <c r="K151" s="16"/>
    </row>
    <row r="152" spans="3:11" x14ac:dyDescent="0.25">
      <c r="C152" s="21">
        <f>'Billing Detail'!C222</f>
        <v>30</v>
      </c>
      <c r="D152" s="123" t="str">
        <f>'Billing Detail'!B222</f>
        <v>Industrial 14(a) - Large Industrial Service MLF</v>
      </c>
      <c r="E152" s="118">
        <f>'Billing Detail'!E234</f>
        <v>1242523.5</v>
      </c>
      <c r="F152" s="117">
        <f>'Billing Detail'!N234</f>
        <v>2238.2147933333326</v>
      </c>
      <c r="G152" s="4">
        <f>Summary!N25</f>
        <v>3.0654651331609637E-2</v>
      </c>
      <c r="K152" s="16"/>
    </row>
    <row r="153" spans="3:11" x14ac:dyDescent="0.25">
      <c r="C153" s="21">
        <f>'Billing Detail'!C236</f>
        <v>6</v>
      </c>
      <c r="D153" s="123" t="str">
        <f>'Billing Detail'!B236</f>
        <v>Lighting</v>
      </c>
      <c r="E153" s="119" t="s">
        <v>63</v>
      </c>
      <c r="F153" s="117" t="s">
        <v>63</v>
      </c>
      <c r="G153" s="4">
        <f>Summary!N26</f>
        <v>3.0595298226583054E-2</v>
      </c>
      <c r="K153" s="16"/>
    </row>
    <row r="154" spans="3:11" x14ac:dyDescent="0.25">
      <c r="D154" s="123"/>
      <c r="E154" s="118"/>
      <c r="F154" s="117"/>
      <c r="G154" s="4"/>
      <c r="K154" s="16"/>
    </row>
    <row r="155" spans="3:11" x14ac:dyDescent="0.25">
      <c r="D155" s="123"/>
      <c r="E155" s="118"/>
      <c r="F155" s="117"/>
      <c r="G155" s="4"/>
    </row>
    <row r="156" spans="3:11" x14ac:dyDescent="0.25">
      <c r="D156" s="123"/>
      <c r="E156" s="118"/>
      <c r="F156" s="117"/>
      <c r="G156" s="4"/>
    </row>
  </sheetData>
  <mergeCells count="4">
    <mergeCell ref="C110:G110"/>
    <mergeCell ref="F111:G111"/>
    <mergeCell ref="C133:H133"/>
    <mergeCell ref="F134:G134"/>
  </mergeCells>
  <printOptions horizontalCentered="1"/>
  <pageMargins left="0.7" right="0.7" top="0.75" bottom="0.75" header="0.3" footer="0.3"/>
  <pageSetup paperSize="9" scale="79" fitToHeight="2" orientation="portrait" r:id="rId1"/>
  <headerFooter>
    <oddHeader>&amp;R&amp;"Arial,Bold"&amp;10Exhibit 2
Page &amp;P of &amp;N</oddHeader>
  </headerFooter>
  <rowBreaks count="1" manualBreakCount="1">
    <brk id="6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2021-03-24T16:05:06Z</cp:lastPrinted>
  <dcterms:created xsi:type="dcterms:W3CDTF">2021-02-09T02:13:44Z</dcterms:created>
  <dcterms:modified xsi:type="dcterms:W3CDTF">2021-05-24T14:14:38Z</dcterms:modified>
</cp:coreProperties>
</file>