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Fleming-Mason\Analysis\"/>
    </mc:Choice>
  </mc:AlternateContent>
  <xr:revisionPtr revIDLastSave="0" documentId="13_ncr:1_{416C4503-C514-4C18-B223-391858400C5A}" xr6:coauthVersionLast="47" xr6:coauthVersionMax="47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Detail'!$A$1:$R$239</definedName>
    <definedName name="_xlnm.Print_Area" localSheetId="2">'Notice Table'!$A$1:$G$100</definedName>
    <definedName name="_xlnm.Print_Area" localSheetId="0">Summary!$A$1:$O$38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2" l="1"/>
  <c r="T13" i="2"/>
  <c r="T14" i="2"/>
  <c r="T15" i="2"/>
  <c r="T16" i="2"/>
  <c r="T17" i="2"/>
  <c r="T18" i="2"/>
  <c r="T19" i="2"/>
  <c r="T20" i="2"/>
  <c r="T21" i="2"/>
  <c r="T23" i="2"/>
  <c r="T24" i="2"/>
  <c r="T26" i="2"/>
  <c r="U12" i="2"/>
  <c r="U13" i="2"/>
  <c r="U14" i="2"/>
  <c r="U15" i="2"/>
  <c r="U16" i="2"/>
  <c r="U17" i="2"/>
  <c r="U18" i="2"/>
  <c r="U19" i="2"/>
  <c r="U20" i="2"/>
  <c r="U23" i="2"/>
  <c r="U24" i="2"/>
  <c r="U35" i="2"/>
  <c r="U11" i="2"/>
  <c r="T11" i="2"/>
  <c r="L149" i="1" l="1"/>
  <c r="L7" i="2"/>
  <c r="D55" i="3"/>
  <c r="E99" i="3" l="1"/>
  <c r="F99" i="3"/>
  <c r="E100" i="3"/>
  <c r="F100" i="3"/>
  <c r="F98" i="3"/>
  <c r="E98" i="3"/>
  <c r="C97" i="3"/>
  <c r="D97" i="3"/>
  <c r="F11" i="3"/>
  <c r="G11" i="3" s="1"/>
  <c r="J11" i="3" s="1"/>
  <c r="E161" i="1" l="1"/>
  <c r="E160" i="1"/>
  <c r="H149" i="1"/>
  <c r="L84" i="1" l="1"/>
  <c r="E157" i="1"/>
  <c r="E134" i="3" s="1"/>
  <c r="E93" i="1"/>
  <c r="E130" i="3" s="1"/>
  <c r="E80" i="1"/>
  <c r="E129" i="3" s="1"/>
  <c r="E119" i="1"/>
  <c r="E132" i="3" s="1"/>
  <c r="E106" i="1"/>
  <c r="E131" i="3" s="1"/>
  <c r="E68" i="1"/>
  <c r="E128" i="3" s="1"/>
  <c r="E55" i="1"/>
  <c r="E127" i="3" s="1"/>
  <c r="E42" i="1"/>
  <c r="E126" i="3" s="1"/>
  <c r="D135" i="3"/>
  <c r="C135" i="3"/>
  <c r="D134" i="3"/>
  <c r="C134" i="3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C124" i="3"/>
  <c r="D124" i="3"/>
  <c r="L147" i="1" l="1"/>
  <c r="G111" i="1" l="1"/>
  <c r="E94" i="3" l="1"/>
  <c r="F94" i="3"/>
  <c r="E95" i="3"/>
  <c r="F95" i="3"/>
  <c r="E96" i="3"/>
  <c r="F96" i="3"/>
  <c r="F93" i="3"/>
  <c r="E93" i="3"/>
  <c r="C92" i="3"/>
  <c r="D92" i="3"/>
  <c r="E90" i="3"/>
  <c r="F90" i="3"/>
  <c r="E91" i="3"/>
  <c r="F91" i="3"/>
  <c r="F89" i="3"/>
  <c r="E89" i="3"/>
  <c r="C88" i="3"/>
  <c r="D88" i="3"/>
  <c r="E85" i="3"/>
  <c r="F85" i="3"/>
  <c r="E86" i="3"/>
  <c r="F86" i="3"/>
  <c r="E87" i="3"/>
  <c r="F87" i="3"/>
  <c r="F84" i="3"/>
  <c r="E84" i="3"/>
  <c r="C83" i="3"/>
  <c r="D83" i="3"/>
  <c r="E81" i="3"/>
  <c r="F81" i="3"/>
  <c r="E82" i="3"/>
  <c r="F82" i="3"/>
  <c r="F80" i="3"/>
  <c r="E80" i="3"/>
  <c r="C79" i="3"/>
  <c r="D79" i="3"/>
  <c r="E76" i="3"/>
  <c r="F76" i="3"/>
  <c r="E77" i="3"/>
  <c r="F77" i="3"/>
  <c r="E78" i="3"/>
  <c r="F78" i="3"/>
  <c r="F75" i="3"/>
  <c r="E75" i="3"/>
  <c r="C74" i="3"/>
  <c r="D74" i="3"/>
  <c r="E72" i="3"/>
  <c r="F72" i="3"/>
  <c r="E73" i="3"/>
  <c r="F73" i="3"/>
  <c r="F71" i="3"/>
  <c r="E71" i="3"/>
  <c r="C70" i="3"/>
  <c r="D70" i="3"/>
  <c r="E68" i="3"/>
  <c r="F68" i="3"/>
  <c r="E69" i="3"/>
  <c r="F69" i="3"/>
  <c r="F67" i="3"/>
  <c r="E67" i="3"/>
  <c r="C66" i="3"/>
  <c r="D66" i="3"/>
  <c r="E64" i="3"/>
  <c r="F64" i="3"/>
  <c r="E65" i="3"/>
  <c r="F65" i="3"/>
  <c r="F63" i="3"/>
  <c r="E63" i="3"/>
  <c r="C62" i="3"/>
  <c r="D62" i="3"/>
  <c r="F61" i="3"/>
  <c r="F60" i="3"/>
  <c r="E61" i="3"/>
  <c r="E60" i="3"/>
  <c r="C59" i="3"/>
  <c r="D59" i="3"/>
  <c r="E57" i="3"/>
  <c r="F57" i="3"/>
  <c r="E58" i="3"/>
  <c r="F58" i="3"/>
  <c r="F56" i="3"/>
  <c r="E56" i="3"/>
  <c r="C55" i="3"/>
  <c r="D54" i="3"/>
  <c r="E54" i="3"/>
  <c r="F54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D49" i="3"/>
  <c r="E49" i="3"/>
  <c r="F49" i="3"/>
  <c r="D50" i="3"/>
  <c r="E50" i="3"/>
  <c r="F50" i="3"/>
  <c r="D51" i="3"/>
  <c r="E51" i="3"/>
  <c r="F51" i="3"/>
  <c r="D52" i="3"/>
  <c r="E52" i="3"/>
  <c r="F52" i="3"/>
  <c r="D53" i="3"/>
  <c r="E53" i="3"/>
  <c r="F53" i="3"/>
  <c r="F39" i="3"/>
  <c r="E39" i="3"/>
  <c r="D39" i="3"/>
  <c r="C38" i="3"/>
  <c r="D38" i="3"/>
  <c r="E36" i="3"/>
  <c r="F36" i="3"/>
  <c r="E37" i="3"/>
  <c r="F37" i="3"/>
  <c r="F35" i="3"/>
  <c r="E35" i="3"/>
  <c r="C34" i="3"/>
  <c r="D34" i="3"/>
  <c r="E32" i="3"/>
  <c r="F32" i="3"/>
  <c r="E33" i="3"/>
  <c r="F33" i="3"/>
  <c r="F31" i="3"/>
  <c r="E31" i="3"/>
  <c r="C30" i="3"/>
  <c r="D30" i="3"/>
  <c r="E29" i="3"/>
  <c r="F29" i="3"/>
  <c r="F28" i="3"/>
  <c r="E28" i="3"/>
  <c r="C27" i="3"/>
  <c r="D27" i="3"/>
  <c r="E25" i="3"/>
  <c r="F25" i="3"/>
  <c r="E26" i="3"/>
  <c r="F26" i="3"/>
  <c r="F24" i="3"/>
  <c r="E24" i="3"/>
  <c r="C23" i="3"/>
  <c r="D23" i="3"/>
  <c r="E21" i="3"/>
  <c r="F21" i="3"/>
  <c r="E22" i="3"/>
  <c r="F22" i="3"/>
  <c r="F20" i="3"/>
  <c r="E20" i="3"/>
  <c r="C19" i="3"/>
  <c r="D19" i="3"/>
  <c r="E16" i="3"/>
  <c r="F16" i="3"/>
  <c r="E17" i="3"/>
  <c r="F17" i="3"/>
  <c r="E18" i="3"/>
  <c r="F18" i="3"/>
  <c r="F15" i="3"/>
  <c r="E15" i="3"/>
  <c r="C14" i="3"/>
  <c r="D14" i="3"/>
  <c r="F13" i="3"/>
  <c r="E13" i="3"/>
  <c r="C12" i="3"/>
  <c r="D12" i="3"/>
  <c r="F7" i="3"/>
  <c r="F10" i="3" s="1"/>
  <c r="F6" i="3"/>
  <c r="F9" i="3" s="1"/>
  <c r="E7" i="3"/>
  <c r="E10" i="3" s="1"/>
  <c r="E6" i="3"/>
  <c r="E9" i="3" s="1"/>
  <c r="C5" i="3"/>
  <c r="D5" i="3"/>
  <c r="A1" i="3"/>
  <c r="N177" i="1"/>
  <c r="G177" i="1"/>
  <c r="I151" i="1"/>
  <c r="I113" i="1"/>
  <c r="I100" i="1"/>
  <c r="I74" i="1"/>
  <c r="I62" i="1"/>
  <c r="I49" i="1"/>
  <c r="I36" i="1"/>
  <c r="I22" i="1"/>
  <c r="I148" i="1" l="1"/>
  <c r="I149" i="1"/>
  <c r="I163" i="1" l="1"/>
  <c r="L83" i="1" l="1"/>
  <c r="E83" i="1"/>
  <c r="G24" i="2" l="1"/>
  <c r="I24" i="2" s="1"/>
  <c r="C19" i="2"/>
  <c r="B19" i="2"/>
  <c r="D115" i="3" s="1"/>
  <c r="G117" i="1"/>
  <c r="I116" i="1"/>
  <c r="M116" i="1" s="1"/>
  <c r="I115" i="1"/>
  <c r="M115" i="1" s="1"/>
  <c r="N115" i="1" s="1"/>
  <c r="I114" i="1"/>
  <c r="M114" i="1" s="1"/>
  <c r="N114" i="1" s="1"/>
  <c r="M113" i="1"/>
  <c r="I111" i="1"/>
  <c r="I110" i="1"/>
  <c r="G110" i="1"/>
  <c r="I109" i="1"/>
  <c r="G109" i="1"/>
  <c r="C115" i="3" l="1"/>
  <c r="G112" i="1"/>
  <c r="G118" i="1" s="1"/>
  <c r="G119" i="1" s="1"/>
  <c r="N113" i="1"/>
  <c r="M117" i="1"/>
  <c r="I117" i="1"/>
  <c r="I112" i="1"/>
  <c r="D19" i="2" l="1"/>
  <c r="E19" i="2"/>
  <c r="I118" i="1"/>
  <c r="I119" i="1" s="1"/>
  <c r="N117" i="1"/>
  <c r="O117" i="1" s="1"/>
  <c r="J110" i="1"/>
  <c r="J109" i="1"/>
  <c r="J111" i="1"/>
  <c r="G19" i="2" l="1"/>
  <c r="J112" i="1"/>
  <c r="B24" i="2" l="1"/>
  <c r="D118" i="3" s="1"/>
  <c r="C24" i="2"/>
  <c r="C118" i="3" s="1"/>
  <c r="C18" i="2"/>
  <c r="B18" i="2"/>
  <c r="D114" i="3" s="1"/>
  <c r="C17" i="2"/>
  <c r="B17" i="2"/>
  <c r="D113" i="3" s="1"/>
  <c r="G12" i="1"/>
  <c r="G175" i="1" s="1"/>
  <c r="G11" i="1"/>
  <c r="E9" i="1"/>
  <c r="E8" i="1"/>
  <c r="G13" i="1"/>
  <c r="G176" i="1" s="1"/>
  <c r="C113" i="3" l="1"/>
  <c r="C114" i="3"/>
  <c r="E17" i="1"/>
  <c r="E124" i="3" s="1"/>
  <c r="G174" i="1"/>
  <c r="I11" i="1"/>
  <c r="I174" i="1" s="1"/>
  <c r="G104" i="1"/>
  <c r="I103" i="1"/>
  <c r="M103" i="1" s="1"/>
  <c r="I102" i="1"/>
  <c r="I101" i="1"/>
  <c r="I98" i="1"/>
  <c r="G98" i="1"/>
  <c r="I97" i="1"/>
  <c r="G97" i="1"/>
  <c r="I96" i="1"/>
  <c r="G96" i="1"/>
  <c r="I32" i="1"/>
  <c r="G32" i="1"/>
  <c r="I33" i="1"/>
  <c r="G33" i="1"/>
  <c r="M101" i="1" l="1"/>
  <c r="N101" i="1" s="1"/>
  <c r="G99" i="1"/>
  <c r="I104" i="1"/>
  <c r="M100" i="1"/>
  <c r="M102" i="1"/>
  <c r="N102" i="1" s="1"/>
  <c r="I99" i="1"/>
  <c r="J98" i="1" s="1"/>
  <c r="J97" i="1" l="1"/>
  <c r="G105" i="1"/>
  <c r="G106" i="1" s="1"/>
  <c r="D18" i="2"/>
  <c r="J96" i="1"/>
  <c r="E18" i="2"/>
  <c r="N100" i="1"/>
  <c r="M104" i="1"/>
  <c r="I105" i="1"/>
  <c r="I106" i="1" s="1"/>
  <c r="G18" i="2" l="1"/>
  <c r="N104" i="1"/>
  <c r="O104" i="1" s="1"/>
  <c r="L36" i="2" l="1"/>
  <c r="G23" i="2"/>
  <c r="I23" i="2" s="1"/>
  <c r="C23" i="2"/>
  <c r="C117" i="3" s="1"/>
  <c r="B23" i="2"/>
  <c r="D117" i="3" s="1"/>
  <c r="G155" i="1"/>
  <c r="I154" i="1"/>
  <c r="M154" i="1" s="1"/>
  <c r="I153" i="1"/>
  <c r="M153" i="1" s="1"/>
  <c r="N153" i="1" s="1"/>
  <c r="I152" i="1"/>
  <c r="M152" i="1" s="1"/>
  <c r="N152" i="1" s="1"/>
  <c r="M151" i="1"/>
  <c r="G149" i="1"/>
  <c r="G148" i="1"/>
  <c r="I147" i="1"/>
  <c r="G147" i="1"/>
  <c r="G150" i="1" l="1"/>
  <c r="I150" i="1"/>
  <c r="N151" i="1"/>
  <c r="M155" i="1"/>
  <c r="I155" i="1"/>
  <c r="G156" i="1" l="1"/>
  <c r="G157" i="1" s="1"/>
  <c r="D23" i="2"/>
  <c r="K150" i="1"/>
  <c r="E23" i="2"/>
  <c r="J149" i="1"/>
  <c r="J148" i="1"/>
  <c r="J147" i="1"/>
  <c r="I156" i="1"/>
  <c r="I157" i="1" s="1"/>
  <c r="N155" i="1"/>
  <c r="O155" i="1" s="1"/>
  <c r="M149" i="1" l="1"/>
  <c r="N149" i="1" s="1"/>
  <c r="G58" i="3"/>
  <c r="J58" i="3" s="1"/>
  <c r="T149" i="1"/>
  <c r="G56" i="3"/>
  <c r="J56" i="3" s="1"/>
  <c r="J150" i="1"/>
  <c r="M148" i="1" l="1"/>
  <c r="N148" i="1" s="1"/>
  <c r="G57" i="3"/>
  <c r="J57" i="3" s="1"/>
  <c r="T147" i="1"/>
  <c r="M147" i="1"/>
  <c r="O149" i="1"/>
  <c r="N147" i="1" l="1"/>
  <c r="O147" i="1" s="1"/>
  <c r="C15" i="2" l="1"/>
  <c r="B15" i="2"/>
  <c r="D111" i="3" s="1"/>
  <c r="C13" i="2"/>
  <c r="I161" i="1"/>
  <c r="G161" i="1"/>
  <c r="I72" i="1"/>
  <c r="G72" i="1"/>
  <c r="I60" i="1"/>
  <c r="G60" i="1"/>
  <c r="I59" i="1"/>
  <c r="G59" i="1"/>
  <c r="C109" i="3" l="1"/>
  <c r="C111" i="3"/>
  <c r="I46" i="1"/>
  <c r="G46" i="1"/>
  <c r="I20" i="1"/>
  <c r="G20" i="1"/>
  <c r="G66" i="1" l="1"/>
  <c r="I65" i="1"/>
  <c r="M65" i="1" s="1"/>
  <c r="I64" i="1"/>
  <c r="M64" i="1" s="1"/>
  <c r="N64" i="1" s="1"/>
  <c r="I63" i="1"/>
  <c r="M63" i="1" s="1"/>
  <c r="N63" i="1" s="1"/>
  <c r="M62" i="1"/>
  <c r="I58" i="1"/>
  <c r="G58" i="1"/>
  <c r="I34" i="1"/>
  <c r="G34" i="1"/>
  <c r="I61" i="1" l="1"/>
  <c r="G61" i="1"/>
  <c r="N62" i="1"/>
  <c r="M66" i="1"/>
  <c r="I66" i="1"/>
  <c r="G67" i="1" l="1"/>
  <c r="G68" i="1" s="1"/>
  <c r="D15" i="2"/>
  <c r="E15" i="2"/>
  <c r="J59" i="1"/>
  <c r="J60" i="1"/>
  <c r="I67" i="1"/>
  <c r="I68" i="1" s="1"/>
  <c r="J58" i="1"/>
  <c r="N66" i="1"/>
  <c r="O6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G15" i="2" l="1"/>
  <c r="J61" i="1"/>
  <c r="I52" i="1"/>
  <c r="M52" i="1" s="1"/>
  <c r="I51" i="1"/>
  <c r="M51" i="1" s="1"/>
  <c r="I50" i="1"/>
  <c r="M50" i="1" s="1"/>
  <c r="I166" i="1"/>
  <c r="M166" i="1" s="1"/>
  <c r="I164" i="1"/>
  <c r="M164" i="1" s="1"/>
  <c r="I90" i="1"/>
  <c r="M90" i="1" s="1"/>
  <c r="I89" i="1"/>
  <c r="I88" i="1"/>
  <c r="I77" i="1"/>
  <c r="M77" i="1" s="1"/>
  <c r="I76" i="1"/>
  <c r="I75" i="1"/>
  <c r="M75" i="1" s="1"/>
  <c r="I39" i="1"/>
  <c r="M39" i="1" s="1"/>
  <c r="I38" i="1"/>
  <c r="M38" i="1" s="1"/>
  <c r="I37" i="1"/>
  <c r="M37" i="1" s="1"/>
  <c r="I25" i="1"/>
  <c r="M25" i="1" s="1"/>
  <c r="I24" i="1"/>
  <c r="M24" i="1" s="1"/>
  <c r="I23" i="1"/>
  <c r="M23" i="1" s="1"/>
  <c r="I14" i="1"/>
  <c r="I13" i="1"/>
  <c r="I12" i="1"/>
  <c r="B32" i="2"/>
  <c r="I175" i="1" l="1"/>
  <c r="I177" i="1"/>
  <c r="E32" i="2" s="1"/>
  <c r="M13" i="1"/>
  <c r="M12" i="1"/>
  <c r="M89" i="1"/>
  <c r="M14" i="1"/>
  <c r="M177" i="1" s="1"/>
  <c r="M88" i="1"/>
  <c r="M76" i="1"/>
  <c r="I26" i="1"/>
  <c r="I40" i="1"/>
  <c r="G167" i="1"/>
  <c r="I165" i="1"/>
  <c r="I176" i="1" s="1"/>
  <c r="G15" i="1"/>
  <c r="G53" i="1"/>
  <c r="D32" i="2"/>
  <c r="G91" i="1"/>
  <c r="G78" i="1"/>
  <c r="G40" i="1"/>
  <c r="G26" i="1"/>
  <c r="I178" i="1" l="1"/>
  <c r="J32" i="2"/>
  <c r="I91" i="1"/>
  <c r="I15" i="1"/>
  <c r="I53" i="1"/>
  <c r="I78" i="1"/>
  <c r="I167" i="1"/>
  <c r="M165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E31" i="2" l="1"/>
  <c r="E30" i="2"/>
  <c r="D31" i="2"/>
  <c r="D30" i="2"/>
  <c r="C16" i="2"/>
  <c r="C14" i="2"/>
  <c r="C20" i="2"/>
  <c r="B20" i="2"/>
  <c r="D116" i="3" s="1"/>
  <c r="B14" i="2"/>
  <c r="D110" i="3" s="1"/>
  <c r="B16" i="2"/>
  <c r="D112" i="3" s="1"/>
  <c r="B13" i="2"/>
  <c r="D109" i="3" s="1"/>
  <c r="C12" i="2"/>
  <c r="C11" i="2"/>
  <c r="B12" i="2"/>
  <c r="D108" i="3" s="1"/>
  <c r="B11" i="2"/>
  <c r="D107" i="3" s="1"/>
  <c r="I85" i="1"/>
  <c r="G85" i="1"/>
  <c r="N76" i="1"/>
  <c r="N75" i="1"/>
  <c r="M74" i="1"/>
  <c r="I71" i="1"/>
  <c r="G71" i="1"/>
  <c r="N38" i="1"/>
  <c r="N37" i="1"/>
  <c r="M36" i="1"/>
  <c r="I31" i="1"/>
  <c r="G31" i="1"/>
  <c r="N24" i="1"/>
  <c r="N23" i="1"/>
  <c r="M22" i="1"/>
  <c r="N89" i="1"/>
  <c r="N88" i="1"/>
  <c r="M87" i="1"/>
  <c r="I84" i="1"/>
  <c r="G84" i="1"/>
  <c r="I83" i="1"/>
  <c r="G83" i="1"/>
  <c r="N165" i="1"/>
  <c r="N164" i="1"/>
  <c r="M163" i="1"/>
  <c r="I160" i="1"/>
  <c r="G160" i="1"/>
  <c r="N51" i="1"/>
  <c r="N50" i="1"/>
  <c r="M49" i="1"/>
  <c r="I47" i="1"/>
  <c r="G47" i="1"/>
  <c r="I45" i="1"/>
  <c r="G45" i="1"/>
  <c r="C116" i="3" l="1"/>
  <c r="C110" i="3"/>
  <c r="C107" i="3"/>
  <c r="C112" i="3"/>
  <c r="C108" i="3"/>
  <c r="N22" i="1"/>
  <c r="M26" i="1"/>
  <c r="N49" i="1"/>
  <c r="M53" i="1"/>
  <c r="N163" i="1"/>
  <c r="M167" i="1"/>
  <c r="N87" i="1"/>
  <c r="M91" i="1"/>
  <c r="N74" i="1"/>
  <c r="M78" i="1"/>
  <c r="N36" i="1"/>
  <c r="M40" i="1"/>
  <c r="G178" i="1"/>
  <c r="E29" i="2"/>
  <c r="E33" i="2" s="1"/>
  <c r="G35" i="1"/>
  <c r="D13" i="2" s="1"/>
  <c r="D29" i="2"/>
  <c r="D33" i="2" s="1"/>
  <c r="G21" i="1"/>
  <c r="G73" i="1"/>
  <c r="I73" i="1"/>
  <c r="I35" i="1"/>
  <c r="I21" i="1"/>
  <c r="G86" i="1"/>
  <c r="D17" i="2" s="1"/>
  <c r="I48" i="1"/>
  <c r="G162" i="1"/>
  <c r="D24" i="2" s="1"/>
  <c r="I86" i="1"/>
  <c r="K86" i="1" s="1"/>
  <c r="I162" i="1"/>
  <c r="G48" i="1"/>
  <c r="G122" i="1"/>
  <c r="I122" i="1"/>
  <c r="G143" i="1"/>
  <c r="M141" i="1"/>
  <c r="M176" i="1" s="1"/>
  <c r="M140" i="1"/>
  <c r="M175" i="1" s="1"/>
  <c r="M139" i="1"/>
  <c r="N139" i="1" s="1"/>
  <c r="B30" i="2"/>
  <c r="B31" i="2"/>
  <c r="B29" i="2"/>
  <c r="M11" i="1"/>
  <c r="M174" i="1" s="1"/>
  <c r="I9" i="1"/>
  <c r="I8" i="1"/>
  <c r="G9" i="1"/>
  <c r="G8" i="1"/>
  <c r="A2" i="1"/>
  <c r="A1" i="1"/>
  <c r="A11" i="2"/>
  <c r="A12" i="2" s="1"/>
  <c r="A13" i="2" s="1"/>
  <c r="A14" i="2" s="1"/>
  <c r="A15" i="2" s="1"/>
  <c r="A16" i="2" s="1"/>
  <c r="A17" i="2" s="1"/>
  <c r="E24" i="2" l="1"/>
  <c r="K162" i="1"/>
  <c r="J84" i="1"/>
  <c r="J85" i="1"/>
  <c r="J83" i="1"/>
  <c r="A18" i="2"/>
  <c r="M15" i="1"/>
  <c r="M178" i="1"/>
  <c r="E17" i="2"/>
  <c r="J32" i="1"/>
  <c r="J33" i="1"/>
  <c r="J34" i="1"/>
  <c r="J31" i="1"/>
  <c r="D12" i="2"/>
  <c r="J161" i="1"/>
  <c r="J20" i="1"/>
  <c r="E13" i="2"/>
  <c r="N140" i="1"/>
  <c r="J72" i="1"/>
  <c r="N141" i="1"/>
  <c r="J31" i="2"/>
  <c r="J47" i="1"/>
  <c r="J46" i="1"/>
  <c r="J160" i="1"/>
  <c r="J45" i="1"/>
  <c r="J71" i="1"/>
  <c r="G41" i="1"/>
  <c r="G42" i="1" s="1"/>
  <c r="G27" i="1"/>
  <c r="N12" i="1"/>
  <c r="J30" i="2"/>
  <c r="N13" i="1"/>
  <c r="G79" i="1"/>
  <c r="G80" i="1" s="1"/>
  <c r="D16" i="2"/>
  <c r="I41" i="1"/>
  <c r="I42" i="1" s="1"/>
  <c r="G54" i="1"/>
  <c r="G55" i="1" s="1"/>
  <c r="D14" i="2"/>
  <c r="I54" i="1"/>
  <c r="I55" i="1" s="1"/>
  <c r="E14" i="2"/>
  <c r="I92" i="1"/>
  <c r="I93" i="1" s="1"/>
  <c r="I168" i="1"/>
  <c r="I169" i="1" s="1"/>
  <c r="G168" i="1"/>
  <c r="G169" i="1" s="1"/>
  <c r="G92" i="1"/>
  <c r="G93" i="1" s="1"/>
  <c r="I27" i="1"/>
  <c r="E12" i="2"/>
  <c r="I79" i="1"/>
  <c r="I80" i="1" s="1"/>
  <c r="E16" i="2"/>
  <c r="N40" i="1"/>
  <c r="O40" i="1" s="1"/>
  <c r="N78" i="1"/>
  <c r="O78" i="1" s="1"/>
  <c r="N26" i="1"/>
  <c r="O26" i="1" s="1"/>
  <c r="N91" i="1"/>
  <c r="O91" i="1" s="1"/>
  <c r="N167" i="1"/>
  <c r="O167" i="1" s="1"/>
  <c r="N53" i="1"/>
  <c r="O53" i="1" s="1"/>
  <c r="G10" i="1"/>
  <c r="I10" i="1"/>
  <c r="I143" i="1"/>
  <c r="I138" i="1"/>
  <c r="G138" i="1"/>
  <c r="D20" i="2" s="1"/>
  <c r="N11" i="1"/>
  <c r="N174" i="1" s="1"/>
  <c r="G16" i="2" l="1"/>
  <c r="G14" i="2"/>
  <c r="G13" i="2"/>
  <c r="G12" i="2"/>
  <c r="G173" i="1"/>
  <c r="G179" i="1" s="1"/>
  <c r="N175" i="1"/>
  <c r="I173" i="1"/>
  <c r="I179" i="1" s="1"/>
  <c r="N176" i="1"/>
  <c r="A24" i="2"/>
  <c r="A20" i="2" s="1"/>
  <c r="A21" i="2" s="1"/>
  <c r="A22" i="2" s="1"/>
  <c r="A23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19" i="2"/>
  <c r="J99" i="1"/>
  <c r="J48" i="1"/>
  <c r="J162" i="1"/>
  <c r="J35" i="1"/>
  <c r="J29" i="2"/>
  <c r="J33" i="2" s="1"/>
  <c r="E20" i="2"/>
  <c r="J21" i="1"/>
  <c r="J86" i="1"/>
  <c r="J136" i="1"/>
  <c r="J129" i="1"/>
  <c r="J133" i="1"/>
  <c r="J130" i="1"/>
  <c r="J137" i="1"/>
  <c r="J127" i="1"/>
  <c r="J128" i="1"/>
  <c r="J134" i="1"/>
  <c r="J131" i="1"/>
  <c r="J135" i="1"/>
  <c r="J132" i="1"/>
  <c r="J126" i="1"/>
  <c r="J124" i="1"/>
  <c r="J125" i="1"/>
  <c r="J123" i="1"/>
  <c r="J9" i="1"/>
  <c r="J8" i="1"/>
  <c r="J73" i="1"/>
  <c r="L85" i="1"/>
  <c r="G144" i="1"/>
  <c r="E11" i="2"/>
  <c r="G16" i="1"/>
  <c r="D11" i="2"/>
  <c r="D21" i="2" s="1"/>
  <c r="J122" i="1"/>
  <c r="I144" i="1"/>
  <c r="M143" i="1"/>
  <c r="I16" i="1"/>
  <c r="I17" i="1" s="1"/>
  <c r="N15" i="1"/>
  <c r="N178" i="1" l="1"/>
  <c r="G20" i="2"/>
  <c r="G11" i="2"/>
  <c r="D26" i="2"/>
  <c r="D35" i="2" s="1"/>
  <c r="G21" i="2"/>
  <c r="M83" i="1"/>
  <c r="T83" i="1"/>
  <c r="M84" i="1"/>
  <c r="T84" i="1"/>
  <c r="M85" i="1"/>
  <c r="T85" i="1"/>
  <c r="E21" i="2"/>
  <c r="G17" i="1"/>
  <c r="J138" i="1"/>
  <c r="N143" i="1"/>
  <c r="O143" i="1" s="1"/>
  <c r="J10" i="1"/>
  <c r="H19" i="2" l="1"/>
  <c r="G26" i="2"/>
  <c r="F19" i="2"/>
  <c r="E26" i="2"/>
  <c r="N83" i="1"/>
  <c r="H17" i="2"/>
  <c r="F17" i="2"/>
  <c r="H20" i="2"/>
  <c r="H11" i="2"/>
  <c r="F15" i="2"/>
  <c r="H15" i="2"/>
  <c r="H12" i="2"/>
  <c r="H18" i="2"/>
  <c r="H13" i="2"/>
  <c r="H14" i="2"/>
  <c r="H16" i="2"/>
  <c r="F11" i="2"/>
  <c r="F13" i="2"/>
  <c r="N85" i="1"/>
  <c r="O85" i="1" s="1"/>
  <c r="N84" i="1"/>
  <c r="O84" i="1" s="1"/>
  <c r="M86" i="1"/>
  <c r="J17" i="2" s="1"/>
  <c r="F12" i="2"/>
  <c r="F20" i="2"/>
  <c r="F21" i="2"/>
  <c r="F18" i="2"/>
  <c r="F14" i="2"/>
  <c r="F16" i="2"/>
  <c r="I16" i="2" l="1"/>
  <c r="K73" i="1" s="1"/>
  <c r="S73" i="1" s="1"/>
  <c r="I20" i="2"/>
  <c r="K138" i="1" s="1"/>
  <c r="S138" i="1" s="1"/>
  <c r="L124" i="1" s="1"/>
  <c r="T124" i="1" s="1"/>
  <c r="I17" i="2"/>
  <c r="O17" i="2" s="1"/>
  <c r="I14" i="2"/>
  <c r="K48" i="1" s="1"/>
  <c r="S48" i="1" s="1"/>
  <c r="I13" i="2"/>
  <c r="K35" i="1" s="1"/>
  <c r="S35" i="1" s="1"/>
  <c r="I18" i="2"/>
  <c r="K99" i="1" s="1"/>
  <c r="S99" i="1" s="1"/>
  <c r="I12" i="2"/>
  <c r="K21" i="1" s="1"/>
  <c r="S21" i="1" s="1"/>
  <c r="I15" i="2"/>
  <c r="K61" i="1" s="1"/>
  <c r="S61" i="1" s="1"/>
  <c r="I11" i="2"/>
  <c r="K10" i="1" s="1"/>
  <c r="S10" i="1" s="1"/>
  <c r="I19" i="2"/>
  <c r="K112" i="1" s="1"/>
  <c r="S112" i="1" s="1"/>
  <c r="S162" i="1"/>
  <c r="E35" i="2"/>
  <c r="O83" i="1"/>
  <c r="R86" i="1"/>
  <c r="P84" i="1"/>
  <c r="Q84" i="1" s="1"/>
  <c r="P85" i="1"/>
  <c r="Q85" i="1" s="1"/>
  <c r="P83" i="1"/>
  <c r="N86" i="1"/>
  <c r="M92" i="1"/>
  <c r="M93" i="1" s="1"/>
  <c r="S189" i="1" l="1"/>
  <c r="L110" i="1"/>
  <c r="G36" i="3" s="1"/>
  <c r="J36" i="3" s="1"/>
  <c r="L20" i="1"/>
  <c r="G13" i="3" s="1"/>
  <c r="J13" i="3" s="1"/>
  <c r="L199" i="1"/>
  <c r="L97" i="1"/>
  <c r="L34" i="1"/>
  <c r="G18" i="3" s="1"/>
  <c r="J18" i="3" s="1"/>
  <c r="L33" i="1"/>
  <c r="T33" i="1" s="1"/>
  <c r="L32" i="1"/>
  <c r="G16" i="3" s="1"/>
  <c r="J16" i="3" s="1"/>
  <c r="L8" i="1"/>
  <c r="G6" i="3" s="1"/>
  <c r="L9" i="1"/>
  <c r="G7" i="3" s="1"/>
  <c r="L45" i="1"/>
  <c r="G20" i="3" s="1"/>
  <c r="J20" i="3" s="1"/>
  <c r="L47" i="1"/>
  <c r="G22" i="3" s="1"/>
  <c r="J22" i="3" s="1"/>
  <c r="L46" i="1"/>
  <c r="G21" i="3" s="1"/>
  <c r="J21" i="3" s="1"/>
  <c r="L59" i="1"/>
  <c r="M59" i="1" s="1"/>
  <c r="L72" i="1"/>
  <c r="G29" i="3" s="1"/>
  <c r="J29" i="3" s="1"/>
  <c r="S201" i="1"/>
  <c r="S221" i="1"/>
  <c r="L218" i="1" s="1"/>
  <c r="S227" i="1"/>
  <c r="S195" i="1"/>
  <c r="L193" i="1" s="1"/>
  <c r="S214" i="1"/>
  <c r="L128" i="1"/>
  <c r="G45" i="3" s="1"/>
  <c r="J45" i="3" s="1"/>
  <c r="L71" i="1"/>
  <c r="G28" i="3" s="1"/>
  <c r="J28" i="3" s="1"/>
  <c r="L126" i="1"/>
  <c r="G43" i="3" s="1"/>
  <c r="J43" i="3" s="1"/>
  <c r="L132" i="1"/>
  <c r="G49" i="3" s="1"/>
  <c r="J49" i="3" s="1"/>
  <c r="L122" i="1"/>
  <c r="T122" i="1" s="1"/>
  <c r="L125" i="1"/>
  <c r="G42" i="3" s="1"/>
  <c r="J42" i="3" s="1"/>
  <c r="L134" i="1"/>
  <c r="G51" i="3" s="1"/>
  <c r="J51" i="3" s="1"/>
  <c r="L133" i="1"/>
  <c r="G50" i="3" s="1"/>
  <c r="J50" i="3" s="1"/>
  <c r="L123" i="1"/>
  <c r="G40" i="3" s="1"/>
  <c r="J40" i="3" s="1"/>
  <c r="L129" i="1"/>
  <c r="G46" i="3" s="1"/>
  <c r="J46" i="3" s="1"/>
  <c r="L137" i="1"/>
  <c r="T137" i="1" s="1"/>
  <c r="L130" i="1"/>
  <c r="G47" i="3" s="1"/>
  <c r="J47" i="3" s="1"/>
  <c r="L58" i="1"/>
  <c r="G24" i="3" s="1"/>
  <c r="J24" i="3" s="1"/>
  <c r="L135" i="1"/>
  <c r="G52" i="3" s="1"/>
  <c r="J52" i="3" s="1"/>
  <c r="L127" i="1"/>
  <c r="M127" i="1" s="1"/>
  <c r="N127" i="1" s="1"/>
  <c r="O127" i="1" s="1"/>
  <c r="I21" i="2"/>
  <c r="I26" i="2" s="1"/>
  <c r="L60" i="1"/>
  <c r="G26" i="3" s="1"/>
  <c r="J26" i="3" s="1"/>
  <c r="L31" i="1"/>
  <c r="M31" i="1" s="1"/>
  <c r="N31" i="1" s="1"/>
  <c r="O31" i="1" s="1"/>
  <c r="L109" i="1"/>
  <c r="L198" i="1" s="1"/>
  <c r="L111" i="1"/>
  <c r="M124" i="1"/>
  <c r="N124" i="1" s="1"/>
  <c r="O124" i="1" s="1"/>
  <c r="G41" i="3"/>
  <c r="J41" i="3" s="1"/>
  <c r="L131" i="1"/>
  <c r="G48" i="3" s="1"/>
  <c r="J48" i="3" s="1"/>
  <c r="L136" i="1"/>
  <c r="G53" i="3" s="1"/>
  <c r="J53" i="3" s="1"/>
  <c r="L98" i="1"/>
  <c r="L96" i="1"/>
  <c r="O86" i="1"/>
  <c r="L17" i="2"/>
  <c r="T148" i="1"/>
  <c r="P86" i="1"/>
  <c r="Q86" i="1" s="1"/>
  <c r="N92" i="1"/>
  <c r="Q83" i="1"/>
  <c r="M45" i="1" l="1"/>
  <c r="N45" i="1" s="1"/>
  <c r="O45" i="1" s="1"/>
  <c r="T20" i="1"/>
  <c r="M20" i="1"/>
  <c r="N20" i="1" s="1"/>
  <c r="O20" i="1" s="1"/>
  <c r="T45" i="1"/>
  <c r="T59" i="1"/>
  <c r="M8" i="1"/>
  <c r="J7" i="3"/>
  <c r="G10" i="3"/>
  <c r="J10" i="3" s="1"/>
  <c r="J6" i="3"/>
  <c r="G9" i="3"/>
  <c r="J9" i="3" s="1"/>
  <c r="T8" i="1"/>
  <c r="M122" i="1"/>
  <c r="N122" i="1" s="1"/>
  <c r="O122" i="1" s="1"/>
  <c r="M132" i="1"/>
  <c r="N132" i="1" s="1"/>
  <c r="O132" i="1" s="1"/>
  <c r="M137" i="1"/>
  <c r="N137" i="1" s="1"/>
  <c r="O137" i="1" s="1"/>
  <c r="T34" i="1"/>
  <c r="T72" i="1"/>
  <c r="T132" i="1"/>
  <c r="M72" i="1"/>
  <c r="N72" i="1" s="1"/>
  <c r="O72" i="1" s="1"/>
  <c r="G15" i="3"/>
  <c r="J15" i="3" s="1"/>
  <c r="L212" i="1"/>
  <c r="G81" i="3" s="1"/>
  <c r="J81" i="3" s="1"/>
  <c r="G25" i="3"/>
  <c r="J25" i="3" s="1"/>
  <c r="G17" i="3"/>
  <c r="J17" i="3" s="1"/>
  <c r="M33" i="1"/>
  <c r="N33" i="1" s="1"/>
  <c r="O33" i="1" s="1"/>
  <c r="L187" i="1"/>
  <c r="G64" i="3" s="1"/>
  <c r="J64" i="3" s="1"/>
  <c r="G44" i="3"/>
  <c r="J44" i="3" s="1"/>
  <c r="M17" i="2"/>
  <c r="F113" i="3"/>
  <c r="O92" i="1"/>
  <c r="N93" i="1"/>
  <c r="F130" i="3" s="1"/>
  <c r="T127" i="1"/>
  <c r="M123" i="1"/>
  <c r="N123" i="1" s="1"/>
  <c r="O123" i="1" s="1"/>
  <c r="T123" i="1"/>
  <c r="T129" i="1"/>
  <c r="M71" i="1"/>
  <c r="M73" i="1" s="1"/>
  <c r="P72" i="1" s="1"/>
  <c r="Q72" i="1" s="1"/>
  <c r="T71" i="1"/>
  <c r="G37" i="3"/>
  <c r="J37" i="3" s="1"/>
  <c r="L188" i="1"/>
  <c r="G65" i="3" s="1"/>
  <c r="J65" i="3" s="1"/>
  <c r="G32" i="3"/>
  <c r="J32" i="3" s="1"/>
  <c r="L225" i="1"/>
  <c r="L231" i="1" s="1"/>
  <c r="G71" i="3"/>
  <c r="J71" i="3" s="1"/>
  <c r="L204" i="1"/>
  <c r="G75" i="3" s="1"/>
  <c r="J75" i="3" s="1"/>
  <c r="G33" i="3"/>
  <c r="J33" i="3" s="1"/>
  <c r="L226" i="1"/>
  <c r="L213" i="1"/>
  <c r="G82" i="3" s="1"/>
  <c r="J82" i="3" s="1"/>
  <c r="L200" i="1"/>
  <c r="L219" i="1"/>
  <c r="L192" i="1"/>
  <c r="G67" i="3" s="1"/>
  <c r="J67" i="3" s="1"/>
  <c r="G68" i="3"/>
  <c r="J68" i="3" s="1"/>
  <c r="L194" i="1"/>
  <c r="G69" i="3" s="1"/>
  <c r="J69" i="3" s="1"/>
  <c r="M34" i="1"/>
  <c r="N34" i="1" s="1"/>
  <c r="O34" i="1" s="1"/>
  <c r="M58" i="1"/>
  <c r="N58" i="1" s="1"/>
  <c r="O58" i="1" s="1"/>
  <c r="T32" i="1"/>
  <c r="G31" i="3"/>
  <c r="J31" i="3" s="1"/>
  <c r="L186" i="1"/>
  <c r="G63" i="3" s="1"/>
  <c r="J63" i="3" s="1"/>
  <c r="L224" i="1"/>
  <c r="L211" i="1"/>
  <c r="G80" i="3" s="1"/>
  <c r="J80" i="3" s="1"/>
  <c r="L217" i="1"/>
  <c r="S234" i="1"/>
  <c r="T218" i="1"/>
  <c r="M136" i="1"/>
  <c r="N136" i="1" s="1"/>
  <c r="O136" i="1" s="1"/>
  <c r="G72" i="3"/>
  <c r="J72" i="3" s="1"/>
  <c r="L205" i="1"/>
  <c r="G76" i="3" s="1"/>
  <c r="J76" i="3" s="1"/>
  <c r="M47" i="1"/>
  <c r="N47" i="1" s="1"/>
  <c r="O47" i="1" s="1"/>
  <c r="M129" i="1"/>
  <c r="N129" i="1" s="1"/>
  <c r="O129" i="1" s="1"/>
  <c r="G39" i="3"/>
  <c r="J39" i="3" s="1"/>
  <c r="M126" i="1"/>
  <c r="N126" i="1" s="1"/>
  <c r="O126" i="1" s="1"/>
  <c r="T47" i="1"/>
  <c r="M125" i="1"/>
  <c r="N125" i="1" s="1"/>
  <c r="O125" i="1" s="1"/>
  <c r="T135" i="1"/>
  <c r="G54" i="3"/>
  <c r="J54" i="3" s="1"/>
  <c r="T125" i="1"/>
  <c r="M135" i="1"/>
  <c r="N135" i="1" s="1"/>
  <c r="O135" i="1" s="1"/>
  <c r="M134" i="1"/>
  <c r="N134" i="1" s="1"/>
  <c r="O134" i="1" s="1"/>
  <c r="M9" i="1"/>
  <c r="N9" i="1" s="1"/>
  <c r="O9" i="1" s="1"/>
  <c r="T134" i="1"/>
  <c r="T9" i="1"/>
  <c r="T126" i="1"/>
  <c r="T128" i="1"/>
  <c r="M128" i="1"/>
  <c r="N128" i="1" s="1"/>
  <c r="O128" i="1" s="1"/>
  <c r="T136" i="1"/>
  <c r="T46" i="1"/>
  <c r="M130" i="1"/>
  <c r="N130" i="1" s="1"/>
  <c r="O130" i="1" s="1"/>
  <c r="M32" i="1"/>
  <c r="N32" i="1" s="1"/>
  <c r="O32" i="1" s="1"/>
  <c r="T133" i="1"/>
  <c r="T58" i="1"/>
  <c r="M46" i="1"/>
  <c r="N46" i="1" s="1"/>
  <c r="O46" i="1" s="1"/>
  <c r="T130" i="1"/>
  <c r="T60" i="1"/>
  <c r="M133" i="1"/>
  <c r="N133" i="1" s="1"/>
  <c r="O133" i="1" s="1"/>
  <c r="M60" i="1"/>
  <c r="N60" i="1" s="1"/>
  <c r="O60" i="1" s="1"/>
  <c r="T198" i="1"/>
  <c r="M131" i="1"/>
  <c r="N131" i="1" s="1"/>
  <c r="O131" i="1" s="1"/>
  <c r="T199" i="1"/>
  <c r="M161" i="1"/>
  <c r="N161" i="1" s="1"/>
  <c r="O161" i="1" s="1"/>
  <c r="G61" i="3"/>
  <c r="J61" i="3" s="1"/>
  <c r="T131" i="1"/>
  <c r="T193" i="1"/>
  <c r="T160" i="1"/>
  <c r="G60" i="3"/>
  <c r="J60" i="3" s="1"/>
  <c r="G35" i="3"/>
  <c r="J35" i="3" s="1"/>
  <c r="M109" i="1"/>
  <c r="T109" i="1"/>
  <c r="M160" i="1"/>
  <c r="T161" i="1"/>
  <c r="T110" i="1"/>
  <c r="M110" i="1"/>
  <c r="T111" i="1"/>
  <c r="M111" i="1"/>
  <c r="M96" i="1"/>
  <c r="T96" i="1"/>
  <c r="M97" i="1"/>
  <c r="N97" i="1" s="1"/>
  <c r="O97" i="1" s="1"/>
  <c r="T97" i="1"/>
  <c r="M98" i="1"/>
  <c r="N98" i="1" s="1"/>
  <c r="O98" i="1" s="1"/>
  <c r="T98" i="1"/>
  <c r="O148" i="1"/>
  <c r="M150" i="1"/>
  <c r="N59" i="1"/>
  <c r="O59" i="1" s="1"/>
  <c r="M21" i="1"/>
  <c r="N71" i="1"/>
  <c r="O71" i="1" s="1"/>
  <c r="N8" i="1"/>
  <c r="O8" i="1" s="1"/>
  <c r="T192" i="1" l="1"/>
  <c r="T187" i="1"/>
  <c r="T211" i="1"/>
  <c r="T212" i="1"/>
  <c r="G89" i="3"/>
  <c r="J89" i="3" s="1"/>
  <c r="G90" i="3"/>
  <c r="J90" i="3" s="1"/>
  <c r="G91" i="3"/>
  <c r="J91" i="3" s="1"/>
  <c r="T225" i="1"/>
  <c r="N17" i="2"/>
  <c r="G113" i="3" s="1"/>
  <c r="O93" i="1"/>
  <c r="G130" i="3" s="1"/>
  <c r="T213" i="1"/>
  <c r="T200" i="1"/>
  <c r="T188" i="1"/>
  <c r="T219" i="1"/>
  <c r="T205" i="1"/>
  <c r="M35" i="1"/>
  <c r="P34" i="1" s="1"/>
  <c r="Q34" i="1" s="1"/>
  <c r="T186" i="1"/>
  <c r="M48" i="1"/>
  <c r="P45" i="1" s="1"/>
  <c r="Q45" i="1" s="1"/>
  <c r="L230" i="1"/>
  <c r="G84" i="3"/>
  <c r="J84" i="3" s="1"/>
  <c r="T194" i="1"/>
  <c r="G85" i="3"/>
  <c r="J85" i="3" s="1"/>
  <c r="T217" i="1"/>
  <c r="L232" i="1"/>
  <c r="G86" i="3"/>
  <c r="J86" i="3" s="1"/>
  <c r="T204" i="1"/>
  <c r="T226" i="1"/>
  <c r="T224" i="1"/>
  <c r="G73" i="3"/>
  <c r="J73" i="3" s="1"/>
  <c r="L206" i="1"/>
  <c r="M138" i="1"/>
  <c r="P129" i="1" s="1"/>
  <c r="Q129" i="1" s="1"/>
  <c r="M10" i="1"/>
  <c r="R10" i="1" s="1"/>
  <c r="M162" i="1"/>
  <c r="J24" i="2" s="1"/>
  <c r="N109" i="1"/>
  <c r="O109" i="1" s="1"/>
  <c r="N160" i="1"/>
  <c r="O160" i="1" s="1"/>
  <c r="N111" i="1"/>
  <c r="O111" i="1" s="1"/>
  <c r="N110" i="1"/>
  <c r="O110" i="1" s="1"/>
  <c r="M112" i="1"/>
  <c r="J19" i="2" s="1"/>
  <c r="O19" i="2" s="1"/>
  <c r="M99" i="1"/>
  <c r="N96" i="1"/>
  <c r="O96" i="1" s="1"/>
  <c r="P147" i="1"/>
  <c r="P149" i="1"/>
  <c r="Q149" i="1" s="1"/>
  <c r="P148" i="1"/>
  <c r="Q148" i="1" s="1"/>
  <c r="J23" i="2"/>
  <c r="R150" i="1"/>
  <c r="N150" i="1"/>
  <c r="M156" i="1"/>
  <c r="M157" i="1" s="1"/>
  <c r="N21" i="1"/>
  <c r="M27" i="1"/>
  <c r="R21" i="1"/>
  <c r="J12" i="2"/>
  <c r="O12" i="2" s="1"/>
  <c r="P20" i="1"/>
  <c r="Q20" i="1" s="1"/>
  <c r="N73" i="1"/>
  <c r="J16" i="2"/>
  <c r="O16" i="2" s="1"/>
  <c r="M79" i="1"/>
  <c r="M80" i="1" s="1"/>
  <c r="R73" i="1"/>
  <c r="P71" i="1"/>
  <c r="M61" i="1"/>
  <c r="P33" i="1" l="1"/>
  <c r="Q33" i="1" s="1"/>
  <c r="N35" i="1"/>
  <c r="O35" i="1" s="1"/>
  <c r="J13" i="2"/>
  <c r="O13" i="2" s="1"/>
  <c r="P31" i="1"/>
  <c r="Q31" i="1" s="1"/>
  <c r="M41" i="1"/>
  <c r="N41" i="1" s="1"/>
  <c r="O41" i="1" s="1"/>
  <c r="N13" i="2" s="1"/>
  <c r="G109" i="3" s="1"/>
  <c r="P32" i="1"/>
  <c r="Q32" i="1" s="1"/>
  <c r="R35" i="1"/>
  <c r="P130" i="1"/>
  <c r="Q130" i="1" s="1"/>
  <c r="P160" i="1"/>
  <c r="Q160" i="1" s="1"/>
  <c r="M168" i="1"/>
  <c r="M169" i="1" s="1"/>
  <c r="N169" i="1" s="1"/>
  <c r="N162" i="1"/>
  <c r="L24" i="2" s="1"/>
  <c r="P161" i="1"/>
  <c r="Q161" i="1" s="1"/>
  <c r="J20" i="2"/>
  <c r="L20" i="2" s="1"/>
  <c r="M144" i="1"/>
  <c r="N144" i="1" s="1"/>
  <c r="O144" i="1" s="1"/>
  <c r="P9" i="1"/>
  <c r="Q9" i="1" s="1"/>
  <c r="P134" i="1"/>
  <c r="Q134" i="1" s="1"/>
  <c r="P136" i="1"/>
  <c r="Q136" i="1" s="1"/>
  <c r="M16" i="1"/>
  <c r="M17" i="1" s="1"/>
  <c r="N17" i="1" s="1"/>
  <c r="R48" i="1"/>
  <c r="M54" i="1"/>
  <c r="M55" i="1" s="1"/>
  <c r="N55" i="1" s="1"/>
  <c r="N48" i="1"/>
  <c r="O48" i="1" s="1"/>
  <c r="J14" i="2"/>
  <c r="O14" i="2" s="1"/>
  <c r="P133" i="1"/>
  <c r="Q133" i="1" s="1"/>
  <c r="P47" i="1"/>
  <c r="Q47" i="1" s="1"/>
  <c r="P135" i="1"/>
  <c r="Q135" i="1" s="1"/>
  <c r="P46" i="1"/>
  <c r="Q46" i="1" s="1"/>
  <c r="P123" i="1"/>
  <c r="Q123" i="1" s="1"/>
  <c r="P137" i="1"/>
  <c r="Q137" i="1" s="1"/>
  <c r="P122" i="1"/>
  <c r="Q122" i="1" s="1"/>
  <c r="N138" i="1"/>
  <c r="O138" i="1" s="1"/>
  <c r="R138" i="1"/>
  <c r="G94" i="3"/>
  <c r="J94" i="3" s="1"/>
  <c r="T231" i="1"/>
  <c r="P125" i="1"/>
  <c r="Q125" i="1" s="1"/>
  <c r="P128" i="1"/>
  <c r="Q128" i="1" s="1"/>
  <c r="P127" i="1"/>
  <c r="Q127" i="1" s="1"/>
  <c r="G77" i="3"/>
  <c r="J77" i="3" s="1"/>
  <c r="T206" i="1"/>
  <c r="S208" i="1" s="1"/>
  <c r="L207" i="1" s="1"/>
  <c r="G95" i="3"/>
  <c r="J95" i="3" s="1"/>
  <c r="T232" i="1"/>
  <c r="P124" i="1"/>
  <c r="Q124" i="1" s="1"/>
  <c r="P132" i="1"/>
  <c r="Q132" i="1" s="1"/>
  <c r="P126" i="1"/>
  <c r="Q126" i="1" s="1"/>
  <c r="P131" i="1"/>
  <c r="Q131" i="1" s="1"/>
  <c r="G93" i="3"/>
  <c r="J93" i="3" s="1"/>
  <c r="T230" i="1"/>
  <c r="M173" i="1"/>
  <c r="M179" i="1" s="1"/>
  <c r="J11" i="2"/>
  <c r="O11" i="2" s="1"/>
  <c r="P8" i="1"/>
  <c r="Q8" i="1" s="1"/>
  <c r="N10" i="1"/>
  <c r="L11" i="2" s="1"/>
  <c r="F107" i="3" s="1"/>
  <c r="R162" i="1"/>
  <c r="P109" i="1"/>
  <c r="Q109" i="1" s="1"/>
  <c r="P111" i="1"/>
  <c r="Q111" i="1" s="1"/>
  <c r="O23" i="2"/>
  <c r="P110" i="1"/>
  <c r="Q110" i="1" s="1"/>
  <c r="O24" i="2"/>
  <c r="K24" i="2"/>
  <c r="R112" i="1"/>
  <c r="N112" i="1"/>
  <c r="M118" i="1"/>
  <c r="M119" i="1" s="1"/>
  <c r="J18" i="2"/>
  <c r="O18" i="2" s="1"/>
  <c r="P97" i="1"/>
  <c r="Q97" i="1" s="1"/>
  <c r="P98" i="1"/>
  <c r="Q98" i="1" s="1"/>
  <c r="P96" i="1"/>
  <c r="R99" i="1"/>
  <c r="N99" i="1"/>
  <c r="M105" i="1"/>
  <c r="M42" i="1"/>
  <c r="N42" i="1" s="1"/>
  <c r="K23" i="2"/>
  <c r="O150" i="1"/>
  <c r="L23" i="2"/>
  <c r="F117" i="3" s="1"/>
  <c r="P150" i="1"/>
  <c r="Q150" i="1" s="1"/>
  <c r="Q147" i="1"/>
  <c r="N156" i="1"/>
  <c r="J15" i="2"/>
  <c r="O15" i="2" s="1"/>
  <c r="M67" i="1"/>
  <c r="N61" i="1"/>
  <c r="R61" i="1"/>
  <c r="P58" i="1"/>
  <c r="P60" i="1"/>
  <c r="Q60" i="1" s="1"/>
  <c r="P59" i="1"/>
  <c r="Q59" i="1" s="1"/>
  <c r="N80" i="1"/>
  <c r="N79" i="1"/>
  <c r="O79" i="1" s="1"/>
  <c r="N16" i="2" s="1"/>
  <c r="G112" i="3" s="1"/>
  <c r="Q71" i="1"/>
  <c r="P73" i="1"/>
  <c r="Q73" i="1" s="1"/>
  <c r="N27" i="1"/>
  <c r="O27" i="1" s="1"/>
  <c r="G125" i="3" s="1"/>
  <c r="L16" i="2"/>
  <c r="O73" i="1"/>
  <c r="L12" i="2"/>
  <c r="O21" i="1"/>
  <c r="P21" i="1"/>
  <c r="Q21" i="1" s="1"/>
  <c r="N168" i="1" l="1"/>
  <c r="O168" i="1" s="1"/>
  <c r="N24" i="2" s="1"/>
  <c r="G118" i="3" s="1"/>
  <c r="O10" i="1"/>
  <c r="L13" i="2"/>
  <c r="P10" i="1"/>
  <c r="Q10" i="1" s="1"/>
  <c r="O162" i="1"/>
  <c r="P162" i="1"/>
  <c r="Q162" i="1" s="1"/>
  <c r="M24" i="2"/>
  <c r="F118" i="3"/>
  <c r="O169" i="1"/>
  <c r="G135" i="3" s="1"/>
  <c r="F135" i="3"/>
  <c r="O156" i="1"/>
  <c r="N157" i="1"/>
  <c r="F134" i="3" s="1"/>
  <c r="L14" i="2"/>
  <c r="M14" i="2" s="1"/>
  <c r="P35" i="1"/>
  <c r="Q35" i="1" s="1"/>
  <c r="M20" i="2"/>
  <c r="F116" i="3"/>
  <c r="N105" i="1"/>
  <c r="M106" i="1"/>
  <c r="O17" i="1"/>
  <c r="G124" i="3" s="1"/>
  <c r="F124" i="3"/>
  <c r="M16" i="2"/>
  <c r="F112" i="3"/>
  <c r="O55" i="1"/>
  <c r="G127" i="3" s="1"/>
  <c r="F127" i="3"/>
  <c r="O42" i="1"/>
  <c r="G126" i="3" s="1"/>
  <c r="F126" i="3"/>
  <c r="N20" i="2"/>
  <c r="G116" i="3" s="1"/>
  <c r="G133" i="3"/>
  <c r="M12" i="2"/>
  <c r="F108" i="3"/>
  <c r="M13" i="2"/>
  <c r="F109" i="3"/>
  <c r="O80" i="1"/>
  <c r="G129" i="3" s="1"/>
  <c r="F129" i="3"/>
  <c r="O20" i="2"/>
  <c r="P48" i="1"/>
  <c r="Q48" i="1" s="1"/>
  <c r="N16" i="1"/>
  <c r="O16" i="1" s="1"/>
  <c r="N54" i="1"/>
  <c r="O54" i="1" s="1"/>
  <c r="N14" i="2" s="1"/>
  <c r="G110" i="3" s="1"/>
  <c r="P138" i="1"/>
  <c r="Q138" i="1" s="1"/>
  <c r="G78" i="3"/>
  <c r="J78" i="3" s="1"/>
  <c r="L220" i="1"/>
  <c r="T207" i="1"/>
  <c r="N173" i="1"/>
  <c r="P112" i="1"/>
  <c r="Q112" i="1" s="1"/>
  <c r="M11" i="2"/>
  <c r="N11" i="2"/>
  <c r="G107" i="3" s="1"/>
  <c r="N12" i="2"/>
  <c r="G108" i="3" s="1"/>
  <c r="O112" i="1"/>
  <c r="L19" i="2"/>
  <c r="P99" i="1"/>
  <c r="Q99" i="1" s="1"/>
  <c r="Q96" i="1"/>
  <c r="N118" i="1"/>
  <c r="O118" i="1" s="1"/>
  <c r="N19" i="2" s="1"/>
  <c r="G115" i="3" s="1"/>
  <c r="N119" i="1"/>
  <c r="O99" i="1"/>
  <c r="L18" i="2"/>
  <c r="J21" i="2"/>
  <c r="M23" i="2"/>
  <c r="P61" i="1"/>
  <c r="Q61" i="1" s="1"/>
  <c r="Q58" i="1"/>
  <c r="O61" i="1"/>
  <c r="L15" i="2"/>
  <c r="M68" i="1"/>
  <c r="N68" i="1" s="1"/>
  <c r="N67" i="1"/>
  <c r="O67" i="1" s="1"/>
  <c r="N15" i="2" s="1"/>
  <c r="G111" i="3" s="1"/>
  <c r="N179" i="1" l="1"/>
  <c r="O173" i="1"/>
  <c r="S239" i="1" s="1"/>
  <c r="F110" i="3"/>
  <c r="N23" i="2"/>
  <c r="G117" i="3" s="1"/>
  <c r="O157" i="1"/>
  <c r="G134" i="3" s="1"/>
  <c r="M19" i="2"/>
  <c r="F115" i="3"/>
  <c r="M18" i="2"/>
  <c r="F114" i="3"/>
  <c r="O68" i="1"/>
  <c r="G128" i="3" s="1"/>
  <c r="F128" i="3"/>
  <c r="O119" i="1"/>
  <c r="G132" i="3" s="1"/>
  <c r="F132" i="3"/>
  <c r="O105" i="1"/>
  <c r="N106" i="1"/>
  <c r="F131" i="3" s="1"/>
  <c r="M15" i="2"/>
  <c r="F111" i="3"/>
  <c r="G87" i="3"/>
  <c r="J87" i="3" s="1"/>
  <c r="L233" i="1"/>
  <c r="T220" i="1"/>
  <c r="L21" i="2"/>
  <c r="L26" i="2" s="1"/>
  <c r="K19" i="2"/>
  <c r="J26" i="2"/>
  <c r="O26" i="2" s="1"/>
  <c r="K17" i="2"/>
  <c r="K20" i="2"/>
  <c r="K16" i="2"/>
  <c r="K21" i="2"/>
  <c r="K18" i="2"/>
  <c r="K11" i="2"/>
  <c r="O21" i="2"/>
  <c r="K13" i="2"/>
  <c r="K12" i="2"/>
  <c r="K14" i="2"/>
  <c r="K15" i="2"/>
  <c r="N181" i="1" l="1"/>
  <c r="O179" i="1"/>
  <c r="L236" i="1"/>
  <c r="L237" i="1"/>
  <c r="L238" i="1"/>
  <c r="N18" i="2"/>
  <c r="G114" i="3" s="1"/>
  <c r="O106" i="1"/>
  <c r="G131" i="3" s="1"/>
  <c r="G96" i="3"/>
  <c r="J96" i="3" s="1"/>
  <c r="T233" i="1"/>
  <c r="M21" i="2"/>
  <c r="J35" i="2"/>
  <c r="L35" i="2" s="1"/>
  <c r="M26" i="2"/>
  <c r="G99" i="3" l="1"/>
  <c r="J99" i="3" s="1"/>
  <c r="T237" i="1"/>
  <c r="G98" i="3"/>
  <c r="J98" i="3" s="1"/>
  <c r="T236" i="1"/>
  <c r="G100" i="3"/>
  <c r="J100" i="3" s="1"/>
  <c r="T238" i="1"/>
  <c r="L37" i="2"/>
  <c r="L38" i="2" s="1"/>
  <c r="F119" i="3"/>
  <c r="N35" i="2"/>
  <c r="G119" i="3" s="1"/>
</calcChain>
</file>

<file path=xl/sharedStrings.xml><?xml version="1.0" encoding="utf-8"?>
<sst xmlns="http://schemas.openxmlformats.org/spreadsheetml/2006/main" count="351" uniqueCount="152">
  <si>
    <t>Billing Analysis for Pass-Through Rate Increase</t>
  </si>
  <si>
    <t>#</t>
  </si>
  <si>
    <t>Item</t>
  </si>
  <si>
    <t>Present Revenue</t>
  </si>
  <si>
    <t>Proposed Revenue</t>
  </si>
  <si>
    <t>Increase ($)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</si>
  <si>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</si>
  <si>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</si>
  <si>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</si>
  <si>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</si>
  <si>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</si>
  <si>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</si>
  <si>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</si>
  <si>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</si>
  <si>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</si>
  <si>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</si>
  <si>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</si>
  <si>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</si>
  <si>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</si>
  <si>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</si>
  <si>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</si>
  <si>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</si>
  <si>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</si>
  <si>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</si>
  <si>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</si>
  <si>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</si>
  <si>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</si>
  <si>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</si>
  <si>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</si>
  <si>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</si>
  <si>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</si>
  <si>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</si>
  <si>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</si>
  <si>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</si>
  <si>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</si>
  <si>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</si>
  <si>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</si>
  <si>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</si>
  <si>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</si>
  <si>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</si>
  <si>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</si>
  <si>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</si>
  <si>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</si>
  <si>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</si>
  <si>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</si>
  <si>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Special</t>
  </si>
  <si>
    <t>TOTAL Base Rates</t>
  </si>
  <si>
    <t>SubTotal Base Rates</t>
  </si>
  <si>
    <t xml:space="preserve">Total Rate G Revenue Increase Allocated by East Kentucky Power Cooperative:   </t>
  </si>
  <si>
    <t xml:space="preserve">Remaining Revenue Increase Allocated by East Kentucky Power Cooperative:   </t>
  </si>
  <si>
    <t>Fleming-Mason RECC</t>
  </si>
  <si>
    <t>RSP</t>
  </si>
  <si>
    <t>ETS</t>
  </si>
  <si>
    <t>SGS</t>
  </si>
  <si>
    <t>LGS</t>
  </si>
  <si>
    <t>LIS7</t>
  </si>
  <si>
    <t>Contract</t>
  </si>
  <si>
    <t>OL</t>
  </si>
  <si>
    <t>RSP-IB</t>
  </si>
  <si>
    <t>AES</t>
  </si>
  <si>
    <t>20,000 Lumens Standard Service</t>
  </si>
  <si>
    <t>9500 Lumens Standard</t>
  </si>
  <si>
    <t>9500 Lumens Ornamental</t>
  </si>
  <si>
    <t>9500 Lumens Directional</t>
  </si>
  <si>
    <t>22,000 Lumens Standard</t>
  </si>
  <si>
    <t>22,000 Lumens Directional</t>
  </si>
  <si>
    <t>50,000 Lumens Standard</t>
  </si>
  <si>
    <t>50,000 Lumens Ornamental</t>
  </si>
  <si>
    <t>50,000 Lumens Directional</t>
  </si>
  <si>
    <t>6100 Lumens Standard</t>
  </si>
  <si>
    <t>23,000 Lumens Directional Floodlight</t>
  </si>
  <si>
    <t>MV</t>
  </si>
  <si>
    <t>HPS</t>
  </si>
  <si>
    <t>LED</t>
  </si>
  <si>
    <t>Residential &amp; Small Power (1)</t>
  </si>
  <si>
    <t>Residential &amp; Small Power ETS (11)</t>
  </si>
  <si>
    <t>Inclining Block Rate (8)</t>
  </si>
  <si>
    <t>Small General Service (2)</t>
  </si>
  <si>
    <t>Large General Service (3)</t>
  </si>
  <si>
    <t>All Electric School (4)</t>
  </si>
  <si>
    <t>Large Industrial Service (7)</t>
  </si>
  <si>
    <t>22,000 Lumens Ornamental</t>
  </si>
  <si>
    <t>7000 Lumens Ornatmental Service</t>
  </si>
  <si>
    <t>20,000 Lumens Ornamental Service</t>
  </si>
  <si>
    <t>LIS1</t>
  </si>
  <si>
    <t>Large Industrial Service (1)</t>
  </si>
  <si>
    <t xml:space="preserve">Total Steam Revenue Increase Allocated by East Kentucky Power Cooperative:   </t>
  </si>
  <si>
    <t>Base %</t>
  </si>
  <si>
    <t>Total %</t>
  </si>
  <si>
    <t>Present</t>
  </si>
  <si>
    <t>Rate</t>
  </si>
  <si>
    <t>Proposed</t>
  </si>
  <si>
    <t>Energy Charge per kWh</t>
  </si>
  <si>
    <t>Energy Charge - Off Peak per kWh</t>
  </si>
  <si>
    <t>Energy Charge 0-300 per kWh</t>
  </si>
  <si>
    <t>Energy Charge 301-500 per kWh</t>
  </si>
  <si>
    <t>Energy Charge Over 500 per kWh</t>
  </si>
  <si>
    <t>Demand Charge per kW</t>
  </si>
  <si>
    <t>Demand Charge - Contract per kW</t>
  </si>
  <si>
    <t>7000 Lumens Standard Service</t>
  </si>
  <si>
    <t>Demand Charge per MMBTU</t>
  </si>
  <si>
    <t>Energy Charge per MMBTU</t>
  </si>
  <si>
    <t>Large Industrial Service (2)</t>
  </si>
  <si>
    <t>LIS2</t>
  </si>
  <si>
    <t>LIS3</t>
  </si>
  <si>
    <t>LIS4</t>
  </si>
  <si>
    <t>LIS4B</t>
  </si>
  <si>
    <t>LIS5</t>
  </si>
  <si>
    <t>LIS5B</t>
  </si>
  <si>
    <t>LIS6</t>
  </si>
  <si>
    <t>LIS6B</t>
  </si>
  <si>
    <t>Large Industrial Service (3)</t>
  </si>
  <si>
    <t>Large Industrial Service (4)</t>
  </si>
  <si>
    <t>Large Industrial Service (4B)</t>
  </si>
  <si>
    <t>Large Industrial Service (5)</t>
  </si>
  <si>
    <t>Large Industrial Service (5B)</t>
  </si>
  <si>
    <t>Large Industrial Service (6)</t>
  </si>
  <si>
    <t>Large Industrial Service (6B)</t>
  </si>
  <si>
    <t>Demand Charge - Excess per kW</t>
  </si>
  <si>
    <t>&lt; Set same as LIS-1</t>
  </si>
  <si>
    <t>&lt; Set same as LIS-7</t>
  </si>
  <si>
    <t>&lt; Set at same $ as LIS-1</t>
  </si>
  <si>
    <t>&lt; Set same % as LIS-7</t>
  </si>
  <si>
    <t>&lt; Set same as LIS 4</t>
  </si>
  <si>
    <t>&lt; Set same % as Contract</t>
  </si>
  <si>
    <t>&lt;Set same as LIS-7</t>
  </si>
  <si>
    <t>&lt;Set same % as LIS-7</t>
  </si>
  <si>
    <t>&lt;Set same as LIS-4B</t>
  </si>
  <si>
    <t>&lt;Set same as LIS-5B</t>
  </si>
  <si>
    <t>OTHER RATES WITH NO CURRENT MEMBERS</t>
  </si>
  <si>
    <t>Tennessee Gas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</si>
  <si>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</si>
  <si>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</si>
  <si>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</si>
  <si>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</si>
  <si>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</si>
  <si>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</si>
  <si>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</si>
  <si>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</si>
  <si>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</si>
  <si>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 xml:space="preserve">    Green Power &amp; Solar</t>
  </si>
  <si>
    <t>Residential &amp; Small Power Time of Day (TOD)</t>
  </si>
  <si>
    <t>RSP-TOD</t>
  </si>
  <si>
    <t>Energy Charge On Peak per kWh</t>
  </si>
  <si>
    <t>Energy Charge Off Peak per kWh</t>
  </si>
  <si>
    <t>Prepay Service</t>
  </si>
  <si>
    <t>Prepay Fee</t>
  </si>
  <si>
    <t>Special Contract - EKPC Rate G</t>
  </si>
  <si>
    <t>Steam</t>
  </si>
  <si>
    <t>Present &amp; Proposed Rates</t>
  </si>
  <si>
    <t>As Filed Amounts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</si>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</sst>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"/>
    <numFmt numFmtId="168" formatCode="_(* #,##0.00000_);_(* \(#,##0.00000\);_(* &quot;-&quot;??_);_(@_)"/>
    <numFmt numFmtId="169" formatCode="_(* #,##0.000000_);_(* \(#,##0.000000\);_(* &quot;-&quot;??_);_(@_)"/>
    <numFmt numFmtId="170" formatCode="0.00000%"/>
    <numFmt numFmtId="171" formatCode="_(* #,##0.000_);_(* \(#,##0.000\);_(* &quot;-&quot;??_);_(@_)"/>
    <numFmt numFmtId="172" formatCode="_(* #,##0.0000_);_(* \(#,##0.0000\);_(* &quot;-&quot;??_);_(@_)"/>
    <numFmt numFmtId="173" formatCode="_(&quot;$&quot;* #,##0.00000_);_(&quot;$&quot;* \(#,##0.00000\);_(&quot;$&quot;* &quot;-&quot;??_);_(@_)"/>
    <numFmt numFmtId="174" formatCode="&quot;$&quot;#,##0.00"/>
    <numFmt numFmtId="175" formatCode="0.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9" tint="-0.249977111117893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9" fontId="3" fillId="0" borderId="0" xfId="3" applyFont="1"/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6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8" fontId="3" fillId="0" borderId="0" xfId="1" applyNumberFormat="1" applyFont="1"/>
    <xf numFmtId="6" fontId="7" fillId="0" borderId="1" xfId="0" applyNumberFormat="1" applyFont="1" applyFill="1" applyBorder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0" fontId="3" fillId="0" borderId="5" xfId="3" applyNumberFormat="1" applyFont="1" applyBorder="1" applyAlignment="1"/>
    <xf numFmtId="165" fontId="3" fillId="0" borderId="5" xfId="0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165" fontId="7" fillId="0" borderId="0" xfId="0" applyNumberFormat="1" applyFont="1" applyAlignment="1">
      <alignment horizontal="left"/>
    </xf>
    <xf numFmtId="168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43" fontId="3" fillId="0" borderId="0" xfId="0" applyNumberFormat="1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3" fontId="3" fillId="0" borderId="0" xfId="2" applyNumberFormat="1" applyFont="1"/>
    <xf numFmtId="0" fontId="3" fillId="2" borderId="0" xfId="0" applyFont="1" applyFill="1"/>
    <xf numFmtId="0" fontId="9" fillId="0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172" fontId="9" fillId="0" borderId="0" xfId="1" applyNumberFormat="1" applyFont="1" applyFill="1" applyAlignment="1">
      <alignment vertic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165" fontId="3" fillId="0" borderId="0" xfId="2" applyNumberFormat="1" applyFont="1" applyBorder="1" applyAlignment="1">
      <alignment horizontal="right"/>
    </xf>
    <xf numFmtId="10" fontId="3" fillId="0" borderId="0" xfId="3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3" fillId="0" borderId="2" xfId="0" applyFont="1" applyBorder="1"/>
    <xf numFmtId="165" fontId="3" fillId="0" borderId="2" xfId="2" applyNumberFormat="1" applyFont="1" applyBorder="1"/>
    <xf numFmtId="10" fontId="3" fillId="0" borderId="2" xfId="3" applyNumberFormat="1" applyFont="1" applyBorder="1"/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0" xfId="0" applyFont="1"/>
    <xf numFmtId="43" fontId="7" fillId="0" borderId="0" xfId="1" applyFont="1" applyAlignment="1">
      <alignment horizontal="center"/>
    </xf>
    <xf numFmtId="174" fontId="3" fillId="0" borderId="0" xfId="0" applyNumberFormat="1" applyFont="1"/>
    <xf numFmtId="164" fontId="7" fillId="0" borderId="0" xfId="1" applyNumberFormat="1" applyFont="1" applyAlignment="1">
      <alignment horizontal="right"/>
    </xf>
    <xf numFmtId="174" fontId="3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175" fontId="3" fillId="0" borderId="0" xfId="0" applyNumberFormat="1" applyFont="1"/>
    <xf numFmtId="44" fontId="3" fillId="0" borderId="0" xfId="2" applyNumberFormat="1" applyFont="1"/>
    <xf numFmtId="168" fontId="3" fillId="0" borderId="0" xfId="0" applyNumberFormat="1" applyFont="1"/>
    <xf numFmtId="175" fontId="9" fillId="0" borderId="0" xfId="0" applyNumberFormat="1" applyFont="1" applyFill="1" applyAlignment="1">
      <alignment vertical="center"/>
    </xf>
    <xf numFmtId="164" fontId="7" fillId="0" borderId="0" xfId="1" applyNumberFormat="1" applyFont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165" fontId="7" fillId="0" borderId="0" xfId="2" applyNumberFormat="1" applyFont="1" applyAlignment="1"/>
    <xf numFmtId="0" fontId="7" fillId="0" borderId="0" xfId="0" applyFont="1" applyFill="1"/>
    <xf numFmtId="0" fontId="11" fillId="0" borderId="4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0" fontId="7" fillId="0" borderId="6" xfId="0" applyFont="1" applyFill="1" applyBorder="1"/>
    <xf numFmtId="43" fontId="7" fillId="0" borderId="0" xfId="1" applyFont="1" applyFill="1"/>
    <xf numFmtId="10" fontId="7" fillId="0" borderId="0" xfId="3" applyNumberFormat="1" applyFont="1" applyFill="1"/>
    <xf numFmtId="168" fontId="7" fillId="0" borderId="0" xfId="1" applyNumberFormat="1" applyFont="1" applyFill="1"/>
    <xf numFmtId="165" fontId="7" fillId="0" borderId="5" xfId="3" applyNumberFormat="1" applyFont="1" applyFill="1" applyBorder="1" applyAlignment="1">
      <alignment vertical="center"/>
    </xf>
    <xf numFmtId="0" fontId="7" fillId="0" borderId="5" xfId="0" applyFont="1" applyFill="1" applyBorder="1"/>
    <xf numFmtId="0" fontId="7" fillId="0" borderId="3" xfId="0" applyFont="1" applyFill="1" applyBorder="1" applyAlignment="1">
      <alignment vertical="center"/>
    </xf>
    <xf numFmtId="171" fontId="7" fillId="0" borderId="0" xfId="1" applyNumberFormat="1" applyFont="1" applyFill="1"/>
    <xf numFmtId="165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69" fontId="7" fillId="0" borderId="0" xfId="1" applyNumberFormat="1" applyFont="1" applyFill="1"/>
    <xf numFmtId="0" fontId="11" fillId="0" borderId="0" xfId="0" applyFont="1" applyFill="1" applyAlignment="1">
      <alignment horizontal="right"/>
    </xf>
    <xf numFmtId="0" fontId="11" fillId="0" borderId="4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0" applyNumberFormat="1" applyFont="1" applyFill="1"/>
    <xf numFmtId="167" fontId="7" fillId="0" borderId="0" xfId="0" applyNumberFormat="1" applyFont="1" applyFill="1"/>
    <xf numFmtId="169" fontId="7" fillId="0" borderId="5" xfId="0" applyNumberFormat="1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70" fontId="7" fillId="0" borderId="0" xfId="3" applyNumberFormat="1" applyFont="1" applyFill="1"/>
    <xf numFmtId="165" fontId="7" fillId="0" borderId="5" xfId="2" applyNumberFormat="1" applyFont="1" applyFill="1" applyBorder="1"/>
    <xf numFmtId="43" fontId="7" fillId="0" borderId="5" xfId="1" applyFont="1" applyFill="1" applyBorder="1"/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4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166" fontId="7" fillId="0" borderId="0" xfId="0" applyNumberFormat="1" applyFont="1" applyFill="1"/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9" fontId="7" fillId="0" borderId="0" xfId="0" applyNumberFormat="1" applyFont="1" applyFill="1"/>
    <xf numFmtId="170" fontId="7" fillId="0" borderId="0" xfId="0" applyNumberFormat="1" applyFont="1" applyFill="1"/>
    <xf numFmtId="164" fontId="3" fillId="0" borderId="0" xfId="1" applyNumberFormat="1" applyFont="1"/>
    <xf numFmtId="165" fontId="3" fillId="0" borderId="0" xfId="2" applyNumberFormat="1" applyFont="1"/>
    <xf numFmtId="0" fontId="1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43" fontId="4" fillId="2" borderId="0" xfId="1" applyFont="1" applyFill="1"/>
    <xf numFmtId="169" fontId="4" fillId="2" borderId="0" xfId="1" applyNumberFormat="1" applyFont="1" applyFill="1"/>
    <xf numFmtId="171" fontId="4" fillId="2" borderId="0" xfId="1" applyNumberFormat="1" applyFont="1" applyFill="1"/>
    <xf numFmtId="0" fontId="3" fillId="3" borderId="0" xfId="0" applyFont="1" applyFill="1"/>
    <xf numFmtId="0" fontId="3" fillId="3" borderId="4" xfId="0" applyFont="1" applyFill="1" applyBorder="1"/>
    <xf numFmtId="0" fontId="3" fillId="3" borderId="2" xfId="0" applyFont="1" applyFill="1" applyBorder="1"/>
    <xf numFmtId="0" fontId="3" fillId="0" borderId="3" xfId="0" applyFont="1" applyBorder="1"/>
    <xf numFmtId="6" fontId="4" fillId="2" borderId="1" xfId="0" applyNumberFormat="1" applyFont="1" applyFill="1" applyBorder="1"/>
    <xf numFmtId="0" fontId="1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FFFFCC"/>
      <color rgb="FF0000FF"/>
      <color rgb="FFFFCCFF"/>
      <color rgb="FFF7635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W39"/>
  <sheetViews>
    <sheetView tabSelected="1" view="pageBreakPreview" zoomScale="75" zoomScaleNormal="75" zoomScaleSheetLayoutView="75" workbookViewId="0">
      <selection activeCell="N35" sqref="N35"/>
    </sheetView>
  </sheetViews>
  <sheetFormatPr defaultRowHeight="13.2" x14ac:dyDescent="0.25"/>
  <cols>
    <col min="1" max="1" width="9" style="2" bestFit="1" customWidth="1"/>
    <col min="2" max="2" width="32.6640625" style="2" bestFit="1" customWidth="1"/>
    <col min="3" max="3" width="8.21875" style="15" bestFit="1" customWidth="1"/>
    <col min="4" max="4" width="15.1093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1" style="2" customWidth="1"/>
    <col min="12" max="12" width="11.7773437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35.109375" style="2" customWidth="1"/>
    <col min="17" max="17" width="11.109375" style="2" bestFit="1" customWidth="1"/>
    <col min="18" max="18" width="14.5546875" style="2" customWidth="1"/>
    <col min="19" max="19" width="8.88671875" style="68"/>
    <col min="20" max="20" width="12.6640625" style="2" bestFit="1" customWidth="1"/>
    <col min="21" max="16384" width="8.88671875" style="2"/>
  </cols>
  <sheetData>
    <row r="1" spans="1:23" x14ac:dyDescent="0.25">
      <c r="A1" s="1" t="s">
        <v>50</v>
      </c>
    </row>
    <row r="2" spans="1:23" x14ac:dyDescent="0.25">
      <c r="A2" s="1" t="s">
        <v>0</v>
      </c>
    </row>
    <row r="3" spans="1:23" x14ac:dyDescent="0.25">
      <c r="A3" s="1"/>
      <c r="M3" s="5"/>
      <c r="N3" s="5"/>
    </row>
    <row r="4" spans="1:23" x14ac:dyDescent="0.25">
      <c r="A4" s="1"/>
      <c r="K4" s="26" t="s">
        <v>40</v>
      </c>
      <c r="L4" s="174">
        <v>2396133</v>
      </c>
      <c r="M4" s="6"/>
      <c r="N4" s="164"/>
      <c r="O4" s="163"/>
      <c r="Q4" s="5"/>
    </row>
    <row r="5" spans="1:23" x14ac:dyDescent="0.25">
      <c r="K5" s="26" t="s">
        <v>48</v>
      </c>
      <c r="L5" s="174">
        <v>340696</v>
      </c>
      <c r="M5" s="6"/>
      <c r="N5" s="164"/>
      <c r="O5" s="163"/>
      <c r="Q5" s="5"/>
    </row>
    <row r="6" spans="1:23" x14ac:dyDescent="0.25">
      <c r="K6" s="26" t="s">
        <v>86</v>
      </c>
      <c r="L6" s="174">
        <v>278673</v>
      </c>
      <c r="M6" s="6"/>
      <c r="N6" s="164"/>
      <c r="O6" s="163"/>
      <c r="Q6" s="5"/>
    </row>
    <row r="7" spans="1:23" x14ac:dyDescent="0.25">
      <c r="B7" s="3"/>
      <c r="C7" s="69"/>
      <c r="K7" s="26" t="s">
        <v>49</v>
      </c>
      <c r="L7" s="37">
        <f>L4-L5-L6</f>
        <v>1776764</v>
      </c>
      <c r="M7" s="6"/>
      <c r="N7" s="164"/>
      <c r="O7" s="163"/>
      <c r="Q7" s="5"/>
    </row>
    <row r="8" spans="1:23" x14ac:dyDescent="0.25">
      <c r="M8" s="6"/>
      <c r="N8" s="6"/>
      <c r="Q8" s="175" t="s">
        <v>150</v>
      </c>
      <c r="R8" s="175"/>
      <c r="T8" s="175" t="s">
        <v>151</v>
      </c>
      <c r="U8" s="175"/>
    </row>
    <row r="9" spans="1:23" s="11" customFormat="1" ht="31.8" customHeight="1" x14ac:dyDescent="0.25">
      <c r="A9" s="9" t="s">
        <v>1</v>
      </c>
      <c r="B9" s="9" t="s">
        <v>2</v>
      </c>
      <c r="C9" s="10" t="s">
        <v>12</v>
      </c>
      <c r="D9" s="12" t="s">
        <v>22</v>
      </c>
      <c r="E9" s="12" t="s">
        <v>3</v>
      </c>
      <c r="F9" s="12" t="s">
        <v>23</v>
      </c>
      <c r="G9" s="12" t="s">
        <v>35</v>
      </c>
      <c r="H9" s="12" t="s">
        <v>36</v>
      </c>
      <c r="I9" s="12" t="s">
        <v>37</v>
      </c>
      <c r="J9" s="12" t="s">
        <v>4</v>
      </c>
      <c r="K9" s="12" t="s">
        <v>25</v>
      </c>
      <c r="L9" s="12" t="s">
        <v>5</v>
      </c>
      <c r="M9" s="12" t="s">
        <v>87</v>
      </c>
      <c r="N9" s="12" t="s">
        <v>88</v>
      </c>
      <c r="O9" s="12" t="s">
        <v>39</v>
      </c>
      <c r="Q9" s="12" t="s">
        <v>87</v>
      </c>
      <c r="R9" s="12" t="s">
        <v>88</v>
      </c>
      <c r="S9" s="68"/>
      <c r="T9" s="12" t="s">
        <v>87</v>
      </c>
      <c r="U9" s="12" t="s">
        <v>88</v>
      </c>
      <c r="V9" s="2"/>
      <c r="W9" s="2"/>
    </row>
    <row r="10" spans="1:23" s="42" customFormat="1" x14ac:dyDescent="0.25">
      <c r="A10" s="4">
        <v>1</v>
      </c>
      <c r="B10" s="38" t="s">
        <v>6</v>
      </c>
      <c r="C10" s="70"/>
      <c r="D10" s="38"/>
      <c r="E10" s="39"/>
      <c r="F10" s="40"/>
      <c r="G10" s="40"/>
      <c r="H10" s="11"/>
      <c r="I10" s="11"/>
      <c r="J10" s="39"/>
      <c r="K10" s="40"/>
      <c r="L10" s="39"/>
      <c r="M10" s="41"/>
      <c r="N10" s="41"/>
      <c r="Q10" s="2"/>
      <c r="R10" s="2"/>
      <c r="S10" s="68"/>
      <c r="T10" s="2"/>
      <c r="U10" s="2"/>
      <c r="V10" s="2"/>
      <c r="W10" s="2"/>
    </row>
    <row r="11" spans="1:23" s="42" customFormat="1" x14ac:dyDescent="0.25">
      <c r="A11" s="4">
        <f>A10+1</f>
        <v>2</v>
      </c>
      <c r="B11" s="42" t="str">
        <f>'Billing Detail'!B7</f>
        <v>Residential &amp; Small Power (1)</v>
      </c>
      <c r="C11" s="15" t="str">
        <f>'Billing Detail'!C7</f>
        <v>RSP</v>
      </c>
      <c r="D11" s="43">
        <f>'Billing Detail'!G10</f>
        <v>29651187.330400001</v>
      </c>
      <c r="E11" s="43">
        <f>'Billing Detail'!I10</f>
        <v>29162011.620000001</v>
      </c>
      <c r="F11" s="116">
        <f t="shared" ref="F11:F21" si="0">E11/E$21</f>
        <v>0.61330364649525926</v>
      </c>
      <c r="G11" s="117">
        <f>E11</f>
        <v>29162011.620000001</v>
      </c>
      <c r="H11" s="116">
        <f t="shared" ref="H11:H20" si="1">G11/G$21</f>
        <v>0.65715704159525523</v>
      </c>
      <c r="I11" s="117">
        <f>ROUND(L$7*H11,2)</f>
        <v>1167612.97</v>
      </c>
      <c r="J11" s="43">
        <f>'Billing Detail'!M10</f>
        <v>30328492.084800001</v>
      </c>
      <c r="K11" s="41">
        <f t="shared" ref="K11:K21" si="2">J11/J$21</f>
        <v>0.61486025286530732</v>
      </c>
      <c r="L11" s="43">
        <f>'Billing Detail'!N10</f>
        <v>1166480.4648000002</v>
      </c>
      <c r="M11" s="41">
        <f>IF(E11=0,0,L11/E11)</f>
        <v>4.0000000000000008E-2</v>
      </c>
      <c r="N11" s="41">
        <f>'Billing Detail'!O27</f>
        <v>4.0663821082096416E-2</v>
      </c>
      <c r="O11" s="45">
        <f>J11-I11-E11</f>
        <v>-1132.5051999986172</v>
      </c>
      <c r="Q11" s="41">
        <v>4.4095550470122126E-2</v>
      </c>
      <c r="R11" s="41">
        <v>4.4813190580269661E-2</v>
      </c>
      <c r="S11" s="68"/>
      <c r="T11" s="6">
        <f>M11-Q11</f>
        <v>-4.0955504701221182E-3</v>
      </c>
      <c r="U11" s="6">
        <f>N11-R11</f>
        <v>-4.1493694981732457E-3</v>
      </c>
      <c r="V11" s="2"/>
      <c r="W11" s="2"/>
    </row>
    <row r="12" spans="1:23" s="42" customFormat="1" x14ac:dyDescent="0.25">
      <c r="A12" s="4">
        <f t="shared" ref="A12:A38" si="3">A11+1</f>
        <v>3</v>
      </c>
      <c r="B12" s="42" t="str">
        <f>'Billing Detail'!B19</f>
        <v>Residential &amp; Small Power ETS (11)</v>
      </c>
      <c r="C12" s="15" t="str">
        <f>'Billing Detail'!C19</f>
        <v>ETS</v>
      </c>
      <c r="D12" s="43">
        <f>'Billing Detail'!G21</f>
        <v>16242.500700000001</v>
      </c>
      <c r="E12" s="43">
        <f>'Billing Detail'!I21</f>
        <v>15734.420100000001</v>
      </c>
      <c r="F12" s="116">
        <f t="shared" si="0"/>
        <v>3.3090917555907287E-4</v>
      </c>
      <c r="G12" s="117">
        <f t="shared" ref="G12:G20" si="4">E12</f>
        <v>15734.420100000001</v>
      </c>
      <c r="H12" s="116">
        <f t="shared" si="1"/>
        <v>3.545703601956428E-4</v>
      </c>
      <c r="I12" s="117">
        <f t="shared" ref="I12:I20" si="5">ROUND(L$7*H12,2)</f>
        <v>629.99</v>
      </c>
      <c r="J12" s="43">
        <f>'Billing Detail'!M21</f>
        <v>16364.6973</v>
      </c>
      <c r="K12" s="41">
        <f t="shared" si="2"/>
        <v>3.3176729960092784E-4</v>
      </c>
      <c r="L12" s="43">
        <f>'Billing Detail'!N21</f>
        <v>630.27719999999863</v>
      </c>
      <c r="M12" s="41">
        <f t="shared" ref="M12:M20" si="6">IF(E12=0,0,L12/E12)</f>
        <v>4.0057224606580739E-2</v>
      </c>
      <c r="N12" s="41">
        <f>'Billing Detail'!O27</f>
        <v>4.0663821082096416E-2</v>
      </c>
      <c r="O12" s="45">
        <f t="shared" ref="O12:O21" si="7">J12-I12-E12</f>
        <v>0.28719999999884749</v>
      </c>
      <c r="Q12" s="41">
        <v>4.4144696505211571E-2</v>
      </c>
      <c r="R12" s="41">
        <v>4.4813190580269661E-2</v>
      </c>
      <c r="S12" s="68"/>
      <c r="T12" s="6">
        <f t="shared" ref="T12:T26" si="8">M12-Q12</f>
        <v>-4.0874718986308317E-3</v>
      </c>
      <c r="U12" s="6">
        <f t="shared" ref="U12:U35" si="9">N12-R12</f>
        <v>-4.1493694981732457E-3</v>
      </c>
      <c r="V12" s="2"/>
      <c r="W12" s="2"/>
    </row>
    <row r="13" spans="1:23" s="42" customFormat="1" x14ac:dyDescent="0.25">
      <c r="A13" s="4">
        <f t="shared" si="3"/>
        <v>4</v>
      </c>
      <c r="B13" s="42" t="str">
        <f>'Billing Detail'!B30</f>
        <v>Inclining Block Rate (8)</v>
      </c>
      <c r="C13" s="15" t="str">
        <f>'Billing Detail'!C30</f>
        <v>RSP-IB</v>
      </c>
      <c r="D13" s="43">
        <f>'Billing Detail'!G35</f>
        <v>62550.756039999993</v>
      </c>
      <c r="E13" s="43">
        <f>'Billing Detail'!I35</f>
        <v>61909.926999999996</v>
      </c>
      <c r="F13" s="116">
        <f t="shared" si="0"/>
        <v>1.3020221128131936E-3</v>
      </c>
      <c r="G13" s="117">
        <f t="shared" si="4"/>
        <v>61909.926999999996</v>
      </c>
      <c r="H13" s="116">
        <f t="shared" si="1"/>
        <v>1.395121331232026E-3</v>
      </c>
      <c r="I13" s="117">
        <f t="shared" si="5"/>
        <v>2478.8000000000002</v>
      </c>
      <c r="J13" s="43">
        <f>'Billing Detail'!M35</f>
        <v>64386.324079999999</v>
      </c>
      <c r="K13" s="41">
        <f t="shared" si="2"/>
        <v>1.3053267334955103E-3</v>
      </c>
      <c r="L13" s="43">
        <f>'Billing Detail'!N35</f>
        <v>2476.3970800000025</v>
      </c>
      <c r="M13" s="41">
        <f t="shared" si="6"/>
        <v>4.0000000000000042E-2</v>
      </c>
      <c r="N13" s="41">
        <f>'Billing Detail'!O41</f>
        <v>3.6923941266293031E-2</v>
      </c>
      <c r="O13" s="45">
        <f t="shared" si="7"/>
        <v>-2.4029200000004494</v>
      </c>
      <c r="Q13" s="41">
        <v>4.4016156084306042E-2</v>
      </c>
      <c r="R13" s="41">
        <v>4.0631249050622542E-2</v>
      </c>
      <c r="S13" s="68"/>
      <c r="T13" s="6">
        <f t="shared" si="8"/>
        <v>-4.0161560843059996E-3</v>
      </c>
      <c r="U13" s="6">
        <f t="shared" si="9"/>
        <v>-3.707307784329511E-3</v>
      </c>
      <c r="V13" s="2"/>
      <c r="W13" s="2"/>
    </row>
    <row r="14" spans="1:23" s="42" customFormat="1" x14ac:dyDescent="0.25">
      <c r="A14" s="4">
        <f t="shared" si="3"/>
        <v>5</v>
      </c>
      <c r="B14" s="42" t="str">
        <f>'Billing Detail'!B44</f>
        <v>Small General Service (2)</v>
      </c>
      <c r="C14" s="15" t="str">
        <f>'Billing Detail'!C44</f>
        <v>SGS</v>
      </c>
      <c r="D14" s="43">
        <f>'Billing Detail'!G48</f>
        <v>1784883.59005</v>
      </c>
      <c r="E14" s="43">
        <f>'Billing Detail'!I48</f>
        <v>1756895.7797300003</v>
      </c>
      <c r="F14" s="116">
        <f t="shared" si="0"/>
        <v>3.6949117305801998E-2</v>
      </c>
      <c r="G14" s="117">
        <f t="shared" si="4"/>
        <v>1756895.7797300003</v>
      </c>
      <c r="H14" s="116">
        <f t="shared" si="1"/>
        <v>3.9591110793150294E-2</v>
      </c>
      <c r="I14" s="117">
        <f>ROUND(L$7*H14,2)</f>
        <v>70344.06</v>
      </c>
      <c r="J14" s="43">
        <f>'Billing Detail'!M48</f>
        <v>1827541.3134299999</v>
      </c>
      <c r="K14" s="41">
        <f t="shared" si="2"/>
        <v>3.7050391788536412E-2</v>
      </c>
      <c r="L14" s="43">
        <f>'Billing Detail'!N48</f>
        <v>70645.533699999563</v>
      </c>
      <c r="M14" s="41">
        <f>IF(E14=0,0,L14/E14)</f>
        <v>4.0210429392036201E-2</v>
      </c>
      <c r="N14" s="41">
        <f>'Billing Detail'!O54</f>
        <v>3.8309559093111442E-2</v>
      </c>
      <c r="O14" s="45">
        <f>J14-I14-E14</f>
        <v>301.47369999950752</v>
      </c>
      <c r="Q14" s="41">
        <v>4.4185810533354533E-2</v>
      </c>
      <c r="R14" s="41">
        <v>4.2097011777741014E-2</v>
      </c>
      <c r="S14" s="68"/>
      <c r="T14" s="6">
        <f t="shared" si="8"/>
        <v>-3.9753811413183321E-3</v>
      </c>
      <c r="U14" s="6">
        <f t="shared" si="9"/>
        <v>-3.787452684629572E-3</v>
      </c>
      <c r="V14" s="2"/>
      <c r="W14" s="2"/>
    </row>
    <row r="15" spans="1:23" s="42" customFormat="1" x14ac:dyDescent="0.25">
      <c r="A15" s="4">
        <f t="shared" si="3"/>
        <v>6</v>
      </c>
      <c r="B15" s="42" t="str">
        <f>'Billing Detail'!B57</f>
        <v>Large General Service (3)</v>
      </c>
      <c r="C15" s="15" t="str">
        <f>'Billing Detail'!C57</f>
        <v>LGS</v>
      </c>
      <c r="D15" s="43">
        <f>'Billing Detail'!G61</f>
        <v>7654768.8959500007</v>
      </c>
      <c r="E15" s="43">
        <f>'Billing Detail'!I61</f>
        <v>7490122.3131100014</v>
      </c>
      <c r="F15" s="116">
        <f t="shared" si="0"/>
        <v>0.15752408946217511</v>
      </c>
      <c r="G15" s="117">
        <f t="shared" si="4"/>
        <v>7490122.3131100014</v>
      </c>
      <c r="H15" s="116">
        <f t="shared" si="1"/>
        <v>0.16878762290507512</v>
      </c>
      <c r="I15" s="117">
        <f t="shared" ref="I15" si="10">ROUND(L$7*H15,2)</f>
        <v>299895.77</v>
      </c>
      <c r="J15" s="43">
        <f>'Billing Detail'!M61</f>
        <v>7790608.7476899996</v>
      </c>
      <c r="K15" s="41">
        <f t="shared" si="2"/>
        <v>0.15794176812964805</v>
      </c>
      <c r="L15" s="43">
        <f>'Billing Detail'!N61</f>
        <v>300486.43457999825</v>
      </c>
      <c r="M15" s="41">
        <f t="shared" ref="M15" si="11">IF(E15=0,0,L15/E15)</f>
        <v>4.0117693946606886E-2</v>
      </c>
      <c r="N15" s="41">
        <f>'Billing Detail'!O67</f>
        <v>3.9159770540573229E-2</v>
      </c>
      <c r="O15" s="45">
        <f t="shared" ref="O15" si="12">J15-I15-E15</f>
        <v>590.66457999870181</v>
      </c>
      <c r="Q15" s="41">
        <v>4.4229506093665501E-2</v>
      </c>
      <c r="R15" s="41">
        <v>4.3173401543368593E-2</v>
      </c>
      <c r="S15" s="68"/>
      <c r="T15" s="6">
        <f t="shared" si="8"/>
        <v>-4.1118121470586147E-3</v>
      </c>
      <c r="U15" s="6">
        <f t="shared" si="9"/>
        <v>-4.0136310027953648E-3</v>
      </c>
      <c r="V15" s="2"/>
      <c r="W15" s="2"/>
    </row>
    <row r="16" spans="1:23" s="42" customFormat="1" x14ac:dyDescent="0.25">
      <c r="A16" s="4">
        <f t="shared" si="3"/>
        <v>7</v>
      </c>
      <c r="B16" s="42" t="str">
        <f>'Billing Detail'!B70</f>
        <v>All Electric School (4)</v>
      </c>
      <c r="C16" s="15" t="str">
        <f>'Billing Detail'!C70</f>
        <v>AES</v>
      </c>
      <c r="D16" s="43">
        <f>'Billing Detail'!G73</f>
        <v>46428.932799999995</v>
      </c>
      <c r="E16" s="43">
        <f>'Billing Detail'!I73</f>
        <v>45562.207999999999</v>
      </c>
      <c r="F16" s="116">
        <f t="shared" si="0"/>
        <v>9.5821470318635971E-4</v>
      </c>
      <c r="G16" s="117">
        <f t="shared" si="4"/>
        <v>45562.207999999999</v>
      </c>
      <c r="H16" s="116">
        <f t="shared" si="1"/>
        <v>1.0267304672937261E-3</v>
      </c>
      <c r="I16" s="117">
        <f t="shared" si="5"/>
        <v>1824.26</v>
      </c>
      <c r="J16" s="43">
        <f>'Billing Detail'!M73</f>
        <v>47389.257600000004</v>
      </c>
      <c r="K16" s="41">
        <f t="shared" si="2"/>
        <v>9.6073918972181351E-4</v>
      </c>
      <c r="L16" s="43">
        <f>'Billing Detail'!N73</f>
        <v>1827.0496000000057</v>
      </c>
      <c r="M16" s="41">
        <f t="shared" si="6"/>
        <v>4.0100111039394884E-2</v>
      </c>
      <c r="N16" s="41">
        <f>'Billing Detail'!O79</f>
        <v>3.8735987493827125E-2</v>
      </c>
      <c r="O16" s="45">
        <f t="shared" si="7"/>
        <v>2.789600000003702</v>
      </c>
      <c r="Q16" s="41">
        <v>4.4037883326462107E-2</v>
      </c>
      <c r="R16" s="41">
        <v>4.253980484274978E-2</v>
      </c>
      <c r="S16" s="68"/>
      <c r="T16" s="6">
        <f t="shared" si="8"/>
        <v>-3.9377722870672233E-3</v>
      </c>
      <c r="U16" s="6">
        <f t="shared" si="9"/>
        <v>-3.8038173489226557E-3</v>
      </c>
      <c r="V16" s="2"/>
      <c r="W16" s="2"/>
    </row>
    <row r="17" spans="1:23" s="42" customFormat="1" x14ac:dyDescent="0.25">
      <c r="A17" s="4">
        <f t="shared" si="3"/>
        <v>8</v>
      </c>
      <c r="B17" s="42" t="str">
        <f>'Billing Detail'!B82</f>
        <v>Tennessee Gas</v>
      </c>
      <c r="C17" s="15" t="str">
        <f>'Billing Detail'!C82</f>
        <v>Contract</v>
      </c>
      <c r="D17" s="43">
        <f>'Billing Detail'!G86</f>
        <v>3252700.9708000002</v>
      </c>
      <c r="E17" s="43">
        <f>'Billing Detail'!I86</f>
        <v>3173043.2208000002</v>
      </c>
      <c r="F17" s="116">
        <f t="shared" si="0"/>
        <v>6.6731986913723826E-2</v>
      </c>
      <c r="G17" s="117">
        <v>0</v>
      </c>
      <c r="H17" s="116">
        <f t="shared" si="1"/>
        <v>0</v>
      </c>
      <c r="I17" s="117">
        <f t="shared" ref="I17" si="13">ROUND(L$7*H17,2)</f>
        <v>0</v>
      </c>
      <c r="J17" s="43">
        <f>'Billing Detail'!M86</f>
        <v>3173043.2208000002</v>
      </c>
      <c r="K17" s="41">
        <f t="shared" si="2"/>
        <v>6.4328228110998836E-2</v>
      </c>
      <c r="L17" s="43">
        <f>'Billing Detail'!N86</f>
        <v>0</v>
      </c>
      <c r="M17" s="41">
        <f t="shared" si="6"/>
        <v>0</v>
      </c>
      <c r="N17" s="41">
        <f>'Billing Detail'!O92</f>
        <v>0</v>
      </c>
      <c r="O17" s="45">
        <f t="shared" ref="O17" si="14">J17-I17-E17</f>
        <v>0</v>
      </c>
      <c r="Q17" s="41">
        <v>0</v>
      </c>
      <c r="R17" s="41">
        <v>0</v>
      </c>
      <c r="S17" s="68"/>
      <c r="T17" s="6">
        <f t="shared" si="8"/>
        <v>0</v>
      </c>
      <c r="U17" s="6">
        <f t="shared" si="9"/>
        <v>0</v>
      </c>
      <c r="V17" s="2"/>
      <c r="W17" s="2"/>
    </row>
    <row r="18" spans="1:23" s="42" customFormat="1" x14ac:dyDescent="0.25">
      <c r="A18" s="4">
        <f t="shared" si="3"/>
        <v>9</v>
      </c>
      <c r="B18" s="42" t="str">
        <f>'Billing Detail'!B95</f>
        <v>Large Industrial Service (7)</v>
      </c>
      <c r="C18" s="15" t="str">
        <f>'Billing Detail'!C95</f>
        <v>LIS7</v>
      </c>
      <c r="D18" s="43">
        <f>'Billing Detail'!G99</f>
        <v>3627095.5078500002</v>
      </c>
      <c r="E18" s="43">
        <f>'Billing Detail'!I99</f>
        <v>3525170.1897500004</v>
      </c>
      <c r="F18" s="116">
        <f t="shared" si="0"/>
        <v>7.4137537562988604E-2</v>
      </c>
      <c r="G18" s="117">
        <f t="shared" si="4"/>
        <v>3525170.1897500004</v>
      </c>
      <c r="H18" s="116">
        <f t="shared" si="1"/>
        <v>7.9438635551023581E-2</v>
      </c>
      <c r="I18" s="117">
        <f t="shared" si="5"/>
        <v>141143.71</v>
      </c>
      <c r="J18" s="43">
        <f>'Billing Detail'!M99</f>
        <v>3666433.4595499998</v>
      </c>
      <c r="K18" s="41">
        <f t="shared" si="2"/>
        <v>7.4330903025098496E-2</v>
      </c>
      <c r="L18" s="43">
        <f>'Billing Detail'!N99</f>
        <v>141263.26979999943</v>
      </c>
      <c r="M18" s="41">
        <f t="shared" ref="M18" si="15">IF(E18=0,0,L18/E18)</f>
        <v>4.0072751724369256E-2</v>
      </c>
      <c r="N18" s="41">
        <f>'Billing Detail'!O105</f>
        <v>3.8545464947483239E-2</v>
      </c>
      <c r="O18" s="45">
        <f t="shared" si="7"/>
        <v>119.5597999994643</v>
      </c>
      <c r="Q18" s="41">
        <v>4.4224006092896083E-2</v>
      </c>
      <c r="R18" s="41">
        <v>4.2538503180813002E-2</v>
      </c>
      <c r="S18" s="68"/>
      <c r="T18" s="6">
        <f t="shared" si="8"/>
        <v>-4.1512543685268272E-3</v>
      </c>
      <c r="U18" s="6">
        <f t="shared" si="9"/>
        <v>-3.9930382333297626E-3</v>
      </c>
      <c r="V18" s="2"/>
      <c r="W18" s="2"/>
    </row>
    <row r="19" spans="1:23" s="42" customFormat="1" x14ac:dyDescent="0.25">
      <c r="A19" s="4">
        <f t="shared" si="3"/>
        <v>10</v>
      </c>
      <c r="B19" s="42" t="str">
        <f>'Billing Detail'!B108</f>
        <v>Large Industrial Service (1)</v>
      </c>
      <c r="C19" s="15" t="str">
        <f>'Billing Detail'!C108</f>
        <v>LIS1</v>
      </c>
      <c r="D19" s="43">
        <f>'Billing Detail'!G112</f>
        <v>1378208.158944</v>
      </c>
      <c r="E19" s="43">
        <f>'Billing Detail'!I112</f>
        <v>1343318.9187360001</v>
      </c>
      <c r="F19" s="116">
        <f t="shared" si="0"/>
        <v>2.8251219497554596E-2</v>
      </c>
      <c r="G19" s="117">
        <f t="shared" si="4"/>
        <v>1343318.9187360001</v>
      </c>
      <c r="H19" s="116">
        <f t="shared" si="1"/>
        <v>3.0271282312707853E-2</v>
      </c>
      <c r="I19" s="117">
        <f t="shared" ref="I19" si="16">ROUND(L$7*H19,2)</f>
        <v>53784.92</v>
      </c>
      <c r="J19" s="43">
        <f>'Billing Detail'!M112</f>
        <v>1397246.314032</v>
      </c>
      <c r="K19" s="41">
        <f t="shared" si="2"/>
        <v>2.8326868990344641E-2</v>
      </c>
      <c r="L19" s="43">
        <f>'Billing Detail'!N112</f>
        <v>53927.395295999944</v>
      </c>
      <c r="M19" s="41">
        <f t="shared" ref="M19" si="17">IF(E19=0,0,L19/E19)</f>
        <v>4.0144893773061047E-2</v>
      </c>
      <c r="N19" s="41">
        <f>'Billing Detail'!O118</f>
        <v>3.4760320844276819E-2</v>
      </c>
      <c r="O19" s="45">
        <f t="shared" ref="O19" si="18">J19-I19-E19</f>
        <v>142.47529600001872</v>
      </c>
      <c r="Q19" s="41">
        <v>4.3928654630670826E-2</v>
      </c>
      <c r="R19" s="41">
        <v>3.8036571670895886E-2</v>
      </c>
      <c r="S19" s="68"/>
      <c r="T19" s="6">
        <f t="shared" si="8"/>
        <v>-3.7837608576097789E-3</v>
      </c>
      <c r="U19" s="6">
        <f t="shared" si="9"/>
        <v>-3.2762508266190662E-3</v>
      </c>
      <c r="V19" s="2"/>
      <c r="W19" s="2"/>
    </row>
    <row r="20" spans="1:23" s="42" customFormat="1" x14ac:dyDescent="0.25">
      <c r="A20" s="4">
        <f>A24+1</f>
        <v>11</v>
      </c>
      <c r="B20" s="42" t="str">
        <f>'Billing Detail'!B121</f>
        <v>Lighting</v>
      </c>
      <c r="C20" s="15" t="str">
        <f>'Billing Detail'!C121</f>
        <v>OL</v>
      </c>
      <c r="D20" s="43">
        <f>'Billing Detail'!G138</f>
        <v>992551.22</v>
      </c>
      <c r="E20" s="43">
        <f>'Billing Detail'!I138</f>
        <v>975290.97000000009</v>
      </c>
      <c r="F20" s="116">
        <f t="shared" si="0"/>
        <v>2.0511256770938031E-2</v>
      </c>
      <c r="G20" s="117">
        <f t="shared" si="4"/>
        <v>975290.97000000009</v>
      </c>
      <c r="H20" s="116">
        <f t="shared" si="1"/>
        <v>2.1977884684066487E-2</v>
      </c>
      <c r="I20" s="117">
        <f t="shared" si="5"/>
        <v>39049.51</v>
      </c>
      <c r="J20" s="43">
        <f>'Billing Detail'!M138</f>
        <v>1014324.22</v>
      </c>
      <c r="K20" s="41">
        <f t="shared" si="2"/>
        <v>2.0563753867247972E-2</v>
      </c>
      <c r="L20" s="43">
        <f t="shared" ref="L20" si="19">J20-E20</f>
        <v>39033.249999999884</v>
      </c>
      <c r="M20" s="41">
        <f t="shared" si="6"/>
        <v>4.0022158720489212E-2</v>
      </c>
      <c r="N20" s="41">
        <f>'Billing Detail'!O144</f>
        <v>4.0022158720489212E-2</v>
      </c>
      <c r="O20" s="45">
        <f t="shared" si="7"/>
        <v>-16.260000000125729</v>
      </c>
      <c r="Q20" s="41">
        <v>4.4061558367550518E-2</v>
      </c>
      <c r="R20" s="41">
        <v>4.4061558367550518E-2</v>
      </c>
      <c r="S20" s="68"/>
      <c r="T20" s="6">
        <f t="shared" si="8"/>
        <v>-4.0393996470613064E-3</v>
      </c>
      <c r="U20" s="6">
        <f t="shared" si="9"/>
        <v>-4.0393996470613064E-3</v>
      </c>
      <c r="V20" s="2"/>
      <c r="W20" s="2"/>
    </row>
    <row r="21" spans="1:23" s="42" customFormat="1" ht="16.2" customHeight="1" x14ac:dyDescent="0.25">
      <c r="A21" s="4">
        <f t="shared" si="3"/>
        <v>12</v>
      </c>
      <c r="B21" s="46" t="s">
        <v>47</v>
      </c>
      <c r="C21" s="71"/>
      <c r="D21" s="47">
        <f>SUM(D11:D20)</f>
        <v>48466617.863534003</v>
      </c>
      <c r="E21" s="47">
        <f>SUM(E11:E20)</f>
        <v>47549059.567226</v>
      </c>
      <c r="F21" s="48">
        <f t="shared" si="0"/>
        <v>1</v>
      </c>
      <c r="G21" s="47">
        <f>SUM(G11:G20)</f>
        <v>44376016.346426003</v>
      </c>
      <c r="H21" s="48">
        <v>1</v>
      </c>
      <c r="I21" s="47">
        <f>SUM(I11:I20)</f>
        <v>1776763.99</v>
      </c>
      <c r="J21" s="47">
        <f>SUM(J11:J20)</f>
        <v>49325829.639282003</v>
      </c>
      <c r="K21" s="48">
        <f t="shared" si="2"/>
        <v>1</v>
      </c>
      <c r="L21" s="47">
        <f>SUM(L11:L20)</f>
        <v>1776770.0720559973</v>
      </c>
      <c r="M21" s="48">
        <f t="shared" ref="M21" si="20">L21/E21</f>
        <v>3.7367091762224178E-2</v>
      </c>
      <c r="N21" s="48"/>
      <c r="O21" s="49">
        <f t="shared" si="7"/>
        <v>6.082056000828743</v>
      </c>
      <c r="Q21" s="48">
        <v>4.1181371824431927E-2</v>
      </c>
      <c r="R21" s="48"/>
      <c r="S21" s="68"/>
      <c r="T21" s="6">
        <f t="shared" si="8"/>
        <v>-3.8142800622077491E-3</v>
      </c>
      <c r="U21" s="6"/>
      <c r="V21" s="2"/>
      <c r="W21" s="2"/>
    </row>
    <row r="22" spans="1:23" s="42" customFormat="1" ht="16.2" customHeight="1" x14ac:dyDescent="0.25">
      <c r="A22" s="4">
        <f t="shared" si="3"/>
        <v>13</v>
      </c>
      <c r="B22" s="50"/>
      <c r="C22" s="72"/>
      <c r="D22" s="51"/>
      <c r="E22" s="51"/>
      <c r="F22" s="52"/>
      <c r="G22" s="51"/>
      <c r="H22" s="52"/>
      <c r="I22" s="51"/>
      <c r="J22" s="51"/>
      <c r="K22" s="52"/>
      <c r="L22" s="51"/>
      <c r="M22" s="52"/>
      <c r="N22" s="52"/>
      <c r="O22" s="53"/>
      <c r="Q22" s="52"/>
      <c r="R22" s="52"/>
      <c r="S22" s="68"/>
      <c r="T22" s="6"/>
      <c r="U22" s="6"/>
      <c r="V22" s="2"/>
      <c r="W22" s="2"/>
    </row>
    <row r="23" spans="1:23" s="42" customFormat="1" ht="16.2" customHeight="1" x14ac:dyDescent="0.25">
      <c r="A23" s="4">
        <f t="shared" si="3"/>
        <v>14</v>
      </c>
      <c r="B23" s="50" t="str">
        <f>'Billing Detail'!B146</f>
        <v>Special Contract - EKPC Rate G</v>
      </c>
      <c r="C23" s="72" t="str">
        <f>'Billing Detail'!C146</f>
        <v>Special</v>
      </c>
      <c r="D23" s="51">
        <f>'Billing Detail'!G150</f>
        <v>13302877.810010001</v>
      </c>
      <c r="E23" s="51">
        <f>'Billing Detail'!I150</f>
        <v>12912960.289701002</v>
      </c>
      <c r="F23" s="52">
        <v>1</v>
      </c>
      <c r="G23" s="118">
        <f>L5</f>
        <v>340696</v>
      </c>
      <c r="H23" s="52">
        <v>1</v>
      </c>
      <c r="I23" s="51">
        <f>H23*G23</f>
        <v>340696</v>
      </c>
      <c r="J23" s="51">
        <f>'Billing Detail'!M150</f>
        <v>13261362.75574</v>
      </c>
      <c r="K23" s="52">
        <f>J23/J23</f>
        <v>1</v>
      </c>
      <c r="L23" s="51">
        <f>'Billing Detail'!N150</f>
        <v>348402.46603899822</v>
      </c>
      <c r="M23" s="41">
        <f t="shared" ref="M23:M26" si="21">IF(E23=0,0,L23/E23)</f>
        <v>2.6980836169447048E-2</v>
      </c>
      <c r="N23" s="41">
        <f>'Billing Detail'!O156</f>
        <v>2.6110257719325528E-2</v>
      </c>
      <c r="O23" s="45">
        <f>J23-I23-E23</f>
        <v>7706.4660389982164</v>
      </c>
      <c r="Q23" s="41">
        <v>5.3982692595203434E-2</v>
      </c>
      <c r="R23" s="41">
        <v>5.2240857443847495E-2</v>
      </c>
      <c r="T23" s="6">
        <f t="shared" si="8"/>
        <v>-2.7001856425756386E-2</v>
      </c>
      <c r="U23" s="6">
        <f t="shared" si="9"/>
        <v>-2.6130599724521968E-2</v>
      </c>
    </row>
    <row r="24" spans="1:23" s="42" customFormat="1" x14ac:dyDescent="0.25">
      <c r="A24" s="4">
        <f>A18+1</f>
        <v>10</v>
      </c>
      <c r="B24" s="42" t="str">
        <f>'Billing Detail'!B159</f>
        <v>Steam</v>
      </c>
      <c r="C24" s="15" t="str">
        <f>'Billing Detail'!C95</f>
        <v>LIS7</v>
      </c>
      <c r="D24" s="43">
        <f>'Billing Detail'!G162</f>
        <v>10015260.3853308</v>
      </c>
      <c r="E24" s="43">
        <f>'Billing Detail'!I162</f>
        <v>9737927.5451266132</v>
      </c>
      <c r="F24" s="41">
        <v>1</v>
      </c>
      <c r="G24" s="118">
        <f>L6</f>
        <v>278673</v>
      </c>
      <c r="H24" s="41">
        <v>1</v>
      </c>
      <c r="I24" s="51">
        <f>H24*G24</f>
        <v>278673</v>
      </c>
      <c r="J24" s="43">
        <f>'Billing Detail'!M162</f>
        <v>10022568.55346703</v>
      </c>
      <c r="K24" s="41">
        <f>J24/J24</f>
        <v>1</v>
      </c>
      <c r="L24" s="43">
        <f>'Billing Detail'!N162</f>
        <v>284641.00834041648</v>
      </c>
      <c r="M24" s="41">
        <f>IF(E24=0,0,L24/E24)</f>
        <v>2.9230142350244355E-2</v>
      </c>
      <c r="N24" s="41">
        <f>'Billing Detail'!O168</f>
        <v>2.7362827098122391E-2</v>
      </c>
      <c r="O24" s="45">
        <f>J24-I24-E24</f>
        <v>5968.0083404164761</v>
      </c>
      <c r="P24" s="79"/>
      <c r="Q24" s="41">
        <v>2.7019473414679602E-2</v>
      </c>
      <c r="R24" s="41">
        <v>2.5293382785117089E-2</v>
      </c>
      <c r="T24" s="6">
        <f t="shared" si="8"/>
        <v>2.2106689355647531E-3</v>
      </c>
      <c r="U24" s="6">
        <f t="shared" si="9"/>
        <v>2.0694443130053024E-3</v>
      </c>
    </row>
    <row r="25" spans="1:23" s="42" customFormat="1" ht="16.2" customHeight="1" x14ac:dyDescent="0.25">
      <c r="A25" s="4"/>
      <c r="B25" s="50"/>
      <c r="C25" s="72"/>
      <c r="D25" s="51"/>
      <c r="E25" s="51"/>
      <c r="F25" s="52"/>
      <c r="G25" s="44"/>
      <c r="H25" s="52"/>
      <c r="I25" s="51"/>
      <c r="J25" s="51"/>
      <c r="K25" s="52"/>
      <c r="L25" s="51"/>
      <c r="M25" s="41"/>
      <c r="N25" s="41"/>
      <c r="O25" s="45"/>
      <c r="Q25" s="41"/>
      <c r="R25" s="41"/>
      <c r="S25" s="68"/>
      <c r="T25" s="6"/>
      <c r="U25" s="6"/>
    </row>
    <row r="26" spans="1:23" s="42" customFormat="1" ht="16.2" customHeight="1" x14ac:dyDescent="0.25">
      <c r="A26" s="4">
        <f>A23+1</f>
        <v>15</v>
      </c>
      <c r="B26" s="54" t="s">
        <v>46</v>
      </c>
      <c r="C26" s="73"/>
      <c r="D26" s="55">
        <f>D23+D21+D24</f>
        <v>71784756.058874801</v>
      </c>
      <c r="E26" s="55">
        <f>E23+E21+E24</f>
        <v>70199947.402053609</v>
      </c>
      <c r="F26" s="55"/>
      <c r="G26" s="55">
        <f>G23+G21+G24</f>
        <v>44995385.346426003</v>
      </c>
      <c r="H26" s="55"/>
      <c r="I26" s="55">
        <f>I23+I21+I24</f>
        <v>2396132.9900000002</v>
      </c>
      <c r="J26" s="55">
        <f>J23+J21+J24</f>
        <v>72609760.94848904</v>
      </c>
      <c r="K26" s="55"/>
      <c r="L26" s="55">
        <f>L23+L21+L24</f>
        <v>2409813.546435412</v>
      </c>
      <c r="M26" s="56">
        <f t="shared" si="21"/>
        <v>3.4327854017237001E-2</v>
      </c>
      <c r="N26" s="56"/>
      <c r="O26" s="57">
        <f t="shared" ref="O26" si="22">J26-I26-E26</f>
        <v>13680.55643543601</v>
      </c>
      <c r="Q26" s="56">
        <v>4.157162006772739E-2</v>
      </c>
      <c r="R26" s="56"/>
      <c r="S26" s="68"/>
      <c r="T26" s="6">
        <f t="shared" si="8"/>
        <v>-7.2437660504903884E-3</v>
      </c>
      <c r="U26" s="6"/>
    </row>
    <row r="27" spans="1:23" s="42" customFormat="1" ht="12.6" customHeight="1" x14ac:dyDescent="0.25">
      <c r="A27" s="4">
        <f t="shared" si="3"/>
        <v>16</v>
      </c>
      <c r="C27" s="15"/>
      <c r="Q27" s="2"/>
      <c r="R27" s="2"/>
      <c r="S27" s="68"/>
      <c r="T27" s="6"/>
      <c r="U27" s="6"/>
    </row>
    <row r="28" spans="1:23" s="42" customFormat="1" x14ac:dyDescent="0.25">
      <c r="A28" s="4">
        <f t="shared" si="3"/>
        <v>17</v>
      </c>
      <c r="B28" s="38" t="s">
        <v>8</v>
      </c>
      <c r="C28" s="70"/>
      <c r="D28" s="38"/>
      <c r="Q28" s="2"/>
      <c r="R28" s="2"/>
      <c r="S28" s="68"/>
      <c r="T28" s="41"/>
      <c r="U28" s="6"/>
    </row>
    <row r="29" spans="1:23" s="42" customFormat="1" x14ac:dyDescent="0.25">
      <c r="A29" s="4">
        <f t="shared" si="3"/>
        <v>18</v>
      </c>
      <c r="B29" s="42" t="str">
        <f>'Billing Detail'!D11</f>
        <v xml:space="preserve">    FAC</v>
      </c>
      <c r="C29" s="15"/>
      <c r="D29" s="43">
        <f>'Billing Detail'!G174</f>
        <v>-4207338.2745339591</v>
      </c>
      <c r="E29" s="43">
        <f>'Billing Detail'!I174</f>
        <v>-5434961.0634360947</v>
      </c>
      <c r="F29" s="58"/>
      <c r="G29" s="59"/>
      <c r="H29" s="59"/>
      <c r="I29" s="59"/>
      <c r="J29" s="43">
        <f>'Billing Detail'!M174</f>
        <v>-5434961.0634360947</v>
      </c>
      <c r="K29" s="60"/>
      <c r="L29" s="60"/>
      <c r="M29" s="59"/>
      <c r="N29" s="59"/>
      <c r="Q29" s="170"/>
      <c r="R29" s="170"/>
      <c r="S29" s="68"/>
      <c r="T29" s="41"/>
      <c r="U29" s="6"/>
    </row>
    <row r="30" spans="1:23" s="42" customFormat="1" x14ac:dyDescent="0.25">
      <c r="A30" s="4">
        <f t="shared" si="3"/>
        <v>19</v>
      </c>
      <c r="B30" s="42" t="str">
        <f>'Billing Detail'!D12</f>
        <v xml:space="preserve">    ES</v>
      </c>
      <c r="C30" s="15"/>
      <c r="D30" s="43">
        <f>'Billing Detail'!G175</f>
        <v>8854389.1592729576</v>
      </c>
      <c r="E30" s="43">
        <f>'Billing Detail'!I175</f>
        <v>8854389.1592729576</v>
      </c>
      <c r="F30" s="59"/>
      <c r="G30" s="59"/>
      <c r="H30" s="59"/>
      <c r="I30" s="59"/>
      <c r="J30" s="43">
        <f>'Billing Detail'!M175</f>
        <v>8854389.1592729576</v>
      </c>
      <c r="K30" s="60"/>
      <c r="L30" s="60"/>
      <c r="M30" s="59"/>
      <c r="N30" s="59"/>
      <c r="Q30" s="170"/>
      <c r="R30" s="170"/>
      <c r="S30" s="68"/>
      <c r="T30" s="41"/>
      <c r="U30" s="6"/>
    </row>
    <row r="31" spans="1:23" s="42" customFormat="1" x14ac:dyDescent="0.25">
      <c r="A31" s="4">
        <f t="shared" si="3"/>
        <v>20</v>
      </c>
      <c r="B31" s="42" t="str">
        <f>'Billing Detail'!D13</f>
        <v xml:space="preserve">    Prepay Daily Charges</v>
      </c>
      <c r="C31" s="15"/>
      <c r="D31" s="43">
        <f>'Billing Detail'!G176</f>
        <v>28285</v>
      </c>
      <c r="E31" s="43">
        <f>'Billing Detail'!I176</f>
        <v>28285</v>
      </c>
      <c r="F31" s="59"/>
      <c r="G31" s="59"/>
      <c r="H31" s="59"/>
      <c r="I31" s="59"/>
      <c r="J31" s="43">
        <f>'Billing Detail'!M176</f>
        <v>28285</v>
      </c>
      <c r="K31" s="60"/>
      <c r="L31" s="60"/>
      <c r="M31" s="59"/>
      <c r="N31" s="59"/>
      <c r="Q31" s="170"/>
      <c r="R31" s="170"/>
      <c r="S31" s="68"/>
      <c r="T31" s="41"/>
      <c r="U31" s="6"/>
    </row>
    <row r="32" spans="1:23" s="42" customFormat="1" x14ac:dyDescent="0.25">
      <c r="A32" s="4">
        <f t="shared" si="3"/>
        <v>21</v>
      </c>
      <c r="B32" s="42" t="str">
        <f>'Billing Detail'!D14</f>
        <v xml:space="preserve">    Green Power &amp; Solar</v>
      </c>
      <c r="C32" s="15"/>
      <c r="D32" s="43">
        <f>'Billing Detail'!G177</f>
        <v>-672.88000000000011</v>
      </c>
      <c r="E32" s="43">
        <f>'Billing Detail'!I177</f>
        <v>-672.88000000000011</v>
      </c>
      <c r="F32" s="59"/>
      <c r="G32" s="59"/>
      <c r="H32" s="59"/>
      <c r="I32" s="59"/>
      <c r="J32" s="43">
        <f>'Billing Detail'!M177</f>
        <v>-672.88000000000011</v>
      </c>
      <c r="K32" s="60"/>
      <c r="L32" s="60"/>
      <c r="M32" s="59"/>
      <c r="N32" s="81"/>
      <c r="Q32" s="170"/>
      <c r="R32" s="171"/>
      <c r="S32" s="68"/>
      <c r="T32" s="41"/>
      <c r="U32" s="6"/>
    </row>
    <row r="33" spans="1:21" s="42" customFormat="1" x14ac:dyDescent="0.25">
      <c r="A33" s="4">
        <f t="shared" si="3"/>
        <v>22</v>
      </c>
      <c r="B33" s="46" t="s">
        <v>9</v>
      </c>
      <c r="C33" s="71"/>
      <c r="D33" s="47">
        <f>SUM(D29:D32)</f>
        <v>4674663.0047389986</v>
      </c>
      <c r="E33" s="47">
        <f>SUM(E29:E32)</f>
        <v>3447040.215836863</v>
      </c>
      <c r="F33" s="61"/>
      <c r="G33" s="61"/>
      <c r="H33" s="61"/>
      <c r="I33" s="61"/>
      <c r="J33" s="47">
        <f>SUM(J29:J32)</f>
        <v>3447040.215836863</v>
      </c>
      <c r="K33" s="62"/>
      <c r="L33" s="62"/>
      <c r="M33" s="61"/>
      <c r="N33" s="80"/>
      <c r="Q33" s="172"/>
      <c r="R33" s="170"/>
      <c r="S33" s="68"/>
      <c r="T33" s="41"/>
      <c r="U33" s="6"/>
    </row>
    <row r="34" spans="1:21" s="42" customFormat="1" x14ac:dyDescent="0.25">
      <c r="A34" s="4">
        <f t="shared" si="3"/>
        <v>23</v>
      </c>
      <c r="C34" s="15"/>
      <c r="Q34" s="2"/>
      <c r="R34" s="2"/>
      <c r="S34" s="68"/>
      <c r="T34" s="41"/>
      <c r="U34" s="6"/>
    </row>
    <row r="35" spans="1:21" s="42" customFormat="1" ht="18" customHeight="1" thickBot="1" x14ac:dyDescent="0.3">
      <c r="A35" s="4">
        <f t="shared" si="3"/>
        <v>24</v>
      </c>
      <c r="B35" s="63" t="s">
        <v>10</v>
      </c>
      <c r="C35" s="74"/>
      <c r="D35" s="64">
        <f>D26+D33</f>
        <v>76459419.063613802</v>
      </c>
      <c r="E35" s="64">
        <f>E26+E33</f>
        <v>73646987.617890477</v>
      </c>
      <c r="F35" s="65"/>
      <c r="G35" s="65"/>
      <c r="H35" s="65"/>
      <c r="I35" s="65"/>
      <c r="J35" s="64">
        <f>J26+J33</f>
        <v>76056801.164325908</v>
      </c>
      <c r="K35" s="66"/>
      <c r="L35" s="65">
        <f t="shared" ref="L35" si="23">J35-E35</f>
        <v>2409813.5464354306</v>
      </c>
      <c r="M35" s="63"/>
      <c r="N35" s="67">
        <f>L35/E35</f>
        <v>3.2721142091221581E-2</v>
      </c>
      <c r="Q35" s="173"/>
      <c r="R35" s="67">
        <v>3.9625864364120987E-2</v>
      </c>
      <c r="S35" s="68"/>
      <c r="T35" s="41"/>
      <c r="U35" s="6">
        <f t="shared" si="9"/>
        <v>-6.9047222728994065E-3</v>
      </c>
    </row>
    <row r="36" spans="1:21" s="42" customFormat="1" ht="18" customHeight="1" thickTop="1" x14ac:dyDescent="0.25">
      <c r="A36" s="4">
        <f t="shared" si="3"/>
        <v>25</v>
      </c>
      <c r="B36" s="42" t="s">
        <v>11</v>
      </c>
      <c r="C36" s="15"/>
      <c r="D36" s="44"/>
      <c r="L36" s="51">
        <f>L4</f>
        <v>2396133</v>
      </c>
      <c r="S36" s="68"/>
    </row>
    <row r="37" spans="1:21" s="42" customFormat="1" ht="15" customHeight="1" x14ac:dyDescent="0.25">
      <c r="A37" s="4">
        <f t="shared" si="3"/>
        <v>26</v>
      </c>
      <c r="B37" s="46" t="s">
        <v>41</v>
      </c>
      <c r="C37" s="71"/>
      <c r="D37" s="47"/>
      <c r="E37" s="46"/>
      <c r="F37" s="46"/>
      <c r="G37" s="46"/>
      <c r="H37" s="46"/>
      <c r="I37" s="46"/>
      <c r="J37" s="46"/>
      <c r="K37" s="46"/>
      <c r="L37" s="47">
        <f>L35-L36</f>
        <v>13680.546435430646</v>
      </c>
      <c r="P37" s="68"/>
      <c r="S37" s="68"/>
    </row>
    <row r="38" spans="1:21" s="42" customFormat="1" ht="15" customHeight="1" x14ac:dyDescent="0.25">
      <c r="A38" s="4">
        <f t="shared" si="3"/>
        <v>27</v>
      </c>
      <c r="B38" s="42" t="s">
        <v>41</v>
      </c>
      <c r="C38" s="15"/>
      <c r="D38" s="41"/>
      <c r="L38" s="41">
        <f>L37/L36</f>
        <v>5.7094269956762195E-3</v>
      </c>
      <c r="S38" s="68"/>
    </row>
    <row r="39" spans="1:21" x14ac:dyDescent="0.25">
      <c r="A39" s="4"/>
    </row>
  </sheetData>
  <mergeCells count="2">
    <mergeCell ref="Q8:R8"/>
    <mergeCell ref="T8:U8"/>
  </mergeCells>
  <printOptions horizontalCentered="1"/>
  <pageMargins left="0.7" right="0.7" top="0.75" bottom="0.75" header="0.3" footer="0.3"/>
  <pageSetup scale="73" orientation="landscape" r:id="rId1"/>
  <headerFooter>
    <oddHeader>&amp;R&amp;"Arial,Bold"&amp;10Exhibit 3
 Page &amp;P of &amp;N</oddHeader>
  </headerFooter>
  <ignoredErrors>
    <ignoredError sqref="J21:K21 F21 J11:J12 J16 J13 C19 G11:G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W246"/>
  <sheetViews>
    <sheetView view="pageBreakPreview" zoomScale="75" zoomScaleNormal="65" zoomScaleSheetLayoutView="75" workbookViewId="0">
      <pane xSplit="4" ySplit="5" topLeftCell="E222" activePane="bottomRight" state="frozen"/>
      <selection activeCell="P22" sqref="P22"/>
      <selection pane="topRight" activeCell="P22" sqref="P22"/>
      <selection pane="bottomLeft" activeCell="P22" sqref="P22"/>
      <selection pane="bottomRight" activeCell="L97" sqref="L97"/>
    </sheetView>
  </sheetViews>
  <sheetFormatPr defaultRowHeight="13.2" x14ac:dyDescent="0.25"/>
  <cols>
    <col min="1" max="1" width="9.6640625" style="7" customWidth="1"/>
    <col min="2" max="2" width="32" style="2" customWidth="1"/>
    <col min="3" max="3" width="11.88671875" style="15" customWidth="1"/>
    <col min="4" max="4" width="31.5546875" style="2" bestFit="1" customWidth="1"/>
    <col min="5" max="5" width="14.44140625" style="119" bestFit="1" customWidth="1"/>
    <col min="6" max="6" width="10" style="119" hidden="1" customWidth="1"/>
    <col min="7" max="7" width="14.44140625" style="119" hidden="1" customWidth="1"/>
    <col min="8" max="8" width="12.21875" style="119" bestFit="1" customWidth="1"/>
    <col min="9" max="9" width="15.33203125" style="119" bestFit="1" customWidth="1"/>
    <col min="10" max="10" width="8.5546875" style="119" bestFit="1" customWidth="1"/>
    <col min="11" max="11" width="12.6640625" style="119" bestFit="1" customWidth="1"/>
    <col min="12" max="12" width="10" style="119" bestFit="1" customWidth="1"/>
    <col min="13" max="13" width="14.44140625" style="119" bestFit="1" customWidth="1"/>
    <col min="14" max="14" width="11.6640625" style="119" bestFit="1" customWidth="1"/>
    <col min="15" max="15" width="6.44140625" style="119" bestFit="1" customWidth="1"/>
    <col min="16" max="16" width="9.88671875" style="119" bestFit="1" customWidth="1"/>
    <col min="17" max="17" width="9.44140625" style="119" bestFit="1" customWidth="1"/>
    <col min="18" max="18" width="13.21875" style="119" bestFit="1" customWidth="1"/>
    <col min="19" max="19" width="10.5546875" style="2" bestFit="1" customWidth="1"/>
    <col min="20" max="20" width="14.109375" style="2" customWidth="1"/>
    <col min="21" max="21" width="8.88671875" style="2"/>
    <col min="22" max="22" width="9.33203125" style="2" bestFit="1" customWidth="1"/>
    <col min="23" max="23" width="15.33203125" style="2" customWidth="1"/>
    <col min="24" max="16384" width="8.88671875" style="2"/>
  </cols>
  <sheetData>
    <row r="1" spans="1:20" x14ac:dyDescent="0.25">
      <c r="A1" s="30" t="str">
        <f>Summary!A1</f>
        <v>Fleming-Mason RECC</v>
      </c>
      <c r="F1" s="123"/>
    </row>
    <row r="2" spans="1:20" ht="14.4" customHeight="1" x14ac:dyDescent="0.25">
      <c r="A2" s="30" t="str">
        <f>Summary!A2</f>
        <v>Billing Analysis for Pass-Through Rate Increase</v>
      </c>
      <c r="F2" s="132"/>
      <c r="G2" s="132"/>
      <c r="H2" s="132"/>
      <c r="I2" s="132"/>
      <c r="P2" s="133"/>
      <c r="S2" s="27"/>
      <c r="T2" s="27"/>
    </row>
    <row r="3" spans="1:20" x14ac:dyDescent="0.25">
      <c r="S3" s="27"/>
      <c r="T3" s="27"/>
    </row>
    <row r="4" spans="1:20" x14ac:dyDescent="0.25">
      <c r="D4" s="27"/>
      <c r="S4" s="27"/>
      <c r="T4" s="27"/>
    </row>
    <row r="5" spans="1:20" ht="38.4" customHeight="1" x14ac:dyDescent="0.25">
      <c r="A5" s="17" t="s">
        <v>1</v>
      </c>
      <c r="B5" s="17" t="s">
        <v>13</v>
      </c>
      <c r="C5" s="10" t="s">
        <v>12</v>
      </c>
      <c r="D5" s="17" t="s">
        <v>14</v>
      </c>
      <c r="E5" s="120" t="s">
        <v>15</v>
      </c>
      <c r="F5" s="120" t="s">
        <v>21</v>
      </c>
      <c r="G5" s="120" t="s">
        <v>26</v>
      </c>
      <c r="H5" s="120" t="s">
        <v>27</v>
      </c>
      <c r="I5" s="120" t="s">
        <v>28</v>
      </c>
      <c r="J5" s="120" t="s">
        <v>131</v>
      </c>
      <c r="K5" s="120" t="s">
        <v>11</v>
      </c>
      <c r="L5" s="120" t="s">
        <v>24</v>
      </c>
      <c r="M5" s="120" t="s">
        <v>4</v>
      </c>
      <c r="N5" s="120" t="s">
        <v>16</v>
      </c>
      <c r="O5" s="134" t="s">
        <v>17</v>
      </c>
      <c r="P5" s="120" t="s">
        <v>25</v>
      </c>
      <c r="Q5" s="120" t="s">
        <v>29</v>
      </c>
      <c r="R5" s="120" t="s">
        <v>42</v>
      </c>
      <c r="T5" s="12" t="s">
        <v>38</v>
      </c>
    </row>
    <row r="6" spans="1:20" ht="30.6" customHeight="1" thickBot="1" x14ac:dyDescent="0.3">
      <c r="A6" s="31"/>
      <c r="B6" s="22"/>
      <c r="C6" s="23"/>
      <c r="D6" s="22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35"/>
      <c r="P6" s="121"/>
      <c r="Q6" s="121"/>
      <c r="R6" s="121"/>
    </row>
    <row r="7" spans="1:20" x14ac:dyDescent="0.25">
      <c r="A7" s="32">
        <v>1</v>
      </c>
      <c r="B7" s="24" t="s">
        <v>74</v>
      </c>
      <c r="C7" s="25" t="s">
        <v>51</v>
      </c>
      <c r="D7" s="24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</row>
    <row r="8" spans="1:20" x14ac:dyDescent="0.25">
      <c r="A8" s="32">
        <f>A7+1</f>
        <v>2</v>
      </c>
      <c r="D8" s="2" t="s">
        <v>18</v>
      </c>
      <c r="E8" s="136">
        <f>281102+5657+313+676</f>
        <v>287748</v>
      </c>
      <c r="F8" s="123">
        <v>15</v>
      </c>
      <c r="G8" s="137">
        <f>F8*E8</f>
        <v>4316220</v>
      </c>
      <c r="H8" s="123">
        <v>15</v>
      </c>
      <c r="I8" s="137">
        <f>H8*E8</f>
        <v>4316220</v>
      </c>
      <c r="J8" s="124">
        <f>I8/I10</f>
        <v>0.14800830807706811</v>
      </c>
      <c r="K8" s="124"/>
      <c r="L8" s="123">
        <f>ROUND(H8*S10,2)</f>
        <v>15.6</v>
      </c>
      <c r="M8" s="137">
        <f>L8*E8</f>
        <v>4488868.8</v>
      </c>
      <c r="N8" s="137">
        <f t="shared" ref="N8:N13" si="0">M8-I8</f>
        <v>172648.79999999981</v>
      </c>
      <c r="O8" s="124">
        <f>IF(I8=0,0,N8/I8)</f>
        <v>3.9999999999999959E-2</v>
      </c>
      <c r="P8" s="124">
        <f>M8/M10</f>
        <v>0.14800830807706811</v>
      </c>
      <c r="Q8" s="138">
        <f>P8-J8</f>
        <v>0</v>
      </c>
      <c r="R8" s="138"/>
      <c r="T8" s="6">
        <f>L8/H8-1</f>
        <v>4.0000000000000036E-2</v>
      </c>
    </row>
    <row r="9" spans="1:20" x14ac:dyDescent="0.25">
      <c r="A9" s="32">
        <f t="shared" ref="A9:A72" si="1">A8+1</f>
        <v>3</v>
      </c>
      <c r="B9" s="13"/>
      <c r="D9" s="2" t="s">
        <v>92</v>
      </c>
      <c r="E9" s="136">
        <f>301966571+6711685+254771+671853</f>
        <v>309604880</v>
      </c>
      <c r="F9" s="125">
        <v>8.183E-2</v>
      </c>
      <c r="G9" s="137">
        <f t="shared" ref="G9" si="2">F9*E9</f>
        <v>25334967.330400001</v>
      </c>
      <c r="H9" s="139">
        <v>8.0250000000000002E-2</v>
      </c>
      <c r="I9" s="137">
        <f t="shared" ref="I9" si="3">H9*E9</f>
        <v>24845791.620000001</v>
      </c>
      <c r="J9" s="124">
        <f>I9/I10</f>
        <v>0.85199169192293189</v>
      </c>
      <c r="K9" s="124"/>
      <c r="L9" s="139">
        <f>ROUND(H9*S10,5)</f>
        <v>8.3460000000000006E-2</v>
      </c>
      <c r="M9" s="137">
        <f t="shared" ref="M9" si="4">L9*E9</f>
        <v>25839623.2848</v>
      </c>
      <c r="N9" s="137">
        <f t="shared" si="0"/>
        <v>993831.66479999945</v>
      </c>
      <c r="O9" s="124">
        <f t="shared" ref="O9" si="5">IF(I9=0,0,N9/I9)</f>
        <v>3.9999999999999973E-2</v>
      </c>
      <c r="P9" s="124">
        <f>M9/M10</f>
        <v>0.85199169192293189</v>
      </c>
      <c r="Q9" s="138">
        <f t="shared" ref="Q9:Q10" si="6">P9-J9</f>
        <v>0</v>
      </c>
      <c r="R9" s="138"/>
      <c r="T9" s="6">
        <f>L9/H9-1</f>
        <v>4.0000000000000036E-2</v>
      </c>
    </row>
    <row r="10" spans="1:20" s="7" customFormat="1" ht="20.399999999999999" customHeight="1" x14ac:dyDescent="0.3">
      <c r="A10" s="32">
        <f t="shared" si="1"/>
        <v>4</v>
      </c>
      <c r="C10" s="16"/>
      <c r="D10" s="18" t="s">
        <v>7</v>
      </c>
      <c r="E10" s="131"/>
      <c r="F10" s="140"/>
      <c r="G10" s="19">
        <f>SUM(G8:G9)</f>
        <v>29651187.330400001</v>
      </c>
      <c r="H10" s="131"/>
      <c r="I10" s="19">
        <f>SUM(I8:I9)</f>
        <v>29162011.620000001</v>
      </c>
      <c r="J10" s="141">
        <f>SUM(J8:J9)</f>
        <v>1</v>
      </c>
      <c r="K10" s="126">
        <f>I10+Summary!I11</f>
        <v>30329624.59</v>
      </c>
      <c r="L10" s="131"/>
      <c r="M10" s="19">
        <f>SUM(M8:M9)</f>
        <v>30328492.084800001</v>
      </c>
      <c r="N10" s="19">
        <f t="shared" si="0"/>
        <v>1166480.4648000002</v>
      </c>
      <c r="O10" s="141">
        <f t="shared" ref="O10" si="7">N10/I10</f>
        <v>4.0000000000000008E-2</v>
      </c>
      <c r="P10" s="141">
        <f>SUM(P8:P9)</f>
        <v>1</v>
      </c>
      <c r="Q10" s="142">
        <f t="shared" si="6"/>
        <v>0</v>
      </c>
      <c r="R10" s="143">
        <f>M10-K10</f>
        <v>-1132.5051999986172</v>
      </c>
      <c r="S10" s="7">
        <f>K10/I10</f>
        <v>1.040038834947834</v>
      </c>
    </row>
    <row r="11" spans="1:20" x14ac:dyDescent="0.25">
      <c r="A11" s="32">
        <f t="shared" si="1"/>
        <v>5</v>
      </c>
      <c r="D11" s="2" t="s">
        <v>30</v>
      </c>
      <c r="G11" s="137">
        <f>-1282779.23+28606.07-862.41-2718.64</f>
        <v>-1257754.2099999997</v>
      </c>
      <c r="I11" s="130">
        <f>G11+(-0.00158*E9)</f>
        <v>-1746929.9203999997</v>
      </c>
      <c r="M11" s="137">
        <f>I11</f>
        <v>-1746929.9203999997</v>
      </c>
      <c r="N11" s="137">
        <f t="shared" si="0"/>
        <v>0</v>
      </c>
      <c r="O11" s="123">
        <v>0</v>
      </c>
      <c r="R11" s="144"/>
    </row>
    <row r="12" spans="1:20" x14ac:dyDescent="0.25">
      <c r="A12" s="32">
        <f t="shared" si="1"/>
        <v>6</v>
      </c>
      <c r="D12" s="2" t="s">
        <v>31</v>
      </c>
      <c r="G12" s="137">
        <f>3058843.21+69163.17+2183.83+6575.94</f>
        <v>3136766.15</v>
      </c>
      <c r="I12" s="130">
        <f>G12</f>
        <v>3136766.15</v>
      </c>
      <c r="M12" s="137">
        <f t="shared" ref="M12:M14" si="8">I12</f>
        <v>3136766.15</v>
      </c>
      <c r="N12" s="137">
        <f t="shared" si="0"/>
        <v>0</v>
      </c>
      <c r="O12" s="123">
        <v>0</v>
      </c>
    </row>
    <row r="13" spans="1:20" x14ac:dyDescent="0.25">
      <c r="A13" s="32">
        <f t="shared" si="1"/>
        <v>7</v>
      </c>
      <c r="D13" s="2" t="s">
        <v>44</v>
      </c>
      <c r="E13" s="136">
        <v>5657</v>
      </c>
      <c r="F13" s="123">
        <v>5</v>
      </c>
      <c r="G13" s="137">
        <f>E13*F13</f>
        <v>28285</v>
      </c>
      <c r="I13" s="130">
        <f>G13</f>
        <v>28285</v>
      </c>
      <c r="M13" s="137">
        <f t="shared" si="8"/>
        <v>28285</v>
      </c>
      <c r="N13" s="137">
        <f t="shared" si="0"/>
        <v>0</v>
      </c>
      <c r="O13" s="123">
        <v>0</v>
      </c>
    </row>
    <row r="14" spans="1:20" x14ac:dyDescent="0.25">
      <c r="A14" s="32">
        <f t="shared" si="1"/>
        <v>8</v>
      </c>
      <c r="B14" s="68"/>
      <c r="D14" s="2" t="s">
        <v>140</v>
      </c>
      <c r="G14" s="137">
        <v>-672.88000000000011</v>
      </c>
      <c r="I14" s="130">
        <f>G14</f>
        <v>-672.88000000000011</v>
      </c>
      <c r="M14" s="137">
        <f t="shared" si="8"/>
        <v>-672.88000000000011</v>
      </c>
      <c r="N14" s="137"/>
      <c r="O14" s="123">
        <v>0</v>
      </c>
    </row>
    <row r="15" spans="1:20" x14ac:dyDescent="0.25">
      <c r="A15" s="32">
        <f t="shared" si="1"/>
        <v>9</v>
      </c>
      <c r="D15" s="14" t="s">
        <v>9</v>
      </c>
      <c r="E15" s="127"/>
      <c r="F15" s="127"/>
      <c r="G15" s="145">
        <f>SUM(G11:G14)</f>
        <v>1906624.0600000003</v>
      </c>
      <c r="H15" s="127"/>
      <c r="I15" s="145">
        <f>SUM(I11:I14)</f>
        <v>1417448.3496000003</v>
      </c>
      <c r="J15" s="127"/>
      <c r="K15" s="127"/>
      <c r="L15" s="127"/>
      <c r="M15" s="145">
        <f>SUM(M11:M14)</f>
        <v>1417448.3496000003</v>
      </c>
      <c r="N15" s="145">
        <f>M15-I15</f>
        <v>0</v>
      </c>
      <c r="O15" s="146">
        <v>0</v>
      </c>
    </row>
    <row r="16" spans="1:20" s="7" customFormat="1" ht="26.4" customHeight="1" thickBot="1" x14ac:dyDescent="0.3">
      <c r="A16" s="32">
        <f t="shared" si="1"/>
        <v>10</v>
      </c>
      <c r="C16" s="16"/>
      <c r="D16" s="8" t="s">
        <v>20</v>
      </c>
      <c r="E16" s="128"/>
      <c r="F16" s="128"/>
      <c r="G16" s="147">
        <f>G10+G15</f>
        <v>31557811.3904</v>
      </c>
      <c r="H16" s="128"/>
      <c r="I16" s="148">
        <f>I15+I10</f>
        <v>30579459.969599999</v>
      </c>
      <c r="J16" s="128"/>
      <c r="K16" s="128"/>
      <c r="L16" s="128"/>
      <c r="M16" s="147">
        <f>M15+M10</f>
        <v>31745940.4344</v>
      </c>
      <c r="N16" s="147">
        <f>M16-I16</f>
        <v>1166480.4648000002</v>
      </c>
      <c r="O16" s="149">
        <f>N16/I16</f>
        <v>3.814588177684089E-2</v>
      </c>
      <c r="P16" s="119"/>
      <c r="Q16" s="119"/>
      <c r="R16" s="119"/>
    </row>
    <row r="17" spans="1:20" ht="13.8" thickTop="1" x14ac:dyDescent="0.25">
      <c r="A17" s="32">
        <f t="shared" si="1"/>
        <v>11</v>
      </c>
      <c r="D17" s="2" t="s">
        <v>19</v>
      </c>
      <c r="E17" s="123">
        <f>E9/E8</f>
        <v>1075.9584080514894</v>
      </c>
      <c r="G17" s="150">
        <f>G16/E8</f>
        <v>109.67169672908238</v>
      </c>
      <c r="I17" s="150">
        <f>I16/E8</f>
        <v>106.27166815963969</v>
      </c>
      <c r="M17" s="150">
        <f>M16/E8</f>
        <v>110.32549464948497</v>
      </c>
      <c r="N17" s="150">
        <f>M17-I17</f>
        <v>4.053826489845278</v>
      </c>
      <c r="O17" s="124">
        <f>N17/I17</f>
        <v>3.8145881776840855E-2</v>
      </c>
    </row>
    <row r="18" spans="1:20" ht="13.8" thickBot="1" x14ac:dyDescent="0.3">
      <c r="A18" s="32">
        <f t="shared" si="1"/>
        <v>12</v>
      </c>
    </row>
    <row r="19" spans="1:20" x14ac:dyDescent="0.25">
      <c r="A19" s="32">
        <f t="shared" si="1"/>
        <v>13</v>
      </c>
      <c r="B19" s="24" t="s">
        <v>75</v>
      </c>
      <c r="C19" s="25" t="s">
        <v>52</v>
      </c>
      <c r="D19" s="24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1:20" x14ac:dyDescent="0.25">
      <c r="A20" s="32">
        <f t="shared" si="1"/>
        <v>14</v>
      </c>
      <c r="D20" s="2" t="s">
        <v>93</v>
      </c>
      <c r="E20" s="136">
        <v>321570</v>
      </c>
      <c r="F20" s="139">
        <v>5.0509999999999999E-2</v>
      </c>
      <c r="G20" s="137">
        <f t="shared" ref="G20" si="9">F20*E20</f>
        <v>16242.500700000001</v>
      </c>
      <c r="H20" s="139">
        <v>4.8930000000000001E-2</v>
      </c>
      <c r="I20" s="137">
        <f t="shared" ref="I20" si="10">H20*E20</f>
        <v>15734.420100000001</v>
      </c>
      <c r="J20" s="124">
        <f>I20/I21</f>
        <v>1</v>
      </c>
      <c r="K20" s="124"/>
      <c r="L20" s="139">
        <f>ROUND(H20*S21,5)</f>
        <v>5.0889999999999998E-2</v>
      </c>
      <c r="M20" s="137">
        <f t="shared" ref="M20" si="11">L20*E20</f>
        <v>16364.6973</v>
      </c>
      <c r="N20" s="137">
        <f t="shared" ref="N20" si="12">M20-I20</f>
        <v>630.27719999999863</v>
      </c>
      <c r="O20" s="124">
        <f t="shared" ref="O20" si="13">IF(I20=0,0,N20/I20)</f>
        <v>4.0057224606580739E-2</v>
      </c>
      <c r="P20" s="124">
        <f>M20/M$21</f>
        <v>1</v>
      </c>
      <c r="Q20" s="138">
        <f t="shared" ref="Q20" si="14">P20-J20</f>
        <v>0</v>
      </c>
      <c r="R20" s="138"/>
      <c r="T20" s="6">
        <f>L20/H20-1</f>
        <v>4.0057224606580677E-2</v>
      </c>
    </row>
    <row r="21" spans="1:20" s="7" customFormat="1" ht="20.399999999999999" customHeight="1" x14ac:dyDescent="0.3">
      <c r="A21" s="32">
        <f t="shared" si="1"/>
        <v>15</v>
      </c>
      <c r="C21" s="16"/>
      <c r="D21" s="18" t="s">
        <v>7</v>
      </c>
      <c r="E21" s="131"/>
      <c r="F21" s="131"/>
      <c r="G21" s="19">
        <f>SUM(G20:G20)</f>
        <v>16242.500700000001</v>
      </c>
      <c r="H21" s="131"/>
      <c r="I21" s="19">
        <f>SUM(I20:I20)</f>
        <v>15734.420100000001</v>
      </c>
      <c r="J21" s="141">
        <f>SUM(J20:J20)</f>
        <v>1</v>
      </c>
      <c r="K21" s="126">
        <f>I21+Summary!I12</f>
        <v>16364.410100000001</v>
      </c>
      <c r="L21" s="131"/>
      <c r="M21" s="19">
        <f>SUM(M20:M20)</f>
        <v>16364.6973</v>
      </c>
      <c r="N21" s="19">
        <f t="shared" ref="N21:N27" si="15">M21-I21</f>
        <v>630.27719999999863</v>
      </c>
      <c r="O21" s="141">
        <f t="shared" ref="O21" si="16">N21/I21</f>
        <v>4.0057224606580739E-2</v>
      </c>
      <c r="P21" s="141">
        <f>SUM(P20:P20)</f>
        <v>1</v>
      </c>
      <c r="Q21" s="142">
        <f t="shared" ref="Q21" si="17">P21-J21</f>
        <v>0</v>
      </c>
      <c r="R21" s="143">
        <f>M21-K21</f>
        <v>0.28719999999884749</v>
      </c>
      <c r="S21" s="7">
        <f>K21/I21</f>
        <v>1.0400389716301015</v>
      </c>
    </row>
    <row r="22" spans="1:20" x14ac:dyDescent="0.25">
      <c r="A22" s="32">
        <f t="shared" si="1"/>
        <v>16</v>
      </c>
      <c r="D22" s="2" t="s">
        <v>30</v>
      </c>
      <c r="G22" s="137">
        <v>-1301.2245339598539</v>
      </c>
      <c r="I22" s="130">
        <f>G22+(-0.00158*E20)</f>
        <v>-1809.3051339598539</v>
      </c>
      <c r="M22" s="137">
        <f>I22</f>
        <v>-1809.3051339598539</v>
      </c>
      <c r="N22" s="137">
        <f t="shared" si="15"/>
        <v>0</v>
      </c>
      <c r="O22" s="123">
        <v>0</v>
      </c>
    </row>
    <row r="23" spans="1:20" x14ac:dyDescent="0.25">
      <c r="A23" s="32">
        <f t="shared" si="1"/>
        <v>17</v>
      </c>
      <c r="D23" s="2" t="s">
        <v>31</v>
      </c>
      <c r="G23" s="137">
        <v>1574.5892729571797</v>
      </c>
      <c r="I23" s="130">
        <f t="shared" ref="I23:I25" si="18">G23</f>
        <v>1574.5892729571797</v>
      </c>
      <c r="M23" s="137">
        <f t="shared" ref="M23:M25" si="19">I23</f>
        <v>1574.5892729571797</v>
      </c>
      <c r="N23" s="137">
        <f t="shared" si="15"/>
        <v>0</v>
      </c>
      <c r="O23" s="123">
        <v>0</v>
      </c>
    </row>
    <row r="24" spans="1:20" x14ac:dyDescent="0.25">
      <c r="A24" s="32">
        <f t="shared" si="1"/>
        <v>18</v>
      </c>
      <c r="D24" s="2" t="s">
        <v>33</v>
      </c>
      <c r="G24" s="137">
        <v>0</v>
      </c>
      <c r="I24" s="130">
        <f t="shared" si="18"/>
        <v>0</v>
      </c>
      <c r="M24" s="137">
        <f t="shared" si="19"/>
        <v>0</v>
      </c>
      <c r="N24" s="137">
        <f t="shared" si="15"/>
        <v>0</v>
      </c>
      <c r="O24" s="123">
        <v>0</v>
      </c>
    </row>
    <row r="25" spans="1:20" x14ac:dyDescent="0.25">
      <c r="A25" s="32">
        <f t="shared" si="1"/>
        <v>19</v>
      </c>
      <c r="D25" s="2" t="s">
        <v>43</v>
      </c>
      <c r="G25" s="137">
        <v>0</v>
      </c>
      <c r="I25" s="130">
        <f t="shared" si="18"/>
        <v>0</v>
      </c>
      <c r="M25" s="137">
        <f t="shared" si="19"/>
        <v>0</v>
      </c>
      <c r="N25" s="137"/>
      <c r="O25" s="123"/>
    </row>
    <row r="26" spans="1:20" x14ac:dyDescent="0.25">
      <c r="A26" s="32">
        <f t="shared" si="1"/>
        <v>20</v>
      </c>
      <c r="D26" s="14" t="s">
        <v>9</v>
      </c>
      <c r="E26" s="127"/>
      <c r="F26" s="127"/>
      <c r="G26" s="145">
        <f>SUM(G22:G25)</f>
        <v>273.36473899732573</v>
      </c>
      <c r="H26" s="127"/>
      <c r="I26" s="145">
        <f>SUM(I22:I25)</f>
        <v>-234.71586100267427</v>
      </c>
      <c r="J26" s="127"/>
      <c r="K26" s="127"/>
      <c r="L26" s="127"/>
      <c r="M26" s="145">
        <f>SUM(M22:M25)</f>
        <v>-234.71586100267427</v>
      </c>
      <c r="N26" s="145">
        <f t="shared" si="15"/>
        <v>0</v>
      </c>
      <c r="O26" s="146">
        <f t="shared" ref="O26" si="20">N26-J26</f>
        <v>0</v>
      </c>
    </row>
    <row r="27" spans="1:20" s="7" customFormat="1" ht="26.4" customHeight="1" thickBot="1" x14ac:dyDescent="0.3">
      <c r="A27" s="32">
        <f t="shared" si="1"/>
        <v>21</v>
      </c>
      <c r="C27" s="16"/>
      <c r="D27" s="8" t="s">
        <v>20</v>
      </c>
      <c r="E27" s="128"/>
      <c r="F27" s="128"/>
      <c r="G27" s="147">
        <f>G21+G26</f>
        <v>16515.865438997327</v>
      </c>
      <c r="H27" s="128"/>
      <c r="I27" s="148">
        <f>I26+I21</f>
        <v>15499.704238997327</v>
      </c>
      <c r="J27" s="128"/>
      <c r="K27" s="128"/>
      <c r="L27" s="128"/>
      <c r="M27" s="147">
        <f>M26+M21</f>
        <v>16129.981438997325</v>
      </c>
      <c r="N27" s="147">
        <f t="shared" si="15"/>
        <v>630.27719999999863</v>
      </c>
      <c r="O27" s="149">
        <f>N27/I27</f>
        <v>4.0663821082096416E-2</v>
      </c>
      <c r="P27" s="119"/>
      <c r="Q27" s="119"/>
      <c r="R27" s="119"/>
    </row>
    <row r="28" spans="1:20" ht="13.8" thickTop="1" x14ac:dyDescent="0.25">
      <c r="A28" s="32">
        <f t="shared" si="1"/>
        <v>22</v>
      </c>
      <c r="G28" s="150"/>
      <c r="I28" s="150"/>
      <c r="M28" s="150"/>
      <c r="N28" s="150"/>
      <c r="O28" s="124"/>
    </row>
    <row r="29" spans="1:20" ht="13.8" thickBot="1" x14ac:dyDescent="0.3">
      <c r="A29" s="32">
        <f t="shared" si="1"/>
        <v>23</v>
      </c>
    </row>
    <row r="30" spans="1:20" x14ac:dyDescent="0.25">
      <c r="A30" s="32">
        <f t="shared" si="1"/>
        <v>24</v>
      </c>
      <c r="B30" s="24" t="s">
        <v>76</v>
      </c>
      <c r="C30" s="25" t="s">
        <v>58</v>
      </c>
      <c r="D30" s="24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</row>
    <row r="31" spans="1:20" x14ac:dyDescent="0.25">
      <c r="A31" s="32">
        <f t="shared" si="1"/>
        <v>25</v>
      </c>
      <c r="D31" s="2" t="s">
        <v>18</v>
      </c>
      <c r="E31" s="136">
        <v>2191</v>
      </c>
      <c r="F31" s="123">
        <v>15</v>
      </c>
      <c r="G31" s="137">
        <f>F31*E31</f>
        <v>32865</v>
      </c>
      <c r="H31" s="123">
        <v>15</v>
      </c>
      <c r="I31" s="137">
        <f>H31*E31</f>
        <v>32865</v>
      </c>
      <c r="J31" s="124">
        <f>I31/I$35</f>
        <v>0.53085186160855924</v>
      </c>
      <c r="K31" s="124"/>
      <c r="L31" s="123">
        <f>ROUND(H31*S$35,2)</f>
        <v>15.6</v>
      </c>
      <c r="M31" s="137">
        <f>L31*E31</f>
        <v>34179.599999999999</v>
      </c>
      <c r="N31" s="137">
        <f>M31-I31</f>
        <v>1314.5999999999985</v>
      </c>
      <c r="O31" s="124">
        <f>IF(I31=0,0,N31/I31)</f>
        <v>3.9999999999999952E-2</v>
      </c>
      <c r="P31" s="124">
        <f>M31/M$35</f>
        <v>0.53085186160855913</v>
      </c>
      <c r="Q31" s="138">
        <f>P31-J31</f>
        <v>0</v>
      </c>
      <c r="R31" s="138"/>
    </row>
    <row r="32" spans="1:20" x14ac:dyDescent="0.25">
      <c r="A32" s="32">
        <f t="shared" si="1"/>
        <v>26</v>
      </c>
      <c r="D32" s="2" t="s">
        <v>94</v>
      </c>
      <c r="E32" s="136">
        <v>265007</v>
      </c>
      <c r="F32" s="139">
        <v>6.4329999999999998E-2</v>
      </c>
      <c r="G32" s="137">
        <f t="shared" ref="G32" si="21">F32*E32</f>
        <v>17047.900310000001</v>
      </c>
      <c r="H32" s="139">
        <v>6.275E-2</v>
      </c>
      <c r="I32" s="137">
        <f t="shared" ref="I32" si="22">H32*E32</f>
        <v>16629.189249999999</v>
      </c>
      <c r="J32" s="124">
        <f>I32/I$35</f>
        <v>0.26860295361033137</v>
      </c>
      <c r="K32" s="124"/>
      <c r="L32" s="125">
        <f>ROUND(H32*S$35,5)</f>
        <v>6.5259999999999999E-2</v>
      </c>
      <c r="M32" s="137">
        <f t="shared" ref="M32" si="23">L32*E32</f>
        <v>17294.356820000001</v>
      </c>
      <c r="N32" s="137">
        <f t="shared" ref="N32" si="24">M32-I32</f>
        <v>665.16757000000143</v>
      </c>
      <c r="O32" s="124">
        <f t="shared" ref="O32" si="25">IF(I32=0,0,N32/I32)</f>
        <v>4.0000000000000084E-2</v>
      </c>
      <c r="P32" s="124">
        <f>M32/M$35</f>
        <v>0.26860295361033137</v>
      </c>
      <c r="Q32" s="138">
        <f t="shared" ref="Q32" si="26">P32-J32</f>
        <v>0</v>
      </c>
      <c r="R32" s="138"/>
      <c r="T32" s="6">
        <f>L32/H32-1</f>
        <v>4.0000000000000036E-2</v>
      </c>
    </row>
    <row r="33" spans="1:20" x14ac:dyDescent="0.25">
      <c r="A33" s="32">
        <f t="shared" si="1"/>
        <v>27</v>
      </c>
      <c r="D33" s="2" t="s">
        <v>95</v>
      </c>
      <c r="E33" s="136">
        <v>67632</v>
      </c>
      <c r="F33" s="139">
        <v>7.4329999999999993E-2</v>
      </c>
      <c r="G33" s="137">
        <f t="shared" ref="G33" si="27">F33*E33</f>
        <v>5027.0865599999997</v>
      </c>
      <c r="H33" s="139">
        <v>7.2749999999999995E-2</v>
      </c>
      <c r="I33" s="137">
        <f t="shared" ref="I33" si="28">H33*E33</f>
        <v>4920.2280000000001</v>
      </c>
      <c r="J33" s="124">
        <f>I33/I$35</f>
        <v>7.9473975151028692E-2</v>
      </c>
      <c r="K33" s="124"/>
      <c r="L33" s="125">
        <f>ROUND(H33*S$35,5)</f>
        <v>7.5660000000000005E-2</v>
      </c>
      <c r="M33" s="137">
        <f t="shared" ref="M33" si="29">L33*E33</f>
        <v>5117.03712</v>
      </c>
      <c r="N33" s="137">
        <f t="shared" ref="N33" si="30">M33-I33</f>
        <v>196.80911999999989</v>
      </c>
      <c r="O33" s="124">
        <f t="shared" ref="O33" si="31">IF(I33=0,0,N33/I33)</f>
        <v>3.999999999999998E-2</v>
      </c>
      <c r="P33" s="124">
        <f>M33/M$35</f>
        <v>7.9473975151028692E-2</v>
      </c>
      <c r="Q33" s="138">
        <f t="shared" ref="Q33" si="32">P33-J33</f>
        <v>0</v>
      </c>
      <c r="R33" s="138"/>
      <c r="T33" s="6">
        <f>L33/H33-1</f>
        <v>4.0000000000000036E-2</v>
      </c>
    </row>
    <row r="34" spans="1:20" x14ac:dyDescent="0.25">
      <c r="A34" s="32">
        <f t="shared" si="1"/>
        <v>28</v>
      </c>
      <c r="D34" s="2" t="s">
        <v>96</v>
      </c>
      <c r="E34" s="136">
        <v>72949</v>
      </c>
      <c r="F34" s="139">
        <v>0.10433000000000001</v>
      </c>
      <c r="G34" s="137">
        <f t="shared" ref="G34" si="33">F34*E34</f>
        <v>7610.7691700000005</v>
      </c>
      <c r="H34" s="139">
        <v>0.10274999999999999</v>
      </c>
      <c r="I34" s="137">
        <f t="shared" ref="I34" si="34">H34*E34</f>
        <v>7495.5097499999993</v>
      </c>
      <c r="J34" s="124">
        <f>I34/I$35</f>
        <v>0.12107120963008081</v>
      </c>
      <c r="K34" s="124"/>
      <c r="L34" s="125">
        <f>ROUND(H34*S$35,5)</f>
        <v>0.10686</v>
      </c>
      <c r="M34" s="137">
        <f t="shared" ref="M34" si="35">L34*E34</f>
        <v>7795.33014</v>
      </c>
      <c r="N34" s="137">
        <f t="shared" ref="N34" si="36">M34-I34</f>
        <v>299.82039000000077</v>
      </c>
      <c r="O34" s="124">
        <f t="shared" ref="O34" si="37">IF(I34=0,0,N34/I34)</f>
        <v>4.0000000000000105E-2</v>
      </c>
      <c r="P34" s="124">
        <f>M34/M$35</f>
        <v>0.12107120963008082</v>
      </c>
      <c r="Q34" s="138">
        <f t="shared" ref="Q34" si="38">P34-J34</f>
        <v>0</v>
      </c>
      <c r="R34" s="138"/>
      <c r="T34" s="6">
        <f>L34/H34-1</f>
        <v>4.0000000000000036E-2</v>
      </c>
    </row>
    <row r="35" spans="1:20" s="7" customFormat="1" ht="20.399999999999999" customHeight="1" x14ac:dyDescent="0.3">
      <c r="A35" s="32">
        <f t="shared" si="1"/>
        <v>29</v>
      </c>
      <c r="C35" s="16"/>
      <c r="D35" s="18" t="s">
        <v>7</v>
      </c>
      <c r="E35" s="131"/>
      <c r="F35" s="131"/>
      <c r="G35" s="19">
        <f>SUM(G31:G34)</f>
        <v>62550.756039999993</v>
      </c>
      <c r="H35" s="131"/>
      <c r="I35" s="19">
        <f>SUM(I31:I34)</f>
        <v>61909.926999999996</v>
      </c>
      <c r="J35" s="141">
        <f>SUM(J31:J34)</f>
        <v>1.0000000000000002</v>
      </c>
      <c r="K35" s="126">
        <f>I35+Summary!I13</f>
        <v>64388.726999999999</v>
      </c>
      <c r="L35" s="131"/>
      <c r="M35" s="19">
        <f>SUM(M31:M34)</f>
        <v>64386.324079999999</v>
      </c>
      <c r="N35" s="19">
        <f t="shared" ref="N35:N42" si="39">M35-I35</f>
        <v>2476.3970800000025</v>
      </c>
      <c r="O35" s="141">
        <f t="shared" ref="O35" si="40">N35/I35</f>
        <v>4.0000000000000042E-2</v>
      </c>
      <c r="P35" s="141">
        <f>SUM(P31:P34)</f>
        <v>1</v>
      </c>
      <c r="Q35" s="142">
        <f t="shared" ref="Q35" si="41">P35-J35</f>
        <v>0</v>
      </c>
      <c r="R35" s="143">
        <f>M35-K35</f>
        <v>-2.4029200000004494</v>
      </c>
      <c r="S35" s="7">
        <f>K35/I35</f>
        <v>1.0400388131615792</v>
      </c>
    </row>
    <row r="36" spans="1:20" x14ac:dyDescent="0.25">
      <c r="A36" s="32">
        <f t="shared" si="1"/>
        <v>30</v>
      </c>
      <c r="D36" s="2" t="s">
        <v>30</v>
      </c>
      <c r="G36" s="137">
        <v>-1856.9299999999998</v>
      </c>
      <c r="I36" s="130">
        <f>G36+(-0.00158*E34)</f>
        <v>-1972.1894199999999</v>
      </c>
      <c r="M36" s="137">
        <f>I36</f>
        <v>-1972.1894199999999</v>
      </c>
      <c r="N36" s="137">
        <f t="shared" si="39"/>
        <v>0</v>
      </c>
      <c r="O36" s="123">
        <v>0</v>
      </c>
    </row>
    <row r="37" spans="1:20" x14ac:dyDescent="0.25">
      <c r="A37" s="32">
        <f t="shared" si="1"/>
        <v>31</v>
      </c>
      <c r="D37" s="2" t="s">
        <v>31</v>
      </c>
      <c r="G37" s="137">
        <v>7129.78</v>
      </c>
      <c r="I37" s="130">
        <f t="shared" ref="I37:I39" si="42">G37</f>
        <v>7129.78</v>
      </c>
      <c r="M37" s="137">
        <f t="shared" ref="M37:M39" si="43">I37</f>
        <v>7129.78</v>
      </c>
      <c r="N37" s="137">
        <f t="shared" si="39"/>
        <v>0</v>
      </c>
      <c r="O37" s="123">
        <v>0</v>
      </c>
    </row>
    <row r="38" spans="1:20" x14ac:dyDescent="0.25">
      <c r="A38" s="32">
        <f t="shared" si="1"/>
        <v>32</v>
      </c>
      <c r="D38" s="2" t="s">
        <v>33</v>
      </c>
      <c r="G38" s="137">
        <v>0</v>
      </c>
      <c r="I38" s="130">
        <f t="shared" si="42"/>
        <v>0</v>
      </c>
      <c r="M38" s="137">
        <f t="shared" si="43"/>
        <v>0</v>
      </c>
      <c r="N38" s="137">
        <f t="shared" si="39"/>
        <v>0</v>
      </c>
      <c r="O38" s="123">
        <v>0</v>
      </c>
    </row>
    <row r="39" spans="1:20" x14ac:dyDescent="0.25">
      <c r="A39" s="32">
        <f t="shared" si="1"/>
        <v>33</v>
      </c>
      <c r="D39" s="2" t="s">
        <v>43</v>
      </c>
      <c r="G39" s="137">
        <v>0</v>
      </c>
      <c r="I39" s="130">
        <f t="shared" si="42"/>
        <v>0</v>
      </c>
      <c r="M39" s="137">
        <f t="shared" si="43"/>
        <v>0</v>
      </c>
      <c r="N39" s="137"/>
      <c r="O39" s="123"/>
    </row>
    <row r="40" spans="1:20" x14ac:dyDescent="0.25">
      <c r="A40" s="32">
        <f t="shared" si="1"/>
        <v>34</v>
      </c>
      <c r="D40" s="14" t="s">
        <v>9</v>
      </c>
      <c r="E40" s="127"/>
      <c r="F40" s="127"/>
      <c r="G40" s="145">
        <f>SUM(G36:G39)</f>
        <v>5272.85</v>
      </c>
      <c r="H40" s="127"/>
      <c r="I40" s="145">
        <f>SUM(I36:I39)</f>
        <v>5157.59058</v>
      </c>
      <c r="J40" s="127"/>
      <c r="K40" s="127"/>
      <c r="L40" s="127"/>
      <c r="M40" s="145">
        <f>SUM(M36:M39)</f>
        <v>5157.59058</v>
      </c>
      <c r="N40" s="145">
        <f t="shared" si="39"/>
        <v>0</v>
      </c>
      <c r="O40" s="146">
        <f t="shared" ref="O40" si="44">N40-J40</f>
        <v>0</v>
      </c>
    </row>
    <row r="41" spans="1:20" s="7" customFormat="1" ht="26.4" customHeight="1" thickBot="1" x14ac:dyDescent="0.3">
      <c r="A41" s="32">
        <f t="shared" si="1"/>
        <v>35</v>
      </c>
      <c r="C41" s="16"/>
      <c r="D41" s="8" t="s">
        <v>20</v>
      </c>
      <c r="E41" s="128"/>
      <c r="F41" s="128"/>
      <c r="G41" s="147">
        <f>G35+G40</f>
        <v>67823.606039999999</v>
      </c>
      <c r="H41" s="128"/>
      <c r="I41" s="148">
        <f>I40+I35</f>
        <v>67067.51758</v>
      </c>
      <c r="J41" s="128"/>
      <c r="K41" s="128"/>
      <c r="L41" s="128"/>
      <c r="M41" s="147">
        <f>M40+M35</f>
        <v>69543.914659999995</v>
      </c>
      <c r="N41" s="147">
        <f t="shared" si="39"/>
        <v>2476.3970799999952</v>
      </c>
      <c r="O41" s="149">
        <f>N41/I41</f>
        <v>3.6923941266293031E-2</v>
      </c>
      <c r="P41" s="119"/>
      <c r="Q41" s="119"/>
      <c r="R41" s="119"/>
    </row>
    <row r="42" spans="1:20" ht="13.8" thickTop="1" x14ac:dyDescent="0.25">
      <c r="A42" s="32">
        <f t="shared" si="1"/>
        <v>36</v>
      </c>
      <c r="D42" s="2" t="s">
        <v>19</v>
      </c>
      <c r="E42" s="123">
        <f>(E32+E33+E34)/E31</f>
        <v>185.11547238703787</v>
      </c>
      <c r="G42" s="150">
        <f>G41/E31</f>
        <v>30.955548169785487</v>
      </c>
      <c r="I42" s="150">
        <f>I41/E31</f>
        <v>30.610459872204473</v>
      </c>
      <c r="M42" s="150">
        <f>M41/E31</f>
        <v>31.740718694659972</v>
      </c>
      <c r="N42" s="150">
        <f t="shared" si="39"/>
        <v>1.1302588224554988</v>
      </c>
      <c r="O42" s="124">
        <f>N42/I42</f>
        <v>3.6923941266293073E-2</v>
      </c>
    </row>
    <row r="43" spans="1:20" ht="13.8" thickBot="1" x14ac:dyDescent="0.3">
      <c r="A43" s="32">
        <f t="shared" si="1"/>
        <v>37</v>
      </c>
    </row>
    <row r="44" spans="1:20" x14ac:dyDescent="0.25">
      <c r="A44" s="32">
        <f t="shared" si="1"/>
        <v>38</v>
      </c>
      <c r="B44" s="24" t="s">
        <v>77</v>
      </c>
      <c r="C44" s="25" t="s">
        <v>53</v>
      </c>
      <c r="D44" s="24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</row>
    <row r="45" spans="1:20" x14ac:dyDescent="0.25">
      <c r="A45" s="32">
        <f t="shared" si="1"/>
        <v>39</v>
      </c>
      <c r="D45" s="2" t="s">
        <v>18</v>
      </c>
      <c r="E45" s="136">
        <v>2782</v>
      </c>
      <c r="F45" s="123">
        <v>49.23</v>
      </c>
      <c r="G45" s="137">
        <f>F45*E45</f>
        <v>136957.85999999999</v>
      </c>
      <c r="H45" s="123">
        <v>49.23</v>
      </c>
      <c r="I45" s="137">
        <f>H45*E45</f>
        <v>136957.85999999999</v>
      </c>
      <c r="J45" s="124">
        <f>I45/I48</f>
        <v>7.7954458983928845E-2</v>
      </c>
      <c r="K45" s="124"/>
      <c r="L45" s="123">
        <f>ROUND(H45*S48,2)</f>
        <v>51.2</v>
      </c>
      <c r="M45" s="137">
        <f>L45*E45</f>
        <v>142438.39999999999</v>
      </c>
      <c r="N45" s="137">
        <f>M45-I45</f>
        <v>5480.5400000000081</v>
      </c>
      <c r="O45" s="124">
        <f>IF(I45=0,0,N45/I45)</f>
        <v>4.0016250253910278E-2</v>
      </c>
      <c r="P45" s="124">
        <f>M45/M$48</f>
        <v>7.7939906995955197E-2</v>
      </c>
      <c r="Q45" s="138">
        <f>P45-J45</f>
        <v>-1.4551987973648872E-5</v>
      </c>
      <c r="R45" s="138"/>
      <c r="T45" s="6">
        <f>L45/H45-1</f>
        <v>4.0016250253910313E-2</v>
      </c>
    </row>
    <row r="46" spans="1:20" x14ac:dyDescent="0.25">
      <c r="A46" s="32">
        <f t="shared" si="1"/>
        <v>40</v>
      </c>
      <c r="D46" s="2" t="s">
        <v>92</v>
      </c>
      <c r="E46" s="136">
        <v>17713804</v>
      </c>
      <c r="F46" s="139">
        <v>6.268E-2</v>
      </c>
      <c r="G46" s="137">
        <f t="shared" ref="G46" si="45">F46*E46</f>
        <v>1110301.2347200001</v>
      </c>
      <c r="H46" s="139">
        <v>6.1100000000000002E-2</v>
      </c>
      <c r="I46" s="137">
        <f t="shared" ref="I46" si="46">H46*E46</f>
        <v>1082313.4244000001</v>
      </c>
      <c r="J46" s="124">
        <f>I46/I48</f>
        <v>0.6160373522932191</v>
      </c>
      <c r="K46" s="124"/>
      <c r="L46" s="139">
        <f>ROUND(H46*S48,5)</f>
        <v>6.3549999999999995E-2</v>
      </c>
      <c r="M46" s="137">
        <f t="shared" ref="M46" si="47">L46*E46</f>
        <v>1125712.2441999998</v>
      </c>
      <c r="N46" s="137">
        <f t="shared" ref="N46" si="48">M46-I46</f>
        <v>43398.819799999706</v>
      </c>
      <c r="O46" s="124">
        <f t="shared" ref="O46" si="49">IF(I46=0,0,N46/I46)</f>
        <v>4.0098199672667478E-2</v>
      </c>
      <c r="P46" s="124">
        <f t="shared" ref="P46:P47" si="50">M46/M$48</f>
        <v>0.61597088718460746</v>
      </c>
      <c r="Q46" s="138">
        <f t="shared" ref="Q46" si="51">P46-J46</f>
        <v>-6.6465108611635237E-5</v>
      </c>
      <c r="R46" s="138"/>
      <c r="T46" s="6">
        <f>L46/H46-1</f>
        <v>4.00981996726677E-2</v>
      </c>
    </row>
    <row r="47" spans="1:20" x14ac:dyDescent="0.25">
      <c r="A47" s="32">
        <f t="shared" si="1"/>
        <v>41</v>
      </c>
      <c r="D47" s="2" t="s">
        <v>97</v>
      </c>
      <c r="E47" s="136">
        <v>72553.913000000015</v>
      </c>
      <c r="F47" s="123">
        <v>7.41</v>
      </c>
      <c r="G47" s="137">
        <f t="shared" ref="G47" si="52">F47*E47</f>
        <v>537624.49533000006</v>
      </c>
      <c r="H47" s="123">
        <v>7.41</v>
      </c>
      <c r="I47" s="137">
        <f t="shared" ref="I47" si="53">H47*E47</f>
        <v>537624.49533000006</v>
      </c>
      <c r="J47" s="124">
        <f>I47/I48</f>
        <v>0.30600818872285196</v>
      </c>
      <c r="K47" s="124"/>
      <c r="L47" s="123">
        <f>ROUND(H47*S48,2)</f>
        <v>7.71</v>
      </c>
      <c r="M47" s="137">
        <f t="shared" ref="M47" si="54">L47*E47</f>
        <v>559390.66923000012</v>
      </c>
      <c r="N47" s="137">
        <f t="shared" ref="N47:N55" si="55">M47-I47</f>
        <v>21766.173900000053</v>
      </c>
      <c r="O47" s="124">
        <f t="shared" ref="O47" si="56">IF(I47=0,0,N47/I47)</f>
        <v>4.0485829959514261E-2</v>
      </c>
      <c r="P47" s="124">
        <f t="shared" si="50"/>
        <v>0.30608920581943738</v>
      </c>
      <c r="Q47" s="138">
        <f t="shared" ref="Q47:Q48" si="57">P47-J47</f>
        <v>8.1017096585422888E-5</v>
      </c>
      <c r="R47" s="138"/>
      <c r="T47" s="6">
        <f>L47/H47-1</f>
        <v>4.0485829959514108E-2</v>
      </c>
    </row>
    <row r="48" spans="1:20" s="7" customFormat="1" ht="20.399999999999999" customHeight="1" x14ac:dyDescent="0.3">
      <c r="A48" s="32">
        <f t="shared" si="1"/>
        <v>42</v>
      </c>
      <c r="C48" s="16"/>
      <c r="D48" s="18" t="s">
        <v>7</v>
      </c>
      <c r="E48" s="131"/>
      <c r="F48" s="131"/>
      <c r="G48" s="19">
        <f>SUM(G45:G47)</f>
        <v>1784883.59005</v>
      </c>
      <c r="H48" s="131"/>
      <c r="I48" s="19">
        <f>SUM(I45:I47)</f>
        <v>1756895.7797300003</v>
      </c>
      <c r="J48" s="141">
        <f>SUM(J45:J47)</f>
        <v>0.99999999999999989</v>
      </c>
      <c r="K48" s="126">
        <f>I48+Summary!I14</f>
        <v>1827239.8397300004</v>
      </c>
      <c r="L48" s="131"/>
      <c r="M48" s="19">
        <f>SUM(M45:M47)</f>
        <v>1827541.3134299999</v>
      </c>
      <c r="N48" s="19">
        <f t="shared" si="55"/>
        <v>70645.533699999563</v>
      </c>
      <c r="O48" s="141">
        <f t="shared" ref="O48" si="58">N48/I48</f>
        <v>4.0210429392036201E-2</v>
      </c>
      <c r="P48" s="141">
        <f>SUM(P45:P47)</f>
        <v>1</v>
      </c>
      <c r="Q48" s="142">
        <f t="shared" si="57"/>
        <v>0</v>
      </c>
      <c r="R48" s="143">
        <f>M48-K48</f>
        <v>301.47369999950752</v>
      </c>
      <c r="S48" s="7">
        <f>K48/I48</f>
        <v>1.0400388348652136</v>
      </c>
    </row>
    <row r="49" spans="1:20" x14ac:dyDescent="0.25">
      <c r="A49" s="32">
        <f t="shared" si="1"/>
        <v>43</v>
      </c>
      <c r="D49" s="2" t="s">
        <v>30</v>
      </c>
      <c r="G49" s="137">
        <v>-76496.010000000009</v>
      </c>
      <c r="I49" s="130">
        <f>G49+(-0.00158*(E46+E47))</f>
        <v>-104598.45550254</v>
      </c>
      <c r="M49" s="137">
        <f>I49</f>
        <v>-104598.45550254</v>
      </c>
      <c r="N49" s="137">
        <f t="shared" si="55"/>
        <v>0</v>
      </c>
      <c r="O49" s="123">
        <v>0</v>
      </c>
    </row>
    <row r="50" spans="1:20" x14ac:dyDescent="0.25">
      <c r="A50" s="32">
        <f t="shared" si="1"/>
        <v>44</v>
      </c>
      <c r="D50" s="2" t="s">
        <v>31</v>
      </c>
      <c r="G50" s="137">
        <v>191773.33000000002</v>
      </c>
      <c r="I50" s="130">
        <f t="shared" ref="I50:I52" si="59">G50</f>
        <v>191773.33000000002</v>
      </c>
      <c r="M50" s="137">
        <f t="shared" ref="M50:M52" si="60">I50</f>
        <v>191773.33000000002</v>
      </c>
      <c r="N50" s="137">
        <f t="shared" si="55"/>
        <v>0</v>
      </c>
      <c r="O50" s="123">
        <v>0</v>
      </c>
    </row>
    <row r="51" spans="1:20" x14ac:dyDescent="0.25">
      <c r="A51" s="32">
        <f t="shared" si="1"/>
        <v>45</v>
      </c>
      <c r="D51" s="2" t="s">
        <v>33</v>
      </c>
      <c r="G51" s="137">
        <v>0</v>
      </c>
      <c r="I51" s="130">
        <f t="shared" si="59"/>
        <v>0</v>
      </c>
      <c r="M51" s="137">
        <f t="shared" si="60"/>
        <v>0</v>
      </c>
      <c r="N51" s="137">
        <f t="shared" si="55"/>
        <v>0</v>
      </c>
      <c r="O51" s="123">
        <v>0</v>
      </c>
    </row>
    <row r="52" spans="1:20" x14ac:dyDescent="0.25">
      <c r="A52" s="32">
        <f t="shared" si="1"/>
        <v>46</v>
      </c>
      <c r="D52" s="2" t="s">
        <v>43</v>
      </c>
      <c r="G52" s="137">
        <v>0</v>
      </c>
      <c r="I52" s="130">
        <f t="shared" si="59"/>
        <v>0</v>
      </c>
      <c r="M52" s="137">
        <f t="shared" si="60"/>
        <v>0</v>
      </c>
      <c r="N52" s="137"/>
      <c r="O52" s="123"/>
    </row>
    <row r="53" spans="1:20" x14ac:dyDescent="0.25">
      <c r="A53" s="32">
        <f t="shared" si="1"/>
        <v>47</v>
      </c>
      <c r="D53" s="14" t="s">
        <v>9</v>
      </c>
      <c r="E53" s="127"/>
      <c r="F53" s="127"/>
      <c r="G53" s="145">
        <f>SUM(G49:G52)</f>
        <v>115277.32</v>
      </c>
      <c r="H53" s="127"/>
      <c r="I53" s="145">
        <f>SUM(I49:I52)</f>
        <v>87174.874497460012</v>
      </c>
      <c r="J53" s="127"/>
      <c r="K53" s="127"/>
      <c r="L53" s="127"/>
      <c r="M53" s="145">
        <f>SUM(M49:M52)</f>
        <v>87174.874497460012</v>
      </c>
      <c r="N53" s="145">
        <f t="shared" si="55"/>
        <v>0</v>
      </c>
      <c r="O53" s="146">
        <f t="shared" ref="O53" si="61">N53-J53</f>
        <v>0</v>
      </c>
    </row>
    <row r="54" spans="1:20" s="7" customFormat="1" ht="26.4" customHeight="1" thickBot="1" x14ac:dyDescent="0.3">
      <c r="A54" s="32">
        <f t="shared" si="1"/>
        <v>48</v>
      </c>
      <c r="C54" s="16"/>
      <c r="D54" s="8" t="s">
        <v>20</v>
      </c>
      <c r="E54" s="128"/>
      <c r="F54" s="128"/>
      <c r="G54" s="147">
        <f>G48+G53</f>
        <v>1900160.9100500001</v>
      </c>
      <c r="H54" s="128"/>
      <c r="I54" s="148">
        <f>I53+I48</f>
        <v>1844070.6542274603</v>
      </c>
      <c r="J54" s="128"/>
      <c r="K54" s="128"/>
      <c r="L54" s="128"/>
      <c r="M54" s="147">
        <f>M53+M48</f>
        <v>1914716.1879274598</v>
      </c>
      <c r="N54" s="147">
        <f t="shared" si="55"/>
        <v>70645.533699999563</v>
      </c>
      <c r="O54" s="149">
        <f>N54/I54</f>
        <v>3.8309559093111442E-2</v>
      </c>
      <c r="P54" s="119"/>
      <c r="Q54" s="119"/>
      <c r="R54" s="119"/>
    </row>
    <row r="55" spans="1:20" ht="13.8" thickTop="1" x14ac:dyDescent="0.25">
      <c r="A55" s="32">
        <f t="shared" si="1"/>
        <v>49</v>
      </c>
      <c r="D55" s="2" t="s">
        <v>19</v>
      </c>
      <c r="E55" s="123">
        <f>E46/E45</f>
        <v>6367.2911574406899</v>
      </c>
      <c r="G55" s="150">
        <f>G54/E45</f>
        <v>683.01973761682245</v>
      </c>
      <c r="I55" s="150">
        <f>I54/E45</f>
        <v>662.857891526765</v>
      </c>
      <c r="M55" s="150">
        <f>M54/E45</f>
        <v>688.2516850925449</v>
      </c>
      <c r="N55" s="150">
        <f t="shared" si="55"/>
        <v>25.393793565779902</v>
      </c>
      <c r="O55" s="124">
        <f>N55/I55</f>
        <v>3.8309559093111505E-2</v>
      </c>
    </row>
    <row r="56" spans="1:20" ht="13.8" thickBot="1" x14ac:dyDescent="0.3">
      <c r="A56" s="32">
        <f t="shared" si="1"/>
        <v>50</v>
      </c>
      <c r="B56" s="27"/>
      <c r="C56" s="28"/>
      <c r="D56" s="27"/>
    </row>
    <row r="57" spans="1:20" x14ac:dyDescent="0.25">
      <c r="A57" s="32">
        <f t="shared" si="1"/>
        <v>51</v>
      </c>
      <c r="B57" s="24" t="s">
        <v>78</v>
      </c>
      <c r="C57" s="25" t="s">
        <v>54</v>
      </c>
      <c r="D57" s="24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</row>
    <row r="58" spans="1:20" x14ac:dyDescent="0.25">
      <c r="A58" s="32">
        <f t="shared" si="1"/>
        <v>52</v>
      </c>
      <c r="D58" s="2" t="s">
        <v>18</v>
      </c>
      <c r="E58" s="136">
        <v>1865</v>
      </c>
      <c r="F58" s="119">
        <v>65.510000000000005</v>
      </c>
      <c r="G58" s="137">
        <f>F58*E58</f>
        <v>122176.15000000001</v>
      </c>
      <c r="H58" s="123">
        <v>65.510000000000005</v>
      </c>
      <c r="I58" s="137">
        <f>H58*E58</f>
        <v>122176.15000000001</v>
      </c>
      <c r="J58" s="124">
        <f>I58/I61</f>
        <v>1.6311636164626369E-2</v>
      </c>
      <c r="K58" s="124"/>
      <c r="L58" s="123">
        <f>ROUND(H58*S61,2)</f>
        <v>68.13</v>
      </c>
      <c r="M58" s="137">
        <f>L58*E58</f>
        <v>127062.45</v>
      </c>
      <c r="N58" s="137">
        <f>M58-I58</f>
        <v>4886.2999999999884</v>
      </c>
      <c r="O58" s="124">
        <f>IF(I58=0,0,N58/I58)</f>
        <v>3.999389406197517E-2</v>
      </c>
      <c r="P58" s="124">
        <f>M58/M$61</f>
        <v>1.6309694674074782E-2</v>
      </c>
      <c r="Q58" s="138">
        <f>P58-J58</f>
        <v>-1.9414905515872938E-6</v>
      </c>
      <c r="R58" s="138"/>
      <c r="T58" s="6">
        <f>L58/H58-1</f>
        <v>3.9993894061975066E-2</v>
      </c>
    </row>
    <row r="59" spans="1:20" x14ac:dyDescent="0.25">
      <c r="A59" s="32">
        <f t="shared" si="1"/>
        <v>53</v>
      </c>
      <c r="D59" s="2" t="s">
        <v>92</v>
      </c>
      <c r="E59" s="136">
        <v>104206698</v>
      </c>
      <c r="F59" s="139">
        <v>5.1330000000000001E-2</v>
      </c>
      <c r="G59" s="137">
        <f t="shared" ref="G59" si="62">F59*E59</f>
        <v>5348929.80834</v>
      </c>
      <c r="H59" s="139">
        <v>4.9750000000000003E-2</v>
      </c>
      <c r="I59" s="137">
        <f t="shared" ref="I59" si="63">H59*E59</f>
        <v>5184283.2255000006</v>
      </c>
      <c r="J59" s="124">
        <f>I59/I61</f>
        <v>0.6921493413299703</v>
      </c>
      <c r="K59" s="124"/>
      <c r="L59" s="139">
        <f>ROUND(H59*S61,5)</f>
        <v>5.1740000000000001E-2</v>
      </c>
      <c r="M59" s="137">
        <f t="shared" ref="M59" si="64">L59*E59</f>
        <v>5391654.5545199998</v>
      </c>
      <c r="N59" s="137">
        <f t="shared" ref="N59" si="65">M59-I59</f>
        <v>207371.32901999913</v>
      </c>
      <c r="O59" s="124">
        <f t="shared" ref="O59" si="66">IF(I59=0,0,N59/I59)</f>
        <v>3.9999999999999827E-2</v>
      </c>
      <c r="P59" s="124">
        <f>M59/M$61</f>
        <v>0.69207102155125988</v>
      </c>
      <c r="Q59" s="138">
        <f t="shared" ref="Q59" si="67">P59-J59</f>
        <v>-7.8319778710422838E-5</v>
      </c>
      <c r="R59" s="138"/>
      <c r="T59" s="6">
        <f>L59/H59-1</f>
        <v>4.0000000000000036E-2</v>
      </c>
    </row>
    <row r="60" spans="1:20" x14ac:dyDescent="0.25">
      <c r="A60" s="32">
        <f t="shared" si="1"/>
        <v>54</v>
      </c>
      <c r="D60" s="2" t="s">
        <v>97</v>
      </c>
      <c r="E60" s="136">
        <v>315102.87699999998</v>
      </c>
      <c r="F60" s="123">
        <v>6.93</v>
      </c>
      <c r="G60" s="137">
        <f t="shared" ref="G60" si="68">F60*E60</f>
        <v>2183662.9376099999</v>
      </c>
      <c r="H60" s="123">
        <v>6.93</v>
      </c>
      <c r="I60" s="137">
        <f t="shared" ref="I60" si="69">H60*E60</f>
        <v>2183662.9376099999</v>
      </c>
      <c r="J60" s="124">
        <f>I60/I61</f>
        <v>0.29153902250540326</v>
      </c>
      <c r="K60" s="124"/>
      <c r="L60" s="123">
        <f>ROUND(H60*S61,2)</f>
        <v>7.21</v>
      </c>
      <c r="M60" s="137">
        <f t="shared" ref="M60" si="70">L60*E60</f>
        <v>2271891.7431699997</v>
      </c>
      <c r="N60" s="137">
        <f t="shared" ref="N60" si="71">M60-I60</f>
        <v>88228.805559999775</v>
      </c>
      <c r="O60" s="124">
        <f t="shared" ref="O60" si="72">IF(I60=0,0,N60/I60)</f>
        <v>4.0404040404040303E-2</v>
      </c>
      <c r="P60" s="124">
        <f>M60/M$61</f>
        <v>0.29161928377466528</v>
      </c>
      <c r="Q60" s="138">
        <f t="shared" ref="Q60" si="73">P60-J60</f>
        <v>8.0261269262027479E-5</v>
      </c>
      <c r="R60" s="138"/>
      <c r="T60" s="6">
        <f>L60/H60-1</f>
        <v>4.0404040404040442E-2</v>
      </c>
    </row>
    <row r="61" spans="1:20" s="7" customFormat="1" ht="20.399999999999999" customHeight="1" x14ac:dyDescent="0.3">
      <c r="A61" s="32">
        <f t="shared" si="1"/>
        <v>55</v>
      </c>
      <c r="C61" s="16"/>
      <c r="D61" s="18" t="s">
        <v>7</v>
      </c>
      <c r="E61" s="131"/>
      <c r="F61" s="131"/>
      <c r="G61" s="19">
        <f>SUM(G58:G60)</f>
        <v>7654768.8959500007</v>
      </c>
      <c r="H61" s="131"/>
      <c r="I61" s="19">
        <f>SUM(I58:I60)</f>
        <v>7490122.3131100014</v>
      </c>
      <c r="J61" s="141">
        <f>SUM(J58:J60)</f>
        <v>1</v>
      </c>
      <c r="K61" s="126">
        <f>I61+Summary!I15</f>
        <v>7790018.0831100009</v>
      </c>
      <c r="L61" s="131"/>
      <c r="M61" s="19">
        <f>SUM(M58:M60)</f>
        <v>7790608.7476899996</v>
      </c>
      <c r="N61" s="19">
        <f t="shared" ref="N61:N64" si="74">M61-I61</f>
        <v>300486.43457999825</v>
      </c>
      <c r="O61" s="141">
        <f t="shared" ref="O61" si="75">N61/I61</f>
        <v>4.0117693946606886E-2</v>
      </c>
      <c r="P61" s="141">
        <f>SUM(P58:P60)</f>
        <v>0.99999999999999989</v>
      </c>
      <c r="Q61" s="142">
        <f t="shared" ref="Q61" si="76">P61-J61</f>
        <v>0</v>
      </c>
      <c r="R61" s="143">
        <f>M61-K61</f>
        <v>590.66457999870181</v>
      </c>
      <c r="S61" s="7">
        <f>K61/I61</f>
        <v>1.0400388348098255</v>
      </c>
    </row>
    <row r="62" spans="1:20" x14ac:dyDescent="0.25">
      <c r="A62" s="32">
        <f t="shared" si="1"/>
        <v>56</v>
      </c>
      <c r="D62" s="2" t="s">
        <v>30</v>
      </c>
      <c r="G62" s="137">
        <v>-454971.26999999996</v>
      </c>
      <c r="I62" s="130">
        <f>G62+(-0.00158*E59)</f>
        <v>-619617.85283999995</v>
      </c>
      <c r="M62" s="137">
        <f>I62</f>
        <v>-619617.85283999995</v>
      </c>
      <c r="N62" s="137">
        <f t="shared" si="74"/>
        <v>0</v>
      </c>
      <c r="O62" s="123">
        <v>0</v>
      </c>
    </row>
    <row r="63" spans="1:20" x14ac:dyDescent="0.25">
      <c r="A63" s="32">
        <f t="shared" si="1"/>
        <v>57</v>
      </c>
      <c r="D63" s="2" t="s">
        <v>31</v>
      </c>
      <c r="G63" s="137">
        <v>802840.66999999993</v>
      </c>
      <c r="I63" s="130">
        <f t="shared" ref="I63:I65" si="77">G63</f>
        <v>802840.66999999993</v>
      </c>
      <c r="M63" s="137">
        <f t="shared" ref="M63:M65" si="78">I63</f>
        <v>802840.66999999993</v>
      </c>
      <c r="N63" s="137">
        <f t="shared" si="74"/>
        <v>0</v>
      </c>
      <c r="O63" s="123">
        <v>0</v>
      </c>
    </row>
    <row r="64" spans="1:20" x14ac:dyDescent="0.25">
      <c r="A64" s="32">
        <f t="shared" si="1"/>
        <v>58</v>
      </c>
      <c r="D64" s="2" t="s">
        <v>33</v>
      </c>
      <c r="G64" s="137">
        <v>0</v>
      </c>
      <c r="I64" s="130">
        <f t="shared" si="77"/>
        <v>0</v>
      </c>
      <c r="M64" s="137">
        <f t="shared" si="78"/>
        <v>0</v>
      </c>
      <c r="N64" s="137">
        <f t="shared" si="74"/>
        <v>0</v>
      </c>
      <c r="O64" s="123">
        <v>0</v>
      </c>
    </row>
    <row r="65" spans="1:20" x14ac:dyDescent="0.25">
      <c r="A65" s="32">
        <f t="shared" si="1"/>
        <v>59</v>
      </c>
      <c r="D65" s="2" t="s">
        <v>43</v>
      </c>
      <c r="G65" s="137">
        <v>0</v>
      </c>
      <c r="I65" s="130">
        <f t="shared" si="77"/>
        <v>0</v>
      </c>
      <c r="M65" s="137">
        <f t="shared" si="78"/>
        <v>0</v>
      </c>
      <c r="N65" s="137"/>
      <c r="O65" s="123"/>
    </row>
    <row r="66" spans="1:20" x14ac:dyDescent="0.25">
      <c r="A66" s="32">
        <f t="shared" si="1"/>
        <v>60</v>
      </c>
      <c r="D66" s="14" t="s">
        <v>9</v>
      </c>
      <c r="E66" s="127"/>
      <c r="F66" s="127"/>
      <c r="G66" s="145">
        <f>SUM(G62:G65)</f>
        <v>347869.39999999997</v>
      </c>
      <c r="H66" s="127"/>
      <c r="I66" s="145">
        <f>SUM(I62:I65)</f>
        <v>183222.81715999998</v>
      </c>
      <c r="J66" s="127"/>
      <c r="K66" s="127"/>
      <c r="L66" s="127"/>
      <c r="M66" s="145">
        <f>SUM(M62:M65)</f>
        <v>183222.81715999998</v>
      </c>
      <c r="N66" s="145">
        <f t="shared" ref="N66:N68" si="79">M66-I66</f>
        <v>0</v>
      </c>
      <c r="O66" s="146">
        <f t="shared" ref="O66" si="80">N66-J66</f>
        <v>0</v>
      </c>
    </row>
    <row r="67" spans="1:20" s="7" customFormat="1" ht="26.4" customHeight="1" thickBot="1" x14ac:dyDescent="0.3">
      <c r="A67" s="32">
        <f t="shared" si="1"/>
        <v>61</v>
      </c>
      <c r="C67" s="16"/>
      <c r="D67" s="8" t="s">
        <v>20</v>
      </c>
      <c r="E67" s="128"/>
      <c r="F67" s="128"/>
      <c r="G67" s="147">
        <f>G61+G66</f>
        <v>8002638.2959500011</v>
      </c>
      <c r="H67" s="128"/>
      <c r="I67" s="148">
        <f>I66+I61</f>
        <v>7673345.1302700015</v>
      </c>
      <c r="J67" s="128"/>
      <c r="K67" s="128"/>
      <c r="L67" s="128"/>
      <c r="M67" s="147">
        <f>M66+M61</f>
        <v>7973831.5648499997</v>
      </c>
      <c r="N67" s="147">
        <f t="shared" si="79"/>
        <v>300486.43457999825</v>
      </c>
      <c r="O67" s="149">
        <f>N67/I67</f>
        <v>3.9159770540573229E-2</v>
      </c>
      <c r="P67" s="119"/>
      <c r="Q67" s="119"/>
      <c r="R67" s="119"/>
    </row>
    <row r="68" spans="1:20" ht="13.8" thickTop="1" x14ac:dyDescent="0.25">
      <c r="A68" s="32">
        <f t="shared" si="1"/>
        <v>62</v>
      </c>
      <c r="D68" s="2" t="s">
        <v>19</v>
      </c>
      <c r="E68" s="123">
        <f>E59/E58</f>
        <v>55874.905093833782</v>
      </c>
      <c r="G68" s="150">
        <f>G67/E58</f>
        <v>4290.9588718230571</v>
      </c>
      <c r="I68" s="150">
        <f>I67/E58</f>
        <v>4114.3941717265425</v>
      </c>
      <c r="M68" s="150">
        <f>M67/E58</f>
        <v>4275.5129034048259</v>
      </c>
      <c r="N68" s="150">
        <f t="shared" si="79"/>
        <v>161.11873167828344</v>
      </c>
      <c r="O68" s="124">
        <f>N68/I68</f>
        <v>3.9159770540573277E-2</v>
      </c>
    </row>
    <row r="69" spans="1:20" ht="13.8" thickBot="1" x14ac:dyDescent="0.3">
      <c r="A69" s="32">
        <f t="shared" si="1"/>
        <v>63</v>
      </c>
    </row>
    <row r="70" spans="1:20" x14ac:dyDescent="0.25">
      <c r="A70" s="32">
        <f t="shared" si="1"/>
        <v>64</v>
      </c>
      <c r="B70" s="24" t="s">
        <v>79</v>
      </c>
      <c r="C70" s="25" t="s">
        <v>59</v>
      </c>
      <c r="D70" s="24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</row>
    <row r="71" spans="1:20" x14ac:dyDescent="0.25">
      <c r="A71" s="32">
        <f t="shared" si="1"/>
        <v>65</v>
      </c>
      <c r="D71" s="2" t="s">
        <v>18</v>
      </c>
      <c r="E71" s="136">
        <v>36</v>
      </c>
      <c r="F71" s="119">
        <v>64.88</v>
      </c>
      <c r="G71" s="137">
        <f>F71*E71</f>
        <v>2335.6799999999998</v>
      </c>
      <c r="H71" s="123">
        <v>64.88</v>
      </c>
      <c r="I71" s="137">
        <f>H71*E71</f>
        <v>2335.6799999999998</v>
      </c>
      <c r="J71" s="124">
        <f>I71/I73</f>
        <v>5.1263538413239322E-2</v>
      </c>
      <c r="K71" s="124"/>
      <c r="L71" s="123">
        <f>ROUND(H71*S73,2)</f>
        <v>67.48</v>
      </c>
      <c r="M71" s="137">
        <f>L71*E71</f>
        <v>2429.2800000000002</v>
      </c>
      <c r="N71" s="137">
        <f>M71-I71</f>
        <v>93.600000000000364</v>
      </c>
      <c r="O71" s="124">
        <f>IF(I71=0,0,N71/I71)</f>
        <v>4.0073982737361444E-2</v>
      </c>
      <c r="P71" s="124">
        <f>M71/M$73</f>
        <v>5.1262250624495964E-2</v>
      </c>
      <c r="Q71" s="138">
        <f>P71-J71</f>
        <v>-1.2877887433579427E-6</v>
      </c>
      <c r="R71" s="138"/>
      <c r="T71" s="6">
        <f>L71/H71-1</f>
        <v>4.0073982737361513E-2</v>
      </c>
    </row>
    <row r="72" spans="1:20" x14ac:dyDescent="0.25">
      <c r="A72" s="32">
        <f t="shared" si="1"/>
        <v>66</v>
      </c>
      <c r="D72" s="2" t="s">
        <v>92</v>
      </c>
      <c r="E72" s="136">
        <v>548560</v>
      </c>
      <c r="F72" s="139">
        <v>8.0379999999999993E-2</v>
      </c>
      <c r="G72" s="137">
        <f t="shared" ref="G72" si="81">F72*E72</f>
        <v>44093.252799999995</v>
      </c>
      <c r="H72" s="139">
        <v>7.8799999999999995E-2</v>
      </c>
      <c r="I72" s="137">
        <f t="shared" ref="I72" si="82">H72*E72</f>
        <v>43226.527999999998</v>
      </c>
      <c r="J72" s="124">
        <f>I72/I73</f>
        <v>0.94873646158676062</v>
      </c>
      <c r="K72" s="124"/>
      <c r="L72" s="139">
        <f>ROUND(H72*S73,5)</f>
        <v>8.1960000000000005E-2</v>
      </c>
      <c r="M72" s="137">
        <f t="shared" ref="M72" si="83">L72*E72</f>
        <v>44959.977600000006</v>
      </c>
      <c r="N72" s="137">
        <f t="shared" ref="N72" si="84">M72-I72</f>
        <v>1733.4496000000072</v>
      </c>
      <c r="O72" s="124">
        <f t="shared" ref="O72" si="85">IF(I72=0,0,N72/I72)</f>
        <v>4.0101522842639764E-2</v>
      </c>
      <c r="P72" s="124">
        <f>M72/M$73</f>
        <v>0.94873774937550404</v>
      </c>
      <c r="Q72" s="138">
        <f t="shared" ref="Q72" si="86">P72-J72</f>
        <v>1.2877887434203927E-6</v>
      </c>
      <c r="R72" s="138"/>
      <c r="T72" s="6">
        <f>L72/H72-1</f>
        <v>4.0101522842639792E-2</v>
      </c>
    </row>
    <row r="73" spans="1:20" s="7" customFormat="1" ht="20.399999999999999" customHeight="1" x14ac:dyDescent="0.3">
      <c r="A73" s="32">
        <f t="shared" ref="A73:A136" si="87">A72+1</f>
        <v>67</v>
      </c>
      <c r="C73" s="16"/>
      <c r="D73" s="18" t="s">
        <v>7</v>
      </c>
      <c r="E73" s="131"/>
      <c r="F73" s="131"/>
      <c r="G73" s="19">
        <f>SUM(G71:G72)</f>
        <v>46428.932799999995</v>
      </c>
      <c r="H73" s="131"/>
      <c r="I73" s="19">
        <f>SUM(I71:I72)</f>
        <v>45562.207999999999</v>
      </c>
      <c r="J73" s="141">
        <f>SUM(J71:J72)</f>
        <v>0.99999999999999989</v>
      </c>
      <c r="K73" s="126">
        <f>I73+Summary!I16</f>
        <v>47386.468000000001</v>
      </c>
      <c r="L73" s="131"/>
      <c r="M73" s="19">
        <f>SUM(M71:M72)</f>
        <v>47389.257600000004</v>
      </c>
      <c r="N73" s="19">
        <f t="shared" ref="N73:N80" si="88">M73-I73</f>
        <v>1827.0496000000057</v>
      </c>
      <c r="O73" s="141">
        <f t="shared" ref="O73" si="89">N73/I73</f>
        <v>4.0100111039394884E-2</v>
      </c>
      <c r="P73" s="141">
        <f>SUM(P71:P72)</f>
        <v>1</v>
      </c>
      <c r="Q73" s="142">
        <f t="shared" ref="Q73" si="90">P73-J73</f>
        <v>0</v>
      </c>
      <c r="R73" s="143">
        <f>M73-K73</f>
        <v>2.789600000003702</v>
      </c>
      <c r="S73" s="7">
        <f>K73/I73</f>
        <v>1.040038884858258</v>
      </c>
    </row>
    <row r="74" spans="1:20" x14ac:dyDescent="0.25">
      <c r="A74" s="32">
        <f t="shared" si="87"/>
        <v>68</v>
      </c>
      <c r="D74" s="2" t="s">
        <v>30</v>
      </c>
      <c r="G74" s="137">
        <v>-2231.4</v>
      </c>
      <c r="I74" s="130">
        <f>G74+(-0.00158*E72)</f>
        <v>-3098.1248000000001</v>
      </c>
      <c r="M74" s="137">
        <f>I74</f>
        <v>-3098.1248000000001</v>
      </c>
      <c r="N74" s="137">
        <f t="shared" si="88"/>
        <v>0</v>
      </c>
      <c r="O74" s="123">
        <v>0</v>
      </c>
    </row>
    <row r="75" spans="1:20" x14ac:dyDescent="0.25">
      <c r="A75" s="32">
        <f t="shared" si="87"/>
        <v>69</v>
      </c>
      <c r="D75" s="2" t="s">
        <v>31</v>
      </c>
      <c r="G75" s="137">
        <v>4702.6400000000012</v>
      </c>
      <c r="I75" s="130">
        <f t="shared" ref="I75:I77" si="91">G75</f>
        <v>4702.6400000000012</v>
      </c>
      <c r="M75" s="137">
        <f t="shared" ref="M75:M77" si="92">I75</f>
        <v>4702.6400000000012</v>
      </c>
      <c r="N75" s="137">
        <f t="shared" si="88"/>
        <v>0</v>
      </c>
      <c r="O75" s="123">
        <v>0</v>
      </c>
    </row>
    <row r="76" spans="1:20" x14ac:dyDescent="0.25">
      <c r="A76" s="32">
        <f t="shared" si="87"/>
        <v>70</v>
      </c>
      <c r="D76" s="2" t="s">
        <v>33</v>
      </c>
      <c r="F76" s="123"/>
      <c r="G76" s="137">
        <v>0</v>
      </c>
      <c r="I76" s="130">
        <f t="shared" si="91"/>
        <v>0</v>
      </c>
      <c r="M76" s="137">
        <f t="shared" si="92"/>
        <v>0</v>
      </c>
      <c r="N76" s="137">
        <f t="shared" si="88"/>
        <v>0</v>
      </c>
      <c r="O76" s="123">
        <v>0</v>
      </c>
    </row>
    <row r="77" spans="1:20" x14ac:dyDescent="0.25">
      <c r="A77" s="32">
        <f t="shared" si="87"/>
        <v>71</v>
      </c>
      <c r="D77" s="2" t="s">
        <v>43</v>
      </c>
      <c r="G77" s="137">
        <v>0</v>
      </c>
      <c r="I77" s="130">
        <f t="shared" si="91"/>
        <v>0</v>
      </c>
      <c r="M77" s="137">
        <f t="shared" si="92"/>
        <v>0</v>
      </c>
      <c r="N77" s="137"/>
      <c r="O77" s="123"/>
    </row>
    <row r="78" spans="1:20" x14ac:dyDescent="0.25">
      <c r="A78" s="32">
        <f t="shared" si="87"/>
        <v>72</v>
      </c>
      <c r="D78" s="14" t="s">
        <v>9</v>
      </c>
      <c r="E78" s="127"/>
      <c r="F78" s="127"/>
      <c r="G78" s="145">
        <f>SUM(G74:G77)</f>
        <v>2471.2400000000011</v>
      </c>
      <c r="H78" s="127"/>
      <c r="I78" s="145">
        <f>SUM(I74:I77)</f>
        <v>1604.5152000000012</v>
      </c>
      <c r="J78" s="127"/>
      <c r="K78" s="127"/>
      <c r="L78" s="127"/>
      <c r="M78" s="145">
        <f>SUM(M74:M77)</f>
        <v>1604.5152000000012</v>
      </c>
      <c r="N78" s="145">
        <f t="shared" si="88"/>
        <v>0</v>
      </c>
      <c r="O78" s="146">
        <f t="shared" ref="O78" si="93">N78-J78</f>
        <v>0</v>
      </c>
    </row>
    <row r="79" spans="1:20" s="7" customFormat="1" ht="26.4" customHeight="1" thickBot="1" x14ac:dyDescent="0.3">
      <c r="A79" s="32">
        <f t="shared" si="87"/>
        <v>73</v>
      </c>
      <c r="C79" s="16"/>
      <c r="D79" s="8" t="s">
        <v>20</v>
      </c>
      <c r="E79" s="128"/>
      <c r="F79" s="128"/>
      <c r="G79" s="147">
        <f>G73+G78</f>
        <v>48900.172799999993</v>
      </c>
      <c r="H79" s="128"/>
      <c r="I79" s="148">
        <f>I78+I73</f>
        <v>47166.7232</v>
      </c>
      <c r="J79" s="128"/>
      <c r="K79" s="128"/>
      <c r="L79" s="128"/>
      <c r="M79" s="147">
        <f>M78+M73</f>
        <v>48993.772800000006</v>
      </c>
      <c r="N79" s="147">
        <f t="shared" si="88"/>
        <v>1827.0496000000057</v>
      </c>
      <c r="O79" s="149">
        <f>N79/I79</f>
        <v>3.8735987493827125E-2</v>
      </c>
      <c r="P79" s="119"/>
      <c r="Q79" s="119"/>
      <c r="R79" s="119"/>
    </row>
    <row r="80" spans="1:20" ht="13.8" thickTop="1" x14ac:dyDescent="0.25">
      <c r="A80" s="32">
        <f t="shared" si="87"/>
        <v>74</v>
      </c>
      <c r="D80" s="2" t="s">
        <v>19</v>
      </c>
      <c r="E80" s="123">
        <f>E72/E71</f>
        <v>15237.777777777777</v>
      </c>
      <c r="G80" s="150">
        <f>G79/E71</f>
        <v>1358.3381333333332</v>
      </c>
      <c r="I80" s="150">
        <f>I79/E71</f>
        <v>1310.1867555555555</v>
      </c>
      <c r="M80" s="150">
        <f>M79/E71</f>
        <v>1360.9381333333336</v>
      </c>
      <c r="N80" s="150">
        <f t="shared" si="88"/>
        <v>50.751377777778089</v>
      </c>
      <c r="O80" s="124">
        <f>N80/I80</f>
        <v>3.8735987493827242E-2</v>
      </c>
    </row>
    <row r="81" spans="1:20" ht="13.8" thickBot="1" x14ac:dyDescent="0.3">
      <c r="A81" s="32">
        <f t="shared" si="87"/>
        <v>75</v>
      </c>
    </row>
    <row r="82" spans="1:20" x14ac:dyDescent="0.25">
      <c r="A82" s="32">
        <f t="shared" si="87"/>
        <v>76</v>
      </c>
      <c r="B82" s="24" t="s">
        <v>130</v>
      </c>
      <c r="C82" s="25" t="s">
        <v>56</v>
      </c>
      <c r="D82" s="24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27"/>
    </row>
    <row r="83" spans="1:20" x14ac:dyDescent="0.25">
      <c r="A83" s="32">
        <f t="shared" si="87"/>
        <v>77</v>
      </c>
      <c r="D83" s="2" t="s">
        <v>18</v>
      </c>
      <c r="E83" s="136">
        <f>E84</f>
        <v>94465360</v>
      </c>
      <c r="F83" s="119">
        <v>2E-3</v>
      </c>
      <c r="G83" s="137">
        <f>F83*E83</f>
        <v>188930.72</v>
      </c>
      <c r="H83" s="129">
        <v>2E-3</v>
      </c>
      <c r="I83" s="137">
        <f>H83*E83</f>
        <v>188930.72</v>
      </c>
      <c r="J83" s="124">
        <f>IF(I$86=0,0,I83/I$86)</f>
        <v>5.9542435086139808E-2</v>
      </c>
      <c r="K83" s="124"/>
      <c r="L83" s="129">
        <f>ROUND(H83*S$86,3)</f>
        <v>2E-3</v>
      </c>
      <c r="M83" s="137">
        <f>L83*E83</f>
        <v>188930.72</v>
      </c>
      <c r="N83" s="137">
        <f>M83-I83</f>
        <v>0</v>
      </c>
      <c r="O83" s="124">
        <f>IF(I83=0,0,N83/I83)</f>
        <v>0</v>
      </c>
      <c r="P83" s="124">
        <f>IF(M$86=0,0,M83/M$86)</f>
        <v>5.9542435086139808E-2</v>
      </c>
      <c r="Q83" s="138">
        <f>P83-J83</f>
        <v>0</v>
      </c>
      <c r="R83" s="138"/>
      <c r="S83" s="27"/>
      <c r="T83" s="6">
        <f t="shared" ref="T83:T85" si="94">L83/H83-1</f>
        <v>0</v>
      </c>
    </row>
    <row r="84" spans="1:20" x14ac:dyDescent="0.25">
      <c r="A84" s="32">
        <f t="shared" si="87"/>
        <v>78</v>
      </c>
      <c r="D84" s="2" t="s">
        <v>92</v>
      </c>
      <c r="E84" s="136">
        <v>94465360</v>
      </c>
      <c r="F84" s="139">
        <v>2.6530000000000001E-2</v>
      </c>
      <c r="G84" s="137">
        <f t="shared" ref="G84" si="95">F84*E84</f>
        <v>2506166.0008</v>
      </c>
      <c r="H84" s="139">
        <v>2.6530000000000001E-2</v>
      </c>
      <c r="I84" s="137">
        <f t="shared" ref="I84" si="96">H84*E84</f>
        <v>2506166.0008</v>
      </c>
      <c r="J84" s="124">
        <f>IF(I$86=0,0,I84/I$86)</f>
        <v>0.7898304014176446</v>
      </c>
      <c r="K84" s="124"/>
      <c r="L84" s="125">
        <f>ROUND(H84*S$86,5)</f>
        <v>2.6530000000000001E-2</v>
      </c>
      <c r="M84" s="137">
        <f t="shared" ref="M84" si="97">L84*E84</f>
        <v>2506166.0008</v>
      </c>
      <c r="N84" s="137">
        <f t="shared" ref="N84:N92" si="98">M84-I84</f>
        <v>0</v>
      </c>
      <c r="O84" s="124">
        <f t="shared" ref="O84" si="99">IF(I84=0,0,N84/I84)</f>
        <v>0</v>
      </c>
      <c r="P84" s="124">
        <f>IF(M$86=0,0,M84/M$86)</f>
        <v>0.7898304014176446</v>
      </c>
      <c r="Q84" s="138">
        <f t="shared" ref="Q84:Q86" si="100">P84-J84</f>
        <v>0</v>
      </c>
      <c r="R84" s="138"/>
      <c r="S84" s="27"/>
      <c r="T84" s="6">
        <f t="shared" si="94"/>
        <v>0</v>
      </c>
    </row>
    <row r="85" spans="1:20" x14ac:dyDescent="0.25">
      <c r="A85" s="32">
        <f t="shared" si="87"/>
        <v>79</v>
      </c>
      <c r="D85" s="2" t="s">
        <v>97</v>
      </c>
      <c r="E85" s="136">
        <v>318631</v>
      </c>
      <c r="F85" s="123">
        <v>1.75</v>
      </c>
      <c r="G85" s="137">
        <f t="shared" ref="G85" si="101">F85*E85</f>
        <v>557604.25</v>
      </c>
      <c r="H85" s="123">
        <v>1.5</v>
      </c>
      <c r="I85" s="137">
        <f t="shared" ref="I85" si="102">H85*E85</f>
        <v>477946.5</v>
      </c>
      <c r="J85" s="124">
        <f>IF(I$86=0,0,I85/I$86)</f>
        <v>0.15062716349621555</v>
      </c>
      <c r="K85" s="124"/>
      <c r="L85" s="123">
        <f>ROUND(H85*S$86,2)</f>
        <v>1.5</v>
      </c>
      <c r="M85" s="137">
        <f t="shared" ref="M85" si="103">L85*E85</f>
        <v>477946.5</v>
      </c>
      <c r="N85" s="137">
        <f t="shared" ref="N85" si="104">M85-I85</f>
        <v>0</v>
      </c>
      <c r="O85" s="124">
        <f t="shared" ref="O85" si="105">IF(I85=0,0,N85/I85)</f>
        <v>0</v>
      </c>
      <c r="P85" s="124">
        <f>IF(M$86=0,0,M85/M$86)</f>
        <v>0.15062716349621555</v>
      </c>
      <c r="Q85" s="138">
        <f t="shared" ref="Q85" si="106">P85-J85</f>
        <v>0</v>
      </c>
      <c r="R85" s="138"/>
      <c r="S85" s="27"/>
      <c r="T85" s="6">
        <f t="shared" si="94"/>
        <v>0</v>
      </c>
    </row>
    <row r="86" spans="1:20" s="7" customFormat="1" ht="20.399999999999999" customHeight="1" x14ac:dyDescent="0.3">
      <c r="A86" s="32">
        <f t="shared" si="87"/>
        <v>80</v>
      </c>
      <c r="C86" s="16"/>
      <c r="D86" s="18" t="s">
        <v>7</v>
      </c>
      <c r="E86" s="131"/>
      <c r="F86" s="131"/>
      <c r="G86" s="19">
        <f>SUM(G83:G85)</f>
        <v>3252700.9708000002</v>
      </c>
      <c r="H86" s="131"/>
      <c r="I86" s="19">
        <f>SUM(I83:I85)</f>
        <v>3173043.2208000002</v>
      </c>
      <c r="J86" s="141">
        <f>SUM(J83:J85)</f>
        <v>0.99999999999999989</v>
      </c>
      <c r="K86" s="126">
        <f>I86</f>
        <v>3173043.2208000002</v>
      </c>
      <c r="L86" s="131"/>
      <c r="M86" s="19">
        <f>SUM(M83:M85)</f>
        <v>3173043.2208000002</v>
      </c>
      <c r="N86" s="19">
        <f t="shared" si="98"/>
        <v>0</v>
      </c>
      <c r="O86" s="141">
        <f>IF(I86=0,0,N86/I86)</f>
        <v>0</v>
      </c>
      <c r="P86" s="141">
        <f>SUM(P83:P85)</f>
        <v>0.99999999999999989</v>
      </c>
      <c r="Q86" s="142">
        <f t="shared" si="100"/>
        <v>0</v>
      </c>
      <c r="R86" s="143">
        <f>M86-K86</f>
        <v>0</v>
      </c>
      <c r="S86" s="77">
        <v>1</v>
      </c>
    </row>
    <row r="87" spans="1:20" x14ac:dyDescent="0.25">
      <c r="A87" s="32">
        <f t="shared" si="87"/>
        <v>81</v>
      </c>
      <c r="D87" s="2" t="s">
        <v>30</v>
      </c>
      <c r="G87" s="137">
        <v>0</v>
      </c>
      <c r="I87" s="130">
        <v>0</v>
      </c>
      <c r="M87" s="137">
        <f>I87</f>
        <v>0</v>
      </c>
      <c r="N87" s="137">
        <f t="shared" si="98"/>
        <v>0</v>
      </c>
      <c r="O87" s="123">
        <v>0</v>
      </c>
      <c r="S87" s="27"/>
    </row>
    <row r="88" spans="1:20" x14ac:dyDescent="0.25">
      <c r="A88" s="32">
        <f t="shared" si="87"/>
        <v>82</v>
      </c>
      <c r="D88" s="2" t="s">
        <v>31</v>
      </c>
      <c r="G88" s="137">
        <v>309809</v>
      </c>
      <c r="I88" s="130">
        <f t="shared" ref="I88:I90" si="107">G88</f>
        <v>309809</v>
      </c>
      <c r="M88" s="137">
        <f t="shared" ref="M88:M90" si="108">I88</f>
        <v>309809</v>
      </c>
      <c r="N88" s="137">
        <f t="shared" si="98"/>
        <v>0</v>
      </c>
      <c r="O88" s="123">
        <v>0</v>
      </c>
      <c r="S88" s="27"/>
    </row>
    <row r="89" spans="1:20" x14ac:dyDescent="0.25">
      <c r="A89" s="32">
        <f t="shared" si="87"/>
        <v>83</v>
      </c>
      <c r="D89" s="2" t="s">
        <v>33</v>
      </c>
      <c r="G89" s="137">
        <v>0</v>
      </c>
      <c r="I89" s="130">
        <f t="shared" si="107"/>
        <v>0</v>
      </c>
      <c r="M89" s="137">
        <f t="shared" si="108"/>
        <v>0</v>
      </c>
      <c r="N89" s="137">
        <f t="shared" si="98"/>
        <v>0</v>
      </c>
      <c r="O89" s="123">
        <v>0</v>
      </c>
      <c r="S89" s="27"/>
    </row>
    <row r="90" spans="1:20" x14ac:dyDescent="0.25">
      <c r="A90" s="32">
        <f t="shared" si="87"/>
        <v>84</v>
      </c>
      <c r="D90" s="2" t="s">
        <v>43</v>
      </c>
      <c r="G90" s="137">
        <v>0</v>
      </c>
      <c r="I90" s="130">
        <f t="shared" si="107"/>
        <v>0</v>
      </c>
      <c r="M90" s="137">
        <f t="shared" si="108"/>
        <v>0</v>
      </c>
      <c r="N90" s="137"/>
      <c r="O90" s="123"/>
      <c r="S90" s="27"/>
    </row>
    <row r="91" spans="1:20" x14ac:dyDescent="0.25">
      <c r="A91" s="32">
        <f t="shared" si="87"/>
        <v>85</v>
      </c>
      <c r="D91" s="14" t="s">
        <v>9</v>
      </c>
      <c r="E91" s="127"/>
      <c r="F91" s="127"/>
      <c r="G91" s="145">
        <f>SUM(G87:G90)</f>
        <v>309809</v>
      </c>
      <c r="H91" s="127"/>
      <c r="I91" s="145">
        <f>SUM(I87:I90)</f>
        <v>309809</v>
      </c>
      <c r="J91" s="127"/>
      <c r="K91" s="127"/>
      <c r="L91" s="127"/>
      <c r="M91" s="145">
        <f>SUM(M87:M90)</f>
        <v>309809</v>
      </c>
      <c r="N91" s="145">
        <f t="shared" si="98"/>
        <v>0</v>
      </c>
      <c r="O91" s="146">
        <f t="shared" ref="O91" si="109">N91-J91</f>
        <v>0</v>
      </c>
      <c r="S91" s="27"/>
    </row>
    <row r="92" spans="1:20" s="7" customFormat="1" ht="26.4" customHeight="1" thickBot="1" x14ac:dyDescent="0.3">
      <c r="A92" s="32">
        <f t="shared" si="87"/>
        <v>86</v>
      </c>
      <c r="C92" s="16"/>
      <c r="D92" s="8" t="s">
        <v>20</v>
      </c>
      <c r="E92" s="128"/>
      <c r="F92" s="128"/>
      <c r="G92" s="147">
        <f>G86+G91</f>
        <v>3562509.9708000002</v>
      </c>
      <c r="H92" s="128"/>
      <c r="I92" s="148">
        <f>I91+I86</f>
        <v>3482852.2208000002</v>
      </c>
      <c r="J92" s="128"/>
      <c r="K92" s="128"/>
      <c r="L92" s="128"/>
      <c r="M92" s="147">
        <f>M91+M86</f>
        <v>3482852.2208000002</v>
      </c>
      <c r="N92" s="147">
        <f t="shared" si="98"/>
        <v>0</v>
      </c>
      <c r="O92" s="149">
        <f>IF(I92=0,0,N92/I92)</f>
        <v>0</v>
      </c>
      <c r="P92" s="119"/>
      <c r="Q92" s="119"/>
      <c r="R92" s="119"/>
      <c r="S92" s="78"/>
    </row>
    <row r="93" spans="1:20" ht="13.8" thickTop="1" x14ac:dyDescent="0.25">
      <c r="A93" s="32">
        <f t="shared" si="87"/>
        <v>87</v>
      </c>
      <c r="D93" s="15"/>
      <c r="E93" s="151">
        <f>E84/12</f>
        <v>7872113.333333333</v>
      </c>
      <c r="F93" s="152"/>
      <c r="G93" s="153">
        <f>G92/12</f>
        <v>296875.8309</v>
      </c>
      <c r="H93" s="152"/>
      <c r="I93" s="153">
        <f>I92/12</f>
        <v>290237.68506666669</v>
      </c>
      <c r="J93" s="152"/>
      <c r="K93" s="152"/>
      <c r="L93" s="152"/>
      <c r="M93" s="153">
        <f>M92/12</f>
        <v>290237.68506666669</v>
      </c>
      <c r="N93" s="154">
        <f>N92/12</f>
        <v>0</v>
      </c>
      <c r="O93" s="155">
        <f>O92</f>
        <v>0</v>
      </c>
      <c r="P93" s="152"/>
      <c r="Q93" s="152"/>
      <c r="S93" s="27"/>
    </row>
    <row r="94" spans="1:20" ht="13.8" thickBot="1" x14ac:dyDescent="0.3">
      <c r="A94" s="32">
        <f t="shared" si="87"/>
        <v>88</v>
      </c>
      <c r="S94" s="27"/>
    </row>
    <row r="95" spans="1:20" x14ac:dyDescent="0.25">
      <c r="A95" s="32">
        <f t="shared" si="87"/>
        <v>89</v>
      </c>
      <c r="B95" s="24" t="s">
        <v>80</v>
      </c>
      <c r="C95" s="25" t="s">
        <v>55</v>
      </c>
      <c r="D95" s="24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</row>
    <row r="96" spans="1:20" x14ac:dyDescent="0.25">
      <c r="A96" s="32">
        <f t="shared" si="87"/>
        <v>90</v>
      </c>
      <c r="D96" s="2" t="s">
        <v>18</v>
      </c>
      <c r="E96" s="136">
        <v>12</v>
      </c>
      <c r="F96" s="123">
        <v>1221.76</v>
      </c>
      <c r="G96" s="137">
        <f>F96*E96</f>
        <v>14661.119999999999</v>
      </c>
      <c r="H96" s="123">
        <v>1221.76</v>
      </c>
      <c r="I96" s="137">
        <f>H96*E96</f>
        <v>14661.119999999999</v>
      </c>
      <c r="J96" s="124">
        <f>IF(I99=0,0,I96/I$99)</f>
        <v>4.1589821798191659E-3</v>
      </c>
      <c r="K96" s="124"/>
      <c r="L96" s="123">
        <f>ROUND(H96*S$99,2)</f>
        <v>1270.68</v>
      </c>
      <c r="M96" s="137">
        <f>L96*E96</f>
        <v>15248.16</v>
      </c>
      <c r="N96" s="137">
        <f>M96-I96</f>
        <v>587.04000000000087</v>
      </c>
      <c r="O96" s="124">
        <f>IF(I96=0,0,N96/I96)</f>
        <v>4.0040597171293935E-2</v>
      </c>
      <c r="P96" s="124">
        <f>IF(M$99=0,0,M96/M$99)</f>
        <v>4.15885360207014E-3</v>
      </c>
      <c r="Q96" s="138">
        <f>P96-J96</f>
        <v>-1.2857774902598484E-7</v>
      </c>
      <c r="R96" s="138"/>
      <c r="T96" s="6">
        <f t="shared" ref="T96:T98" si="110">L96/H96-1</f>
        <v>4.0040597171293824E-2</v>
      </c>
    </row>
    <row r="97" spans="1:20" x14ac:dyDescent="0.25">
      <c r="A97" s="32">
        <f t="shared" si="87"/>
        <v>91</v>
      </c>
      <c r="D97" s="2" t="s">
        <v>92</v>
      </c>
      <c r="E97" s="136">
        <v>64509695</v>
      </c>
      <c r="F97" s="139">
        <v>4.2630000000000001E-2</v>
      </c>
      <c r="G97" s="137">
        <f t="shared" ref="G97:G98" si="111">F97*E97</f>
        <v>2750048.2978500002</v>
      </c>
      <c r="H97" s="139">
        <v>4.1050000000000003E-2</v>
      </c>
      <c r="I97" s="137">
        <f t="shared" ref="I97:I98" si="112">H97*E97</f>
        <v>2648122.9797500004</v>
      </c>
      <c r="J97" s="124">
        <f>IF(I100=0,0,I97/I$99)</f>
        <v>0.7512042929018985</v>
      </c>
      <c r="K97" s="124"/>
      <c r="L97" s="125">
        <f>ROUND(H97*S$99,5)</f>
        <v>4.2689999999999999E-2</v>
      </c>
      <c r="M97" s="137">
        <f t="shared" ref="M97:M98" si="113">L97*E97</f>
        <v>2753918.8795499997</v>
      </c>
      <c r="N97" s="137">
        <f t="shared" ref="N97:N102" si="114">M97-I97</f>
        <v>105795.89979999932</v>
      </c>
      <c r="O97" s="124">
        <f t="shared" ref="O97:O98" si="115">IF(I97=0,0,N97/I97)</f>
        <v>3.9951278928136151E-2</v>
      </c>
      <c r="P97" s="124">
        <f>IF(M$99=0,0,M97/M$99)</f>
        <v>0.75111655780274333</v>
      </c>
      <c r="Q97" s="138">
        <f t="shared" ref="Q97:Q99" si="116">P97-J97</f>
        <v>-8.7735099155161755E-5</v>
      </c>
      <c r="R97" s="138"/>
      <c r="T97" s="6">
        <f t="shared" si="110"/>
        <v>3.9951278928136214E-2</v>
      </c>
    </row>
    <row r="98" spans="1:20" x14ac:dyDescent="0.25">
      <c r="A98" s="32">
        <f t="shared" si="87"/>
        <v>92</v>
      </c>
      <c r="D98" s="2" t="s">
        <v>98</v>
      </c>
      <c r="E98" s="136">
        <v>120277</v>
      </c>
      <c r="F98" s="123">
        <v>7.17</v>
      </c>
      <c r="G98" s="137">
        <f t="shared" si="111"/>
        <v>862386.09</v>
      </c>
      <c r="H98" s="123">
        <v>7.17</v>
      </c>
      <c r="I98" s="137">
        <f t="shared" si="112"/>
        <v>862386.09</v>
      </c>
      <c r="J98" s="124">
        <f>IF(I101=0,0,I98/I$99)</f>
        <v>0.24463672491828234</v>
      </c>
      <c r="K98" s="124"/>
      <c r="L98" s="123">
        <f>ROUND(H98*S$99,2)</f>
        <v>7.46</v>
      </c>
      <c r="M98" s="137">
        <f t="shared" si="113"/>
        <v>897266.42</v>
      </c>
      <c r="N98" s="137">
        <f t="shared" si="114"/>
        <v>34880.330000000075</v>
      </c>
      <c r="O98" s="124">
        <f t="shared" si="115"/>
        <v>4.0446304044630489E-2</v>
      </c>
      <c r="P98" s="124">
        <f>IF(M$99=0,0,M98/M$99)</f>
        <v>0.2447245885951865</v>
      </c>
      <c r="Q98" s="138">
        <f t="shared" si="116"/>
        <v>8.7863676904165189E-5</v>
      </c>
      <c r="R98" s="138"/>
      <c r="T98" s="6">
        <f t="shared" si="110"/>
        <v>4.0446304044630343E-2</v>
      </c>
    </row>
    <row r="99" spans="1:20" s="7" customFormat="1" ht="20.399999999999999" customHeight="1" x14ac:dyDescent="0.3">
      <c r="A99" s="32">
        <f t="shared" si="87"/>
        <v>93</v>
      </c>
      <c r="C99" s="16"/>
      <c r="D99" s="18" t="s">
        <v>7</v>
      </c>
      <c r="E99" s="131"/>
      <c r="F99" s="131"/>
      <c r="G99" s="19">
        <f>SUM(G96:G98)</f>
        <v>3627095.5078500002</v>
      </c>
      <c r="H99" s="131"/>
      <c r="I99" s="19">
        <f>SUM(I96:I98)</f>
        <v>3525170.1897500004</v>
      </c>
      <c r="J99" s="141">
        <f>SUM(J96:J98)</f>
        <v>1</v>
      </c>
      <c r="K99" s="126">
        <f>I99+Summary!I18</f>
        <v>3666313.8997500003</v>
      </c>
      <c r="L99" s="131"/>
      <c r="M99" s="19">
        <f>SUM(M96:M98)</f>
        <v>3666433.4595499998</v>
      </c>
      <c r="N99" s="19">
        <f t="shared" si="114"/>
        <v>141263.26979999943</v>
      </c>
      <c r="O99" s="141">
        <f>IF(I99=0,0,N99/I99)</f>
        <v>4.0072751724369256E-2</v>
      </c>
      <c r="P99" s="141">
        <f>SUM(P96:P98)</f>
        <v>1</v>
      </c>
      <c r="Q99" s="142">
        <f t="shared" si="116"/>
        <v>0</v>
      </c>
      <c r="R99" s="143">
        <f>M99-K99</f>
        <v>119.5597999994643</v>
      </c>
      <c r="S99" s="7">
        <f>IF(I99=0,0,K99/I99)</f>
        <v>1.0400388356881032</v>
      </c>
    </row>
    <row r="100" spans="1:20" x14ac:dyDescent="0.25">
      <c r="A100" s="32">
        <f t="shared" si="87"/>
        <v>94</v>
      </c>
      <c r="D100" s="2" t="s">
        <v>30</v>
      </c>
      <c r="G100" s="137">
        <v>-272576.88</v>
      </c>
      <c r="I100" s="130">
        <f>G100+(-0.00158*E97)</f>
        <v>-374502.19810000004</v>
      </c>
      <c r="M100" s="137">
        <f>I100</f>
        <v>-374502.19810000004</v>
      </c>
      <c r="N100" s="137">
        <f t="shared" si="114"/>
        <v>0</v>
      </c>
      <c r="O100" s="123">
        <v>0</v>
      </c>
    </row>
    <row r="101" spans="1:20" x14ac:dyDescent="0.25">
      <c r="A101" s="32">
        <f t="shared" si="87"/>
        <v>95</v>
      </c>
      <c r="D101" s="2" t="s">
        <v>31</v>
      </c>
      <c r="G101" s="137">
        <v>514180</v>
      </c>
      <c r="I101" s="130">
        <f t="shared" ref="I101:I103" si="117">G101</f>
        <v>514180</v>
      </c>
      <c r="M101" s="137">
        <f t="shared" ref="M101:M103" si="118">I101</f>
        <v>514180</v>
      </c>
      <c r="N101" s="137">
        <f t="shared" si="114"/>
        <v>0</v>
      </c>
      <c r="O101" s="123">
        <v>0</v>
      </c>
    </row>
    <row r="102" spans="1:20" x14ac:dyDescent="0.25">
      <c r="A102" s="32">
        <f t="shared" si="87"/>
        <v>96</v>
      </c>
      <c r="D102" s="2" t="s">
        <v>33</v>
      </c>
      <c r="G102" s="137">
        <v>0</v>
      </c>
      <c r="I102" s="130">
        <f t="shared" si="117"/>
        <v>0</v>
      </c>
      <c r="M102" s="137">
        <f t="shared" si="118"/>
        <v>0</v>
      </c>
      <c r="N102" s="137">
        <f t="shared" si="114"/>
        <v>0</v>
      </c>
      <c r="O102" s="123">
        <v>0</v>
      </c>
    </row>
    <row r="103" spans="1:20" x14ac:dyDescent="0.25">
      <c r="A103" s="32">
        <f t="shared" si="87"/>
        <v>97</v>
      </c>
      <c r="D103" s="2" t="s">
        <v>43</v>
      </c>
      <c r="G103" s="137">
        <v>0</v>
      </c>
      <c r="I103" s="130">
        <f t="shared" si="117"/>
        <v>0</v>
      </c>
      <c r="M103" s="137">
        <f t="shared" si="118"/>
        <v>0</v>
      </c>
      <c r="N103" s="137"/>
      <c r="O103" s="123"/>
    </row>
    <row r="104" spans="1:20" x14ac:dyDescent="0.25">
      <c r="A104" s="32">
        <f t="shared" si="87"/>
        <v>98</v>
      </c>
      <c r="D104" s="14" t="s">
        <v>9</v>
      </c>
      <c r="E104" s="127"/>
      <c r="F104" s="127"/>
      <c r="G104" s="145">
        <f>SUM(G100:G103)</f>
        <v>241603.12</v>
      </c>
      <c r="H104" s="127"/>
      <c r="I104" s="145">
        <f>SUM(I100:I103)</f>
        <v>139677.80189999996</v>
      </c>
      <c r="J104" s="127"/>
      <c r="K104" s="127"/>
      <c r="L104" s="127"/>
      <c r="M104" s="145">
        <f>SUM(M100:M103)</f>
        <v>139677.80189999996</v>
      </c>
      <c r="N104" s="145">
        <f t="shared" ref="N104:N105" si="119">M104-I104</f>
        <v>0</v>
      </c>
      <c r="O104" s="146">
        <f t="shared" ref="O104" si="120">N104-J104</f>
        <v>0</v>
      </c>
    </row>
    <row r="105" spans="1:20" s="7" customFormat="1" ht="26.4" customHeight="1" thickBot="1" x14ac:dyDescent="0.3">
      <c r="A105" s="32">
        <f t="shared" si="87"/>
        <v>99</v>
      </c>
      <c r="C105" s="16"/>
      <c r="D105" s="8" t="s">
        <v>20</v>
      </c>
      <c r="E105" s="128"/>
      <c r="F105" s="128"/>
      <c r="G105" s="147">
        <f>G99+G104</f>
        <v>3868698.6278500003</v>
      </c>
      <c r="H105" s="128"/>
      <c r="I105" s="148">
        <f>I104+I99</f>
        <v>3664847.9916500002</v>
      </c>
      <c r="J105" s="128"/>
      <c r="K105" s="128"/>
      <c r="L105" s="128"/>
      <c r="M105" s="147">
        <f>M104+M99</f>
        <v>3806111.2614499996</v>
      </c>
      <c r="N105" s="147">
        <f t="shared" si="119"/>
        <v>141263.26979999943</v>
      </c>
      <c r="O105" s="149">
        <f>IF(I105=0,0,N105/I105)</f>
        <v>3.8545464947483239E-2</v>
      </c>
      <c r="P105" s="119"/>
      <c r="Q105" s="119"/>
      <c r="R105" s="119"/>
    </row>
    <row r="106" spans="1:20" ht="13.8" thickTop="1" x14ac:dyDescent="0.25">
      <c r="A106" s="32">
        <f t="shared" si="87"/>
        <v>100</v>
      </c>
      <c r="D106" s="15"/>
      <c r="E106" s="156">
        <f>E97/E96</f>
        <v>5375807.916666667</v>
      </c>
      <c r="F106" s="152"/>
      <c r="G106" s="152">
        <f>G105/E96</f>
        <v>322391.55232083338</v>
      </c>
      <c r="H106" s="152"/>
      <c r="I106" s="152">
        <f>I105/E96</f>
        <v>305403.9993041667</v>
      </c>
      <c r="J106" s="152"/>
      <c r="K106" s="152"/>
      <c r="L106" s="152"/>
      <c r="M106" s="152">
        <f>M105/E96</f>
        <v>317175.93845416664</v>
      </c>
      <c r="N106" s="153">
        <f>N105/E96</f>
        <v>11771.939149999953</v>
      </c>
      <c r="O106" s="155">
        <f>O105</f>
        <v>3.8545464947483239E-2</v>
      </c>
      <c r="P106" s="152"/>
      <c r="Q106" s="152"/>
    </row>
    <row r="107" spans="1:20" ht="13.8" thickBot="1" x14ac:dyDescent="0.3">
      <c r="A107" s="32">
        <f t="shared" si="87"/>
        <v>101</v>
      </c>
      <c r="S107" s="27"/>
    </row>
    <row r="108" spans="1:20" x14ac:dyDescent="0.25">
      <c r="A108" s="32">
        <f t="shared" si="87"/>
        <v>102</v>
      </c>
      <c r="B108" s="24" t="s">
        <v>85</v>
      </c>
      <c r="C108" s="25" t="s">
        <v>84</v>
      </c>
      <c r="D108" s="24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27"/>
    </row>
    <row r="109" spans="1:20" x14ac:dyDescent="0.25">
      <c r="A109" s="32">
        <f t="shared" si="87"/>
        <v>103</v>
      </c>
      <c r="D109" s="2" t="s">
        <v>18</v>
      </c>
      <c r="E109" s="136">
        <v>0</v>
      </c>
      <c r="F109" s="123">
        <v>611.47</v>
      </c>
      <c r="G109" s="137">
        <f>F109*E109</f>
        <v>0</v>
      </c>
      <c r="H109" s="123">
        <v>611.47</v>
      </c>
      <c r="I109" s="137">
        <f>H109*E109</f>
        <v>0</v>
      </c>
      <c r="J109" s="124">
        <f>I109/I112</f>
        <v>0</v>
      </c>
      <c r="K109" s="124"/>
      <c r="L109" s="123">
        <f>ROUND(H109*S$112,2)</f>
        <v>635.95000000000005</v>
      </c>
      <c r="M109" s="137">
        <f>L109*E109</f>
        <v>0</v>
      </c>
      <c r="N109" s="137">
        <f>M109-I109</f>
        <v>0</v>
      </c>
      <c r="O109" s="124">
        <f>IF(I109=0,0,N109/I109)</f>
        <v>0</v>
      </c>
      <c r="P109" s="124">
        <f>M109/M$112</f>
        <v>0</v>
      </c>
      <c r="Q109" s="138">
        <f>P109-J109</f>
        <v>0</v>
      </c>
      <c r="R109" s="138"/>
      <c r="S109" s="27"/>
      <c r="T109" s="6">
        <f t="shared" ref="T109:T111" si="121">L109/H109-1</f>
        <v>4.0034670548023676E-2</v>
      </c>
    </row>
    <row r="110" spans="1:20" x14ac:dyDescent="0.25">
      <c r="A110" s="32">
        <f t="shared" si="87"/>
        <v>104</v>
      </c>
      <c r="D110" s="2" t="s">
        <v>92</v>
      </c>
      <c r="E110" s="136">
        <v>22081797.600000001</v>
      </c>
      <c r="F110" s="125">
        <v>5.0439999999999999E-2</v>
      </c>
      <c r="G110" s="137">
        <f t="shared" ref="G110:G111" si="122">F110*E110</f>
        <v>1113805.8709440001</v>
      </c>
      <c r="H110" s="125">
        <v>4.8860000000000001E-2</v>
      </c>
      <c r="I110" s="137">
        <f t="shared" ref="I110:I111" si="123">H110*E110</f>
        <v>1078916.6307360001</v>
      </c>
      <c r="J110" s="124">
        <f>I110/I112</f>
        <v>0.80317236338129594</v>
      </c>
      <c r="K110" s="124"/>
      <c r="L110" s="125">
        <f>ROUND(H110*S$112,5)</f>
        <v>5.0819999999999997E-2</v>
      </c>
      <c r="M110" s="137">
        <f t="shared" ref="M110:M111" si="124">L110*E110</f>
        <v>1122196.9540319999</v>
      </c>
      <c r="N110" s="137">
        <f t="shared" ref="N110:N115" si="125">M110-I110</f>
        <v>43280.323295999784</v>
      </c>
      <c r="O110" s="124">
        <f t="shared" ref="O110:O111" si="126">IF(I110=0,0,N110/I110)</f>
        <v>4.0114613180515554E-2</v>
      </c>
      <c r="P110" s="124">
        <f t="shared" ref="P110:P111" si="127">M110/M$112</f>
        <v>0.80314898150899627</v>
      </c>
      <c r="Q110" s="138">
        <f t="shared" ref="Q110:Q112" si="128">P110-J110</f>
        <v>-2.3381872299665929E-5</v>
      </c>
      <c r="R110" s="138"/>
      <c r="S110" s="27"/>
      <c r="T110" s="6">
        <f t="shared" si="121"/>
        <v>4.0114613180515679E-2</v>
      </c>
    </row>
    <row r="111" spans="1:20" x14ac:dyDescent="0.25">
      <c r="A111" s="32">
        <f t="shared" si="87"/>
        <v>105</v>
      </c>
      <c r="D111" s="2" t="s">
        <v>97</v>
      </c>
      <c r="E111" s="136">
        <v>29575.199999999997</v>
      </c>
      <c r="F111" s="123">
        <v>8.94</v>
      </c>
      <c r="G111" s="137">
        <f t="shared" si="122"/>
        <v>264402.28799999994</v>
      </c>
      <c r="H111" s="123">
        <v>8.94</v>
      </c>
      <c r="I111" s="137">
        <f t="shared" si="123"/>
        <v>264402.28799999994</v>
      </c>
      <c r="J111" s="124">
        <f>I111/I112</f>
        <v>0.19682763661870412</v>
      </c>
      <c r="K111" s="124"/>
      <c r="L111" s="123">
        <f t="shared" ref="L111" si="129">ROUND(H111*S$112,2)</f>
        <v>9.3000000000000007</v>
      </c>
      <c r="M111" s="137">
        <f t="shared" si="124"/>
        <v>275049.36</v>
      </c>
      <c r="N111" s="137">
        <f t="shared" si="125"/>
        <v>10647.072000000044</v>
      </c>
      <c r="O111" s="124">
        <f t="shared" si="126"/>
        <v>4.0268456375839104E-2</v>
      </c>
      <c r="P111" s="124">
        <f t="shared" si="127"/>
        <v>0.1968510184910037</v>
      </c>
      <c r="Q111" s="138">
        <f t="shared" si="128"/>
        <v>2.3381872299582662E-5</v>
      </c>
      <c r="R111" s="138"/>
      <c r="S111" s="27"/>
      <c r="T111" s="6">
        <f t="shared" si="121"/>
        <v>4.026845637583909E-2</v>
      </c>
    </row>
    <row r="112" spans="1:20" s="7" customFormat="1" ht="20.399999999999999" customHeight="1" x14ac:dyDescent="0.3">
      <c r="A112" s="32">
        <f t="shared" si="87"/>
        <v>106</v>
      </c>
      <c r="C112" s="16"/>
      <c r="D112" s="18" t="s">
        <v>7</v>
      </c>
      <c r="E112" s="131"/>
      <c r="F112" s="131"/>
      <c r="G112" s="19">
        <f>SUM(G109:G111)</f>
        <v>1378208.158944</v>
      </c>
      <c r="H112" s="131"/>
      <c r="I112" s="19">
        <f>SUM(I109:I111)</f>
        <v>1343318.9187360001</v>
      </c>
      <c r="J112" s="141">
        <f>SUM(J109:J111)</f>
        <v>1</v>
      </c>
      <c r="K112" s="126">
        <f>I112+Summary!I19</f>
        <v>1397103.838736</v>
      </c>
      <c r="L112" s="131"/>
      <c r="M112" s="19">
        <f>SUM(M109:M111)</f>
        <v>1397246.314032</v>
      </c>
      <c r="N112" s="19">
        <f t="shared" si="125"/>
        <v>53927.395295999944</v>
      </c>
      <c r="O112" s="141">
        <f t="shared" ref="O112" si="130">N112/I112</f>
        <v>4.0144893773061047E-2</v>
      </c>
      <c r="P112" s="141">
        <f>SUM(P109:P111)</f>
        <v>1</v>
      </c>
      <c r="Q112" s="142">
        <f t="shared" si="128"/>
        <v>0</v>
      </c>
      <c r="R112" s="143">
        <f>M112-K112</f>
        <v>142.47529600001872</v>
      </c>
      <c r="S112" s="78">
        <f>K112/I112</f>
        <v>1.0400388316205722</v>
      </c>
    </row>
    <row r="113" spans="1:20" x14ac:dyDescent="0.25">
      <c r="A113" s="32">
        <f t="shared" si="87"/>
        <v>107</v>
      </c>
      <c r="D113" s="2" t="s">
        <v>30</v>
      </c>
      <c r="G113" s="137">
        <v>-221948.96000000002</v>
      </c>
      <c r="I113" s="130">
        <f>G113+(-0.00158*E110)</f>
        <v>-256838.20020800002</v>
      </c>
      <c r="K113" s="130"/>
      <c r="M113" s="137">
        <f>I113</f>
        <v>-256838.20020800002</v>
      </c>
      <c r="N113" s="137">
        <f t="shared" si="125"/>
        <v>0</v>
      </c>
      <c r="O113" s="123">
        <v>0</v>
      </c>
      <c r="S113" s="27"/>
    </row>
    <row r="114" spans="1:20" x14ac:dyDescent="0.25">
      <c r="A114" s="32">
        <f t="shared" si="87"/>
        <v>108</v>
      </c>
      <c r="D114" s="2" t="s">
        <v>31</v>
      </c>
      <c r="G114" s="137">
        <v>464926</v>
      </c>
      <c r="I114" s="130">
        <f t="shared" ref="I114:I116" si="131">G114</f>
        <v>464926</v>
      </c>
      <c r="M114" s="137">
        <f t="shared" ref="M114:M116" si="132">I114</f>
        <v>464926</v>
      </c>
      <c r="N114" s="137">
        <f t="shared" si="125"/>
        <v>0</v>
      </c>
      <c r="O114" s="123">
        <v>0</v>
      </c>
      <c r="S114" s="27"/>
    </row>
    <row r="115" spans="1:20" x14ac:dyDescent="0.25">
      <c r="A115" s="32">
        <f t="shared" si="87"/>
        <v>109</v>
      </c>
      <c r="D115" s="2" t="s">
        <v>33</v>
      </c>
      <c r="G115" s="137">
        <v>0</v>
      </c>
      <c r="I115" s="130">
        <f t="shared" si="131"/>
        <v>0</v>
      </c>
      <c r="M115" s="137">
        <f t="shared" si="132"/>
        <v>0</v>
      </c>
      <c r="N115" s="137">
        <f t="shared" si="125"/>
        <v>0</v>
      </c>
      <c r="O115" s="123">
        <v>0</v>
      </c>
      <c r="S115" s="27"/>
    </row>
    <row r="116" spans="1:20" x14ac:dyDescent="0.25">
      <c r="A116" s="32">
        <f t="shared" si="87"/>
        <v>110</v>
      </c>
      <c r="D116" s="2" t="s">
        <v>43</v>
      </c>
      <c r="G116" s="137">
        <v>0</v>
      </c>
      <c r="I116" s="130">
        <f t="shared" si="131"/>
        <v>0</v>
      </c>
      <c r="M116" s="137">
        <f t="shared" si="132"/>
        <v>0</v>
      </c>
      <c r="N116" s="137"/>
      <c r="O116" s="123"/>
      <c r="S116" s="27"/>
    </row>
    <row r="117" spans="1:20" x14ac:dyDescent="0.25">
      <c r="A117" s="32">
        <f t="shared" si="87"/>
        <v>111</v>
      </c>
      <c r="D117" s="14" t="s">
        <v>9</v>
      </c>
      <c r="E117" s="127"/>
      <c r="F117" s="127"/>
      <c r="G117" s="145">
        <f>SUM(G113:G116)</f>
        <v>242977.03999999998</v>
      </c>
      <c r="H117" s="127"/>
      <c r="I117" s="145">
        <f>SUM(I113:I116)</f>
        <v>208087.79979199998</v>
      </c>
      <c r="J117" s="127"/>
      <c r="K117" s="127"/>
      <c r="L117" s="127"/>
      <c r="M117" s="145">
        <f>SUM(M113:M116)</f>
        <v>208087.79979199998</v>
      </c>
      <c r="N117" s="145">
        <f t="shared" ref="N117:N119" si="133">M117-I117</f>
        <v>0</v>
      </c>
      <c r="O117" s="146">
        <f t="shared" ref="O117" si="134">N117-J117</f>
        <v>0</v>
      </c>
      <c r="S117" s="27"/>
    </row>
    <row r="118" spans="1:20" s="7" customFormat="1" ht="26.4" customHeight="1" thickBot="1" x14ac:dyDescent="0.3">
      <c r="A118" s="32">
        <f t="shared" si="87"/>
        <v>112</v>
      </c>
      <c r="C118" s="16"/>
      <c r="D118" s="8" t="s">
        <v>20</v>
      </c>
      <c r="E118" s="128"/>
      <c r="F118" s="128"/>
      <c r="G118" s="147">
        <f>G112+G117</f>
        <v>1621185.1989440001</v>
      </c>
      <c r="H118" s="128"/>
      <c r="I118" s="148">
        <f>I117+I112</f>
        <v>1551406.7185280002</v>
      </c>
      <c r="J118" s="128"/>
      <c r="K118" s="128"/>
      <c r="L118" s="128"/>
      <c r="M118" s="147">
        <f>M117+M112</f>
        <v>1605334.1138240001</v>
      </c>
      <c r="N118" s="147">
        <f t="shared" si="133"/>
        <v>53927.395295999944</v>
      </c>
      <c r="O118" s="149">
        <f>N118/I118</f>
        <v>3.4760320844276819E-2</v>
      </c>
      <c r="P118" s="119"/>
      <c r="Q118" s="119"/>
      <c r="R118" s="119"/>
      <c r="S118" s="78"/>
    </row>
    <row r="119" spans="1:20" ht="13.8" thickTop="1" x14ac:dyDescent="0.25">
      <c r="A119" s="32">
        <f t="shared" si="87"/>
        <v>113</v>
      </c>
      <c r="D119" s="2" t="s">
        <v>19</v>
      </c>
      <c r="E119" s="123">
        <f>E110/12</f>
        <v>1840149.8</v>
      </c>
      <c r="G119" s="150">
        <f>G118/12</f>
        <v>135098.76657866666</v>
      </c>
      <c r="I119" s="150">
        <f>I118/12</f>
        <v>129283.89321066668</v>
      </c>
      <c r="M119" s="150">
        <f>M118/12</f>
        <v>133777.84281866669</v>
      </c>
      <c r="N119" s="150">
        <f t="shared" si="133"/>
        <v>4493.9496080000099</v>
      </c>
      <c r="O119" s="124">
        <f>N119/I119</f>
        <v>3.476032084427693E-2</v>
      </c>
      <c r="S119" s="27"/>
    </row>
    <row r="120" spans="1:20" ht="13.8" thickBot="1" x14ac:dyDescent="0.3">
      <c r="A120" s="32">
        <f t="shared" si="87"/>
        <v>114</v>
      </c>
      <c r="S120" s="27"/>
    </row>
    <row r="121" spans="1:20" x14ac:dyDescent="0.25">
      <c r="A121" s="32">
        <f t="shared" si="87"/>
        <v>115</v>
      </c>
      <c r="B121" s="24" t="s">
        <v>34</v>
      </c>
      <c r="C121" s="25" t="s">
        <v>57</v>
      </c>
      <c r="D121" s="24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</row>
    <row r="122" spans="1:20" ht="13.8" x14ac:dyDescent="0.25">
      <c r="A122" s="32">
        <f t="shared" si="87"/>
        <v>116</v>
      </c>
      <c r="B122" s="29" t="s">
        <v>71</v>
      </c>
      <c r="C122" s="75" t="s">
        <v>99</v>
      </c>
      <c r="E122" s="136">
        <v>12873</v>
      </c>
      <c r="F122" s="123">
        <v>8.93</v>
      </c>
      <c r="G122" s="137">
        <f t="shared" ref="G122" si="135">F122*E122</f>
        <v>114955.89</v>
      </c>
      <c r="H122" s="123">
        <v>8.65</v>
      </c>
      <c r="I122" s="137">
        <f t="shared" ref="I122" si="136">H122*E122</f>
        <v>111351.45000000001</v>
      </c>
      <c r="J122" s="124">
        <f t="shared" ref="J122:J137" si="137">I122/I$138</f>
        <v>0.11417254278484708</v>
      </c>
      <c r="K122" s="124"/>
      <c r="L122" s="123">
        <f t="shared" ref="L122:L137" si="138">ROUND(H122*S$138,2)</f>
        <v>9</v>
      </c>
      <c r="M122" s="137">
        <f t="shared" ref="M122" si="139">L122*E122</f>
        <v>115857</v>
      </c>
      <c r="N122" s="137">
        <f t="shared" ref="N122" si="140">M122-I122</f>
        <v>4505.5499999999884</v>
      </c>
      <c r="O122" s="124">
        <f t="shared" ref="O122" si="141">IF(I122=0,0,N122/I122)</f>
        <v>4.0462427745664629E-2</v>
      </c>
      <c r="P122" s="124">
        <f t="shared" ref="P122:P137" si="142">M122/M$138</f>
        <v>0.11422087505708974</v>
      </c>
      <c r="Q122" s="138">
        <f t="shared" ref="Q122" si="143">P122-J122</f>
        <v>4.8332272242657126E-5</v>
      </c>
      <c r="R122" s="138"/>
      <c r="T122" s="6">
        <f>L122/H122-1</f>
        <v>4.0462427745664664E-2</v>
      </c>
    </row>
    <row r="123" spans="1:20" ht="13.8" x14ac:dyDescent="0.25">
      <c r="A123" s="32">
        <f t="shared" si="87"/>
        <v>117</v>
      </c>
      <c r="B123" s="29" t="s">
        <v>71</v>
      </c>
      <c r="C123" s="75" t="s">
        <v>82</v>
      </c>
      <c r="E123" s="136">
        <v>0</v>
      </c>
      <c r="F123" s="123">
        <v>19.73</v>
      </c>
      <c r="G123" s="137">
        <f t="shared" ref="G123:G126" si="144">F123*E123</f>
        <v>0</v>
      </c>
      <c r="H123" s="123">
        <v>19.73</v>
      </c>
      <c r="I123" s="137">
        <f t="shared" ref="I123:I126" si="145">H123*E123</f>
        <v>0</v>
      </c>
      <c r="J123" s="124">
        <f t="shared" si="137"/>
        <v>0</v>
      </c>
      <c r="K123" s="124"/>
      <c r="L123" s="123">
        <f t="shared" si="138"/>
        <v>20.52</v>
      </c>
      <c r="M123" s="137">
        <f t="shared" ref="M123:M126" si="146">L123*E123</f>
        <v>0</v>
      </c>
      <c r="N123" s="137">
        <f t="shared" ref="N123:N126" si="147">M123-I123</f>
        <v>0</v>
      </c>
      <c r="O123" s="124">
        <f t="shared" ref="O123:O126" si="148">IF(I123=0,0,N123/I123)</f>
        <v>0</v>
      </c>
      <c r="P123" s="124">
        <f t="shared" si="142"/>
        <v>0</v>
      </c>
      <c r="Q123" s="138">
        <f t="shared" ref="Q123:Q126" si="149">P123-J123</f>
        <v>0</v>
      </c>
      <c r="R123" s="138"/>
      <c r="T123" s="6">
        <f t="shared" ref="T123:T137" si="150">L123/H123-1</f>
        <v>4.0040547389761816E-2</v>
      </c>
    </row>
    <row r="124" spans="1:20" ht="13.8" x14ac:dyDescent="0.25">
      <c r="A124" s="32">
        <f t="shared" si="87"/>
        <v>118</v>
      </c>
      <c r="B124" s="29" t="s">
        <v>71</v>
      </c>
      <c r="C124" s="75" t="s">
        <v>60</v>
      </c>
      <c r="E124" s="136">
        <v>94</v>
      </c>
      <c r="F124" s="123">
        <v>17.239999999999998</v>
      </c>
      <c r="G124" s="137">
        <f t="shared" si="144"/>
        <v>1620.56</v>
      </c>
      <c r="H124" s="123">
        <v>16.63</v>
      </c>
      <c r="I124" s="137">
        <f t="shared" si="145"/>
        <v>1563.2199999999998</v>
      </c>
      <c r="J124" s="124">
        <f t="shared" si="137"/>
        <v>1.6028242320340561E-3</v>
      </c>
      <c r="K124" s="124"/>
      <c r="L124" s="123">
        <f t="shared" si="138"/>
        <v>17.3</v>
      </c>
      <c r="M124" s="137">
        <f t="shared" si="146"/>
        <v>1626.2</v>
      </c>
      <c r="N124" s="137">
        <f t="shared" si="147"/>
        <v>62.980000000000246</v>
      </c>
      <c r="O124" s="124">
        <f t="shared" si="148"/>
        <v>4.0288634996993547E-2</v>
      </c>
      <c r="P124" s="124">
        <f t="shared" si="142"/>
        <v>1.6032349104313018E-3</v>
      </c>
      <c r="Q124" s="138">
        <f t="shared" si="149"/>
        <v>4.1067839724566457E-7</v>
      </c>
      <c r="R124" s="138"/>
      <c r="T124" s="6">
        <f t="shared" si="150"/>
        <v>4.0288634996993533E-2</v>
      </c>
    </row>
    <row r="125" spans="1:20" ht="13.8" x14ac:dyDescent="0.25">
      <c r="A125" s="32">
        <f t="shared" si="87"/>
        <v>119</v>
      </c>
      <c r="B125" s="29" t="s">
        <v>71</v>
      </c>
      <c r="C125" s="75" t="s">
        <v>83</v>
      </c>
      <c r="E125" s="136">
        <v>0</v>
      </c>
      <c r="F125" s="123">
        <v>26.24</v>
      </c>
      <c r="G125" s="137">
        <f t="shared" si="144"/>
        <v>0</v>
      </c>
      <c r="H125" s="123">
        <v>26.24</v>
      </c>
      <c r="I125" s="137">
        <f t="shared" si="145"/>
        <v>0</v>
      </c>
      <c r="J125" s="124">
        <f t="shared" si="137"/>
        <v>0</v>
      </c>
      <c r="K125" s="124"/>
      <c r="L125" s="123">
        <f t="shared" si="138"/>
        <v>27.29</v>
      </c>
      <c r="M125" s="137">
        <f t="shared" si="146"/>
        <v>0</v>
      </c>
      <c r="N125" s="137">
        <f t="shared" si="147"/>
        <v>0</v>
      </c>
      <c r="O125" s="124">
        <f t="shared" si="148"/>
        <v>0</v>
      </c>
      <c r="P125" s="124">
        <f t="shared" si="142"/>
        <v>0</v>
      </c>
      <c r="Q125" s="138">
        <f t="shared" si="149"/>
        <v>0</v>
      </c>
      <c r="R125" s="138"/>
      <c r="T125" s="6">
        <f t="shared" si="150"/>
        <v>4.0015243902439046E-2</v>
      </c>
    </row>
    <row r="126" spans="1:20" ht="13.8" x14ac:dyDescent="0.25">
      <c r="A126" s="32">
        <f t="shared" si="87"/>
        <v>120</v>
      </c>
      <c r="B126" s="29" t="s">
        <v>72</v>
      </c>
      <c r="C126" s="75" t="s">
        <v>61</v>
      </c>
      <c r="E126" s="136">
        <v>39130</v>
      </c>
      <c r="F126" s="123">
        <v>8.6199999999999992</v>
      </c>
      <c r="G126" s="137">
        <f t="shared" si="144"/>
        <v>337300.6</v>
      </c>
      <c r="H126" s="123">
        <v>8.4600000000000009</v>
      </c>
      <c r="I126" s="137">
        <f t="shared" si="145"/>
        <v>331039.80000000005</v>
      </c>
      <c r="J126" s="124">
        <f t="shared" si="137"/>
        <v>0.33942670462744057</v>
      </c>
      <c r="K126" s="124"/>
      <c r="L126" s="123">
        <f t="shared" si="138"/>
        <v>8.8000000000000007</v>
      </c>
      <c r="M126" s="137">
        <f t="shared" si="146"/>
        <v>344344</v>
      </c>
      <c r="N126" s="137">
        <f t="shared" si="147"/>
        <v>13304.199999999953</v>
      </c>
      <c r="O126" s="124">
        <f t="shared" si="148"/>
        <v>4.0189125295508131E-2</v>
      </c>
      <c r="P126" s="124">
        <f t="shared" si="142"/>
        <v>0.33948119665327525</v>
      </c>
      <c r="Q126" s="138">
        <f t="shared" si="149"/>
        <v>5.4492025834684821E-5</v>
      </c>
      <c r="R126" s="138"/>
      <c r="T126" s="6">
        <f t="shared" si="150"/>
        <v>4.0189125295508221E-2</v>
      </c>
    </row>
    <row r="127" spans="1:20" ht="13.8" x14ac:dyDescent="0.25">
      <c r="A127" s="32">
        <f t="shared" si="87"/>
        <v>121</v>
      </c>
      <c r="B127" s="29" t="s">
        <v>72</v>
      </c>
      <c r="C127" s="75" t="s">
        <v>62</v>
      </c>
      <c r="E127" s="136">
        <v>168</v>
      </c>
      <c r="F127" s="123">
        <v>18.2</v>
      </c>
      <c r="G127" s="137">
        <f t="shared" ref="G127:G137" si="151">F127*E127</f>
        <v>3057.6</v>
      </c>
      <c r="H127" s="123">
        <v>18.04</v>
      </c>
      <c r="I127" s="137">
        <f t="shared" ref="I127:I137" si="152">H127*E127</f>
        <v>3030.72</v>
      </c>
      <c r="J127" s="124">
        <f t="shared" si="137"/>
        <v>3.1075033946023302E-3</v>
      </c>
      <c r="K127" s="124"/>
      <c r="L127" s="123">
        <f t="shared" si="138"/>
        <v>18.760000000000002</v>
      </c>
      <c r="M127" s="137">
        <f t="shared" ref="M127:M137" si="153">L127*E127</f>
        <v>3151.6800000000003</v>
      </c>
      <c r="N127" s="137">
        <f t="shared" ref="N127:N137" si="154">M127-I127</f>
        <v>120.96000000000049</v>
      </c>
      <c r="O127" s="124">
        <f t="shared" ref="O127:O137" si="155">IF(I127=0,0,N127/I127)</f>
        <v>3.9911308203991296E-2</v>
      </c>
      <c r="P127" s="124">
        <f t="shared" si="142"/>
        <v>3.1071721820859215E-3</v>
      </c>
      <c r="Q127" s="138">
        <f t="shared" ref="Q127:Q137" si="156">P127-J127</f>
        <v>-3.312125164086667E-7</v>
      </c>
      <c r="R127" s="138"/>
      <c r="T127" s="6">
        <f t="shared" si="150"/>
        <v>3.9911308203991247E-2</v>
      </c>
    </row>
    <row r="128" spans="1:20" ht="13.8" x14ac:dyDescent="0.25">
      <c r="A128" s="32">
        <f t="shared" si="87"/>
        <v>122</v>
      </c>
      <c r="B128" s="29" t="s">
        <v>72</v>
      </c>
      <c r="C128" s="75" t="s">
        <v>63</v>
      </c>
      <c r="E128" s="136">
        <v>2819</v>
      </c>
      <c r="F128" s="123">
        <v>8.7100000000000009</v>
      </c>
      <c r="G128" s="137">
        <f t="shared" si="151"/>
        <v>24553.49</v>
      </c>
      <c r="H128" s="123">
        <v>8.5500000000000007</v>
      </c>
      <c r="I128" s="137">
        <f t="shared" si="152"/>
        <v>24102.45</v>
      </c>
      <c r="J128" s="124">
        <f t="shared" si="137"/>
        <v>2.4713086393079182E-2</v>
      </c>
      <c r="K128" s="124"/>
      <c r="L128" s="123">
        <f t="shared" si="138"/>
        <v>8.89</v>
      </c>
      <c r="M128" s="137">
        <f t="shared" si="153"/>
        <v>25060.91</v>
      </c>
      <c r="N128" s="137">
        <f t="shared" si="154"/>
        <v>958.45999999999913</v>
      </c>
      <c r="O128" s="124">
        <f t="shared" si="155"/>
        <v>3.9766081871344991E-2</v>
      </c>
      <c r="P128" s="124">
        <f t="shared" si="142"/>
        <v>2.4707001475327089E-2</v>
      </c>
      <c r="Q128" s="138">
        <f t="shared" si="156"/>
        <v>-6.084917752093022E-6</v>
      </c>
      <c r="R128" s="138"/>
      <c r="T128" s="6">
        <f t="shared" si="150"/>
        <v>3.9766081871345005E-2</v>
      </c>
    </row>
    <row r="129" spans="1:20" ht="13.8" x14ac:dyDescent="0.25">
      <c r="A129" s="32">
        <f t="shared" si="87"/>
        <v>123</v>
      </c>
      <c r="B129" s="29" t="s">
        <v>72</v>
      </c>
      <c r="C129" s="75" t="s">
        <v>64</v>
      </c>
      <c r="E129" s="136">
        <v>1237</v>
      </c>
      <c r="F129" s="123">
        <v>12.33</v>
      </c>
      <c r="G129" s="137">
        <f t="shared" si="151"/>
        <v>15252.210000000001</v>
      </c>
      <c r="H129" s="123">
        <v>12</v>
      </c>
      <c r="I129" s="137">
        <f t="shared" si="152"/>
        <v>14844</v>
      </c>
      <c r="J129" s="124">
        <f t="shared" si="137"/>
        <v>1.5220073246448697E-2</v>
      </c>
      <c r="K129" s="124"/>
      <c r="L129" s="123">
        <f t="shared" si="138"/>
        <v>12.48</v>
      </c>
      <c r="M129" s="137">
        <f t="shared" si="153"/>
        <v>15437.76</v>
      </c>
      <c r="N129" s="137">
        <f t="shared" si="154"/>
        <v>593.76000000000022</v>
      </c>
      <c r="O129" s="124">
        <f t="shared" si="155"/>
        <v>4.0000000000000015E-2</v>
      </c>
      <c r="P129" s="124">
        <f t="shared" si="142"/>
        <v>1.5219748967445539E-2</v>
      </c>
      <c r="Q129" s="138">
        <f t="shared" si="156"/>
        <v>-3.2427900315858127E-7</v>
      </c>
      <c r="R129" s="138"/>
      <c r="T129" s="6">
        <f t="shared" si="150"/>
        <v>4.0000000000000036E-2</v>
      </c>
    </row>
    <row r="130" spans="1:20" ht="13.8" x14ac:dyDescent="0.25">
      <c r="A130" s="32">
        <f t="shared" si="87"/>
        <v>124</v>
      </c>
      <c r="B130" s="29" t="s">
        <v>72</v>
      </c>
      <c r="C130" s="75" t="s">
        <v>81</v>
      </c>
      <c r="E130" s="136">
        <v>144</v>
      </c>
      <c r="F130" s="123">
        <v>21.92</v>
      </c>
      <c r="G130" s="137">
        <f t="shared" si="151"/>
        <v>3156.4800000000005</v>
      </c>
      <c r="H130" s="123">
        <v>21.59</v>
      </c>
      <c r="I130" s="137">
        <f t="shared" si="152"/>
        <v>3108.96</v>
      </c>
      <c r="J130" s="124">
        <f t="shared" si="137"/>
        <v>3.1877256076717287E-3</v>
      </c>
      <c r="K130" s="124"/>
      <c r="L130" s="123">
        <f t="shared" si="138"/>
        <v>22.45</v>
      </c>
      <c r="M130" s="137">
        <f t="shared" si="153"/>
        <v>3232.7999999999997</v>
      </c>
      <c r="N130" s="137">
        <f t="shared" si="154"/>
        <v>123.83999999999969</v>
      </c>
      <c r="O130" s="124">
        <f t="shared" si="155"/>
        <v>3.9833256137100412E-2</v>
      </c>
      <c r="P130" s="124">
        <f t="shared" si="142"/>
        <v>3.1871466107750044E-3</v>
      </c>
      <c r="Q130" s="138">
        <f t="shared" si="156"/>
        <v>-5.7899689672423482E-7</v>
      </c>
      <c r="R130" s="138"/>
      <c r="T130" s="6">
        <f t="shared" si="150"/>
        <v>3.9833256137100426E-2</v>
      </c>
    </row>
    <row r="131" spans="1:20" ht="13.8" x14ac:dyDescent="0.25">
      <c r="A131" s="32">
        <f t="shared" si="87"/>
        <v>125</v>
      </c>
      <c r="B131" s="29" t="s">
        <v>72</v>
      </c>
      <c r="C131" s="75" t="s">
        <v>65</v>
      </c>
      <c r="E131" s="136">
        <v>1168</v>
      </c>
      <c r="F131" s="123">
        <v>12.1</v>
      </c>
      <c r="G131" s="137">
        <f t="shared" si="151"/>
        <v>14132.8</v>
      </c>
      <c r="H131" s="123">
        <v>11.77</v>
      </c>
      <c r="I131" s="137">
        <f t="shared" si="152"/>
        <v>13747.359999999999</v>
      </c>
      <c r="J131" s="124">
        <f t="shared" si="137"/>
        <v>1.4095649834633451E-2</v>
      </c>
      <c r="K131" s="124"/>
      <c r="L131" s="123">
        <f t="shared" si="138"/>
        <v>12.24</v>
      </c>
      <c r="M131" s="137">
        <f t="shared" si="153"/>
        <v>14296.32</v>
      </c>
      <c r="N131" s="137">
        <f t="shared" si="154"/>
        <v>548.96000000000095</v>
      </c>
      <c r="O131" s="124">
        <f t="shared" si="155"/>
        <v>3.9932030586236268E-2</v>
      </c>
      <c r="P131" s="124">
        <f t="shared" si="142"/>
        <v>1.4094428308139974E-2</v>
      </c>
      <c r="Q131" s="138">
        <f t="shared" si="156"/>
        <v>-1.2215264934764547E-6</v>
      </c>
      <c r="R131" s="138"/>
      <c r="T131" s="6">
        <f t="shared" si="150"/>
        <v>3.9932030586236289E-2</v>
      </c>
    </row>
    <row r="132" spans="1:20" x14ac:dyDescent="0.25">
      <c r="A132" s="32">
        <f t="shared" si="87"/>
        <v>126</v>
      </c>
      <c r="B132" s="29" t="s">
        <v>72</v>
      </c>
      <c r="C132" s="76" t="s">
        <v>66</v>
      </c>
      <c r="E132" s="136">
        <v>0</v>
      </c>
      <c r="F132" s="123">
        <v>18.02</v>
      </c>
      <c r="G132" s="137">
        <f t="shared" si="151"/>
        <v>0</v>
      </c>
      <c r="H132" s="123">
        <v>18.02</v>
      </c>
      <c r="I132" s="137">
        <f t="shared" si="152"/>
        <v>0</v>
      </c>
      <c r="J132" s="124">
        <f t="shared" si="137"/>
        <v>0</v>
      </c>
      <c r="K132" s="124"/>
      <c r="L132" s="123">
        <f t="shared" si="138"/>
        <v>18.739999999999998</v>
      </c>
      <c r="M132" s="137">
        <f t="shared" si="153"/>
        <v>0</v>
      </c>
      <c r="N132" s="137">
        <f t="shared" si="154"/>
        <v>0</v>
      </c>
      <c r="O132" s="124">
        <f t="shared" si="155"/>
        <v>0</v>
      </c>
      <c r="P132" s="124">
        <f t="shared" si="142"/>
        <v>0</v>
      </c>
      <c r="Q132" s="138">
        <f t="shared" si="156"/>
        <v>0</v>
      </c>
      <c r="R132" s="138"/>
      <c r="T132" s="6">
        <f t="shared" si="150"/>
        <v>3.9955604883462836E-2</v>
      </c>
    </row>
    <row r="133" spans="1:20" x14ac:dyDescent="0.25">
      <c r="A133" s="32">
        <f t="shared" si="87"/>
        <v>127</v>
      </c>
      <c r="B133" s="29" t="s">
        <v>72</v>
      </c>
      <c r="C133" s="76" t="s">
        <v>67</v>
      </c>
      <c r="E133" s="136">
        <v>0</v>
      </c>
      <c r="F133" s="123">
        <v>27.11</v>
      </c>
      <c r="G133" s="137">
        <f t="shared" si="151"/>
        <v>0</v>
      </c>
      <c r="H133" s="123">
        <v>27.11</v>
      </c>
      <c r="I133" s="137">
        <f t="shared" si="152"/>
        <v>0</v>
      </c>
      <c r="J133" s="124">
        <f t="shared" si="137"/>
        <v>0</v>
      </c>
      <c r="K133" s="124"/>
      <c r="L133" s="123">
        <f t="shared" si="138"/>
        <v>28.2</v>
      </c>
      <c r="M133" s="137">
        <f t="shared" si="153"/>
        <v>0</v>
      </c>
      <c r="N133" s="137">
        <f t="shared" si="154"/>
        <v>0</v>
      </c>
      <c r="O133" s="124">
        <f t="shared" si="155"/>
        <v>0</v>
      </c>
      <c r="P133" s="124">
        <f t="shared" si="142"/>
        <v>0</v>
      </c>
      <c r="Q133" s="138">
        <f t="shared" si="156"/>
        <v>0</v>
      </c>
      <c r="R133" s="138"/>
      <c r="T133" s="6">
        <f t="shared" si="150"/>
        <v>4.0206565842862307E-2</v>
      </c>
    </row>
    <row r="134" spans="1:20" x14ac:dyDescent="0.25">
      <c r="A134" s="32">
        <f t="shared" si="87"/>
        <v>128</v>
      </c>
      <c r="B134" s="29" t="s">
        <v>72</v>
      </c>
      <c r="C134" s="76" t="s">
        <v>68</v>
      </c>
      <c r="E134" s="136">
        <v>1541</v>
      </c>
      <c r="F134" s="123">
        <v>18.309999999999999</v>
      </c>
      <c r="G134" s="137">
        <f t="shared" si="151"/>
        <v>28215.71</v>
      </c>
      <c r="H134" s="123">
        <v>17.649999999999999</v>
      </c>
      <c r="I134" s="137">
        <f t="shared" si="152"/>
        <v>27198.649999999998</v>
      </c>
      <c r="J134" s="124">
        <f t="shared" si="137"/>
        <v>2.7887728725715565E-2</v>
      </c>
      <c r="K134" s="124"/>
      <c r="L134" s="123">
        <f t="shared" si="138"/>
        <v>18.36</v>
      </c>
      <c r="M134" s="137">
        <f t="shared" si="153"/>
        <v>28292.76</v>
      </c>
      <c r="N134" s="137">
        <f t="shared" si="154"/>
        <v>1094.1100000000006</v>
      </c>
      <c r="O134" s="124">
        <f t="shared" si="155"/>
        <v>4.0226628895184163E-2</v>
      </c>
      <c r="P134" s="124">
        <f t="shared" si="142"/>
        <v>2.7893211501939685E-2</v>
      </c>
      <c r="Q134" s="138">
        <f t="shared" si="156"/>
        <v>5.4827762241208E-6</v>
      </c>
      <c r="R134" s="138"/>
      <c r="T134" s="6">
        <f t="shared" si="150"/>
        <v>4.0226628895184247E-2</v>
      </c>
    </row>
    <row r="135" spans="1:20" x14ac:dyDescent="0.25">
      <c r="A135" s="32">
        <f t="shared" si="87"/>
        <v>129</v>
      </c>
      <c r="B135" s="29" t="s">
        <v>73</v>
      </c>
      <c r="C135" s="76" t="s">
        <v>69</v>
      </c>
      <c r="E135" s="136">
        <v>45849</v>
      </c>
      <c r="F135" s="123">
        <v>8.9</v>
      </c>
      <c r="G135" s="137">
        <f t="shared" si="151"/>
        <v>408056.10000000003</v>
      </c>
      <c r="H135" s="123">
        <v>8.8000000000000007</v>
      </c>
      <c r="I135" s="137">
        <f t="shared" si="152"/>
        <v>403471.2</v>
      </c>
      <c r="J135" s="124">
        <f t="shared" si="137"/>
        <v>0.41369315661766043</v>
      </c>
      <c r="K135" s="124"/>
      <c r="L135" s="123">
        <f t="shared" si="138"/>
        <v>9.15</v>
      </c>
      <c r="M135" s="137">
        <f t="shared" si="153"/>
        <v>419518.35000000003</v>
      </c>
      <c r="N135" s="137">
        <f t="shared" si="154"/>
        <v>16047.150000000023</v>
      </c>
      <c r="O135" s="124">
        <f t="shared" si="155"/>
        <v>3.9772727272727328E-2</v>
      </c>
      <c r="P135" s="124">
        <f t="shared" si="142"/>
        <v>0.41359393942106604</v>
      </c>
      <c r="Q135" s="138">
        <f t="shared" si="156"/>
        <v>-9.921719659439221E-5</v>
      </c>
      <c r="R135" s="138"/>
      <c r="T135" s="6">
        <f t="shared" si="150"/>
        <v>3.9772727272727293E-2</v>
      </c>
    </row>
    <row r="136" spans="1:20" x14ac:dyDescent="0.25">
      <c r="A136" s="32">
        <f t="shared" si="87"/>
        <v>130</v>
      </c>
      <c r="B136" s="29" t="s">
        <v>73</v>
      </c>
      <c r="C136" s="76" t="s">
        <v>61</v>
      </c>
      <c r="E136" s="136">
        <v>286</v>
      </c>
      <c r="F136" s="123">
        <v>12.23</v>
      </c>
      <c r="G136" s="137">
        <f t="shared" si="151"/>
        <v>3497.78</v>
      </c>
      <c r="H136" s="123">
        <v>12.06</v>
      </c>
      <c r="I136" s="137">
        <f t="shared" si="152"/>
        <v>3449.1600000000003</v>
      </c>
      <c r="J136" s="124">
        <f t="shared" si="137"/>
        <v>3.5365445862786979E-3</v>
      </c>
      <c r="K136" s="124"/>
      <c r="L136" s="123">
        <f t="shared" si="138"/>
        <v>12.54</v>
      </c>
      <c r="M136" s="137">
        <f t="shared" si="153"/>
        <v>3586.4399999999996</v>
      </c>
      <c r="N136" s="137">
        <f t="shared" si="154"/>
        <v>137.27999999999929</v>
      </c>
      <c r="O136" s="124">
        <f t="shared" si="155"/>
        <v>3.9800995024875413E-2</v>
      </c>
      <c r="P136" s="124">
        <f t="shared" si="142"/>
        <v>3.5357925299269693E-3</v>
      </c>
      <c r="Q136" s="138">
        <f t="shared" si="156"/>
        <v>-7.5205635172853613E-7</v>
      </c>
      <c r="R136" s="138"/>
      <c r="T136" s="6">
        <f t="shared" si="150"/>
        <v>3.9800995024875441E-2</v>
      </c>
    </row>
    <row r="137" spans="1:20" x14ac:dyDescent="0.25">
      <c r="A137" s="32">
        <f t="shared" ref="A137:A201" si="157">A136+1</f>
        <v>131</v>
      </c>
      <c r="B137" s="29" t="s">
        <v>73</v>
      </c>
      <c r="C137" s="76" t="s">
        <v>70</v>
      </c>
      <c r="E137" s="136">
        <v>1600</v>
      </c>
      <c r="F137" s="123">
        <v>24.22</v>
      </c>
      <c r="G137" s="137">
        <f t="shared" si="151"/>
        <v>38752</v>
      </c>
      <c r="H137" s="123">
        <v>23.99</v>
      </c>
      <c r="I137" s="137">
        <f t="shared" si="152"/>
        <v>38384</v>
      </c>
      <c r="J137" s="124">
        <f t="shared" si="137"/>
        <v>3.9356459949588168E-2</v>
      </c>
      <c r="K137" s="124"/>
      <c r="L137" s="123">
        <f t="shared" si="138"/>
        <v>24.95</v>
      </c>
      <c r="M137" s="137">
        <f t="shared" si="153"/>
        <v>39920</v>
      </c>
      <c r="N137" s="137">
        <f t="shared" si="154"/>
        <v>1536</v>
      </c>
      <c r="O137" s="124">
        <f t="shared" si="155"/>
        <v>4.0016673614005835E-2</v>
      </c>
      <c r="P137" s="124">
        <f t="shared" si="142"/>
        <v>3.9356252382497584E-2</v>
      </c>
      <c r="Q137" s="138">
        <f t="shared" si="156"/>
        <v>-2.0756709058489253E-7</v>
      </c>
      <c r="R137" s="138"/>
      <c r="T137" s="6">
        <f t="shared" si="150"/>
        <v>4.001667361400596E-2</v>
      </c>
    </row>
    <row r="138" spans="1:20" s="7" customFormat="1" ht="24.6" customHeight="1" x14ac:dyDescent="0.3">
      <c r="A138" s="32">
        <f t="shared" si="157"/>
        <v>132</v>
      </c>
      <c r="C138" s="16"/>
      <c r="D138" s="18" t="s">
        <v>7</v>
      </c>
      <c r="E138" s="131"/>
      <c r="F138" s="131"/>
      <c r="G138" s="19">
        <f>SUM(G122:G137)</f>
        <v>992551.22</v>
      </c>
      <c r="H138" s="131"/>
      <c r="I138" s="19">
        <f>SUM(I122:I137)</f>
        <v>975290.97000000009</v>
      </c>
      <c r="J138" s="141">
        <f>SUM(J122:J137)</f>
        <v>0.99999999999999978</v>
      </c>
      <c r="K138" s="126">
        <f>I138+Summary!I20</f>
        <v>1014340.4800000001</v>
      </c>
      <c r="L138" s="131"/>
      <c r="M138" s="19">
        <f>SUM(M122:M137)</f>
        <v>1014324.22</v>
      </c>
      <c r="N138" s="19">
        <f>M138-I138</f>
        <v>39033.249999999884</v>
      </c>
      <c r="O138" s="141">
        <f t="shared" ref="O138" si="158">N138/I138</f>
        <v>4.0022158720489212E-2</v>
      </c>
      <c r="P138" s="141">
        <f>SUM(P122:P137)</f>
        <v>1</v>
      </c>
      <c r="Q138" s="142">
        <f t="shared" ref="Q138" si="159">P138-J138</f>
        <v>0</v>
      </c>
      <c r="R138" s="143">
        <f>M138-K138</f>
        <v>-16.260000000125729</v>
      </c>
      <c r="S138" s="7">
        <f>K138/I138</f>
        <v>1.0400388306681441</v>
      </c>
    </row>
    <row r="139" spans="1:20" x14ac:dyDescent="0.25">
      <c r="A139" s="32">
        <f t="shared" si="157"/>
        <v>133</v>
      </c>
      <c r="D139" s="2" t="s">
        <v>30</v>
      </c>
      <c r="G139" s="137">
        <v>0</v>
      </c>
      <c r="I139" s="130">
        <v>0</v>
      </c>
      <c r="M139" s="137">
        <f>I139</f>
        <v>0</v>
      </c>
      <c r="N139" s="137">
        <f>M139-I139</f>
        <v>0</v>
      </c>
      <c r="O139" s="123">
        <v>0</v>
      </c>
    </row>
    <row r="140" spans="1:20" x14ac:dyDescent="0.25">
      <c r="A140" s="32">
        <f t="shared" si="157"/>
        <v>134</v>
      </c>
      <c r="D140" s="2" t="s">
        <v>31</v>
      </c>
      <c r="G140" s="137">
        <v>0</v>
      </c>
      <c r="I140" s="130">
        <v>0</v>
      </c>
      <c r="M140" s="137">
        <f t="shared" ref="M140:M141" si="160">I140</f>
        <v>0</v>
      </c>
      <c r="N140" s="137">
        <f>M140-I140</f>
        <v>0</v>
      </c>
      <c r="O140" s="123">
        <v>0</v>
      </c>
    </row>
    <row r="141" spans="1:20" x14ac:dyDescent="0.25">
      <c r="A141" s="32">
        <f t="shared" si="157"/>
        <v>135</v>
      </c>
      <c r="D141" s="2" t="s">
        <v>33</v>
      </c>
      <c r="G141" s="137">
        <v>0</v>
      </c>
      <c r="I141" s="130">
        <v>0</v>
      </c>
      <c r="M141" s="137">
        <f t="shared" si="160"/>
        <v>0</v>
      </c>
      <c r="N141" s="137">
        <f>M141-I141</f>
        <v>0</v>
      </c>
      <c r="O141" s="123">
        <v>0</v>
      </c>
    </row>
    <row r="142" spans="1:20" x14ac:dyDescent="0.25">
      <c r="A142" s="32">
        <f t="shared" si="157"/>
        <v>136</v>
      </c>
      <c r="D142" s="2" t="s">
        <v>43</v>
      </c>
      <c r="G142" s="137"/>
      <c r="I142" s="130"/>
      <c r="M142" s="137"/>
      <c r="N142" s="137"/>
      <c r="O142" s="123"/>
    </row>
    <row r="143" spans="1:20" x14ac:dyDescent="0.25">
      <c r="A143" s="32">
        <f t="shared" si="157"/>
        <v>137</v>
      </c>
      <c r="D143" s="14" t="s">
        <v>9</v>
      </c>
      <c r="E143" s="127"/>
      <c r="F143" s="127"/>
      <c r="G143" s="145">
        <f>SUM(G139:G141)</f>
        <v>0</v>
      </c>
      <c r="H143" s="127"/>
      <c r="I143" s="145">
        <f>SUM(I139:I141)</f>
        <v>0</v>
      </c>
      <c r="J143" s="127"/>
      <c r="K143" s="127"/>
      <c r="L143" s="127"/>
      <c r="M143" s="145">
        <f>SUM(M139:M141)</f>
        <v>0</v>
      </c>
      <c r="N143" s="145">
        <f>M143-I143</f>
        <v>0</v>
      </c>
      <c r="O143" s="146">
        <f>N143-J143</f>
        <v>0</v>
      </c>
    </row>
    <row r="144" spans="1:20" s="7" customFormat="1" ht="26.4" customHeight="1" thickBot="1" x14ac:dyDescent="0.3">
      <c r="A144" s="32">
        <f t="shared" si="157"/>
        <v>138</v>
      </c>
      <c r="C144" s="16"/>
      <c r="D144" s="8" t="s">
        <v>20</v>
      </c>
      <c r="E144" s="128"/>
      <c r="F144" s="128"/>
      <c r="G144" s="147">
        <f>G138+G143</f>
        <v>992551.22</v>
      </c>
      <c r="H144" s="128"/>
      <c r="I144" s="148">
        <f>I143+I138</f>
        <v>975290.97000000009</v>
      </c>
      <c r="J144" s="128"/>
      <c r="K144" s="128"/>
      <c r="L144" s="128"/>
      <c r="M144" s="147">
        <f>M143+M138</f>
        <v>1014324.22</v>
      </c>
      <c r="N144" s="147">
        <f>M144-I144</f>
        <v>39033.249999999884</v>
      </c>
      <c r="O144" s="149">
        <f>N144/I144</f>
        <v>4.0022158720489212E-2</v>
      </c>
      <c r="P144" s="119"/>
      <c r="Q144" s="119"/>
      <c r="R144" s="119"/>
    </row>
    <row r="145" spans="1:23" ht="14.4" thickTop="1" thickBot="1" x14ac:dyDescent="0.3">
      <c r="A145" s="32">
        <f t="shared" si="157"/>
        <v>139</v>
      </c>
      <c r="G145" s="150"/>
      <c r="I145" s="150"/>
      <c r="M145" s="150"/>
      <c r="N145" s="150"/>
      <c r="O145" s="124"/>
    </row>
    <row r="146" spans="1:23" x14ac:dyDescent="0.25">
      <c r="A146" s="32">
        <f t="shared" si="157"/>
        <v>140</v>
      </c>
      <c r="B146" s="24" t="s">
        <v>147</v>
      </c>
      <c r="C146" s="25" t="s">
        <v>45</v>
      </c>
      <c r="D146" s="24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</row>
    <row r="147" spans="1:23" x14ac:dyDescent="0.25">
      <c r="A147" s="32">
        <f t="shared" si="157"/>
        <v>141</v>
      </c>
      <c r="C147" s="28"/>
      <c r="D147" s="2" t="s">
        <v>18</v>
      </c>
      <c r="E147" s="136">
        <v>12</v>
      </c>
      <c r="F147" s="123">
        <v>5454</v>
      </c>
      <c r="G147" s="137">
        <f>F147*E147</f>
        <v>65448</v>
      </c>
      <c r="H147" s="123">
        <v>5454</v>
      </c>
      <c r="I147" s="137">
        <f>H147*E147</f>
        <v>65448</v>
      </c>
      <c r="J147" s="124">
        <f>I147/I150</f>
        <v>5.068396288045539E-3</v>
      </c>
      <c r="K147" s="124"/>
      <c r="L147" s="123">
        <f>5575.5+151.2</f>
        <v>5726.7</v>
      </c>
      <c r="M147" s="137">
        <f>L147*E147</f>
        <v>68720.399999999994</v>
      </c>
      <c r="N147" s="137">
        <f>M147-I147</f>
        <v>3272.3999999999942</v>
      </c>
      <c r="O147" s="124">
        <f>IF(I147=0,0,N147/I147)</f>
        <v>4.9999999999999913E-2</v>
      </c>
      <c r="P147" s="124">
        <f>M147/M$150</f>
        <v>5.1820013723895232E-3</v>
      </c>
      <c r="Q147" s="138">
        <f>P147-J147</f>
        <v>1.1360508434398418E-4</v>
      </c>
      <c r="R147" s="138"/>
      <c r="T147" s="6">
        <f t="shared" ref="T147:T149" si="161">L147/H147-1</f>
        <v>5.0000000000000044E-2</v>
      </c>
      <c r="V147" s="36"/>
    </row>
    <row r="148" spans="1:23" x14ac:dyDescent="0.25">
      <c r="A148" s="32">
        <f t="shared" si="157"/>
        <v>142</v>
      </c>
      <c r="B148" s="111"/>
      <c r="C148" s="28"/>
      <c r="D148" s="2" t="s">
        <v>97</v>
      </c>
      <c r="E148" s="136">
        <v>412081</v>
      </c>
      <c r="F148" s="123">
        <v>6.98</v>
      </c>
      <c r="G148" s="137">
        <f t="shared" ref="G148:G149" si="162">F148*E148</f>
        <v>2876325.3800000004</v>
      </c>
      <c r="H148" s="123">
        <v>6.98</v>
      </c>
      <c r="I148" s="137">
        <f t="shared" ref="I148:I149" si="163">H148*E148</f>
        <v>2876325.3800000004</v>
      </c>
      <c r="J148" s="124">
        <f>I148/I150</f>
        <v>0.22274717148275233</v>
      </c>
      <c r="K148" s="124"/>
      <c r="L148" s="167">
        <v>7.3</v>
      </c>
      <c r="M148" s="137">
        <f t="shared" ref="M148:M149" si="164">L148*E148</f>
        <v>3008191.3</v>
      </c>
      <c r="N148" s="137">
        <f t="shared" ref="N148:N149" si="165">M148-I148</f>
        <v>131865.91999999946</v>
      </c>
      <c r="O148" s="124">
        <f t="shared" ref="O148:O149" si="166">IF(I148=0,0,N148/I148)</f>
        <v>4.5845272206303529E-2</v>
      </c>
      <c r="P148" s="124">
        <f t="shared" ref="P148:P149" si="167">M148/M$150</f>
        <v>0.22683877633148564</v>
      </c>
      <c r="Q148" s="138">
        <f t="shared" ref="Q148:Q150" si="168">P148-J148</f>
        <v>4.0916048487333045E-3</v>
      </c>
      <c r="R148" s="138"/>
      <c r="T148" s="6">
        <f t="shared" si="161"/>
        <v>4.5845272206303633E-2</v>
      </c>
      <c r="V148" s="36"/>
    </row>
    <row r="149" spans="1:23" x14ac:dyDescent="0.25">
      <c r="A149" s="32">
        <f t="shared" si="157"/>
        <v>143</v>
      </c>
      <c r="C149" s="28"/>
      <c r="D149" s="2" t="s">
        <v>92</v>
      </c>
      <c r="E149" s="136">
        <v>256019383</v>
      </c>
      <c r="F149" s="157">
        <v>4.0469999999999999E-2</v>
      </c>
      <c r="G149" s="137">
        <f t="shared" si="162"/>
        <v>10361104.43001</v>
      </c>
      <c r="H149" s="157">
        <f>0.036947+0.002</f>
        <v>3.8947000000000002E-2</v>
      </c>
      <c r="I149" s="137">
        <f t="shared" si="163"/>
        <v>9971186.9097010009</v>
      </c>
      <c r="J149" s="124">
        <f>I149/I150</f>
        <v>0.77218443222920208</v>
      </c>
      <c r="K149" s="124"/>
      <c r="L149" s="168">
        <f>0.03778+0.002</f>
        <v>3.9780000000000003E-2</v>
      </c>
      <c r="M149" s="137">
        <f t="shared" si="164"/>
        <v>10184451.055740001</v>
      </c>
      <c r="N149" s="137">
        <f t="shared" si="165"/>
        <v>213264.14603899978</v>
      </c>
      <c r="O149" s="124">
        <f t="shared" si="166"/>
        <v>2.1388040157136599E-2</v>
      </c>
      <c r="P149" s="124">
        <f t="shared" si="167"/>
        <v>0.76797922229612492</v>
      </c>
      <c r="Q149" s="138">
        <f t="shared" si="168"/>
        <v>-4.2052099330771586E-3</v>
      </c>
      <c r="R149" s="138"/>
      <c r="T149" s="6">
        <f t="shared" si="161"/>
        <v>2.138804015713669E-2</v>
      </c>
      <c r="V149" s="36"/>
    </row>
    <row r="150" spans="1:23" s="7" customFormat="1" ht="20.399999999999999" customHeight="1" x14ac:dyDescent="0.3">
      <c r="A150" s="32">
        <f t="shared" si="157"/>
        <v>144</v>
      </c>
      <c r="C150" s="33"/>
      <c r="D150" s="18" t="s">
        <v>7</v>
      </c>
      <c r="E150" s="131"/>
      <c r="F150" s="131"/>
      <c r="G150" s="19">
        <f>SUM(G147:G149)</f>
        <v>13302877.810010001</v>
      </c>
      <c r="H150" s="131"/>
      <c r="I150" s="19">
        <f>SUM(I147:I149)</f>
        <v>12912960.289701002</v>
      </c>
      <c r="J150" s="141">
        <f>SUM(J147:J149)</f>
        <v>1</v>
      </c>
      <c r="K150" s="126">
        <f>I150+Summary!I23</f>
        <v>13253656.289701002</v>
      </c>
      <c r="L150" s="131"/>
      <c r="M150" s="19">
        <f>SUM(M147:M149)</f>
        <v>13261362.75574</v>
      </c>
      <c r="N150" s="19">
        <f t="shared" ref="N150:N153" si="169">M150-I150</f>
        <v>348402.46603899822</v>
      </c>
      <c r="O150" s="141">
        <f t="shared" ref="O150" si="170">N150/I150</f>
        <v>2.6980836169447048E-2</v>
      </c>
      <c r="P150" s="141">
        <f>SUM(P147:P149)</f>
        <v>1</v>
      </c>
      <c r="Q150" s="142">
        <f t="shared" si="168"/>
        <v>0</v>
      </c>
      <c r="R150" s="143">
        <f>M150-K150</f>
        <v>7706.4660389982164</v>
      </c>
      <c r="S150" s="7">
        <v>1.0552241582910316</v>
      </c>
      <c r="V150" s="34"/>
      <c r="W150" s="35"/>
    </row>
    <row r="151" spans="1:23" x14ac:dyDescent="0.25">
      <c r="A151" s="32">
        <f t="shared" si="157"/>
        <v>145</v>
      </c>
      <c r="C151" s="28"/>
      <c r="D151" s="2" t="s">
        <v>30</v>
      </c>
      <c r="G151" s="137">
        <v>-1085600.3899999999</v>
      </c>
      <c r="I151" s="130">
        <f>G151+(-0.00158*E149)</f>
        <v>-1490111.0151399998</v>
      </c>
      <c r="K151" s="130"/>
      <c r="M151" s="137">
        <f>I151</f>
        <v>-1490111.0151399998</v>
      </c>
      <c r="N151" s="137">
        <f t="shared" si="169"/>
        <v>0</v>
      </c>
      <c r="O151" s="123">
        <v>0</v>
      </c>
    </row>
    <row r="152" spans="1:23" x14ac:dyDescent="0.25">
      <c r="A152" s="32">
        <f t="shared" si="157"/>
        <v>146</v>
      </c>
      <c r="D152" s="2" t="s">
        <v>31</v>
      </c>
      <c r="G152" s="137">
        <v>1920660</v>
      </c>
      <c r="I152" s="130">
        <f t="shared" ref="I152:I154" si="171">G152</f>
        <v>1920660</v>
      </c>
      <c r="M152" s="137">
        <f t="shared" ref="M152:M154" si="172">I152</f>
        <v>1920660</v>
      </c>
      <c r="N152" s="137">
        <f t="shared" si="169"/>
        <v>0</v>
      </c>
      <c r="O152" s="123">
        <v>0</v>
      </c>
    </row>
    <row r="153" spans="1:23" x14ac:dyDescent="0.25">
      <c r="A153" s="32">
        <f t="shared" si="157"/>
        <v>147</v>
      </c>
      <c r="D153" s="2" t="s">
        <v>33</v>
      </c>
      <c r="G153" s="137">
        <v>0</v>
      </c>
      <c r="H153" s="139"/>
      <c r="I153" s="130">
        <f t="shared" si="171"/>
        <v>0</v>
      </c>
      <c r="M153" s="137">
        <f t="shared" si="172"/>
        <v>0</v>
      </c>
      <c r="N153" s="137">
        <f t="shared" si="169"/>
        <v>0</v>
      </c>
      <c r="O153" s="123">
        <v>0</v>
      </c>
    </row>
    <row r="154" spans="1:23" x14ac:dyDescent="0.25">
      <c r="A154" s="32">
        <f t="shared" si="157"/>
        <v>148</v>
      </c>
      <c r="D154" s="2" t="s">
        <v>43</v>
      </c>
      <c r="G154" s="137">
        <v>0</v>
      </c>
      <c r="I154" s="130">
        <f t="shared" si="171"/>
        <v>0</v>
      </c>
      <c r="M154" s="137">
        <f t="shared" si="172"/>
        <v>0</v>
      </c>
      <c r="N154" s="137"/>
      <c r="O154" s="123"/>
    </row>
    <row r="155" spans="1:23" x14ac:dyDescent="0.25">
      <c r="A155" s="32">
        <f t="shared" si="157"/>
        <v>149</v>
      </c>
      <c r="D155" s="14" t="s">
        <v>9</v>
      </c>
      <c r="E155" s="127"/>
      <c r="F155" s="127"/>
      <c r="G155" s="145">
        <f>SUM(G151:G154)</f>
        <v>835059.6100000001</v>
      </c>
      <c r="H155" s="127"/>
      <c r="I155" s="145">
        <f>SUM(I151:I154)</f>
        <v>430548.9848600002</v>
      </c>
      <c r="J155" s="127"/>
      <c r="K155" s="127"/>
      <c r="L155" s="127"/>
      <c r="M155" s="145">
        <f>SUM(M151:M154)</f>
        <v>430548.9848600002</v>
      </c>
      <c r="N155" s="145">
        <f t="shared" ref="N155:N156" si="173">M155-I155</f>
        <v>0</v>
      </c>
      <c r="O155" s="146">
        <f t="shared" ref="O155" si="174">N155-J155</f>
        <v>0</v>
      </c>
    </row>
    <row r="156" spans="1:23" s="7" customFormat="1" ht="26.4" customHeight="1" thickBot="1" x14ac:dyDescent="0.3">
      <c r="A156" s="32">
        <f t="shared" si="157"/>
        <v>150</v>
      </c>
      <c r="C156" s="16"/>
      <c r="D156" s="8" t="s">
        <v>20</v>
      </c>
      <c r="E156" s="128"/>
      <c r="F156" s="128"/>
      <c r="G156" s="147">
        <f>G150+G155</f>
        <v>14137937.42001</v>
      </c>
      <c r="H156" s="128"/>
      <c r="I156" s="148">
        <f>I155+I150</f>
        <v>13343509.274561003</v>
      </c>
      <c r="J156" s="128"/>
      <c r="K156" s="128"/>
      <c r="L156" s="128"/>
      <c r="M156" s="147">
        <f>M155+M150</f>
        <v>13691911.740600001</v>
      </c>
      <c r="N156" s="147">
        <f t="shared" si="173"/>
        <v>348402.46603899822</v>
      </c>
      <c r="O156" s="149">
        <f>N156/I156</f>
        <v>2.6110257719325528E-2</v>
      </c>
      <c r="P156" s="119"/>
      <c r="Q156" s="119"/>
      <c r="R156" s="119"/>
    </row>
    <row r="157" spans="1:23" ht="13.8" thickTop="1" x14ac:dyDescent="0.25">
      <c r="A157" s="32">
        <f t="shared" si="157"/>
        <v>151</v>
      </c>
      <c r="D157" s="2" t="s">
        <v>19</v>
      </c>
      <c r="E157" s="123">
        <f>E149/E147</f>
        <v>21334948.583333332</v>
      </c>
      <c r="G157" s="150">
        <f>G156/E147</f>
        <v>1178161.4516675</v>
      </c>
      <c r="I157" s="150">
        <f>I156/E147</f>
        <v>1111959.1062134169</v>
      </c>
      <c r="M157" s="150">
        <f>M156/E147</f>
        <v>1140992.6450500002</v>
      </c>
      <c r="N157" s="150">
        <f>N156/E147</f>
        <v>29033.538836583186</v>
      </c>
      <c r="O157" s="124">
        <f>O156</f>
        <v>2.6110257719325528E-2</v>
      </c>
    </row>
    <row r="158" spans="1:23" ht="13.8" thickBot="1" x14ac:dyDescent="0.3">
      <c r="A158" s="32">
        <f t="shared" si="157"/>
        <v>152</v>
      </c>
    </row>
    <row r="159" spans="1:23" x14ac:dyDescent="0.25">
      <c r="A159" s="32">
        <f t="shared" si="157"/>
        <v>153</v>
      </c>
      <c r="B159" s="24" t="s">
        <v>148</v>
      </c>
      <c r="C159" s="25" t="s">
        <v>56</v>
      </c>
      <c r="D159" s="24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27"/>
    </row>
    <row r="160" spans="1:23" x14ac:dyDescent="0.25">
      <c r="A160" s="32">
        <f t="shared" si="157"/>
        <v>154</v>
      </c>
      <c r="C160" s="28"/>
      <c r="D160" s="2" t="s">
        <v>100</v>
      </c>
      <c r="E160" s="136">
        <f>397389*0.00917*1.016</f>
        <v>3702.3620440799996</v>
      </c>
      <c r="F160" s="119">
        <v>577.15</v>
      </c>
      <c r="G160" s="137">
        <f>F160*E160</f>
        <v>2136818.2537407717</v>
      </c>
      <c r="H160" s="123">
        <v>577.15</v>
      </c>
      <c r="I160" s="137">
        <f>H160*E160</f>
        <v>2136818.2537407717</v>
      </c>
      <c r="J160" s="124">
        <f>I160/I162</f>
        <v>0.21943254802816348</v>
      </c>
      <c r="K160" s="124"/>
      <c r="L160" s="167">
        <v>604.75</v>
      </c>
      <c r="M160" s="137">
        <f>L160*E160</f>
        <v>2239003.4461573795</v>
      </c>
      <c r="N160" s="137">
        <f>M160-I160</f>
        <v>102185.19241660787</v>
      </c>
      <c r="O160" s="124">
        <f>IF(I160=0,0,N160/I160)</f>
        <v>4.7821190331802772E-2</v>
      </c>
      <c r="P160" s="124">
        <f>M160/M$162</f>
        <v>0.22339617177104351</v>
      </c>
      <c r="Q160" s="138">
        <f>P160-J160</f>
        <v>3.9636237428800347E-3</v>
      </c>
      <c r="R160" s="138"/>
      <c r="S160" s="27"/>
      <c r="T160" s="6">
        <f t="shared" ref="T160" si="175">L160/H160-1</f>
        <v>4.7821190331802876E-2</v>
      </c>
    </row>
    <row r="161" spans="1:20" x14ac:dyDescent="0.25">
      <c r="A161" s="32">
        <f t="shared" si="157"/>
        <v>155</v>
      </c>
      <c r="C161" s="28"/>
      <c r="D161" s="2" t="s">
        <v>101</v>
      </c>
      <c r="E161" s="136">
        <f>195836964*0.00917*1.016</f>
        <v>1824558.15923808</v>
      </c>
      <c r="F161" s="129">
        <v>4.3179999999999996</v>
      </c>
      <c r="G161" s="137">
        <f t="shared" ref="G161" si="176">F161*E161</f>
        <v>7878442.1315900292</v>
      </c>
      <c r="H161" s="129">
        <v>4.1660000000000004</v>
      </c>
      <c r="I161" s="137">
        <f t="shared" ref="I161" si="177">H161*E161</f>
        <v>7601109.2913858425</v>
      </c>
      <c r="J161" s="124">
        <f>I161/I162</f>
        <v>0.78056745197183663</v>
      </c>
      <c r="K161" s="124"/>
      <c r="L161" s="169">
        <v>4.266</v>
      </c>
      <c r="M161" s="137">
        <f t="shared" ref="M161" si="178">L161*E161</f>
        <v>7783565.1073096497</v>
      </c>
      <c r="N161" s="137">
        <f t="shared" ref="N161" si="179">M161-I161</f>
        <v>182455.81592380721</v>
      </c>
      <c r="O161" s="124">
        <f t="shared" ref="O161" si="180">IF(I161=0,0,N161/I161)</f>
        <v>2.4003840614498211E-2</v>
      </c>
      <c r="P161" s="124">
        <f>M161/M$162</f>
        <v>0.77660382822895646</v>
      </c>
      <c r="Q161" s="138">
        <f t="shared" ref="Q161" si="181">P161-J161</f>
        <v>-3.9636237428801735E-3</v>
      </c>
      <c r="R161" s="138"/>
      <c r="S161" s="27"/>
      <c r="T161" s="6">
        <f t="shared" ref="T161" si="182">L161/H161-1</f>
        <v>2.4003840614498229E-2</v>
      </c>
    </row>
    <row r="162" spans="1:20" s="7" customFormat="1" ht="20.399999999999999" customHeight="1" x14ac:dyDescent="0.3">
      <c r="A162" s="32">
        <f t="shared" si="157"/>
        <v>156</v>
      </c>
      <c r="C162" s="33"/>
      <c r="D162" s="18" t="s">
        <v>7</v>
      </c>
      <c r="E162" s="131"/>
      <c r="F162" s="131"/>
      <c r="G162" s="19">
        <f>SUM(G160:G161)</f>
        <v>10015260.3853308</v>
      </c>
      <c r="H162" s="131"/>
      <c r="I162" s="19">
        <f>SUM(I160:I161)</f>
        <v>9737927.5451266132</v>
      </c>
      <c r="J162" s="141">
        <f>SUM(J160:J161)</f>
        <v>1</v>
      </c>
      <c r="K162" s="126">
        <f>I162+Summary!I24</f>
        <v>10016600.545126613</v>
      </c>
      <c r="L162" s="131"/>
      <c r="M162" s="19">
        <f>SUM(M160:M161)</f>
        <v>10022568.55346703</v>
      </c>
      <c r="N162" s="19">
        <f t="shared" ref="N162:N169" si="183">M162-I162</f>
        <v>284641.00834041648</v>
      </c>
      <c r="O162" s="141">
        <f t="shared" ref="O162" si="184">N162/I162</f>
        <v>2.9230142350244355E-2</v>
      </c>
      <c r="P162" s="141">
        <f>SUM(P160:P161)</f>
        <v>1</v>
      </c>
      <c r="Q162" s="142">
        <f t="shared" ref="Q162" si="185">P162-J162</f>
        <v>0</v>
      </c>
      <c r="R162" s="143">
        <f>M162-K162</f>
        <v>5968.0083404164761</v>
      </c>
      <c r="S162" s="78">
        <f>K162/I162</f>
        <v>1.0286172800843505</v>
      </c>
    </row>
    <row r="163" spans="1:20" x14ac:dyDescent="0.25">
      <c r="A163" s="32">
        <f t="shared" si="157"/>
        <v>157</v>
      </c>
      <c r="C163" s="28"/>
      <c r="D163" s="2" t="s">
        <v>30</v>
      </c>
      <c r="G163" s="137">
        <v>-832601</v>
      </c>
      <c r="I163" s="130">
        <f>G163+(-0.00158*E161)</f>
        <v>-835483.80189159617</v>
      </c>
      <c r="M163" s="137">
        <f>I163</f>
        <v>-835483.80189159617</v>
      </c>
      <c r="N163" s="137">
        <f t="shared" si="183"/>
        <v>0</v>
      </c>
      <c r="O163" s="123">
        <v>0</v>
      </c>
      <c r="S163" s="27"/>
    </row>
    <row r="164" spans="1:20" x14ac:dyDescent="0.25">
      <c r="A164" s="32">
        <f t="shared" si="157"/>
        <v>158</v>
      </c>
      <c r="D164" s="2" t="s">
        <v>31</v>
      </c>
      <c r="G164" s="137">
        <v>1500027</v>
      </c>
      <c r="I164" s="130">
        <f t="shared" ref="I164:I166" si="186">G164</f>
        <v>1500027</v>
      </c>
      <c r="M164" s="137">
        <f t="shared" ref="M164:M166" si="187">I164</f>
        <v>1500027</v>
      </c>
      <c r="N164" s="137">
        <f t="shared" si="183"/>
        <v>0</v>
      </c>
      <c r="O164" s="123">
        <v>0</v>
      </c>
      <c r="S164" s="27"/>
    </row>
    <row r="165" spans="1:20" x14ac:dyDescent="0.25">
      <c r="A165" s="32">
        <f t="shared" si="157"/>
        <v>159</v>
      </c>
      <c r="D165" s="2" t="s">
        <v>33</v>
      </c>
      <c r="G165" s="137">
        <v>0</v>
      </c>
      <c r="I165" s="130">
        <f t="shared" si="186"/>
        <v>0</v>
      </c>
      <c r="M165" s="137">
        <f t="shared" si="187"/>
        <v>0</v>
      </c>
      <c r="N165" s="137">
        <f t="shared" si="183"/>
        <v>0</v>
      </c>
      <c r="O165" s="123">
        <v>0</v>
      </c>
      <c r="S165" s="27"/>
    </row>
    <row r="166" spans="1:20" x14ac:dyDescent="0.25">
      <c r="A166" s="32">
        <f t="shared" si="157"/>
        <v>160</v>
      </c>
      <c r="D166" s="2" t="s">
        <v>43</v>
      </c>
      <c r="G166" s="137">
        <v>0</v>
      </c>
      <c r="I166" s="130">
        <f t="shared" si="186"/>
        <v>0</v>
      </c>
      <c r="M166" s="137">
        <f t="shared" si="187"/>
        <v>0</v>
      </c>
      <c r="N166" s="137"/>
      <c r="O166" s="123"/>
      <c r="S166" s="27"/>
    </row>
    <row r="167" spans="1:20" x14ac:dyDescent="0.25">
      <c r="A167" s="32">
        <f t="shared" si="157"/>
        <v>161</v>
      </c>
      <c r="D167" s="14" t="s">
        <v>9</v>
      </c>
      <c r="E167" s="127"/>
      <c r="F167" s="127"/>
      <c r="G167" s="145">
        <f>SUM(G163:G166)</f>
        <v>667426</v>
      </c>
      <c r="H167" s="127"/>
      <c r="I167" s="145">
        <f>SUM(I163:I166)</f>
        <v>664543.19810840383</v>
      </c>
      <c r="J167" s="127"/>
      <c r="K167" s="127"/>
      <c r="L167" s="127"/>
      <c r="M167" s="145">
        <f>SUM(M163:M166)</f>
        <v>664543.19810840383</v>
      </c>
      <c r="N167" s="145">
        <f t="shared" si="183"/>
        <v>0</v>
      </c>
      <c r="O167" s="146">
        <f t="shared" ref="O167" si="188">N167-J167</f>
        <v>0</v>
      </c>
      <c r="S167" s="27"/>
    </row>
    <row r="168" spans="1:20" s="7" customFormat="1" ht="26.4" customHeight="1" thickBot="1" x14ac:dyDescent="0.3">
      <c r="A168" s="32">
        <f t="shared" si="157"/>
        <v>162</v>
      </c>
      <c r="C168" s="16"/>
      <c r="D168" s="8" t="s">
        <v>20</v>
      </c>
      <c r="E168" s="128"/>
      <c r="F168" s="128"/>
      <c r="G168" s="147">
        <f>G162+G167</f>
        <v>10682686.3853308</v>
      </c>
      <c r="H168" s="128"/>
      <c r="I168" s="148">
        <f>I167+I162</f>
        <v>10402470.743235016</v>
      </c>
      <c r="J168" s="128"/>
      <c r="K168" s="128"/>
      <c r="L168" s="128"/>
      <c r="M168" s="147">
        <f>M167+M162</f>
        <v>10687111.751575433</v>
      </c>
      <c r="N168" s="147">
        <f t="shared" si="183"/>
        <v>284641.00834041648</v>
      </c>
      <c r="O168" s="149">
        <f>N168/I168</f>
        <v>2.7362827098122391E-2</v>
      </c>
      <c r="P168" s="119"/>
      <c r="Q168" s="119"/>
      <c r="R168" s="119"/>
      <c r="S168" s="78"/>
    </row>
    <row r="169" spans="1:20" ht="13.8" thickTop="1" x14ac:dyDescent="0.25">
      <c r="A169" s="32">
        <f t="shared" si="157"/>
        <v>163</v>
      </c>
      <c r="D169" s="2" t="s">
        <v>19</v>
      </c>
      <c r="G169" s="150">
        <f>G168/E160</f>
        <v>2885.3705440320714</v>
      </c>
      <c r="I169" s="150">
        <f>I168/E160</f>
        <v>2809.6849036869185</v>
      </c>
      <c r="M169" s="150">
        <f>M168/E160</f>
        <v>2886.5658259067081</v>
      </c>
      <c r="N169" s="150">
        <f t="shared" si="183"/>
        <v>76.880922219789682</v>
      </c>
      <c r="O169" s="124">
        <f>N169/I169</f>
        <v>2.7362827098122343E-2</v>
      </c>
      <c r="S169" s="27"/>
    </row>
    <row r="170" spans="1:20" x14ac:dyDescent="0.25">
      <c r="A170" s="32">
        <f t="shared" si="157"/>
        <v>164</v>
      </c>
      <c r="S170" s="27"/>
    </row>
    <row r="171" spans="1:20" x14ac:dyDescent="0.25">
      <c r="A171" s="32">
        <f t="shared" si="157"/>
        <v>165</v>
      </c>
      <c r="B171" s="20"/>
      <c r="C171" s="21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20" x14ac:dyDescent="0.25">
      <c r="A172" s="32">
        <f t="shared" si="157"/>
        <v>166</v>
      </c>
    </row>
    <row r="173" spans="1:20" s="7" customFormat="1" ht="19.8" customHeight="1" x14ac:dyDescent="0.3">
      <c r="A173" s="32">
        <f t="shared" si="157"/>
        <v>167</v>
      </c>
      <c r="B173" s="7" t="s">
        <v>32</v>
      </c>
      <c r="C173" s="33"/>
      <c r="D173" s="18" t="s">
        <v>7</v>
      </c>
      <c r="E173" s="131"/>
      <c r="F173" s="131"/>
      <c r="G173" s="158">
        <f>G10+G21+G35+G73+G86+G162+G48+G138+G61+G150+G99+G112</f>
        <v>71784756.058874801</v>
      </c>
      <c r="H173" s="158"/>
      <c r="I173" s="158">
        <f>I10+I21+I35+I73+I86+I162+I48+I138+I61+I150+I99+I112</f>
        <v>70199947.402053609</v>
      </c>
      <c r="J173" s="131"/>
      <c r="K173" s="131"/>
      <c r="L173" s="131"/>
      <c r="M173" s="158">
        <f>M10+M21+M35+M73+M86+M162+M48+M138+M61+M150+M99+M112</f>
        <v>72609760.94848901</v>
      </c>
      <c r="N173" s="158">
        <f>N10+N21+N35+N73+N86+N162+N48+N138+N61+N150+N99+N112</f>
        <v>2409813.546435412</v>
      </c>
      <c r="O173" s="141">
        <f t="shared" ref="O173" si="189">N173/I173</f>
        <v>3.4327854017237001E-2</v>
      </c>
      <c r="P173" s="159"/>
      <c r="Q173" s="159"/>
      <c r="R173" s="159"/>
    </row>
    <row r="174" spans="1:20" x14ac:dyDescent="0.25">
      <c r="A174" s="32">
        <f t="shared" si="157"/>
        <v>168</v>
      </c>
      <c r="C174" s="28"/>
      <c r="D174" s="2" t="s">
        <v>30</v>
      </c>
      <c r="G174" s="130">
        <f>G11+G22+G36+G74+G87+G163+G49+G139+G62+G151+G100+G113</f>
        <v>-4207338.2745339591</v>
      </c>
      <c r="H174" s="130"/>
      <c r="I174" s="130">
        <f>I11+I22+I36+I74+I87+I163+I49+I139+I62+I151+I100+I113</f>
        <v>-5434961.0634360947</v>
      </c>
      <c r="M174" s="130">
        <f>M11+M22+M36+M74+M87+M163+M49+M139+M62+M151+M100+M113</f>
        <v>-5434961.0634360947</v>
      </c>
      <c r="N174" s="130">
        <f>N11+N22+N36+N74+N87+N163+N49+N139+N62+N151+N100+N113</f>
        <v>0</v>
      </c>
    </row>
    <row r="175" spans="1:20" x14ac:dyDescent="0.25">
      <c r="A175" s="32">
        <f t="shared" si="157"/>
        <v>169</v>
      </c>
      <c r="C175" s="28"/>
      <c r="D175" s="2" t="s">
        <v>31</v>
      </c>
      <c r="G175" s="130">
        <f t="shared" ref="G175:I177" si="190">G12+G23+G37+G75+G88+G164+G50+G140+G63+G152+G101+G114</f>
        <v>8854389.1592729576</v>
      </c>
      <c r="H175" s="130"/>
      <c r="I175" s="130">
        <f t="shared" si="190"/>
        <v>8854389.1592729576</v>
      </c>
      <c r="M175" s="130">
        <f t="shared" ref="M175:N175" si="191">M12+M23+M37+M75+M88+M164+M50+M140+M63+M152+M101+M114</f>
        <v>8854389.1592729576</v>
      </c>
      <c r="N175" s="130">
        <f t="shared" si="191"/>
        <v>0</v>
      </c>
    </row>
    <row r="176" spans="1:20" x14ac:dyDescent="0.25">
      <c r="A176" s="32">
        <f t="shared" si="157"/>
        <v>170</v>
      </c>
      <c r="C176" s="28"/>
      <c r="D176" s="2" t="s">
        <v>33</v>
      </c>
      <c r="G176" s="130">
        <f t="shared" si="190"/>
        <v>28285</v>
      </c>
      <c r="H176" s="130"/>
      <c r="I176" s="130">
        <f t="shared" si="190"/>
        <v>28285</v>
      </c>
      <c r="M176" s="130">
        <f t="shared" ref="M176:N176" si="192">M13+M24+M38+M76+M89+M165+M51+M141+M64+M153+M102+M115</f>
        <v>28285</v>
      </c>
      <c r="N176" s="130">
        <f t="shared" si="192"/>
        <v>0</v>
      </c>
    </row>
    <row r="177" spans="1:23" x14ac:dyDescent="0.25">
      <c r="A177" s="32">
        <f t="shared" si="157"/>
        <v>171</v>
      </c>
      <c r="C177" s="28"/>
      <c r="D177" s="2" t="s">
        <v>43</v>
      </c>
      <c r="G177" s="130">
        <f t="shared" si="190"/>
        <v>-672.88000000000011</v>
      </c>
      <c r="I177" s="130">
        <f t="shared" si="190"/>
        <v>-672.88000000000011</v>
      </c>
      <c r="M177" s="130">
        <f t="shared" ref="M177:N177" si="193">M14+M25+M39+M77+M90+M166+M52+M142+M65+M154+M103+M116</f>
        <v>-672.88000000000011</v>
      </c>
      <c r="N177" s="130">
        <f t="shared" si="193"/>
        <v>0</v>
      </c>
      <c r="O177" s="123"/>
    </row>
    <row r="178" spans="1:23" x14ac:dyDescent="0.25">
      <c r="A178" s="32">
        <f t="shared" si="157"/>
        <v>172</v>
      </c>
      <c r="C178" s="28"/>
      <c r="D178" s="14" t="s">
        <v>9</v>
      </c>
      <c r="E178" s="127"/>
      <c r="F178" s="127"/>
      <c r="G178" s="160">
        <f>SUM(G174:G177)</f>
        <v>4674663.0047389986</v>
      </c>
      <c r="H178" s="160"/>
      <c r="I178" s="160">
        <f>SUM(I174:I177)</f>
        <v>3447040.215836863</v>
      </c>
      <c r="J178" s="127"/>
      <c r="K178" s="127"/>
      <c r="L178" s="127"/>
      <c r="M178" s="160">
        <f>SUM(M174:M177)</f>
        <v>3447040.215836863</v>
      </c>
      <c r="N178" s="160">
        <f>SUM(N174:N177)</f>
        <v>0</v>
      </c>
      <c r="O178" s="127"/>
    </row>
    <row r="179" spans="1:23" s="7" customFormat="1" ht="21" customHeight="1" thickBot="1" x14ac:dyDescent="0.35">
      <c r="A179" s="32">
        <f t="shared" si="157"/>
        <v>173</v>
      </c>
      <c r="C179" s="33"/>
      <c r="D179" s="8" t="s">
        <v>20</v>
      </c>
      <c r="E179" s="128"/>
      <c r="F179" s="128"/>
      <c r="G179" s="148">
        <f>G178+G173</f>
        <v>76459419.063613802</v>
      </c>
      <c r="H179" s="148"/>
      <c r="I179" s="148">
        <f>I178+I173</f>
        <v>73646987.617890477</v>
      </c>
      <c r="J179" s="128"/>
      <c r="K179" s="128"/>
      <c r="L179" s="128"/>
      <c r="M179" s="148">
        <f>M178+M173</f>
        <v>76056801.164325878</v>
      </c>
      <c r="N179" s="148">
        <f>N178+N173</f>
        <v>2409813.546435412</v>
      </c>
      <c r="O179" s="149">
        <f t="shared" ref="O179" si="194">N179/I179</f>
        <v>3.2721142091221331E-2</v>
      </c>
      <c r="P179" s="159"/>
      <c r="Q179" s="159"/>
      <c r="R179" s="159"/>
    </row>
    <row r="180" spans="1:23" ht="13.8" thickTop="1" x14ac:dyDescent="0.25">
      <c r="A180" s="32">
        <f t="shared" si="157"/>
        <v>174</v>
      </c>
      <c r="C180" s="28"/>
    </row>
    <row r="181" spans="1:23" x14ac:dyDescent="0.25">
      <c r="A181" s="32">
        <f t="shared" si="157"/>
        <v>175</v>
      </c>
      <c r="D181" s="2" t="s">
        <v>41</v>
      </c>
      <c r="N181" s="130">
        <f>N179-Summary!L4</f>
        <v>13680.546435412019</v>
      </c>
    </row>
    <row r="182" spans="1:23" x14ac:dyDescent="0.25">
      <c r="A182" s="32">
        <f t="shared" si="157"/>
        <v>176</v>
      </c>
      <c r="N182" s="130"/>
    </row>
    <row r="183" spans="1:23" x14ac:dyDescent="0.25">
      <c r="A183" s="32">
        <f t="shared" si="157"/>
        <v>177</v>
      </c>
      <c r="B183" s="1" t="s">
        <v>129</v>
      </c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1:23" ht="13.8" thickBot="1" x14ac:dyDescent="0.3">
      <c r="A184" s="32">
        <f t="shared" si="157"/>
        <v>178</v>
      </c>
      <c r="D184" s="15"/>
      <c r="E184" s="152"/>
      <c r="F184" s="152"/>
      <c r="G184" s="152"/>
    </row>
    <row r="185" spans="1:23" x14ac:dyDescent="0.25">
      <c r="A185" s="32">
        <f t="shared" si="157"/>
        <v>179</v>
      </c>
      <c r="B185" s="24" t="s">
        <v>102</v>
      </c>
      <c r="C185" s="25" t="s">
        <v>103</v>
      </c>
      <c r="D185" s="24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</row>
    <row r="186" spans="1:23" x14ac:dyDescent="0.25">
      <c r="A186" s="32">
        <f t="shared" si="157"/>
        <v>180</v>
      </c>
      <c r="D186" s="2" t="s">
        <v>18</v>
      </c>
      <c r="E186" s="136"/>
      <c r="F186" s="123"/>
      <c r="G186" s="137"/>
      <c r="H186" s="123">
        <v>1221.76</v>
      </c>
      <c r="I186" s="137"/>
      <c r="J186" s="137"/>
      <c r="K186" s="137"/>
      <c r="L186" s="123">
        <f>L96</f>
        <v>1270.68</v>
      </c>
      <c r="M186" s="137"/>
      <c r="N186" s="137"/>
      <c r="O186" s="137"/>
      <c r="P186" s="137"/>
      <c r="Q186" s="137"/>
      <c r="R186" s="137"/>
      <c r="T186" s="6">
        <f t="shared" ref="T186:T188" si="195">L186/H186-1</f>
        <v>4.0040597171293824E-2</v>
      </c>
      <c r="W186" s="87" t="s">
        <v>120</v>
      </c>
    </row>
    <row r="187" spans="1:23" x14ac:dyDescent="0.25">
      <c r="A187" s="32">
        <f t="shared" si="157"/>
        <v>181</v>
      </c>
      <c r="D187" s="2" t="s">
        <v>92</v>
      </c>
      <c r="E187" s="136"/>
      <c r="F187" s="139"/>
      <c r="G187" s="137"/>
      <c r="H187" s="139">
        <v>4.514E-2</v>
      </c>
      <c r="I187" s="137"/>
      <c r="J187" s="137"/>
      <c r="K187" s="137"/>
      <c r="L187" s="125">
        <f>ROUND(H187*S$189,5)</f>
        <v>4.6949999999999999E-2</v>
      </c>
      <c r="M187" s="137"/>
      <c r="N187" s="137"/>
      <c r="O187" s="137"/>
      <c r="P187" s="137"/>
      <c r="Q187" s="137"/>
      <c r="R187" s="137"/>
      <c r="T187" s="6">
        <f t="shared" si="195"/>
        <v>4.0097474523703935E-2</v>
      </c>
      <c r="W187" s="87" t="s">
        <v>121</v>
      </c>
    </row>
    <row r="188" spans="1:23" x14ac:dyDescent="0.25">
      <c r="A188" s="32">
        <f t="shared" si="157"/>
        <v>182</v>
      </c>
      <c r="D188" s="2" t="s">
        <v>98</v>
      </c>
      <c r="E188" s="136"/>
      <c r="F188" s="123"/>
      <c r="G188" s="137"/>
      <c r="H188" s="123">
        <v>8.94</v>
      </c>
      <c r="I188" s="137"/>
      <c r="J188" s="137"/>
      <c r="K188" s="137"/>
      <c r="L188" s="123">
        <f>L111</f>
        <v>9.3000000000000007</v>
      </c>
      <c r="M188" s="137"/>
      <c r="N188" s="137"/>
      <c r="O188" s="137"/>
      <c r="P188" s="137"/>
      <c r="Q188" s="137"/>
      <c r="R188" s="137"/>
      <c r="T188" s="6">
        <f t="shared" si="195"/>
        <v>4.026845637583909E-2</v>
      </c>
      <c r="W188" s="87" t="s">
        <v>119</v>
      </c>
    </row>
    <row r="189" spans="1:23" s="7" customFormat="1" ht="20.399999999999999" customHeight="1" x14ac:dyDescent="0.3">
      <c r="A189" s="32">
        <f t="shared" si="157"/>
        <v>183</v>
      </c>
      <c r="C189" s="16"/>
      <c r="D189" s="18" t="s">
        <v>7</v>
      </c>
      <c r="E189" s="131"/>
      <c r="F189" s="131"/>
      <c r="G189" s="19"/>
      <c r="H189" s="131"/>
      <c r="I189" s="19"/>
      <c r="J189" s="19"/>
      <c r="K189" s="19"/>
      <c r="L189" s="131"/>
      <c r="M189" s="19"/>
      <c r="N189" s="19"/>
      <c r="O189" s="19"/>
      <c r="P189" s="19"/>
      <c r="Q189" s="19"/>
      <c r="R189" s="19"/>
      <c r="S189" s="88">
        <f>S112</f>
        <v>1.0400388316205722</v>
      </c>
    </row>
    <row r="190" spans="1:23" ht="13.8" thickBot="1" x14ac:dyDescent="0.3">
      <c r="A190" s="32">
        <f t="shared" si="157"/>
        <v>184</v>
      </c>
    </row>
    <row r="191" spans="1:23" x14ac:dyDescent="0.25">
      <c r="A191" s="32">
        <f t="shared" si="157"/>
        <v>185</v>
      </c>
      <c r="B191" s="24" t="s">
        <v>111</v>
      </c>
      <c r="C191" s="25" t="s">
        <v>104</v>
      </c>
      <c r="D191" s="24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</row>
    <row r="192" spans="1:23" x14ac:dyDescent="0.25">
      <c r="A192" s="32">
        <f t="shared" si="157"/>
        <v>186</v>
      </c>
      <c r="D192" s="2" t="s">
        <v>18</v>
      </c>
      <c r="E192" s="136"/>
      <c r="F192" s="123"/>
      <c r="G192" s="137"/>
      <c r="H192" s="123">
        <v>1221.76</v>
      </c>
      <c r="I192" s="137"/>
      <c r="J192" s="137"/>
      <c r="K192" s="137"/>
      <c r="L192" s="123">
        <f>ROUND(H192*S$195,2)</f>
        <v>1270.68</v>
      </c>
      <c r="M192" s="137"/>
      <c r="N192" s="137"/>
      <c r="O192" s="137"/>
      <c r="P192" s="137"/>
      <c r="Q192" s="137"/>
      <c r="R192" s="137"/>
      <c r="T192" s="6">
        <f t="shared" ref="T192:T194" si="196">L192/H192-1</f>
        <v>4.0040597171293824E-2</v>
      </c>
      <c r="W192" s="87" t="s">
        <v>120</v>
      </c>
    </row>
    <row r="193" spans="1:23" x14ac:dyDescent="0.25">
      <c r="A193" s="32">
        <f t="shared" si="157"/>
        <v>187</v>
      </c>
      <c r="D193" s="2" t="s">
        <v>92</v>
      </c>
      <c r="E193" s="136"/>
      <c r="F193" s="139"/>
      <c r="G193" s="137"/>
      <c r="H193" s="139">
        <v>4.3929999999999997E-2</v>
      </c>
      <c r="I193" s="137"/>
      <c r="J193" s="137"/>
      <c r="K193" s="137"/>
      <c r="L193" s="125">
        <f>ROUND(H193*S$195,5)</f>
        <v>4.5690000000000001E-2</v>
      </c>
      <c r="M193" s="137"/>
      <c r="N193" s="137"/>
      <c r="O193" s="137"/>
      <c r="P193" s="137"/>
      <c r="Q193" s="137"/>
      <c r="R193" s="137"/>
      <c r="T193" s="6">
        <f t="shared" si="196"/>
        <v>4.0063737764625573E-2</v>
      </c>
      <c r="W193" s="87" t="s">
        <v>122</v>
      </c>
    </row>
    <row r="194" spans="1:23" x14ac:dyDescent="0.25">
      <c r="A194" s="32">
        <f t="shared" si="157"/>
        <v>188</v>
      </c>
      <c r="D194" s="2" t="s">
        <v>98</v>
      </c>
      <c r="E194" s="136"/>
      <c r="F194" s="123"/>
      <c r="G194" s="137"/>
      <c r="H194" s="123">
        <v>7.31</v>
      </c>
      <c r="I194" s="137"/>
      <c r="J194" s="137"/>
      <c r="K194" s="137"/>
      <c r="L194" s="123">
        <f t="shared" ref="L194" si="197">ROUND(H194*S$195,2)</f>
        <v>7.6</v>
      </c>
      <c r="M194" s="137"/>
      <c r="N194" s="137"/>
      <c r="O194" s="137"/>
      <c r="P194" s="137"/>
      <c r="Q194" s="137"/>
      <c r="R194" s="137"/>
      <c r="T194" s="6">
        <f t="shared" si="196"/>
        <v>3.9671682626539084E-2</v>
      </c>
      <c r="W194" s="87" t="s">
        <v>122</v>
      </c>
    </row>
    <row r="195" spans="1:23" s="7" customFormat="1" ht="20.399999999999999" customHeight="1" x14ac:dyDescent="0.3">
      <c r="A195" s="32">
        <f t="shared" si="157"/>
        <v>189</v>
      </c>
      <c r="C195" s="16"/>
      <c r="D195" s="18" t="s">
        <v>7</v>
      </c>
      <c r="E195" s="131"/>
      <c r="F195" s="131"/>
      <c r="G195" s="19"/>
      <c r="H195" s="131"/>
      <c r="I195" s="19"/>
      <c r="J195" s="19"/>
      <c r="K195" s="19"/>
      <c r="L195" s="131"/>
      <c r="M195" s="19"/>
      <c r="N195" s="19"/>
      <c r="O195" s="19"/>
      <c r="P195" s="19"/>
      <c r="Q195" s="19"/>
      <c r="R195" s="19"/>
      <c r="S195" s="88">
        <f>S99</f>
        <v>1.0400388356881032</v>
      </c>
    </row>
    <row r="196" spans="1:23" ht="13.8" thickBot="1" x14ac:dyDescent="0.3">
      <c r="A196" s="32">
        <f t="shared" si="157"/>
        <v>190</v>
      </c>
    </row>
    <row r="197" spans="1:23" x14ac:dyDescent="0.25">
      <c r="A197" s="32">
        <f t="shared" si="157"/>
        <v>191</v>
      </c>
      <c r="B197" s="24" t="s">
        <v>112</v>
      </c>
      <c r="C197" s="25" t="s">
        <v>105</v>
      </c>
      <c r="D197" s="24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</row>
    <row r="198" spans="1:23" x14ac:dyDescent="0.25">
      <c r="A198" s="32">
        <f t="shared" si="157"/>
        <v>192</v>
      </c>
      <c r="D198" s="2" t="s">
        <v>18</v>
      </c>
      <c r="E198" s="136"/>
      <c r="F198" s="123"/>
      <c r="G198" s="137"/>
      <c r="H198" s="123">
        <v>611.47</v>
      </c>
      <c r="I198" s="137"/>
      <c r="J198" s="137"/>
      <c r="K198" s="137"/>
      <c r="L198" s="123">
        <f>L109</f>
        <v>635.95000000000005</v>
      </c>
      <c r="M198" s="137"/>
      <c r="N198" s="137"/>
      <c r="O198" s="137"/>
      <c r="P198" s="137"/>
      <c r="Q198" s="137"/>
      <c r="R198" s="137"/>
      <c r="T198" s="6">
        <f t="shared" ref="T198:T200" si="198">L198/H198-1</f>
        <v>4.0034670548023676E-2</v>
      </c>
      <c r="W198" s="87" t="s">
        <v>119</v>
      </c>
    </row>
    <row r="199" spans="1:23" x14ac:dyDescent="0.25">
      <c r="A199" s="32">
        <f t="shared" si="157"/>
        <v>193</v>
      </c>
      <c r="D199" s="2" t="s">
        <v>92</v>
      </c>
      <c r="E199" s="136"/>
      <c r="F199" s="139"/>
      <c r="G199" s="137"/>
      <c r="H199" s="139">
        <v>4.9360000000000001E-2</v>
      </c>
      <c r="I199" s="137"/>
      <c r="J199" s="137"/>
      <c r="K199" s="137"/>
      <c r="L199" s="125">
        <f>ROUND(H199*S$99,5)</f>
        <v>5.1339999999999997E-2</v>
      </c>
      <c r="M199" s="137"/>
      <c r="N199" s="137"/>
      <c r="O199" s="137"/>
      <c r="P199" s="137"/>
      <c r="Q199" s="137"/>
      <c r="R199" s="137"/>
      <c r="T199" s="6">
        <f t="shared" si="198"/>
        <v>4.0113452188006438E-2</v>
      </c>
      <c r="W199" s="87" t="s">
        <v>122</v>
      </c>
    </row>
    <row r="200" spans="1:23" x14ac:dyDescent="0.25">
      <c r="A200" s="32">
        <f t="shared" si="157"/>
        <v>194</v>
      </c>
      <c r="D200" s="2" t="s">
        <v>98</v>
      </c>
      <c r="E200" s="136"/>
      <c r="F200" s="123"/>
      <c r="G200" s="137"/>
      <c r="H200" s="123">
        <v>7.17</v>
      </c>
      <c r="I200" s="137"/>
      <c r="J200" s="137"/>
      <c r="K200" s="137"/>
      <c r="L200" s="123">
        <f>L98</f>
        <v>7.46</v>
      </c>
      <c r="M200" s="137"/>
      <c r="N200" s="137"/>
      <c r="O200" s="137"/>
      <c r="P200" s="137"/>
      <c r="Q200" s="137"/>
      <c r="R200" s="137"/>
      <c r="T200" s="6">
        <f t="shared" si="198"/>
        <v>4.0446304044630343E-2</v>
      </c>
      <c r="W200" s="87" t="s">
        <v>120</v>
      </c>
    </row>
    <row r="201" spans="1:23" s="7" customFormat="1" ht="20.399999999999999" customHeight="1" x14ac:dyDescent="0.3">
      <c r="A201" s="32">
        <f t="shared" si="157"/>
        <v>195</v>
      </c>
      <c r="C201" s="16"/>
      <c r="D201" s="18" t="s">
        <v>7</v>
      </c>
      <c r="E201" s="131"/>
      <c r="F201" s="131"/>
      <c r="G201" s="19"/>
      <c r="H201" s="131"/>
      <c r="I201" s="19"/>
      <c r="J201" s="19"/>
      <c r="K201" s="19"/>
      <c r="L201" s="131"/>
      <c r="M201" s="19"/>
      <c r="N201" s="19"/>
      <c r="O201" s="19"/>
      <c r="P201" s="19"/>
      <c r="Q201" s="19"/>
      <c r="R201" s="19"/>
      <c r="S201" s="88">
        <f>S99</f>
        <v>1.0400388356881032</v>
      </c>
    </row>
    <row r="202" spans="1:23" ht="13.8" thickBot="1" x14ac:dyDescent="0.3">
      <c r="A202" s="32">
        <f t="shared" ref="A202:A239" si="199">A201+1</f>
        <v>196</v>
      </c>
    </row>
    <row r="203" spans="1:23" x14ac:dyDescent="0.25">
      <c r="A203" s="32">
        <f t="shared" si="199"/>
        <v>197</v>
      </c>
      <c r="B203" s="24" t="s">
        <v>113</v>
      </c>
      <c r="C203" s="25" t="s">
        <v>106</v>
      </c>
      <c r="D203" s="24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</row>
    <row r="204" spans="1:23" x14ac:dyDescent="0.25">
      <c r="A204" s="32">
        <f t="shared" si="199"/>
        <v>198</v>
      </c>
      <c r="D204" s="2" t="s">
        <v>18</v>
      </c>
      <c r="E204" s="136"/>
      <c r="F204" s="123"/>
      <c r="G204" s="137"/>
      <c r="H204" s="123">
        <v>611.47</v>
      </c>
      <c r="I204" s="137"/>
      <c r="J204" s="137"/>
      <c r="K204" s="137"/>
      <c r="L204" s="123">
        <f>L198</f>
        <v>635.95000000000005</v>
      </c>
      <c r="M204" s="137"/>
      <c r="N204" s="137"/>
      <c r="O204" s="137"/>
      <c r="P204" s="137"/>
      <c r="Q204" s="137"/>
      <c r="R204" s="137"/>
      <c r="T204" s="6">
        <f t="shared" ref="T204:T206" si="200">L204/H204-1</f>
        <v>4.0034670548023676E-2</v>
      </c>
      <c r="W204" s="87" t="s">
        <v>123</v>
      </c>
    </row>
    <row r="205" spans="1:23" x14ac:dyDescent="0.25">
      <c r="A205" s="32">
        <f t="shared" si="199"/>
        <v>199</v>
      </c>
      <c r="D205" s="2" t="s">
        <v>92</v>
      </c>
      <c r="E205" s="136"/>
      <c r="F205" s="139"/>
      <c r="G205" s="137"/>
      <c r="H205" s="139">
        <v>4.9360000000000001E-2</v>
      </c>
      <c r="I205" s="137"/>
      <c r="J205" s="137"/>
      <c r="K205" s="137"/>
      <c r="L205" s="125">
        <f>L199</f>
        <v>5.1339999999999997E-2</v>
      </c>
      <c r="M205" s="137"/>
      <c r="N205" s="137"/>
      <c r="O205" s="137"/>
      <c r="P205" s="137"/>
      <c r="Q205" s="137"/>
      <c r="R205" s="137"/>
      <c r="T205" s="6">
        <f t="shared" si="200"/>
        <v>4.0113452188006438E-2</v>
      </c>
      <c r="W205" s="87" t="s">
        <v>123</v>
      </c>
    </row>
    <row r="206" spans="1:23" x14ac:dyDescent="0.25">
      <c r="A206" s="32">
        <f t="shared" si="199"/>
        <v>200</v>
      </c>
      <c r="D206" s="2" t="s">
        <v>98</v>
      </c>
      <c r="E206" s="136"/>
      <c r="F206" s="123"/>
      <c r="G206" s="137"/>
      <c r="H206" s="123">
        <v>7.17</v>
      </c>
      <c r="I206" s="137"/>
      <c r="J206" s="137"/>
      <c r="K206" s="137"/>
      <c r="L206" s="123">
        <f>L200</f>
        <v>7.46</v>
      </c>
      <c r="M206" s="137"/>
      <c r="N206" s="137"/>
      <c r="O206" s="137"/>
      <c r="P206" s="137"/>
      <c r="Q206" s="137"/>
      <c r="R206" s="137"/>
      <c r="T206" s="6">
        <f t="shared" si="200"/>
        <v>4.0446304044630343E-2</v>
      </c>
      <c r="W206" s="89" t="s">
        <v>123</v>
      </c>
    </row>
    <row r="207" spans="1:23" x14ac:dyDescent="0.25">
      <c r="A207" s="32">
        <f t="shared" si="199"/>
        <v>201</v>
      </c>
      <c r="D207" s="2" t="s">
        <v>118</v>
      </c>
      <c r="E207" s="136"/>
      <c r="F207" s="123"/>
      <c r="G207" s="137"/>
      <c r="H207" s="123">
        <v>9.98</v>
      </c>
      <c r="I207" s="137"/>
      <c r="J207" s="137"/>
      <c r="K207" s="137"/>
      <c r="L207" s="123">
        <f>ROUND(H207*S$208,2)</f>
        <v>10.38</v>
      </c>
      <c r="M207" s="137"/>
      <c r="N207" s="137"/>
      <c r="O207" s="137"/>
      <c r="P207" s="137"/>
      <c r="Q207" s="137"/>
      <c r="R207" s="137"/>
      <c r="T207" s="6">
        <f t="shared" ref="T207" si="201">L207/H207-1</f>
        <v>4.0080160320641323E-2</v>
      </c>
      <c r="W207" s="87" t="s">
        <v>124</v>
      </c>
    </row>
    <row r="208" spans="1:23" s="7" customFormat="1" ht="20.399999999999999" customHeight="1" x14ac:dyDescent="0.3">
      <c r="A208" s="32">
        <f t="shared" si="199"/>
        <v>202</v>
      </c>
      <c r="C208" s="16"/>
      <c r="D208" s="18" t="s">
        <v>7</v>
      </c>
      <c r="E208" s="131"/>
      <c r="F208" s="131"/>
      <c r="G208" s="19"/>
      <c r="H208" s="131"/>
      <c r="I208" s="19"/>
      <c r="J208" s="19"/>
      <c r="K208" s="19"/>
      <c r="L208" s="131"/>
      <c r="M208" s="19"/>
      <c r="N208" s="19"/>
      <c r="O208" s="19"/>
      <c r="P208" s="19"/>
      <c r="Q208" s="19"/>
      <c r="R208" s="19"/>
      <c r="S208" s="90">
        <f>1+T206</f>
        <v>1.0404463040446303</v>
      </c>
    </row>
    <row r="209" spans="1:23" ht="13.8" thickBot="1" x14ac:dyDescent="0.3">
      <c r="A209" s="32">
        <f t="shared" si="199"/>
        <v>203</v>
      </c>
    </row>
    <row r="210" spans="1:23" x14ac:dyDescent="0.25">
      <c r="A210" s="32">
        <f t="shared" si="199"/>
        <v>204</v>
      </c>
      <c r="B210" s="24" t="s">
        <v>114</v>
      </c>
      <c r="C210" s="25" t="s">
        <v>107</v>
      </c>
      <c r="D210" s="24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</row>
    <row r="211" spans="1:23" x14ac:dyDescent="0.25">
      <c r="A211" s="32">
        <f t="shared" si="199"/>
        <v>205</v>
      </c>
      <c r="D211" s="2" t="s">
        <v>18</v>
      </c>
      <c r="E211" s="136"/>
      <c r="F211" s="123"/>
      <c r="G211" s="137"/>
      <c r="H211" s="123">
        <v>1221.76</v>
      </c>
      <c r="I211" s="137"/>
      <c r="J211" s="137"/>
      <c r="K211" s="137"/>
      <c r="L211" s="123">
        <f>L96</f>
        <v>1270.68</v>
      </c>
      <c r="M211" s="137"/>
      <c r="N211" s="137"/>
      <c r="O211" s="137"/>
      <c r="P211" s="137"/>
      <c r="Q211" s="137"/>
      <c r="R211" s="137"/>
      <c r="T211" s="6">
        <f t="shared" ref="T211:T213" si="202">L211/H211-1</f>
        <v>4.0040597171293824E-2</v>
      </c>
      <c r="W211" s="87" t="s">
        <v>125</v>
      </c>
    </row>
    <row r="212" spans="1:23" x14ac:dyDescent="0.25">
      <c r="A212" s="32">
        <f t="shared" si="199"/>
        <v>206</v>
      </c>
      <c r="D212" s="2" t="s">
        <v>92</v>
      </c>
      <c r="E212" s="136"/>
      <c r="F212" s="139"/>
      <c r="G212" s="137"/>
      <c r="H212" s="139">
        <v>4.564E-2</v>
      </c>
      <c r="I212" s="137"/>
      <c r="J212" s="137"/>
      <c r="K212" s="137"/>
      <c r="L212" s="125">
        <f>ROUND(H212*S$214,5)</f>
        <v>4.7469999999999998E-2</v>
      </c>
      <c r="M212" s="137"/>
      <c r="N212" s="137"/>
      <c r="O212" s="137"/>
      <c r="P212" s="137"/>
      <c r="Q212" s="137"/>
      <c r="R212" s="137"/>
      <c r="T212" s="6">
        <f t="shared" si="202"/>
        <v>4.0096406660823813E-2</v>
      </c>
      <c r="W212" s="87" t="s">
        <v>126</v>
      </c>
    </row>
    <row r="213" spans="1:23" x14ac:dyDescent="0.25">
      <c r="A213" s="32">
        <f t="shared" si="199"/>
        <v>207</v>
      </c>
      <c r="D213" s="2" t="s">
        <v>98</v>
      </c>
      <c r="E213" s="136"/>
      <c r="F213" s="123"/>
      <c r="G213" s="137"/>
      <c r="H213" s="123">
        <v>7.17</v>
      </c>
      <c r="I213" s="137"/>
      <c r="J213" s="137"/>
      <c r="K213" s="137"/>
      <c r="L213" s="123">
        <f>L98</f>
        <v>7.46</v>
      </c>
      <c r="M213" s="137"/>
      <c r="N213" s="137"/>
      <c r="O213" s="137"/>
      <c r="P213" s="137"/>
      <c r="Q213" s="137"/>
      <c r="R213" s="137"/>
      <c r="T213" s="6">
        <f t="shared" si="202"/>
        <v>4.0446304044630343E-2</v>
      </c>
      <c r="W213" s="87" t="s">
        <v>125</v>
      </c>
    </row>
    <row r="214" spans="1:23" s="7" customFormat="1" ht="20.399999999999999" customHeight="1" x14ac:dyDescent="0.3">
      <c r="A214" s="32">
        <f t="shared" si="199"/>
        <v>208</v>
      </c>
      <c r="C214" s="16"/>
      <c r="D214" s="18" t="s">
        <v>7</v>
      </c>
      <c r="E214" s="131"/>
      <c r="F214" s="131"/>
      <c r="G214" s="19"/>
      <c r="H214" s="131"/>
      <c r="I214" s="19"/>
      <c r="J214" s="19"/>
      <c r="K214" s="19"/>
      <c r="L214" s="131"/>
      <c r="M214" s="19"/>
      <c r="N214" s="19"/>
      <c r="O214" s="19"/>
      <c r="P214" s="19"/>
      <c r="Q214" s="19"/>
      <c r="R214" s="19"/>
      <c r="S214" s="88">
        <f>S99</f>
        <v>1.0400388356881032</v>
      </c>
    </row>
    <row r="215" spans="1:23" ht="13.8" thickBot="1" x14ac:dyDescent="0.3">
      <c r="A215" s="32">
        <f t="shared" si="199"/>
        <v>209</v>
      </c>
    </row>
    <row r="216" spans="1:23" x14ac:dyDescent="0.25">
      <c r="A216" s="32">
        <f t="shared" si="199"/>
        <v>210</v>
      </c>
      <c r="B216" s="24" t="s">
        <v>115</v>
      </c>
      <c r="C216" s="25" t="s">
        <v>108</v>
      </c>
      <c r="D216" s="24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</row>
    <row r="217" spans="1:23" x14ac:dyDescent="0.25">
      <c r="A217" s="32">
        <f t="shared" si="199"/>
        <v>211</v>
      </c>
      <c r="D217" s="2" t="s">
        <v>18</v>
      </c>
      <c r="E217" s="136"/>
      <c r="F217" s="123"/>
      <c r="G217" s="137"/>
      <c r="H217" s="123">
        <v>1221.76</v>
      </c>
      <c r="I217" s="137"/>
      <c r="J217" s="137"/>
      <c r="K217" s="137"/>
      <c r="L217" s="123">
        <f>L96</f>
        <v>1270.68</v>
      </c>
      <c r="M217" s="137"/>
      <c r="N217" s="137"/>
      <c r="O217" s="137"/>
      <c r="P217" s="137"/>
      <c r="Q217" s="137"/>
      <c r="R217" s="137"/>
      <c r="T217" s="6">
        <f t="shared" ref="T217:T220" si="203">L217/H217-1</f>
        <v>4.0040597171293824E-2</v>
      </c>
      <c r="W217" s="87" t="s">
        <v>125</v>
      </c>
    </row>
    <row r="218" spans="1:23" x14ac:dyDescent="0.25">
      <c r="A218" s="32">
        <f t="shared" si="199"/>
        <v>212</v>
      </c>
      <c r="D218" s="2" t="s">
        <v>92</v>
      </c>
      <c r="E218" s="136"/>
      <c r="F218" s="139"/>
      <c r="G218" s="137"/>
      <c r="H218" s="139">
        <v>4.564E-2</v>
      </c>
      <c r="I218" s="137"/>
      <c r="J218" s="137"/>
      <c r="K218" s="137"/>
      <c r="L218" s="125">
        <f>ROUND(H218*S$221,5)</f>
        <v>4.7469999999999998E-2</v>
      </c>
      <c r="M218" s="137"/>
      <c r="N218" s="137"/>
      <c r="O218" s="137"/>
      <c r="P218" s="137"/>
      <c r="Q218" s="137"/>
      <c r="R218" s="137"/>
      <c r="T218" s="6">
        <f t="shared" si="203"/>
        <v>4.0096406660823813E-2</v>
      </c>
      <c r="W218" s="87" t="s">
        <v>126</v>
      </c>
    </row>
    <row r="219" spans="1:23" x14ac:dyDescent="0.25">
      <c r="A219" s="32">
        <f t="shared" si="199"/>
        <v>213</v>
      </c>
      <c r="D219" s="2" t="s">
        <v>98</v>
      </c>
      <c r="E219" s="136"/>
      <c r="F219" s="123"/>
      <c r="G219" s="137"/>
      <c r="H219" s="123">
        <v>7.17</v>
      </c>
      <c r="I219" s="137"/>
      <c r="J219" s="137"/>
      <c r="K219" s="137"/>
      <c r="L219" s="123">
        <f>L98</f>
        <v>7.46</v>
      </c>
      <c r="M219" s="137"/>
      <c r="N219" s="137"/>
      <c r="O219" s="137"/>
      <c r="P219" s="137"/>
      <c r="Q219" s="137"/>
      <c r="R219" s="137"/>
      <c r="T219" s="6">
        <f t="shared" si="203"/>
        <v>4.0446304044630343E-2</v>
      </c>
      <c r="W219" s="87" t="s">
        <v>125</v>
      </c>
    </row>
    <row r="220" spans="1:23" x14ac:dyDescent="0.25">
      <c r="A220" s="32">
        <f t="shared" si="199"/>
        <v>214</v>
      </c>
      <c r="D220" s="2" t="s">
        <v>118</v>
      </c>
      <c r="E220" s="136"/>
      <c r="F220" s="123"/>
      <c r="G220" s="137"/>
      <c r="H220" s="123">
        <v>9.98</v>
      </c>
      <c r="I220" s="137"/>
      <c r="J220" s="137"/>
      <c r="K220" s="137"/>
      <c r="L220" s="123">
        <f>L207</f>
        <v>10.38</v>
      </c>
      <c r="M220" s="137"/>
      <c r="N220" s="137"/>
      <c r="O220" s="137"/>
      <c r="P220" s="137"/>
      <c r="Q220" s="137"/>
      <c r="R220" s="137"/>
      <c r="T220" s="6">
        <f t="shared" si="203"/>
        <v>4.0080160320641323E-2</v>
      </c>
      <c r="W220" s="87" t="s">
        <v>127</v>
      </c>
    </row>
    <row r="221" spans="1:23" s="7" customFormat="1" ht="20.399999999999999" customHeight="1" x14ac:dyDescent="0.3">
      <c r="A221" s="32">
        <f t="shared" si="199"/>
        <v>215</v>
      </c>
      <c r="C221" s="16"/>
      <c r="D221" s="18" t="s">
        <v>7</v>
      </c>
      <c r="E221" s="131"/>
      <c r="F221" s="131"/>
      <c r="G221" s="19"/>
      <c r="H221" s="131"/>
      <c r="I221" s="19"/>
      <c r="J221" s="19"/>
      <c r="K221" s="19"/>
      <c r="L221" s="131"/>
      <c r="M221" s="19"/>
      <c r="N221" s="19"/>
      <c r="O221" s="19"/>
      <c r="P221" s="19"/>
      <c r="Q221" s="19"/>
      <c r="R221" s="19"/>
      <c r="S221" s="88">
        <f>S99</f>
        <v>1.0400388356881032</v>
      </c>
    </row>
    <row r="222" spans="1:23" ht="13.8" thickBot="1" x14ac:dyDescent="0.3">
      <c r="A222" s="32">
        <f t="shared" si="199"/>
        <v>216</v>
      </c>
    </row>
    <row r="223" spans="1:23" x14ac:dyDescent="0.25">
      <c r="A223" s="32">
        <f t="shared" si="199"/>
        <v>217</v>
      </c>
      <c r="B223" s="24" t="s">
        <v>116</v>
      </c>
      <c r="C223" s="25" t="s">
        <v>109</v>
      </c>
      <c r="D223" s="24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</row>
    <row r="224" spans="1:23" x14ac:dyDescent="0.25">
      <c r="A224" s="32">
        <f t="shared" si="199"/>
        <v>218</v>
      </c>
      <c r="D224" s="2" t="s">
        <v>18</v>
      </c>
      <c r="E224" s="136"/>
      <c r="F224" s="123"/>
      <c r="G224" s="137"/>
      <c r="H224" s="123">
        <v>1221.76</v>
      </c>
      <c r="I224" s="137"/>
      <c r="J224" s="137"/>
      <c r="K224" s="137"/>
      <c r="L224" s="123">
        <f>L96</f>
        <v>1270.68</v>
      </c>
      <c r="M224" s="137"/>
      <c r="N224" s="137"/>
      <c r="O224" s="137"/>
      <c r="P224" s="137"/>
      <c r="Q224" s="137"/>
      <c r="R224" s="137"/>
      <c r="T224" s="6">
        <f t="shared" ref="T224:T226" si="204">L224/H224-1</f>
        <v>4.0040597171293824E-2</v>
      </c>
      <c r="W224" s="87" t="s">
        <v>125</v>
      </c>
    </row>
    <row r="225" spans="1:23" x14ac:dyDescent="0.25">
      <c r="A225" s="32">
        <f t="shared" si="199"/>
        <v>219</v>
      </c>
      <c r="D225" s="2" t="s">
        <v>92</v>
      </c>
      <c r="E225" s="136"/>
      <c r="F225" s="139"/>
      <c r="G225" s="137"/>
      <c r="H225" s="139">
        <v>4.1050000000000003E-2</v>
      </c>
      <c r="I225" s="137"/>
      <c r="J225" s="137"/>
      <c r="K225" s="137"/>
      <c r="L225" s="125">
        <f>L97</f>
        <v>4.2689999999999999E-2</v>
      </c>
      <c r="M225" s="137"/>
      <c r="N225" s="137"/>
      <c r="O225" s="137"/>
      <c r="P225" s="137"/>
      <c r="Q225" s="137"/>
      <c r="R225" s="137"/>
      <c r="T225" s="6">
        <f t="shared" si="204"/>
        <v>3.9951278928136214E-2</v>
      </c>
      <c r="W225" s="87" t="s">
        <v>125</v>
      </c>
    </row>
    <row r="226" spans="1:23" x14ac:dyDescent="0.25">
      <c r="A226" s="32">
        <f t="shared" si="199"/>
        <v>220</v>
      </c>
      <c r="D226" s="2" t="s">
        <v>98</v>
      </c>
      <c r="E226" s="136"/>
      <c r="F226" s="123"/>
      <c r="G226" s="137"/>
      <c r="H226" s="123">
        <v>7.17</v>
      </c>
      <c r="I226" s="137"/>
      <c r="J226" s="137"/>
      <c r="K226" s="137"/>
      <c r="L226" s="123">
        <f>L98</f>
        <v>7.46</v>
      </c>
      <c r="M226" s="137"/>
      <c r="N226" s="137"/>
      <c r="O226" s="137"/>
      <c r="P226" s="137"/>
      <c r="Q226" s="137"/>
      <c r="R226" s="137"/>
      <c r="T226" s="6">
        <f t="shared" si="204"/>
        <v>4.0446304044630343E-2</v>
      </c>
      <c r="W226" s="87" t="s">
        <v>125</v>
      </c>
    </row>
    <row r="227" spans="1:23" s="7" customFormat="1" ht="20.399999999999999" customHeight="1" x14ac:dyDescent="0.3">
      <c r="A227" s="32">
        <f t="shared" si="199"/>
        <v>221</v>
      </c>
      <c r="C227" s="16"/>
      <c r="D227" s="18" t="s">
        <v>7</v>
      </c>
      <c r="E227" s="131"/>
      <c r="F227" s="131"/>
      <c r="G227" s="19"/>
      <c r="H227" s="131"/>
      <c r="I227" s="19"/>
      <c r="J227" s="19"/>
      <c r="K227" s="19"/>
      <c r="L227" s="131"/>
      <c r="M227" s="19"/>
      <c r="N227" s="19"/>
      <c r="O227" s="19"/>
      <c r="P227" s="19"/>
      <c r="Q227" s="19"/>
      <c r="R227" s="19"/>
      <c r="S227" s="88">
        <f>S99</f>
        <v>1.0400388356881032</v>
      </c>
    </row>
    <row r="228" spans="1:23" ht="13.8" thickBot="1" x14ac:dyDescent="0.3">
      <c r="A228" s="32">
        <f t="shared" si="199"/>
        <v>222</v>
      </c>
    </row>
    <row r="229" spans="1:23" x14ac:dyDescent="0.25">
      <c r="A229" s="32">
        <f t="shared" si="199"/>
        <v>223</v>
      </c>
      <c r="B229" s="24" t="s">
        <v>117</v>
      </c>
      <c r="C229" s="25" t="s">
        <v>110</v>
      </c>
      <c r="D229" s="24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</row>
    <row r="230" spans="1:23" x14ac:dyDescent="0.25">
      <c r="A230" s="32">
        <f t="shared" si="199"/>
        <v>224</v>
      </c>
      <c r="D230" s="2" t="s">
        <v>18</v>
      </c>
      <c r="E230" s="136"/>
      <c r="F230" s="123"/>
      <c r="G230" s="137"/>
      <c r="H230" s="123">
        <v>1221.76</v>
      </c>
      <c r="I230" s="137"/>
      <c r="J230" s="137"/>
      <c r="K230" s="137"/>
      <c r="L230" s="123">
        <f>L217</f>
        <v>1270.68</v>
      </c>
      <c r="M230" s="137"/>
      <c r="N230" s="137"/>
      <c r="O230" s="137"/>
      <c r="P230" s="137"/>
      <c r="Q230" s="137"/>
      <c r="R230" s="137"/>
      <c r="T230" s="6">
        <f t="shared" ref="T230:T233" si="205">L230/H230-1</f>
        <v>4.0040597171293824E-2</v>
      </c>
      <c r="W230" s="87" t="s">
        <v>128</v>
      </c>
    </row>
    <row r="231" spans="1:23" x14ac:dyDescent="0.25">
      <c r="A231" s="32">
        <f t="shared" si="199"/>
        <v>225</v>
      </c>
      <c r="D231" s="2" t="s">
        <v>92</v>
      </c>
      <c r="E231" s="136"/>
      <c r="F231" s="139"/>
      <c r="G231" s="137"/>
      <c r="H231" s="139">
        <v>4.1050000000000003E-2</v>
      </c>
      <c r="I231" s="137"/>
      <c r="J231" s="137"/>
      <c r="K231" s="137"/>
      <c r="L231" s="125">
        <f>L225</f>
        <v>4.2689999999999999E-2</v>
      </c>
      <c r="M231" s="137"/>
      <c r="N231" s="137"/>
      <c r="O231" s="137"/>
      <c r="P231" s="137"/>
      <c r="Q231" s="137"/>
      <c r="R231" s="137"/>
      <c r="T231" s="6">
        <f t="shared" si="205"/>
        <v>3.9951278928136214E-2</v>
      </c>
      <c r="W231" s="87" t="s">
        <v>128</v>
      </c>
    </row>
    <row r="232" spans="1:23" x14ac:dyDescent="0.25">
      <c r="A232" s="32">
        <f t="shared" si="199"/>
        <v>226</v>
      </c>
      <c r="D232" s="2" t="s">
        <v>98</v>
      </c>
      <c r="E232" s="136"/>
      <c r="F232" s="123"/>
      <c r="G232" s="137"/>
      <c r="H232" s="123">
        <v>7.17</v>
      </c>
      <c r="I232" s="137"/>
      <c r="J232" s="137"/>
      <c r="K232" s="137"/>
      <c r="L232" s="123">
        <f>L219</f>
        <v>7.46</v>
      </c>
      <c r="M232" s="137"/>
      <c r="N232" s="137"/>
      <c r="O232" s="137"/>
      <c r="P232" s="137"/>
      <c r="Q232" s="137"/>
      <c r="R232" s="137"/>
      <c r="T232" s="6">
        <f t="shared" si="205"/>
        <v>4.0446304044630343E-2</v>
      </c>
      <c r="W232" s="87" t="s">
        <v>128</v>
      </c>
    </row>
    <row r="233" spans="1:23" x14ac:dyDescent="0.25">
      <c r="A233" s="32">
        <f t="shared" si="199"/>
        <v>227</v>
      </c>
      <c r="D233" s="2" t="s">
        <v>118</v>
      </c>
      <c r="E233" s="136"/>
      <c r="F233" s="123"/>
      <c r="G233" s="137"/>
      <c r="H233" s="123">
        <v>9.98</v>
      </c>
      <c r="I233" s="137"/>
      <c r="J233" s="137"/>
      <c r="K233" s="137"/>
      <c r="L233" s="123">
        <f>L220</f>
        <v>10.38</v>
      </c>
      <c r="M233" s="137"/>
      <c r="N233" s="137"/>
      <c r="O233" s="137"/>
      <c r="P233" s="137"/>
      <c r="Q233" s="137"/>
      <c r="R233" s="137"/>
      <c r="T233" s="6">
        <f t="shared" si="205"/>
        <v>4.0080160320641323E-2</v>
      </c>
      <c r="W233" s="87" t="s">
        <v>128</v>
      </c>
    </row>
    <row r="234" spans="1:23" s="7" customFormat="1" ht="20.399999999999999" customHeight="1" thickBot="1" x14ac:dyDescent="0.35">
      <c r="A234" s="32">
        <f t="shared" si="199"/>
        <v>228</v>
      </c>
      <c r="C234" s="16"/>
      <c r="D234" s="18" t="s">
        <v>7</v>
      </c>
      <c r="E234" s="131"/>
      <c r="F234" s="131"/>
      <c r="G234" s="19"/>
      <c r="H234" s="131"/>
      <c r="I234" s="19"/>
      <c r="J234" s="19"/>
      <c r="K234" s="19"/>
      <c r="L234" s="131"/>
      <c r="M234" s="19"/>
      <c r="N234" s="19"/>
      <c r="O234" s="19"/>
      <c r="P234" s="19"/>
      <c r="Q234" s="19"/>
      <c r="R234" s="19"/>
      <c r="S234" s="88">
        <f>S221</f>
        <v>1.0400388356881032</v>
      </c>
    </row>
    <row r="235" spans="1:23" x14ac:dyDescent="0.25">
      <c r="A235" s="32">
        <f t="shared" si="199"/>
        <v>229</v>
      </c>
      <c r="B235" s="24" t="s">
        <v>141</v>
      </c>
      <c r="C235" s="25" t="s">
        <v>142</v>
      </c>
      <c r="D235" s="24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</row>
    <row r="236" spans="1:23" x14ac:dyDescent="0.25">
      <c r="A236" s="32">
        <f t="shared" si="199"/>
        <v>230</v>
      </c>
      <c r="D236" s="2" t="s">
        <v>18</v>
      </c>
      <c r="E236" s="136"/>
      <c r="F236" s="123"/>
      <c r="G236" s="137"/>
      <c r="H236" s="123">
        <v>18.36</v>
      </c>
      <c r="I236" s="137"/>
      <c r="J236" s="137"/>
      <c r="K236" s="137"/>
      <c r="L236" s="123">
        <f>H236*S239</f>
        <v>18.990259399756468</v>
      </c>
      <c r="M236" s="137"/>
      <c r="N236" s="137"/>
      <c r="O236" s="137"/>
      <c r="P236" s="137"/>
      <c r="Q236" s="137"/>
      <c r="R236" s="137"/>
      <c r="T236" s="6">
        <f t="shared" ref="T236:T238" si="206">L236/H236-1</f>
        <v>3.4327854017236925E-2</v>
      </c>
      <c r="W236" s="87"/>
    </row>
    <row r="237" spans="1:23" x14ac:dyDescent="0.25">
      <c r="A237" s="32">
        <f t="shared" si="199"/>
        <v>231</v>
      </c>
      <c r="D237" s="2" t="s">
        <v>143</v>
      </c>
      <c r="E237" s="136"/>
      <c r="F237" s="139"/>
      <c r="G237" s="137"/>
      <c r="H237" s="139">
        <v>0.12114</v>
      </c>
      <c r="I237" s="137"/>
      <c r="J237" s="137"/>
      <c r="K237" s="137"/>
      <c r="L237" s="125">
        <f>H237*S239</f>
        <v>0.12529847623564808</v>
      </c>
      <c r="M237" s="137"/>
      <c r="N237" s="137"/>
      <c r="O237" s="137"/>
      <c r="P237" s="137"/>
      <c r="Q237" s="137"/>
      <c r="R237" s="137"/>
      <c r="T237" s="6">
        <f t="shared" si="206"/>
        <v>3.4327854017236925E-2</v>
      </c>
      <c r="W237" s="87"/>
    </row>
    <row r="238" spans="1:23" x14ac:dyDescent="0.25">
      <c r="A238" s="32">
        <f t="shared" si="199"/>
        <v>232</v>
      </c>
      <c r="D238" s="2" t="s">
        <v>144</v>
      </c>
      <c r="E238" s="136"/>
      <c r="F238" s="123"/>
      <c r="G238" s="137"/>
      <c r="H238" s="125">
        <v>5.5939999999999997E-2</v>
      </c>
      <c r="I238" s="137"/>
      <c r="J238" s="137"/>
      <c r="K238" s="137"/>
      <c r="L238" s="123">
        <f>H238*S239</f>
        <v>5.7860300153724231E-2</v>
      </c>
      <c r="M238" s="137"/>
      <c r="N238" s="137"/>
      <c r="O238" s="137"/>
      <c r="P238" s="137"/>
      <c r="Q238" s="137"/>
      <c r="R238" s="137"/>
      <c r="T238" s="6">
        <f t="shared" si="206"/>
        <v>3.4327854017236925E-2</v>
      </c>
      <c r="W238" s="87"/>
    </row>
    <row r="239" spans="1:23" s="7" customFormat="1" ht="20.399999999999999" customHeight="1" x14ac:dyDescent="0.3">
      <c r="A239" s="32">
        <f t="shared" si="199"/>
        <v>233</v>
      </c>
      <c r="C239" s="16"/>
      <c r="D239" s="18" t="s">
        <v>7</v>
      </c>
      <c r="E239" s="131"/>
      <c r="F239" s="131"/>
      <c r="G239" s="19"/>
      <c r="H239" s="131"/>
      <c r="I239" s="19"/>
      <c r="J239" s="19"/>
      <c r="K239" s="19"/>
      <c r="L239" s="131"/>
      <c r="M239" s="19"/>
      <c r="N239" s="19"/>
      <c r="O239" s="19"/>
      <c r="P239" s="19"/>
      <c r="Q239" s="19"/>
      <c r="R239" s="19"/>
      <c r="S239" s="114">
        <f>1+O173</f>
        <v>1.0343278540172369</v>
      </c>
    </row>
    <row r="241" spans="7:18" x14ac:dyDescent="0.25">
      <c r="G241" s="138"/>
      <c r="I241" s="138"/>
      <c r="J241" s="138"/>
      <c r="K241" s="138"/>
      <c r="M241" s="138"/>
      <c r="N241" s="138"/>
      <c r="O241" s="138"/>
      <c r="P241" s="138"/>
      <c r="Q241" s="138"/>
      <c r="R241" s="138"/>
    </row>
    <row r="244" spans="7:18" x14ac:dyDescent="0.25">
      <c r="G244" s="161"/>
      <c r="I244" s="161"/>
      <c r="J244" s="161"/>
      <c r="K244" s="161"/>
      <c r="M244" s="161"/>
      <c r="N244" s="161"/>
      <c r="O244" s="161"/>
      <c r="P244" s="161"/>
      <c r="Q244" s="161"/>
      <c r="R244" s="161"/>
    </row>
    <row r="245" spans="7:18" x14ac:dyDescent="0.25">
      <c r="G245" s="162"/>
      <c r="I245" s="162"/>
      <c r="J245" s="162"/>
      <c r="K245" s="162"/>
      <c r="M245" s="162"/>
      <c r="N245" s="162"/>
      <c r="O245" s="162"/>
      <c r="P245" s="162"/>
      <c r="Q245" s="162"/>
      <c r="R245" s="162"/>
    </row>
    <row r="246" spans="7:18" x14ac:dyDescent="0.25">
      <c r="G246" s="124"/>
    </row>
  </sheetData>
  <phoneticPr fontId="10" type="noConversion"/>
  <printOptions horizontalCentered="1"/>
  <pageMargins left="0.7" right="0.7" top="0.75" bottom="0.75" header="0.3" footer="0.3"/>
  <pageSetup scale="54" fitToHeight="6" orientation="landscape" r:id="rId1"/>
  <headerFooter>
    <oddHeader>&amp;R&amp;"Arial,Bold"&amp;10Exhibit 3
 Page &amp;P of &amp;N</oddHeader>
  </headerFooter>
  <rowBreaks count="4" manualBreakCount="4">
    <brk id="56" max="17" man="1"/>
    <brk id="107" max="17" man="1"/>
    <brk id="158" max="17" man="1"/>
    <brk id="209" max="17" man="1"/>
  </rowBreaks>
  <ignoredErrors>
    <ignoredError sqref="M10 L193 L212:L231 L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9F6A-0C00-45DF-9E95-0B4131F0E938}">
  <dimension ref="A1:J148"/>
  <sheetViews>
    <sheetView topLeftCell="A73" zoomScaleNormal="100" workbookViewId="0">
      <selection activeCell="J93" sqref="J93"/>
    </sheetView>
  </sheetViews>
  <sheetFormatPr defaultRowHeight="13.2" x14ac:dyDescent="0.25"/>
  <cols>
    <col min="1" max="1" width="2.33203125" style="2" customWidth="1"/>
    <col min="2" max="2" width="2.44140625" style="2" customWidth="1"/>
    <col min="3" max="3" width="9.88671875" style="2" customWidth="1"/>
    <col min="4" max="4" width="34.109375" style="15" customWidth="1"/>
    <col min="5" max="5" width="31.44140625" style="2" bestFit="1" customWidth="1"/>
    <col min="6" max="6" width="14" style="2" customWidth="1"/>
    <col min="7" max="7" width="13.6640625" style="2" customWidth="1"/>
    <col min="8" max="16384" width="8.88671875" style="2"/>
  </cols>
  <sheetData>
    <row r="1" spans="1:10" x14ac:dyDescent="0.25">
      <c r="A1" s="1" t="str">
        <f>Summary!A1</f>
        <v>Fleming-Mason RECC</v>
      </c>
    </row>
    <row r="2" spans="1:10" x14ac:dyDescent="0.25">
      <c r="A2" s="1" t="s">
        <v>149</v>
      </c>
    </row>
    <row r="4" spans="1:10" x14ac:dyDescent="0.25">
      <c r="C4" s="84" t="s">
        <v>90</v>
      </c>
      <c r="D4" s="83"/>
      <c r="E4" s="83" t="s">
        <v>2</v>
      </c>
      <c r="F4" s="84" t="s">
        <v>89</v>
      </c>
      <c r="G4" s="84" t="s">
        <v>91</v>
      </c>
    </row>
    <row r="5" spans="1:10" x14ac:dyDescent="0.25">
      <c r="C5" s="110" t="str">
        <f>'Billing Detail'!C7</f>
        <v>RSP</v>
      </c>
      <c r="D5" s="109" t="str">
        <f>'Billing Detail'!B7</f>
        <v>Residential &amp; Small Power (1)</v>
      </c>
    </row>
    <row r="6" spans="1:10" x14ac:dyDescent="0.25">
      <c r="C6" s="110"/>
      <c r="D6" s="109"/>
      <c r="E6" s="2" t="str">
        <f>'Billing Detail'!D8</f>
        <v>Customer Charge</v>
      </c>
      <c r="F6" s="85">
        <f>'Billing Detail'!H8</f>
        <v>15</v>
      </c>
      <c r="G6" s="85">
        <f>'Billing Detail'!L8</f>
        <v>15.6</v>
      </c>
      <c r="J6" s="6">
        <f>G6/F6-1</f>
        <v>4.0000000000000036E-2</v>
      </c>
    </row>
    <row r="7" spans="1:10" x14ac:dyDescent="0.25">
      <c r="C7" s="110"/>
      <c r="D7" s="109"/>
      <c r="E7" s="2" t="str">
        <f>'Billing Detail'!D9</f>
        <v>Energy Charge per kWh</v>
      </c>
      <c r="F7" s="86">
        <f>'Billing Detail'!H9</f>
        <v>8.0250000000000002E-2</v>
      </c>
      <c r="G7" s="86">
        <f>'Billing Detail'!L9</f>
        <v>8.3460000000000006E-2</v>
      </c>
      <c r="J7" s="6">
        <f t="shared" ref="J7:J69" si="0">G7/F7-1</f>
        <v>4.0000000000000036E-2</v>
      </c>
    </row>
    <row r="8" spans="1:10" x14ac:dyDescent="0.25">
      <c r="C8" s="110"/>
      <c r="D8" s="109" t="s">
        <v>145</v>
      </c>
      <c r="J8" s="6"/>
    </row>
    <row r="9" spans="1:10" x14ac:dyDescent="0.25">
      <c r="C9" s="110"/>
      <c r="D9" s="109"/>
      <c r="E9" s="2" t="str">
        <f>E6</f>
        <v>Customer Charge</v>
      </c>
      <c r="F9" s="85">
        <f t="shared" ref="F9:G9" si="1">F6</f>
        <v>15</v>
      </c>
      <c r="G9" s="85">
        <f t="shared" si="1"/>
        <v>15.6</v>
      </c>
      <c r="J9" s="6">
        <f t="shared" si="0"/>
        <v>4.0000000000000036E-2</v>
      </c>
    </row>
    <row r="10" spans="1:10" x14ac:dyDescent="0.25">
      <c r="C10" s="110"/>
      <c r="D10" s="109"/>
      <c r="E10" s="2" t="str">
        <f>E7</f>
        <v>Energy Charge per kWh</v>
      </c>
      <c r="F10" s="86">
        <f t="shared" ref="F10:G10" si="2">F7</f>
        <v>8.0250000000000002E-2</v>
      </c>
      <c r="G10" s="86">
        <f t="shared" si="2"/>
        <v>8.3460000000000006E-2</v>
      </c>
      <c r="J10" s="6">
        <f t="shared" si="0"/>
        <v>4.0000000000000036E-2</v>
      </c>
    </row>
    <row r="11" spans="1:10" x14ac:dyDescent="0.25">
      <c r="C11" s="110"/>
      <c r="D11" s="109"/>
      <c r="E11" s="2" t="s">
        <v>146</v>
      </c>
      <c r="F11" s="112">
        <f>'Billing Detail'!F13</f>
        <v>5</v>
      </c>
      <c r="G11" s="112">
        <f>F11</f>
        <v>5</v>
      </c>
      <c r="J11" s="6">
        <f t="shared" si="0"/>
        <v>0</v>
      </c>
    </row>
    <row r="12" spans="1:10" x14ac:dyDescent="0.25">
      <c r="C12" s="110" t="str">
        <f>'Billing Detail'!C19</f>
        <v>ETS</v>
      </c>
      <c r="D12" s="109" t="str">
        <f>'Billing Detail'!B19</f>
        <v>Residential &amp; Small Power ETS (11)</v>
      </c>
      <c r="F12" s="85"/>
      <c r="G12" s="85"/>
      <c r="J12" s="6"/>
    </row>
    <row r="13" spans="1:10" x14ac:dyDescent="0.25">
      <c r="C13" s="110"/>
      <c r="D13" s="109"/>
      <c r="E13" s="2" t="str">
        <f>'Billing Detail'!D20</f>
        <v>Energy Charge - Off Peak per kWh</v>
      </c>
      <c r="F13" s="86">
        <f>'Billing Detail'!H20</f>
        <v>4.8930000000000001E-2</v>
      </c>
      <c r="G13" s="86">
        <f>'Billing Detail'!L20</f>
        <v>5.0889999999999998E-2</v>
      </c>
      <c r="J13" s="6">
        <f t="shared" si="0"/>
        <v>4.0057224606580677E-2</v>
      </c>
    </row>
    <row r="14" spans="1:10" x14ac:dyDescent="0.25">
      <c r="C14" s="110" t="str">
        <f>'Billing Detail'!C30</f>
        <v>RSP-IB</v>
      </c>
      <c r="D14" s="109" t="str">
        <f>'Billing Detail'!B30</f>
        <v>Inclining Block Rate (8)</v>
      </c>
      <c r="F14" s="85"/>
      <c r="G14" s="85"/>
      <c r="J14" s="6"/>
    </row>
    <row r="15" spans="1:10" x14ac:dyDescent="0.25">
      <c r="C15" s="110"/>
      <c r="D15" s="109"/>
      <c r="E15" s="2" t="str">
        <f>'Billing Detail'!D31</f>
        <v>Customer Charge</v>
      </c>
      <c r="F15" s="85">
        <f>'Billing Detail'!H31</f>
        <v>15</v>
      </c>
      <c r="G15" s="85">
        <f>'Billing Detail'!L31</f>
        <v>15.6</v>
      </c>
      <c r="J15" s="6">
        <f t="shared" si="0"/>
        <v>4.0000000000000036E-2</v>
      </c>
    </row>
    <row r="16" spans="1:10" x14ac:dyDescent="0.25">
      <c r="C16" s="110"/>
      <c r="D16" s="109"/>
      <c r="E16" s="2" t="str">
        <f>'Billing Detail'!D32</f>
        <v>Energy Charge 0-300 per kWh</v>
      </c>
      <c r="F16" s="86">
        <f>'Billing Detail'!H32</f>
        <v>6.275E-2</v>
      </c>
      <c r="G16" s="86">
        <f>'Billing Detail'!L32</f>
        <v>6.5259999999999999E-2</v>
      </c>
      <c r="J16" s="6">
        <f t="shared" si="0"/>
        <v>4.0000000000000036E-2</v>
      </c>
    </row>
    <row r="17" spans="3:10" x14ac:dyDescent="0.25">
      <c r="C17" s="110"/>
      <c r="D17" s="109"/>
      <c r="E17" s="2" t="str">
        <f>'Billing Detail'!D33</f>
        <v>Energy Charge 301-500 per kWh</v>
      </c>
      <c r="F17" s="86">
        <f>'Billing Detail'!H33</f>
        <v>7.2749999999999995E-2</v>
      </c>
      <c r="G17" s="86">
        <f>'Billing Detail'!L33</f>
        <v>7.5660000000000005E-2</v>
      </c>
      <c r="J17" s="6">
        <f t="shared" si="0"/>
        <v>4.0000000000000036E-2</v>
      </c>
    </row>
    <row r="18" spans="3:10" x14ac:dyDescent="0.25">
      <c r="C18" s="110"/>
      <c r="D18" s="109"/>
      <c r="E18" s="2" t="str">
        <f>'Billing Detail'!D34</f>
        <v>Energy Charge Over 500 per kWh</v>
      </c>
      <c r="F18" s="86">
        <f>'Billing Detail'!H34</f>
        <v>0.10274999999999999</v>
      </c>
      <c r="G18" s="86">
        <f>'Billing Detail'!L34</f>
        <v>0.10686</v>
      </c>
      <c r="J18" s="6">
        <f t="shared" si="0"/>
        <v>4.0000000000000036E-2</v>
      </c>
    </row>
    <row r="19" spans="3:10" x14ac:dyDescent="0.25">
      <c r="C19" s="110" t="str">
        <f>'Billing Detail'!C44</f>
        <v>SGS</v>
      </c>
      <c r="D19" s="109" t="str">
        <f>'Billing Detail'!B44</f>
        <v>Small General Service (2)</v>
      </c>
      <c r="F19" s="85"/>
      <c r="G19" s="85"/>
      <c r="J19" s="6"/>
    </row>
    <row r="20" spans="3:10" x14ac:dyDescent="0.25">
      <c r="C20" s="110"/>
      <c r="D20" s="109"/>
      <c r="E20" s="2" t="str">
        <f>'Billing Detail'!D45</f>
        <v>Customer Charge</v>
      </c>
      <c r="F20" s="85">
        <f>'Billing Detail'!H45</f>
        <v>49.23</v>
      </c>
      <c r="G20" s="85">
        <f>'Billing Detail'!L45</f>
        <v>51.2</v>
      </c>
      <c r="J20" s="6">
        <f t="shared" si="0"/>
        <v>4.0016250253910313E-2</v>
      </c>
    </row>
    <row r="21" spans="3:10" x14ac:dyDescent="0.25">
      <c r="C21" s="110"/>
      <c r="D21" s="109"/>
      <c r="E21" s="2" t="str">
        <f>'Billing Detail'!D46</f>
        <v>Energy Charge per kWh</v>
      </c>
      <c r="F21" s="86">
        <f>'Billing Detail'!H46</f>
        <v>6.1100000000000002E-2</v>
      </c>
      <c r="G21" s="86">
        <f>'Billing Detail'!L46</f>
        <v>6.3549999999999995E-2</v>
      </c>
      <c r="J21" s="6">
        <f t="shared" si="0"/>
        <v>4.00981996726677E-2</v>
      </c>
    </row>
    <row r="22" spans="3:10" x14ac:dyDescent="0.25">
      <c r="C22" s="110"/>
      <c r="D22" s="109"/>
      <c r="E22" s="2" t="str">
        <f>'Billing Detail'!D47</f>
        <v>Demand Charge per kW</v>
      </c>
      <c r="F22" s="85">
        <f>'Billing Detail'!H47</f>
        <v>7.41</v>
      </c>
      <c r="G22" s="85">
        <f>'Billing Detail'!L47</f>
        <v>7.71</v>
      </c>
      <c r="J22" s="6">
        <f t="shared" si="0"/>
        <v>4.0485829959514108E-2</v>
      </c>
    </row>
    <row r="23" spans="3:10" x14ac:dyDescent="0.25">
      <c r="C23" s="110" t="str">
        <f>'Billing Detail'!C57</f>
        <v>LGS</v>
      </c>
      <c r="D23" s="109" t="str">
        <f>'Billing Detail'!B57</f>
        <v>Large General Service (3)</v>
      </c>
      <c r="F23" s="85"/>
      <c r="G23" s="85"/>
      <c r="J23" s="6"/>
    </row>
    <row r="24" spans="3:10" x14ac:dyDescent="0.25">
      <c r="C24" s="110"/>
      <c r="D24" s="109"/>
      <c r="E24" s="2" t="str">
        <f>'Billing Detail'!D58</f>
        <v>Customer Charge</v>
      </c>
      <c r="F24" s="85">
        <f>'Billing Detail'!H58</f>
        <v>65.510000000000005</v>
      </c>
      <c r="G24" s="85">
        <f>'Billing Detail'!L58</f>
        <v>68.13</v>
      </c>
      <c r="J24" s="6">
        <f t="shared" si="0"/>
        <v>3.9993894061975066E-2</v>
      </c>
    </row>
    <row r="25" spans="3:10" x14ac:dyDescent="0.25">
      <c r="C25" s="110"/>
      <c r="D25" s="109"/>
      <c r="E25" s="2" t="str">
        <f>'Billing Detail'!D59</f>
        <v>Energy Charge per kWh</v>
      </c>
      <c r="F25" s="86">
        <f>'Billing Detail'!H59</f>
        <v>4.9750000000000003E-2</v>
      </c>
      <c r="G25" s="86">
        <f>'Billing Detail'!L59</f>
        <v>5.1740000000000001E-2</v>
      </c>
      <c r="J25" s="6">
        <f t="shared" si="0"/>
        <v>4.0000000000000036E-2</v>
      </c>
    </row>
    <row r="26" spans="3:10" x14ac:dyDescent="0.25">
      <c r="C26" s="110"/>
      <c r="D26" s="109"/>
      <c r="E26" s="2" t="str">
        <f>'Billing Detail'!D60</f>
        <v>Demand Charge per kW</v>
      </c>
      <c r="F26" s="85">
        <f>'Billing Detail'!H60</f>
        <v>6.93</v>
      </c>
      <c r="G26" s="85">
        <f>'Billing Detail'!L60</f>
        <v>7.21</v>
      </c>
      <c r="J26" s="6">
        <f t="shared" si="0"/>
        <v>4.0404040404040442E-2</v>
      </c>
    </row>
    <row r="27" spans="3:10" x14ac:dyDescent="0.25">
      <c r="C27" s="110" t="str">
        <f>'Billing Detail'!C70</f>
        <v>AES</v>
      </c>
      <c r="D27" s="109" t="str">
        <f>'Billing Detail'!B70</f>
        <v>All Electric School (4)</v>
      </c>
      <c r="F27" s="85"/>
      <c r="G27" s="85"/>
      <c r="J27" s="6"/>
    </row>
    <row r="28" spans="3:10" x14ac:dyDescent="0.25">
      <c r="C28" s="110"/>
      <c r="D28" s="109"/>
      <c r="E28" s="2" t="str">
        <f>'Billing Detail'!D71</f>
        <v>Customer Charge</v>
      </c>
      <c r="F28" s="85">
        <f>'Billing Detail'!H71</f>
        <v>64.88</v>
      </c>
      <c r="G28" s="85">
        <f>'Billing Detail'!L71</f>
        <v>67.48</v>
      </c>
      <c r="J28" s="6">
        <f t="shared" si="0"/>
        <v>4.0073982737361513E-2</v>
      </c>
    </row>
    <row r="29" spans="3:10" x14ac:dyDescent="0.25">
      <c r="C29" s="110"/>
      <c r="D29" s="109"/>
      <c r="E29" s="2" t="str">
        <f>'Billing Detail'!D72</f>
        <v>Energy Charge per kWh</v>
      </c>
      <c r="F29" s="86">
        <f>'Billing Detail'!H72</f>
        <v>7.8799999999999995E-2</v>
      </c>
      <c r="G29" s="86">
        <f>'Billing Detail'!L72</f>
        <v>8.1960000000000005E-2</v>
      </c>
      <c r="J29" s="6">
        <f t="shared" si="0"/>
        <v>4.0101522842639792E-2</v>
      </c>
    </row>
    <row r="30" spans="3:10" x14ac:dyDescent="0.25">
      <c r="C30" s="110" t="str">
        <f>'Billing Detail'!C95</f>
        <v>LIS7</v>
      </c>
      <c r="D30" s="109" t="str">
        <f>'Billing Detail'!B95</f>
        <v>Large Industrial Service (7)</v>
      </c>
      <c r="F30" s="85"/>
      <c r="G30" s="85"/>
      <c r="J30" s="6"/>
    </row>
    <row r="31" spans="3:10" x14ac:dyDescent="0.25">
      <c r="C31" s="110"/>
      <c r="D31" s="109"/>
      <c r="E31" s="2" t="str">
        <f>'Billing Detail'!D96</f>
        <v>Customer Charge</v>
      </c>
      <c r="F31" s="85">
        <f>'Billing Detail'!H96</f>
        <v>1221.76</v>
      </c>
      <c r="G31" s="85">
        <f>'Billing Detail'!L96</f>
        <v>1270.68</v>
      </c>
      <c r="J31" s="6">
        <f t="shared" si="0"/>
        <v>4.0040597171293824E-2</v>
      </c>
    </row>
    <row r="32" spans="3:10" x14ac:dyDescent="0.25">
      <c r="C32" s="110"/>
      <c r="D32" s="109"/>
      <c r="E32" s="2" t="str">
        <f>'Billing Detail'!D97</f>
        <v>Energy Charge per kWh</v>
      </c>
      <c r="F32" s="86">
        <f>'Billing Detail'!H97</f>
        <v>4.1050000000000003E-2</v>
      </c>
      <c r="G32" s="86">
        <f>'Billing Detail'!L97</f>
        <v>4.2689999999999999E-2</v>
      </c>
      <c r="J32" s="6">
        <f t="shared" si="0"/>
        <v>3.9951278928136214E-2</v>
      </c>
    </row>
    <row r="33" spans="3:10" x14ac:dyDescent="0.25">
      <c r="C33" s="110"/>
      <c r="D33" s="109"/>
      <c r="E33" s="2" t="str">
        <f>'Billing Detail'!D98</f>
        <v>Demand Charge - Contract per kW</v>
      </c>
      <c r="F33" s="85">
        <f>'Billing Detail'!H98</f>
        <v>7.17</v>
      </c>
      <c r="G33" s="85">
        <f>'Billing Detail'!L98</f>
        <v>7.46</v>
      </c>
      <c r="J33" s="6">
        <f t="shared" si="0"/>
        <v>4.0446304044630343E-2</v>
      </c>
    </row>
    <row r="34" spans="3:10" x14ac:dyDescent="0.25">
      <c r="C34" s="110" t="str">
        <f>'Billing Detail'!C108</f>
        <v>LIS1</v>
      </c>
      <c r="D34" s="109" t="str">
        <f>'Billing Detail'!B108</f>
        <v>Large Industrial Service (1)</v>
      </c>
      <c r="F34" s="85"/>
      <c r="G34" s="85"/>
      <c r="J34" s="6"/>
    </row>
    <row r="35" spans="3:10" x14ac:dyDescent="0.25">
      <c r="C35" s="110"/>
      <c r="D35" s="109"/>
      <c r="E35" s="2" t="str">
        <f>'Billing Detail'!D109</f>
        <v>Customer Charge</v>
      </c>
      <c r="F35" s="85">
        <f>'Billing Detail'!H109</f>
        <v>611.47</v>
      </c>
      <c r="G35" s="85">
        <f>'Billing Detail'!L109</f>
        <v>635.95000000000005</v>
      </c>
      <c r="J35" s="6">
        <f t="shared" si="0"/>
        <v>4.0034670548023676E-2</v>
      </c>
    </row>
    <row r="36" spans="3:10" x14ac:dyDescent="0.25">
      <c r="C36" s="110"/>
      <c r="D36" s="109"/>
      <c r="E36" s="2" t="str">
        <f>'Billing Detail'!D110</f>
        <v>Energy Charge per kWh</v>
      </c>
      <c r="F36" s="86">
        <f>'Billing Detail'!H110</f>
        <v>4.8860000000000001E-2</v>
      </c>
      <c r="G36" s="86">
        <f>'Billing Detail'!L110</f>
        <v>5.0819999999999997E-2</v>
      </c>
      <c r="J36" s="6">
        <f t="shared" si="0"/>
        <v>4.0114613180515679E-2</v>
      </c>
    </row>
    <row r="37" spans="3:10" x14ac:dyDescent="0.25">
      <c r="C37" s="15"/>
      <c r="D37" s="2"/>
      <c r="E37" s="2" t="str">
        <f>'Billing Detail'!D111</f>
        <v>Demand Charge per kW</v>
      </c>
      <c r="F37" s="85">
        <f>'Billing Detail'!H111</f>
        <v>8.94</v>
      </c>
      <c r="G37" s="85">
        <f>'Billing Detail'!L111</f>
        <v>9.3000000000000007</v>
      </c>
      <c r="J37" s="6">
        <f t="shared" si="0"/>
        <v>4.026845637583909E-2</v>
      </c>
    </row>
    <row r="38" spans="3:10" x14ac:dyDescent="0.25">
      <c r="C38" s="110" t="str">
        <f>'Billing Detail'!C121</f>
        <v>OL</v>
      </c>
      <c r="D38" s="109" t="str">
        <f>'Billing Detail'!B121</f>
        <v>Lighting</v>
      </c>
      <c r="F38" s="85"/>
      <c r="G38" s="85"/>
      <c r="J38" s="6"/>
    </row>
    <row r="39" spans="3:10" x14ac:dyDescent="0.25">
      <c r="D39" s="68" t="str">
        <f>'Billing Detail'!B122</f>
        <v>MV</v>
      </c>
      <c r="E39" s="2" t="str">
        <f>'Billing Detail'!C122</f>
        <v>7000 Lumens Standard Service</v>
      </c>
      <c r="F39" s="85">
        <f>'Billing Detail'!H122</f>
        <v>8.65</v>
      </c>
      <c r="G39" s="85">
        <f>'Billing Detail'!L122</f>
        <v>9</v>
      </c>
      <c r="J39" s="6">
        <f t="shared" si="0"/>
        <v>4.0462427745664664E-2</v>
      </c>
    </row>
    <row r="40" spans="3:10" x14ac:dyDescent="0.25">
      <c r="D40" s="68" t="str">
        <f>'Billing Detail'!B123</f>
        <v>MV</v>
      </c>
      <c r="E40" s="2" t="str">
        <f>'Billing Detail'!C123</f>
        <v>7000 Lumens Ornatmental Service</v>
      </c>
      <c r="F40" s="85">
        <f>'Billing Detail'!H123</f>
        <v>19.73</v>
      </c>
      <c r="G40" s="85">
        <f>'Billing Detail'!L123</f>
        <v>20.52</v>
      </c>
      <c r="J40" s="6">
        <f t="shared" si="0"/>
        <v>4.0040547389761816E-2</v>
      </c>
    </row>
    <row r="41" spans="3:10" x14ac:dyDescent="0.25">
      <c r="D41" s="68" t="str">
        <f>'Billing Detail'!B124</f>
        <v>MV</v>
      </c>
      <c r="E41" s="2" t="str">
        <f>'Billing Detail'!C124</f>
        <v>20,000 Lumens Standard Service</v>
      </c>
      <c r="F41" s="85">
        <f>'Billing Detail'!H124</f>
        <v>16.63</v>
      </c>
      <c r="G41" s="85">
        <f>'Billing Detail'!L124</f>
        <v>17.3</v>
      </c>
      <c r="J41" s="6">
        <f t="shared" si="0"/>
        <v>4.0288634996993533E-2</v>
      </c>
    </row>
    <row r="42" spans="3:10" x14ac:dyDescent="0.25">
      <c r="D42" s="68" t="str">
        <f>'Billing Detail'!B125</f>
        <v>MV</v>
      </c>
      <c r="E42" s="2" t="str">
        <f>'Billing Detail'!C125</f>
        <v>20,000 Lumens Ornamental Service</v>
      </c>
      <c r="F42" s="85">
        <f>'Billing Detail'!H125</f>
        <v>26.24</v>
      </c>
      <c r="G42" s="85">
        <f>'Billing Detail'!L125</f>
        <v>27.29</v>
      </c>
      <c r="J42" s="6">
        <f t="shared" si="0"/>
        <v>4.0015243902439046E-2</v>
      </c>
    </row>
    <row r="43" spans="3:10" x14ac:dyDescent="0.25">
      <c r="D43" s="68" t="str">
        <f>'Billing Detail'!B126</f>
        <v>HPS</v>
      </c>
      <c r="E43" s="2" t="str">
        <f>'Billing Detail'!C126</f>
        <v>9500 Lumens Standard</v>
      </c>
      <c r="F43" s="85">
        <f>'Billing Detail'!H126</f>
        <v>8.4600000000000009</v>
      </c>
      <c r="G43" s="85">
        <f>'Billing Detail'!L126</f>
        <v>8.8000000000000007</v>
      </c>
      <c r="J43" s="6">
        <f t="shared" si="0"/>
        <v>4.0189125295508221E-2</v>
      </c>
    </row>
    <row r="44" spans="3:10" x14ac:dyDescent="0.25">
      <c r="D44" s="68" t="str">
        <f>'Billing Detail'!B127</f>
        <v>HPS</v>
      </c>
      <c r="E44" s="2" t="str">
        <f>'Billing Detail'!C127</f>
        <v>9500 Lumens Ornamental</v>
      </c>
      <c r="F44" s="85">
        <f>'Billing Detail'!H127</f>
        <v>18.04</v>
      </c>
      <c r="G44" s="85">
        <f>'Billing Detail'!L127</f>
        <v>18.760000000000002</v>
      </c>
      <c r="J44" s="6">
        <f t="shared" si="0"/>
        <v>3.9911308203991247E-2</v>
      </c>
    </row>
    <row r="45" spans="3:10" x14ac:dyDescent="0.25">
      <c r="D45" s="68" t="str">
        <f>'Billing Detail'!B128</f>
        <v>HPS</v>
      </c>
      <c r="E45" s="2" t="str">
        <f>'Billing Detail'!C128</f>
        <v>9500 Lumens Directional</v>
      </c>
      <c r="F45" s="85">
        <f>'Billing Detail'!H128</f>
        <v>8.5500000000000007</v>
      </c>
      <c r="G45" s="85">
        <f>'Billing Detail'!L128</f>
        <v>8.89</v>
      </c>
      <c r="J45" s="6">
        <f t="shared" si="0"/>
        <v>3.9766081871345005E-2</v>
      </c>
    </row>
    <row r="46" spans="3:10" x14ac:dyDescent="0.25">
      <c r="D46" s="68" t="str">
        <f>'Billing Detail'!B129</f>
        <v>HPS</v>
      </c>
      <c r="E46" s="2" t="str">
        <f>'Billing Detail'!C129</f>
        <v>22,000 Lumens Standard</v>
      </c>
      <c r="F46" s="85">
        <f>'Billing Detail'!H129</f>
        <v>12</v>
      </c>
      <c r="G46" s="85">
        <f>'Billing Detail'!L129</f>
        <v>12.48</v>
      </c>
      <c r="J46" s="6">
        <f t="shared" si="0"/>
        <v>4.0000000000000036E-2</v>
      </c>
    </row>
    <row r="47" spans="3:10" x14ac:dyDescent="0.25">
      <c r="D47" s="68" t="str">
        <f>'Billing Detail'!B130</f>
        <v>HPS</v>
      </c>
      <c r="E47" s="2" t="str">
        <f>'Billing Detail'!C130</f>
        <v>22,000 Lumens Ornamental</v>
      </c>
      <c r="F47" s="85">
        <f>'Billing Detail'!H130</f>
        <v>21.59</v>
      </c>
      <c r="G47" s="85">
        <f>'Billing Detail'!L130</f>
        <v>22.45</v>
      </c>
      <c r="J47" s="6">
        <f t="shared" si="0"/>
        <v>3.9833256137100426E-2</v>
      </c>
    </row>
    <row r="48" spans="3:10" x14ac:dyDescent="0.25">
      <c r="D48" s="68" t="str">
        <f>'Billing Detail'!B131</f>
        <v>HPS</v>
      </c>
      <c r="E48" s="2" t="str">
        <f>'Billing Detail'!C131</f>
        <v>22,000 Lumens Directional</v>
      </c>
      <c r="F48" s="85">
        <f>'Billing Detail'!H131</f>
        <v>11.77</v>
      </c>
      <c r="G48" s="85">
        <f>'Billing Detail'!L131</f>
        <v>12.24</v>
      </c>
      <c r="J48" s="6">
        <f t="shared" si="0"/>
        <v>3.9932030586236289E-2</v>
      </c>
    </row>
    <row r="49" spans="3:10" x14ac:dyDescent="0.25">
      <c r="D49" s="68" t="str">
        <f>'Billing Detail'!B132</f>
        <v>HPS</v>
      </c>
      <c r="E49" s="2" t="str">
        <f>'Billing Detail'!C132</f>
        <v>50,000 Lumens Standard</v>
      </c>
      <c r="F49" s="85">
        <f>'Billing Detail'!H132</f>
        <v>18.02</v>
      </c>
      <c r="G49" s="85">
        <f>'Billing Detail'!L132</f>
        <v>18.739999999999998</v>
      </c>
      <c r="J49" s="6">
        <f t="shared" si="0"/>
        <v>3.9955604883462836E-2</v>
      </c>
    </row>
    <row r="50" spans="3:10" x14ac:dyDescent="0.25">
      <c r="D50" s="68" t="str">
        <f>'Billing Detail'!B133</f>
        <v>HPS</v>
      </c>
      <c r="E50" s="2" t="str">
        <f>'Billing Detail'!C133</f>
        <v>50,000 Lumens Ornamental</v>
      </c>
      <c r="F50" s="85">
        <f>'Billing Detail'!H133</f>
        <v>27.11</v>
      </c>
      <c r="G50" s="85">
        <f>'Billing Detail'!L133</f>
        <v>28.2</v>
      </c>
      <c r="J50" s="6">
        <f t="shared" si="0"/>
        <v>4.0206565842862307E-2</v>
      </c>
    </row>
    <row r="51" spans="3:10" x14ac:dyDescent="0.25">
      <c r="D51" s="68" t="str">
        <f>'Billing Detail'!B134</f>
        <v>HPS</v>
      </c>
      <c r="E51" s="2" t="str">
        <f>'Billing Detail'!C134</f>
        <v>50,000 Lumens Directional</v>
      </c>
      <c r="F51" s="85">
        <f>'Billing Detail'!H134</f>
        <v>17.649999999999999</v>
      </c>
      <c r="G51" s="85">
        <f>'Billing Detail'!L134</f>
        <v>18.36</v>
      </c>
      <c r="J51" s="6">
        <f t="shared" si="0"/>
        <v>4.0226628895184247E-2</v>
      </c>
    </row>
    <row r="52" spans="3:10" x14ac:dyDescent="0.25">
      <c r="D52" s="68" t="str">
        <f>'Billing Detail'!B135</f>
        <v>LED</v>
      </c>
      <c r="E52" s="2" t="str">
        <f>'Billing Detail'!C135</f>
        <v>6100 Lumens Standard</v>
      </c>
      <c r="F52" s="85">
        <f>'Billing Detail'!H135</f>
        <v>8.8000000000000007</v>
      </c>
      <c r="G52" s="85">
        <f>'Billing Detail'!L135</f>
        <v>9.15</v>
      </c>
      <c r="J52" s="6">
        <f t="shared" si="0"/>
        <v>3.9772727272727293E-2</v>
      </c>
    </row>
    <row r="53" spans="3:10" x14ac:dyDescent="0.25">
      <c r="D53" s="68" t="str">
        <f>'Billing Detail'!B136</f>
        <v>LED</v>
      </c>
      <c r="E53" s="2" t="str">
        <f>'Billing Detail'!C136</f>
        <v>9500 Lumens Standard</v>
      </c>
      <c r="F53" s="85">
        <f>'Billing Detail'!H136</f>
        <v>12.06</v>
      </c>
      <c r="G53" s="85">
        <f>'Billing Detail'!L136</f>
        <v>12.54</v>
      </c>
      <c r="J53" s="6">
        <f t="shared" si="0"/>
        <v>3.9800995024875441E-2</v>
      </c>
    </row>
    <row r="54" spans="3:10" x14ac:dyDescent="0.25">
      <c r="D54" s="68" t="str">
        <f>'Billing Detail'!B137</f>
        <v>LED</v>
      </c>
      <c r="E54" s="2" t="str">
        <f>'Billing Detail'!C137</f>
        <v>23,000 Lumens Directional Floodlight</v>
      </c>
      <c r="F54" s="85">
        <f>'Billing Detail'!H137</f>
        <v>23.99</v>
      </c>
      <c r="G54" s="85">
        <f>'Billing Detail'!L137</f>
        <v>24.95</v>
      </c>
      <c r="J54" s="6">
        <f t="shared" si="0"/>
        <v>4.001667361400596E-2</v>
      </c>
    </row>
    <row r="55" spans="3:10" x14ac:dyDescent="0.25">
      <c r="C55" s="110" t="str">
        <f>'Billing Detail'!C146</f>
        <v>Special</v>
      </c>
      <c r="D55" s="109" t="str">
        <f>'Billing Detail'!B146</f>
        <v>Special Contract - EKPC Rate G</v>
      </c>
      <c r="F55" s="85"/>
      <c r="G55" s="85"/>
      <c r="J55" s="6"/>
    </row>
    <row r="56" spans="3:10" x14ac:dyDescent="0.25">
      <c r="C56" s="15"/>
      <c r="D56" s="2"/>
      <c r="E56" s="2" t="str">
        <f>'Billing Detail'!D147</f>
        <v>Customer Charge</v>
      </c>
      <c r="F56" s="85">
        <f>'Billing Detail'!H147</f>
        <v>5454</v>
      </c>
      <c r="G56" s="85">
        <f>'Billing Detail'!L147</f>
        <v>5726.7</v>
      </c>
      <c r="J56" s="6">
        <f t="shared" si="0"/>
        <v>5.0000000000000044E-2</v>
      </c>
    </row>
    <row r="57" spans="3:10" x14ac:dyDescent="0.25">
      <c r="C57" s="15"/>
      <c r="D57" s="2"/>
      <c r="E57" s="2" t="str">
        <f>'Billing Detail'!D148</f>
        <v>Demand Charge per kW</v>
      </c>
      <c r="F57" s="85">
        <f>'Billing Detail'!H148</f>
        <v>6.98</v>
      </c>
      <c r="G57" s="85">
        <f>'Billing Detail'!L148</f>
        <v>7.3</v>
      </c>
      <c r="J57" s="6">
        <f t="shared" si="0"/>
        <v>4.5845272206303633E-2</v>
      </c>
    </row>
    <row r="58" spans="3:10" x14ac:dyDescent="0.25">
      <c r="C58" s="15"/>
      <c r="D58" s="2"/>
      <c r="E58" s="2" t="str">
        <f>'Billing Detail'!D149</f>
        <v>Energy Charge per kWh</v>
      </c>
      <c r="F58" s="86">
        <f>'Billing Detail'!H149</f>
        <v>3.8947000000000002E-2</v>
      </c>
      <c r="G58" s="86">
        <f>'Billing Detail'!L149</f>
        <v>3.9780000000000003E-2</v>
      </c>
      <c r="J58" s="6">
        <f t="shared" si="0"/>
        <v>2.138804015713669E-2</v>
      </c>
    </row>
    <row r="59" spans="3:10" x14ac:dyDescent="0.25">
      <c r="C59" s="110" t="str">
        <f>'Billing Detail'!C159</f>
        <v>Contract</v>
      </c>
      <c r="D59" s="109" t="str">
        <f>'Billing Detail'!B159</f>
        <v>Steam</v>
      </c>
      <c r="F59" s="85"/>
      <c r="G59" s="85"/>
      <c r="J59" s="6"/>
    </row>
    <row r="60" spans="3:10" x14ac:dyDescent="0.25">
      <c r="C60" s="110"/>
      <c r="D60" s="109"/>
      <c r="E60" s="2" t="str">
        <f>'Billing Detail'!D160</f>
        <v>Demand Charge per MMBTU</v>
      </c>
      <c r="F60" s="85">
        <f>'Billing Detail'!H160</f>
        <v>577.15</v>
      </c>
      <c r="G60" s="85">
        <f>'Billing Detail'!L160</f>
        <v>604.75</v>
      </c>
      <c r="J60" s="6">
        <f t="shared" si="0"/>
        <v>4.7821190331802876E-2</v>
      </c>
    </row>
    <row r="61" spans="3:10" x14ac:dyDescent="0.25">
      <c r="C61" s="110"/>
      <c r="D61" s="109"/>
      <c r="E61" s="2" t="str">
        <f>'Billing Detail'!D161</f>
        <v>Energy Charge per MMBTU</v>
      </c>
      <c r="F61" s="86">
        <f>'Billing Detail'!H161</f>
        <v>4.1660000000000004</v>
      </c>
      <c r="G61" s="86">
        <f>'Billing Detail'!L161</f>
        <v>4.266</v>
      </c>
      <c r="J61" s="6">
        <f t="shared" si="0"/>
        <v>2.4003840614498229E-2</v>
      </c>
    </row>
    <row r="62" spans="3:10" x14ac:dyDescent="0.25">
      <c r="C62" s="110" t="str">
        <f>'Billing Detail'!C185</f>
        <v>LIS2</v>
      </c>
      <c r="D62" s="109" t="str">
        <f>'Billing Detail'!B185</f>
        <v>Large Industrial Service (2)</v>
      </c>
      <c r="J62" s="6"/>
    </row>
    <row r="63" spans="3:10" x14ac:dyDescent="0.25">
      <c r="C63" s="110"/>
      <c r="D63" s="109"/>
      <c r="E63" s="2" t="str">
        <f>'Billing Detail'!D186</f>
        <v>Customer Charge</v>
      </c>
      <c r="F63" s="82">
        <f>'Billing Detail'!H186</f>
        <v>1221.76</v>
      </c>
      <c r="G63" s="82">
        <f>'Billing Detail'!L186</f>
        <v>1270.68</v>
      </c>
      <c r="J63" s="6">
        <f t="shared" si="0"/>
        <v>4.0040597171293824E-2</v>
      </c>
    </row>
    <row r="64" spans="3:10" x14ac:dyDescent="0.25">
      <c r="C64" s="110"/>
      <c r="D64" s="109"/>
      <c r="E64" s="2" t="str">
        <f>'Billing Detail'!D187</f>
        <v>Energy Charge per kWh</v>
      </c>
      <c r="F64" s="86">
        <f>'Billing Detail'!H187</f>
        <v>4.514E-2</v>
      </c>
      <c r="G64" s="86">
        <f>'Billing Detail'!L187</f>
        <v>4.6949999999999999E-2</v>
      </c>
      <c r="J64" s="6">
        <f t="shared" si="0"/>
        <v>4.0097474523703935E-2</v>
      </c>
    </row>
    <row r="65" spans="3:10" x14ac:dyDescent="0.25">
      <c r="C65" s="110"/>
      <c r="D65" s="109"/>
      <c r="E65" s="2" t="str">
        <f>'Billing Detail'!D188</f>
        <v>Demand Charge - Contract per kW</v>
      </c>
      <c r="F65" s="82">
        <f>'Billing Detail'!H188</f>
        <v>8.94</v>
      </c>
      <c r="G65" s="82">
        <f>'Billing Detail'!L188</f>
        <v>9.3000000000000007</v>
      </c>
      <c r="J65" s="6">
        <f t="shared" si="0"/>
        <v>4.026845637583909E-2</v>
      </c>
    </row>
    <row r="66" spans="3:10" x14ac:dyDescent="0.25">
      <c r="C66" s="110" t="str">
        <f>'Billing Detail'!C191</f>
        <v>LIS3</v>
      </c>
      <c r="D66" s="109" t="str">
        <f>'Billing Detail'!B191</f>
        <v>Large Industrial Service (3)</v>
      </c>
      <c r="J66" s="6"/>
    </row>
    <row r="67" spans="3:10" x14ac:dyDescent="0.25">
      <c r="C67" s="110"/>
      <c r="D67" s="109"/>
      <c r="E67" s="2" t="str">
        <f>'Billing Detail'!D192</f>
        <v>Customer Charge</v>
      </c>
      <c r="F67" s="82">
        <f>'Billing Detail'!H192</f>
        <v>1221.76</v>
      </c>
      <c r="G67" s="82">
        <f>'Billing Detail'!L192</f>
        <v>1270.68</v>
      </c>
      <c r="J67" s="6">
        <f t="shared" si="0"/>
        <v>4.0040597171293824E-2</v>
      </c>
    </row>
    <row r="68" spans="3:10" x14ac:dyDescent="0.25">
      <c r="C68" s="110"/>
      <c r="D68" s="109"/>
      <c r="E68" s="2" t="str">
        <f>'Billing Detail'!D193</f>
        <v>Energy Charge per kWh</v>
      </c>
      <c r="F68" s="86">
        <f>'Billing Detail'!H193</f>
        <v>4.3929999999999997E-2</v>
      </c>
      <c r="G68" s="86">
        <f>'Billing Detail'!L193</f>
        <v>4.5690000000000001E-2</v>
      </c>
      <c r="J68" s="6">
        <f t="shared" si="0"/>
        <v>4.0063737764625573E-2</v>
      </c>
    </row>
    <row r="69" spans="3:10" x14ac:dyDescent="0.25">
      <c r="C69" s="110"/>
      <c r="D69" s="109"/>
      <c r="E69" s="2" t="str">
        <f>'Billing Detail'!D194</f>
        <v>Demand Charge - Contract per kW</v>
      </c>
      <c r="F69" s="82">
        <f>'Billing Detail'!H194</f>
        <v>7.31</v>
      </c>
      <c r="G69" s="82">
        <f>'Billing Detail'!L194</f>
        <v>7.6</v>
      </c>
      <c r="J69" s="6">
        <f t="shared" si="0"/>
        <v>3.9671682626539084E-2</v>
      </c>
    </row>
    <row r="70" spans="3:10" x14ac:dyDescent="0.25">
      <c r="C70" s="110" t="str">
        <f>'Billing Detail'!C197</f>
        <v>LIS4</v>
      </c>
      <c r="D70" s="109" t="str">
        <f>'Billing Detail'!B197</f>
        <v>Large Industrial Service (4)</v>
      </c>
      <c r="J70" s="6"/>
    </row>
    <row r="71" spans="3:10" x14ac:dyDescent="0.25">
      <c r="C71" s="110"/>
      <c r="D71" s="109"/>
      <c r="E71" s="2" t="str">
        <f>'Billing Detail'!D198</f>
        <v>Customer Charge</v>
      </c>
      <c r="F71" s="82">
        <f>'Billing Detail'!H198</f>
        <v>611.47</v>
      </c>
      <c r="G71" s="82">
        <f>'Billing Detail'!L198</f>
        <v>635.95000000000005</v>
      </c>
      <c r="J71" s="6">
        <f t="shared" ref="J71:J100" si="3">G71/F71-1</f>
        <v>4.0034670548023676E-2</v>
      </c>
    </row>
    <row r="72" spans="3:10" x14ac:dyDescent="0.25">
      <c r="C72" s="110"/>
      <c r="D72" s="109"/>
      <c r="E72" s="2" t="str">
        <f>'Billing Detail'!D199</f>
        <v>Energy Charge per kWh</v>
      </c>
      <c r="F72" s="86">
        <f>'Billing Detail'!H199</f>
        <v>4.9360000000000001E-2</v>
      </c>
      <c r="G72" s="86">
        <f>'Billing Detail'!L199</f>
        <v>5.1339999999999997E-2</v>
      </c>
      <c r="J72" s="6">
        <f t="shared" si="3"/>
        <v>4.0113452188006438E-2</v>
      </c>
    </row>
    <row r="73" spans="3:10" x14ac:dyDescent="0.25">
      <c r="C73" s="110"/>
      <c r="D73" s="109"/>
      <c r="E73" s="2" t="str">
        <f>'Billing Detail'!D200</f>
        <v>Demand Charge - Contract per kW</v>
      </c>
      <c r="F73" s="82">
        <f>'Billing Detail'!H200</f>
        <v>7.17</v>
      </c>
      <c r="G73" s="82">
        <f>'Billing Detail'!L200</f>
        <v>7.46</v>
      </c>
      <c r="J73" s="6">
        <f t="shared" si="3"/>
        <v>4.0446304044630343E-2</v>
      </c>
    </row>
    <row r="74" spans="3:10" x14ac:dyDescent="0.25">
      <c r="C74" s="110" t="str">
        <f>'Billing Detail'!C203</f>
        <v>LIS4B</v>
      </c>
      <c r="D74" s="109" t="str">
        <f>'Billing Detail'!B203</f>
        <v>Large Industrial Service (4B)</v>
      </c>
      <c r="J74" s="6"/>
    </row>
    <row r="75" spans="3:10" x14ac:dyDescent="0.25">
      <c r="C75" s="110"/>
      <c r="D75" s="109"/>
      <c r="E75" s="2" t="str">
        <f>'Billing Detail'!D204</f>
        <v>Customer Charge</v>
      </c>
      <c r="F75" s="82">
        <f>'Billing Detail'!H204</f>
        <v>611.47</v>
      </c>
      <c r="G75" s="82">
        <f>'Billing Detail'!L204</f>
        <v>635.95000000000005</v>
      </c>
      <c r="J75" s="6">
        <f t="shared" si="3"/>
        <v>4.0034670548023676E-2</v>
      </c>
    </row>
    <row r="76" spans="3:10" x14ac:dyDescent="0.25">
      <c r="C76" s="110"/>
      <c r="D76" s="109"/>
      <c r="E76" s="2" t="str">
        <f>'Billing Detail'!D205</f>
        <v>Energy Charge per kWh</v>
      </c>
      <c r="F76" s="86">
        <f>'Billing Detail'!H205</f>
        <v>4.9360000000000001E-2</v>
      </c>
      <c r="G76" s="86">
        <f>'Billing Detail'!L205</f>
        <v>5.1339999999999997E-2</v>
      </c>
      <c r="J76" s="6">
        <f t="shared" si="3"/>
        <v>4.0113452188006438E-2</v>
      </c>
    </row>
    <row r="77" spans="3:10" x14ac:dyDescent="0.25">
      <c r="C77" s="110"/>
      <c r="D77" s="109"/>
      <c r="E77" s="2" t="str">
        <f>'Billing Detail'!D206</f>
        <v>Demand Charge - Contract per kW</v>
      </c>
      <c r="F77" s="82">
        <f>'Billing Detail'!H206</f>
        <v>7.17</v>
      </c>
      <c r="G77" s="82">
        <f>'Billing Detail'!L206</f>
        <v>7.46</v>
      </c>
      <c r="J77" s="6">
        <f t="shared" si="3"/>
        <v>4.0446304044630343E-2</v>
      </c>
    </row>
    <row r="78" spans="3:10" x14ac:dyDescent="0.25">
      <c r="C78" s="110"/>
      <c r="D78" s="109"/>
      <c r="E78" s="2" t="str">
        <f>'Billing Detail'!D207</f>
        <v>Demand Charge - Excess per kW</v>
      </c>
      <c r="F78" s="82">
        <f>'Billing Detail'!H207</f>
        <v>9.98</v>
      </c>
      <c r="G78" s="82">
        <f>'Billing Detail'!L207</f>
        <v>10.38</v>
      </c>
      <c r="J78" s="6">
        <f t="shared" si="3"/>
        <v>4.0080160320641323E-2</v>
      </c>
    </row>
    <row r="79" spans="3:10" x14ac:dyDescent="0.25">
      <c r="C79" s="110" t="str">
        <f>'Billing Detail'!C210</f>
        <v>LIS5</v>
      </c>
      <c r="D79" s="109" t="str">
        <f>'Billing Detail'!B210</f>
        <v>Large Industrial Service (5)</v>
      </c>
      <c r="J79" s="6"/>
    </row>
    <row r="80" spans="3:10" x14ac:dyDescent="0.25">
      <c r="C80" s="110"/>
      <c r="D80" s="109"/>
      <c r="E80" s="2" t="str">
        <f>'Billing Detail'!D211</f>
        <v>Customer Charge</v>
      </c>
      <c r="F80" s="82">
        <f>'Billing Detail'!H211</f>
        <v>1221.76</v>
      </c>
      <c r="G80" s="82">
        <f>'Billing Detail'!L211</f>
        <v>1270.68</v>
      </c>
      <c r="J80" s="6">
        <f t="shared" si="3"/>
        <v>4.0040597171293824E-2</v>
      </c>
    </row>
    <row r="81" spans="3:10" x14ac:dyDescent="0.25">
      <c r="C81" s="110"/>
      <c r="D81" s="109"/>
      <c r="E81" s="2" t="str">
        <f>'Billing Detail'!D212</f>
        <v>Energy Charge per kWh</v>
      </c>
      <c r="F81" s="86">
        <f>'Billing Detail'!H212</f>
        <v>4.564E-2</v>
      </c>
      <c r="G81" s="86">
        <f>'Billing Detail'!L212</f>
        <v>4.7469999999999998E-2</v>
      </c>
      <c r="J81" s="6">
        <f t="shared" si="3"/>
        <v>4.0096406660823813E-2</v>
      </c>
    </row>
    <row r="82" spans="3:10" x14ac:dyDescent="0.25">
      <c r="C82" s="110"/>
      <c r="D82" s="109"/>
      <c r="E82" s="2" t="str">
        <f>'Billing Detail'!D213</f>
        <v>Demand Charge - Contract per kW</v>
      </c>
      <c r="F82" s="82">
        <f>'Billing Detail'!H213</f>
        <v>7.17</v>
      </c>
      <c r="G82" s="82">
        <f>'Billing Detail'!L213</f>
        <v>7.46</v>
      </c>
      <c r="J82" s="6">
        <f t="shared" si="3"/>
        <v>4.0446304044630343E-2</v>
      </c>
    </row>
    <row r="83" spans="3:10" x14ac:dyDescent="0.25">
      <c r="C83" s="110" t="str">
        <f>'Billing Detail'!C216</f>
        <v>LIS5B</v>
      </c>
      <c r="D83" s="109" t="str">
        <f>'Billing Detail'!B216</f>
        <v>Large Industrial Service (5B)</v>
      </c>
      <c r="J83" s="6"/>
    </row>
    <row r="84" spans="3:10" x14ac:dyDescent="0.25">
      <c r="C84" s="110"/>
      <c r="D84" s="109"/>
      <c r="E84" s="2" t="str">
        <f>'Billing Detail'!D217</f>
        <v>Customer Charge</v>
      </c>
      <c r="F84" s="82">
        <f>'Billing Detail'!H217</f>
        <v>1221.76</v>
      </c>
      <c r="G84" s="82">
        <f>'Billing Detail'!L217</f>
        <v>1270.68</v>
      </c>
      <c r="J84" s="6">
        <f t="shared" si="3"/>
        <v>4.0040597171293824E-2</v>
      </c>
    </row>
    <row r="85" spans="3:10" x14ac:dyDescent="0.25">
      <c r="C85" s="110"/>
      <c r="D85" s="109"/>
      <c r="E85" s="2" t="str">
        <f>'Billing Detail'!D218</f>
        <v>Energy Charge per kWh</v>
      </c>
      <c r="F85" s="86">
        <f>'Billing Detail'!H218</f>
        <v>4.564E-2</v>
      </c>
      <c r="G85" s="86">
        <f>'Billing Detail'!L218</f>
        <v>4.7469999999999998E-2</v>
      </c>
      <c r="J85" s="6">
        <f t="shared" si="3"/>
        <v>4.0096406660823813E-2</v>
      </c>
    </row>
    <row r="86" spans="3:10" x14ac:dyDescent="0.25">
      <c r="C86" s="110"/>
      <c r="D86" s="109"/>
      <c r="E86" s="2" t="str">
        <f>'Billing Detail'!D219</f>
        <v>Demand Charge - Contract per kW</v>
      </c>
      <c r="F86" s="82">
        <f>'Billing Detail'!H219</f>
        <v>7.17</v>
      </c>
      <c r="G86" s="82">
        <f>'Billing Detail'!L219</f>
        <v>7.46</v>
      </c>
      <c r="J86" s="6">
        <f t="shared" si="3"/>
        <v>4.0446304044630343E-2</v>
      </c>
    </row>
    <row r="87" spans="3:10" x14ac:dyDescent="0.25">
      <c r="C87" s="110"/>
      <c r="D87" s="109"/>
      <c r="E87" s="2" t="str">
        <f>'Billing Detail'!D220</f>
        <v>Demand Charge - Excess per kW</v>
      </c>
      <c r="F87" s="82">
        <f>'Billing Detail'!H220</f>
        <v>9.98</v>
      </c>
      <c r="G87" s="82">
        <f>'Billing Detail'!L220</f>
        <v>10.38</v>
      </c>
      <c r="J87" s="6">
        <f t="shared" si="3"/>
        <v>4.0080160320641323E-2</v>
      </c>
    </row>
    <row r="88" spans="3:10" x14ac:dyDescent="0.25">
      <c r="C88" s="110" t="str">
        <f>'Billing Detail'!C223</f>
        <v>LIS6</v>
      </c>
      <c r="D88" s="109" t="str">
        <f>'Billing Detail'!B223</f>
        <v>Large Industrial Service (6)</v>
      </c>
      <c r="J88" s="6"/>
    </row>
    <row r="89" spans="3:10" x14ac:dyDescent="0.25">
      <c r="C89" s="110"/>
      <c r="D89" s="109"/>
      <c r="E89" s="2" t="str">
        <f>'Billing Detail'!D224</f>
        <v>Customer Charge</v>
      </c>
      <c r="F89" s="82">
        <f>'Billing Detail'!H224</f>
        <v>1221.76</v>
      </c>
      <c r="G89" s="82">
        <f>'Billing Detail'!L224</f>
        <v>1270.68</v>
      </c>
      <c r="J89" s="6">
        <f t="shared" si="3"/>
        <v>4.0040597171293824E-2</v>
      </c>
    </row>
    <row r="90" spans="3:10" x14ac:dyDescent="0.25">
      <c r="C90" s="110"/>
      <c r="D90" s="109"/>
      <c r="E90" s="2" t="str">
        <f>'Billing Detail'!D225</f>
        <v>Energy Charge per kWh</v>
      </c>
      <c r="F90" s="86">
        <f>'Billing Detail'!H225</f>
        <v>4.1050000000000003E-2</v>
      </c>
      <c r="G90" s="86">
        <f>'Billing Detail'!L225</f>
        <v>4.2689999999999999E-2</v>
      </c>
      <c r="J90" s="6">
        <f t="shared" si="3"/>
        <v>3.9951278928136214E-2</v>
      </c>
    </row>
    <row r="91" spans="3:10" x14ac:dyDescent="0.25">
      <c r="C91" s="110"/>
      <c r="D91" s="109"/>
      <c r="E91" s="2" t="str">
        <f>'Billing Detail'!D226</f>
        <v>Demand Charge - Contract per kW</v>
      </c>
      <c r="F91" s="82">
        <f>'Billing Detail'!H226</f>
        <v>7.17</v>
      </c>
      <c r="G91" s="82">
        <f>'Billing Detail'!L226</f>
        <v>7.46</v>
      </c>
      <c r="J91" s="6">
        <f t="shared" si="3"/>
        <v>4.0446304044630343E-2</v>
      </c>
    </row>
    <row r="92" spans="3:10" x14ac:dyDescent="0.25">
      <c r="C92" s="110" t="str">
        <f>'Billing Detail'!C229</f>
        <v>LIS6B</v>
      </c>
      <c r="D92" s="109" t="str">
        <f>'Billing Detail'!B229</f>
        <v>Large Industrial Service (6B)</v>
      </c>
      <c r="J92" s="6"/>
    </row>
    <row r="93" spans="3:10" x14ac:dyDescent="0.25">
      <c r="C93" s="110"/>
      <c r="D93" s="109"/>
      <c r="E93" s="2" t="str">
        <f>'Billing Detail'!D230</f>
        <v>Customer Charge</v>
      </c>
      <c r="F93" s="82">
        <f>'Billing Detail'!H230</f>
        <v>1221.76</v>
      </c>
      <c r="G93" s="82">
        <f>'Billing Detail'!L230</f>
        <v>1270.68</v>
      </c>
      <c r="J93" s="6">
        <f t="shared" si="3"/>
        <v>4.0040597171293824E-2</v>
      </c>
    </row>
    <row r="94" spans="3:10" x14ac:dyDescent="0.25">
      <c r="C94" s="110"/>
      <c r="D94" s="109"/>
      <c r="E94" s="2" t="str">
        <f>'Billing Detail'!D231</f>
        <v>Energy Charge per kWh</v>
      </c>
      <c r="F94" s="86">
        <f>'Billing Detail'!H231</f>
        <v>4.1050000000000003E-2</v>
      </c>
      <c r="G94" s="86">
        <f>'Billing Detail'!L231</f>
        <v>4.2689999999999999E-2</v>
      </c>
      <c r="J94" s="6">
        <f t="shared" si="3"/>
        <v>3.9951278928136214E-2</v>
      </c>
    </row>
    <row r="95" spans="3:10" x14ac:dyDescent="0.25">
      <c r="C95" s="110"/>
      <c r="D95" s="109"/>
      <c r="E95" s="2" t="str">
        <f>'Billing Detail'!D232</f>
        <v>Demand Charge - Contract per kW</v>
      </c>
      <c r="F95" s="82">
        <f>'Billing Detail'!H232</f>
        <v>7.17</v>
      </c>
      <c r="G95" s="82">
        <f>'Billing Detail'!L232</f>
        <v>7.46</v>
      </c>
      <c r="J95" s="6">
        <f t="shared" si="3"/>
        <v>4.0446304044630343E-2</v>
      </c>
    </row>
    <row r="96" spans="3:10" x14ac:dyDescent="0.25">
      <c r="C96" s="110"/>
      <c r="D96" s="109"/>
      <c r="E96" s="2" t="str">
        <f>'Billing Detail'!D233</f>
        <v>Demand Charge - Excess per kW</v>
      </c>
      <c r="F96" s="82">
        <f>'Billing Detail'!H233</f>
        <v>9.98</v>
      </c>
      <c r="G96" s="82">
        <f>'Billing Detail'!L233</f>
        <v>10.38</v>
      </c>
      <c r="J96" s="6">
        <f t="shared" si="3"/>
        <v>4.0080160320641323E-2</v>
      </c>
    </row>
    <row r="97" spans="3:10" x14ac:dyDescent="0.25">
      <c r="C97" s="110" t="str">
        <f>'Billing Detail'!C235</f>
        <v>RSP-TOD</v>
      </c>
      <c r="D97" s="109" t="str">
        <f>'Billing Detail'!B235</f>
        <v>Residential &amp; Small Power Time of Day (TOD)</v>
      </c>
      <c r="F97" s="82"/>
      <c r="G97" s="82"/>
      <c r="J97" s="6"/>
    </row>
    <row r="98" spans="3:10" x14ac:dyDescent="0.25">
      <c r="D98" s="2"/>
      <c r="E98" s="2" t="str">
        <f>'Billing Detail'!D236</f>
        <v>Customer Charge</v>
      </c>
      <c r="F98" s="82">
        <f>'Billing Detail'!H236</f>
        <v>18.36</v>
      </c>
      <c r="G98" s="82">
        <f>'Billing Detail'!L236</f>
        <v>18.990259399756468</v>
      </c>
      <c r="J98" s="6">
        <f t="shared" si="3"/>
        <v>3.4327854017236925E-2</v>
      </c>
    </row>
    <row r="99" spans="3:10" x14ac:dyDescent="0.25">
      <c r="C99" s="110"/>
      <c r="D99" s="109"/>
      <c r="E99" s="2" t="str">
        <f>'Billing Detail'!D237</f>
        <v>Energy Charge On Peak per kWh</v>
      </c>
      <c r="F99" s="113">
        <f>'Billing Detail'!H237</f>
        <v>0.12114</v>
      </c>
      <c r="G99" s="113">
        <f>'Billing Detail'!L237</f>
        <v>0.12529847623564808</v>
      </c>
      <c r="J99" s="6">
        <f t="shared" si="3"/>
        <v>3.4327854017236925E-2</v>
      </c>
    </row>
    <row r="100" spans="3:10" x14ac:dyDescent="0.25">
      <c r="C100" s="110"/>
      <c r="D100" s="109"/>
      <c r="E100" s="2" t="str">
        <f>'Billing Detail'!D238</f>
        <v>Energy Charge Off Peak per kWh</v>
      </c>
      <c r="F100" s="113">
        <f>'Billing Detail'!H238</f>
        <v>5.5939999999999997E-2</v>
      </c>
      <c r="G100" s="113">
        <f>'Billing Detail'!L238</f>
        <v>5.7860300153724231E-2</v>
      </c>
      <c r="J100" s="6">
        <f t="shared" si="3"/>
        <v>3.4327854017236925E-2</v>
      </c>
    </row>
    <row r="101" spans="3:10" x14ac:dyDescent="0.25">
      <c r="C101" s="110"/>
      <c r="D101" s="109"/>
      <c r="F101" s="82"/>
      <c r="G101" s="82"/>
      <c r="J101" s="6"/>
    </row>
    <row r="104" spans="3:10" ht="43.2" customHeight="1" x14ac:dyDescent="0.25">
      <c r="C104" s="165" t="s">
        <v>132</v>
      </c>
      <c r="D104" s="165"/>
      <c r="E104" s="165"/>
      <c r="F104" s="165"/>
      <c r="G104" s="165"/>
    </row>
    <row r="105" spans="3:10" x14ac:dyDescent="0.25">
      <c r="C105" s="4"/>
      <c r="D105" s="2"/>
      <c r="F105" s="166" t="s">
        <v>133</v>
      </c>
      <c r="G105" s="166"/>
    </row>
    <row r="106" spans="3:10" x14ac:dyDescent="0.25">
      <c r="C106" s="91" t="s">
        <v>90</v>
      </c>
      <c r="D106" s="92"/>
      <c r="E106" s="93"/>
      <c r="F106" s="94" t="s">
        <v>134</v>
      </c>
      <c r="G106" s="94" t="s">
        <v>135</v>
      </c>
    </row>
    <row r="107" spans="3:10" x14ac:dyDescent="0.25">
      <c r="C107" s="95" t="str">
        <f>Summary!C11</f>
        <v>RSP</v>
      </c>
      <c r="D107" s="2" t="str">
        <f>Summary!B11</f>
        <v>Residential &amp; Small Power (1)</v>
      </c>
      <c r="F107" s="96">
        <f>Summary!L11</f>
        <v>1166480.4648000002</v>
      </c>
      <c r="G107" s="97">
        <f>Summary!N11</f>
        <v>4.0663821082096416E-2</v>
      </c>
    </row>
    <row r="108" spans="3:10" x14ac:dyDescent="0.25">
      <c r="C108" s="95" t="str">
        <f>Summary!C12</f>
        <v>ETS</v>
      </c>
      <c r="D108" s="2" t="str">
        <f>Summary!B12</f>
        <v>Residential &amp; Small Power ETS (11)</v>
      </c>
      <c r="F108" s="96">
        <f>Summary!L12</f>
        <v>630.27719999999863</v>
      </c>
      <c r="G108" s="97">
        <f>Summary!N12</f>
        <v>4.0663821082096416E-2</v>
      </c>
    </row>
    <row r="109" spans="3:10" x14ac:dyDescent="0.25">
      <c r="C109" s="95" t="str">
        <f>Summary!C13</f>
        <v>RSP-IB</v>
      </c>
      <c r="D109" s="2" t="str">
        <f>Summary!B13</f>
        <v>Inclining Block Rate (8)</v>
      </c>
      <c r="F109" s="96">
        <f>Summary!L13</f>
        <v>2476.3970800000025</v>
      </c>
      <c r="G109" s="97">
        <f>Summary!N13</f>
        <v>3.6923941266293031E-2</v>
      </c>
    </row>
    <row r="110" spans="3:10" x14ac:dyDescent="0.25">
      <c r="C110" s="95" t="str">
        <f>Summary!C14</f>
        <v>SGS</v>
      </c>
      <c r="D110" s="2" t="str">
        <f>Summary!B14</f>
        <v>Small General Service (2)</v>
      </c>
      <c r="F110" s="96">
        <f>Summary!L14</f>
        <v>70645.533699999563</v>
      </c>
      <c r="G110" s="97">
        <f>Summary!N14</f>
        <v>3.8309559093111442E-2</v>
      </c>
    </row>
    <row r="111" spans="3:10" x14ac:dyDescent="0.25">
      <c r="C111" s="95" t="str">
        <f>Summary!C15</f>
        <v>LGS</v>
      </c>
      <c r="D111" s="2" t="str">
        <f>Summary!B15</f>
        <v>Large General Service (3)</v>
      </c>
      <c r="F111" s="96">
        <f>Summary!L15</f>
        <v>300486.43457999825</v>
      </c>
      <c r="G111" s="97">
        <f>Summary!N15</f>
        <v>3.9159770540573229E-2</v>
      </c>
    </row>
    <row r="112" spans="3:10" x14ac:dyDescent="0.25">
      <c r="C112" s="95" t="str">
        <f>Summary!C16</f>
        <v>AES</v>
      </c>
      <c r="D112" s="2" t="str">
        <f>Summary!B16</f>
        <v>All Electric School (4)</v>
      </c>
      <c r="F112" s="96">
        <f>Summary!L16</f>
        <v>1827.0496000000057</v>
      </c>
      <c r="G112" s="97">
        <f>Summary!N16</f>
        <v>3.8735987493827125E-2</v>
      </c>
    </row>
    <row r="113" spans="3:8" x14ac:dyDescent="0.25">
      <c r="C113" s="95" t="str">
        <f>Summary!C17</f>
        <v>Contract</v>
      </c>
      <c r="D113" s="2" t="str">
        <f>Summary!B17</f>
        <v>Tennessee Gas</v>
      </c>
      <c r="F113" s="96">
        <f>Summary!L17</f>
        <v>0</v>
      </c>
      <c r="G113" s="97">
        <f>Summary!N17</f>
        <v>0</v>
      </c>
    </row>
    <row r="114" spans="3:8" x14ac:dyDescent="0.25">
      <c r="C114" s="95" t="str">
        <f>Summary!C18</f>
        <v>LIS7</v>
      </c>
      <c r="D114" s="2" t="str">
        <f>Summary!B18</f>
        <v>Large Industrial Service (7)</v>
      </c>
      <c r="F114" s="96">
        <f>Summary!L18</f>
        <v>141263.26979999943</v>
      </c>
      <c r="G114" s="97">
        <f>Summary!N18</f>
        <v>3.8545464947483239E-2</v>
      </c>
    </row>
    <row r="115" spans="3:8" x14ac:dyDescent="0.25">
      <c r="C115" s="95" t="str">
        <f>Summary!C19</f>
        <v>LIS1</v>
      </c>
      <c r="D115" s="2" t="str">
        <f>Summary!B19</f>
        <v>Large Industrial Service (1)</v>
      </c>
      <c r="F115" s="96">
        <f>Summary!L19</f>
        <v>53927.395295999944</v>
      </c>
      <c r="G115" s="97">
        <f>Summary!N19</f>
        <v>3.4760320844276819E-2</v>
      </c>
    </row>
    <row r="116" spans="3:8" x14ac:dyDescent="0.25">
      <c r="C116" s="95" t="str">
        <f>Summary!C20</f>
        <v>OL</v>
      </c>
      <c r="D116" s="2" t="str">
        <f>Summary!B20</f>
        <v>Lighting</v>
      </c>
      <c r="F116" s="96">
        <f>Summary!L20</f>
        <v>39033.249999999884</v>
      </c>
      <c r="G116" s="97">
        <f>Summary!N20</f>
        <v>4.0022158720489212E-2</v>
      </c>
    </row>
    <row r="117" spans="3:8" x14ac:dyDescent="0.25">
      <c r="C117" s="95" t="str">
        <f>Summary!C23</f>
        <v>Special</v>
      </c>
      <c r="D117" s="2" t="str">
        <f>Summary!B23</f>
        <v>Special Contract - EKPC Rate G</v>
      </c>
      <c r="F117" s="96">
        <f>Summary!L23</f>
        <v>348402.46603899822</v>
      </c>
      <c r="G117" s="97">
        <f>Summary!N23</f>
        <v>2.6110257719325528E-2</v>
      </c>
    </row>
    <row r="118" spans="3:8" x14ac:dyDescent="0.25">
      <c r="C118" s="95" t="str">
        <f>Summary!C24</f>
        <v>LIS7</v>
      </c>
      <c r="D118" s="2" t="str">
        <f>Summary!B24</f>
        <v>Steam</v>
      </c>
      <c r="F118" s="96">
        <f>Summary!L24</f>
        <v>284641.00834041648</v>
      </c>
      <c r="G118" s="97">
        <f>Summary!N24</f>
        <v>2.7362827098122391E-2</v>
      </c>
    </row>
    <row r="119" spans="3:8" x14ac:dyDescent="0.25">
      <c r="C119" s="98" t="s">
        <v>136</v>
      </c>
      <c r="D119" s="99"/>
      <c r="E119" s="99"/>
      <c r="F119" s="100">
        <f>Summary!L35</f>
        <v>2409813.5464354306</v>
      </c>
      <c r="G119" s="101">
        <f>Summary!N35</f>
        <v>3.2721142091221581E-2</v>
      </c>
    </row>
    <row r="120" spans="3:8" x14ac:dyDescent="0.25">
      <c r="C120" s="4"/>
      <c r="D120" s="2"/>
    </row>
    <row r="121" spans="3:8" ht="41.4" customHeight="1" x14ac:dyDescent="0.25">
      <c r="C121" s="165" t="s">
        <v>137</v>
      </c>
      <c r="D121" s="165"/>
      <c r="E121" s="165"/>
      <c r="F121" s="165"/>
      <c r="G121" s="165"/>
      <c r="H121" s="165"/>
    </row>
    <row r="122" spans="3:8" x14ac:dyDescent="0.25">
      <c r="C122" s="4"/>
      <c r="D122" s="2"/>
      <c r="E122" s="102" t="s">
        <v>19</v>
      </c>
      <c r="F122" s="166" t="s">
        <v>133</v>
      </c>
      <c r="G122" s="166"/>
    </row>
    <row r="123" spans="3:8" x14ac:dyDescent="0.25">
      <c r="C123" s="91" t="s">
        <v>90</v>
      </c>
      <c r="D123" s="93"/>
      <c r="E123" s="103" t="s">
        <v>138</v>
      </c>
      <c r="F123" s="94" t="s">
        <v>134</v>
      </c>
      <c r="G123" s="94" t="s">
        <v>135</v>
      </c>
    </row>
    <row r="124" spans="3:8" x14ac:dyDescent="0.25">
      <c r="C124" s="2" t="str">
        <f>'Billing Detail'!C7</f>
        <v>RSP</v>
      </c>
      <c r="D124" s="4" t="str">
        <f>'Billing Detail'!B7</f>
        <v>Residential &amp; Small Power (1)</v>
      </c>
      <c r="E124" s="115">
        <f>'Billing Detail'!E17</f>
        <v>1075.9584080514894</v>
      </c>
      <c r="F124" s="106">
        <f>'Billing Detail'!N17</f>
        <v>4.053826489845278</v>
      </c>
      <c r="G124" s="6">
        <f>'Billing Detail'!O17</f>
        <v>3.8145881776840855E-2</v>
      </c>
    </row>
    <row r="125" spans="3:8" x14ac:dyDescent="0.25">
      <c r="C125" s="4" t="str">
        <f>'Billing Detail'!C19</f>
        <v>ETS</v>
      </c>
      <c r="D125" s="104" t="str">
        <f>'Billing Detail'!B19</f>
        <v>Residential &amp; Small Power ETS (11)</v>
      </c>
      <c r="E125" s="107" t="s">
        <v>139</v>
      </c>
      <c r="F125" s="108" t="s">
        <v>139</v>
      </c>
      <c r="G125" s="6">
        <f>'Billing Detail'!O27</f>
        <v>4.0663821082096416E-2</v>
      </c>
    </row>
    <row r="126" spans="3:8" x14ac:dyDescent="0.25">
      <c r="C126" s="4" t="str">
        <f>'Billing Detail'!C30</f>
        <v>RSP-IB</v>
      </c>
      <c r="D126" s="104" t="str">
        <f>'Billing Detail'!B30</f>
        <v>Inclining Block Rate (8)</v>
      </c>
      <c r="E126" s="115">
        <f>'Billing Detail'!E42</f>
        <v>185.11547238703787</v>
      </c>
      <c r="F126" s="106">
        <f>'Billing Detail'!N42</f>
        <v>1.1302588224554988</v>
      </c>
      <c r="G126" s="6">
        <f>'Billing Detail'!O42</f>
        <v>3.6923941266293073E-2</v>
      </c>
    </row>
    <row r="127" spans="3:8" x14ac:dyDescent="0.25">
      <c r="C127" s="4" t="str">
        <f>'Billing Detail'!C44</f>
        <v>SGS</v>
      </c>
      <c r="D127" s="104" t="str">
        <f>'Billing Detail'!B44</f>
        <v>Small General Service (2)</v>
      </c>
      <c r="E127" s="115">
        <f>'Billing Detail'!E55</f>
        <v>6367.2911574406899</v>
      </c>
      <c r="F127" s="106">
        <f>'Billing Detail'!N55</f>
        <v>25.393793565779902</v>
      </c>
      <c r="G127" s="6">
        <f>'Billing Detail'!O55</f>
        <v>3.8309559093111505E-2</v>
      </c>
    </row>
    <row r="128" spans="3:8" x14ac:dyDescent="0.25">
      <c r="C128" s="4" t="str">
        <f>'Billing Detail'!C57</f>
        <v>LGS</v>
      </c>
      <c r="D128" s="104" t="str">
        <f>'Billing Detail'!B57</f>
        <v>Large General Service (3)</v>
      </c>
      <c r="E128" s="115">
        <f>'Billing Detail'!E68</f>
        <v>55874.905093833782</v>
      </c>
      <c r="F128" s="106">
        <f>'Billing Detail'!N68</f>
        <v>161.11873167828344</v>
      </c>
      <c r="G128" s="6">
        <f>'Billing Detail'!O68</f>
        <v>3.9159770540573277E-2</v>
      </c>
    </row>
    <row r="129" spans="3:7" x14ac:dyDescent="0.25">
      <c r="C129" s="4" t="str">
        <f>'Billing Detail'!C70</f>
        <v>AES</v>
      </c>
      <c r="D129" s="104" t="str">
        <f>'Billing Detail'!B70</f>
        <v>All Electric School (4)</v>
      </c>
      <c r="E129" s="115">
        <f>'Billing Detail'!E80</f>
        <v>15237.777777777777</v>
      </c>
      <c r="F129" s="106">
        <f>'Billing Detail'!N80</f>
        <v>50.751377777778089</v>
      </c>
      <c r="G129" s="6">
        <f>'Billing Detail'!O80</f>
        <v>3.8735987493827242E-2</v>
      </c>
    </row>
    <row r="130" spans="3:7" x14ac:dyDescent="0.25">
      <c r="C130" s="4" t="str">
        <f>'Billing Detail'!C82</f>
        <v>Contract</v>
      </c>
      <c r="D130" s="104" t="str">
        <f>'Billing Detail'!B82</f>
        <v>Tennessee Gas</v>
      </c>
      <c r="E130" s="115">
        <f>'Billing Detail'!E93</f>
        <v>7872113.333333333</v>
      </c>
      <c r="F130" s="106">
        <f>'Billing Detail'!N93</f>
        <v>0</v>
      </c>
      <c r="G130" s="6">
        <f>'Billing Detail'!O93</f>
        <v>0</v>
      </c>
    </row>
    <row r="131" spans="3:7" x14ac:dyDescent="0.25">
      <c r="C131" s="4" t="str">
        <f>'Billing Detail'!C95</f>
        <v>LIS7</v>
      </c>
      <c r="D131" s="104" t="str">
        <f>'Billing Detail'!B95</f>
        <v>Large Industrial Service (7)</v>
      </c>
      <c r="E131" s="115">
        <f>'Billing Detail'!E106</f>
        <v>5375807.916666667</v>
      </c>
      <c r="F131" s="106">
        <f>'Billing Detail'!N106</f>
        <v>11771.939149999953</v>
      </c>
      <c r="G131" s="6">
        <f>'Billing Detail'!O106</f>
        <v>3.8545464947483239E-2</v>
      </c>
    </row>
    <row r="132" spans="3:7" x14ac:dyDescent="0.25">
      <c r="C132" s="4" t="str">
        <f>'Billing Detail'!C108</f>
        <v>LIS1</v>
      </c>
      <c r="D132" s="104" t="str">
        <f>'Billing Detail'!B108</f>
        <v>Large Industrial Service (1)</v>
      </c>
      <c r="E132" s="115">
        <f>'Billing Detail'!E119</f>
        <v>1840149.8</v>
      </c>
      <c r="F132" s="106">
        <f>'Billing Detail'!N119</f>
        <v>4493.9496080000099</v>
      </c>
      <c r="G132" s="6">
        <f>'Billing Detail'!O119</f>
        <v>3.476032084427693E-2</v>
      </c>
    </row>
    <row r="133" spans="3:7" x14ac:dyDescent="0.25">
      <c r="C133" s="4" t="str">
        <f>'Billing Detail'!C121</f>
        <v>OL</v>
      </c>
      <c r="D133" s="104" t="str">
        <f>'Billing Detail'!B121</f>
        <v>Lighting</v>
      </c>
      <c r="E133" s="107" t="s">
        <v>139</v>
      </c>
      <c r="F133" s="108" t="s">
        <v>139</v>
      </c>
      <c r="G133" s="6">
        <f>'Billing Detail'!O144</f>
        <v>4.0022158720489212E-2</v>
      </c>
    </row>
    <row r="134" spans="3:7" x14ac:dyDescent="0.25">
      <c r="C134" s="4" t="str">
        <f>'Billing Detail'!C146</f>
        <v>Special</v>
      </c>
      <c r="D134" s="104" t="str">
        <f>'Billing Detail'!B146</f>
        <v>Special Contract - EKPC Rate G</v>
      </c>
      <c r="E134" s="107">
        <f>'Billing Detail'!E157</f>
        <v>21334948.583333332</v>
      </c>
      <c r="F134" s="108">
        <f>'Billing Detail'!N157</f>
        <v>29033.538836583186</v>
      </c>
      <c r="G134" s="6">
        <f>'Billing Detail'!O157</f>
        <v>2.6110257719325528E-2</v>
      </c>
    </row>
    <row r="135" spans="3:7" x14ac:dyDescent="0.25">
      <c r="C135" s="4" t="str">
        <f>'Billing Detail'!C159</f>
        <v>Contract</v>
      </c>
      <c r="D135" s="104" t="str">
        <f>'Billing Detail'!B159</f>
        <v>Steam</v>
      </c>
      <c r="E135" s="107" t="s">
        <v>139</v>
      </c>
      <c r="F135" s="108">
        <f>'Billing Detail'!N169</f>
        <v>76.880922219789682</v>
      </c>
      <c r="G135" s="6">
        <f>'Billing Detail'!O169</f>
        <v>2.7362827098122343E-2</v>
      </c>
    </row>
    <row r="136" spans="3:7" x14ac:dyDescent="0.25">
      <c r="C136" s="4"/>
      <c r="D136" s="104"/>
      <c r="E136" s="105"/>
      <c r="F136" s="106"/>
      <c r="G136" s="6"/>
    </row>
    <row r="137" spans="3:7" x14ac:dyDescent="0.25">
      <c r="C137" s="4"/>
      <c r="D137" s="104"/>
      <c r="E137" s="105"/>
      <c r="F137" s="106"/>
      <c r="G137" s="6"/>
    </row>
    <row r="138" spans="3:7" x14ac:dyDescent="0.25">
      <c r="C138" s="4"/>
      <c r="D138" s="104"/>
      <c r="E138" s="105"/>
      <c r="F138" s="106"/>
      <c r="G138" s="6"/>
    </row>
    <row r="139" spans="3:7" x14ac:dyDescent="0.25">
      <c r="C139" s="4"/>
      <c r="D139" s="104"/>
      <c r="E139" s="105"/>
      <c r="F139" s="106"/>
      <c r="G139" s="6"/>
    </row>
    <row r="140" spans="3:7" x14ac:dyDescent="0.25">
      <c r="C140" s="4"/>
      <c r="D140" s="104"/>
      <c r="E140" s="105"/>
      <c r="F140" s="106"/>
      <c r="G140" s="6"/>
    </row>
    <row r="141" spans="3:7" x14ac:dyDescent="0.25">
      <c r="C141" s="4"/>
      <c r="D141" s="104"/>
      <c r="E141" s="105"/>
      <c r="F141" s="106"/>
      <c r="G141" s="6"/>
    </row>
    <row r="142" spans="3:7" x14ac:dyDescent="0.25">
      <c r="C142" s="4"/>
      <c r="D142" s="104"/>
      <c r="E142" s="105"/>
      <c r="F142" s="106"/>
      <c r="G142" s="6"/>
    </row>
    <row r="143" spans="3:7" x14ac:dyDescent="0.25">
      <c r="C143" s="4"/>
      <c r="D143" s="104"/>
      <c r="E143" s="107"/>
      <c r="F143" s="108"/>
      <c r="G143" s="6"/>
    </row>
    <row r="144" spans="3:7" x14ac:dyDescent="0.25">
      <c r="C144" s="4"/>
      <c r="D144" s="2"/>
      <c r="F144" s="85"/>
      <c r="G144" s="85"/>
    </row>
    <row r="145" spans="3:7" x14ac:dyDescent="0.25">
      <c r="C145" s="4"/>
      <c r="D145" s="2"/>
      <c r="F145" s="85"/>
      <c r="G145" s="85"/>
    </row>
    <row r="146" spans="3:7" x14ac:dyDescent="0.25">
      <c r="C146" s="4"/>
      <c r="D146" s="2"/>
      <c r="F146" s="85"/>
      <c r="G146" s="85"/>
    </row>
    <row r="147" spans="3:7" x14ac:dyDescent="0.25">
      <c r="C147" s="4"/>
      <c r="D147" s="2"/>
      <c r="F147" s="85"/>
      <c r="G147" s="85"/>
    </row>
    <row r="148" spans="3:7" x14ac:dyDescent="0.25">
      <c r="C148" s="4"/>
      <c r="D148" s="2"/>
      <c r="F148" s="85"/>
      <c r="G148" s="85"/>
    </row>
  </sheetData>
  <mergeCells count="4">
    <mergeCell ref="C104:G104"/>
    <mergeCell ref="F105:G105"/>
    <mergeCell ref="C121:H121"/>
    <mergeCell ref="F122:G122"/>
  </mergeCells>
  <printOptions horizontalCentered="1"/>
  <pageMargins left="0.7" right="0.7" top="0.75" bottom="0.75" header="0.3" footer="0.3"/>
  <pageSetup paperSize="9" scale="81" fitToHeight="2" orientation="portrait" r:id="rId1"/>
  <headerFooter>
    <oddHeader>&amp;R&amp;"Arial,Bold"&amp;10Exhibit 2
Page &amp;P of &amp;N</oddHeader>
  </headerFooter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2021-07-27T12:40:36Z</cp:lastPrinted>
  <dcterms:created xsi:type="dcterms:W3CDTF">2021-02-09T02:13:44Z</dcterms:created>
  <dcterms:modified xsi:type="dcterms:W3CDTF">2021-07-27T12:40:41Z</dcterms:modified>
</cp:coreProperties>
</file>