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w\Documents\CATALYST Consulting\Clients\EKPC\A_EKPC 2021 Rate Case - PassThru Cases\Farmers\Analysis\"/>
    </mc:Choice>
  </mc:AlternateContent>
  <xr:revisionPtr revIDLastSave="0" documentId="13_ncr:1_{106C8E26-5E48-4C3D-976B-6127390581B6}" xr6:coauthVersionLast="46" xr6:coauthVersionMax="46" xr10:uidLastSave="{00000000-0000-0000-0000-000000000000}"/>
  <bookViews>
    <workbookView xWindow="-108" yWindow="-108" windowWidth="23256" windowHeight="12576" xr2:uid="{5A56C961-47FC-4CB4-AEDD-3C6FC9A16749}"/>
  </bookViews>
  <sheets>
    <sheet name="Summary" sheetId="2" r:id="rId1"/>
    <sheet name="Billing Detail" sheetId="1" r:id="rId2"/>
    <sheet name="Notice Table" sheetId="3" r:id="rId3"/>
    <sheet name="Notes" sheetId="4" r:id="rId4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Detail'!$A$1:$R$232</definedName>
    <definedName name="_xlnm.Print_Area" localSheetId="2">'Notice Table'!$A$1:$G$64</definedName>
    <definedName name="_xlnm.Print_Area" localSheetId="0">Summary!$A$1:$O$38</definedName>
    <definedName name="_xlnm.Print_Titles" localSheetId="1">'Billing Detail'!$1:$5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4" i="1" l="1"/>
  <c r="I184" i="1"/>
  <c r="G184" i="1"/>
  <c r="E184" i="1"/>
  <c r="E45" i="3"/>
  <c r="F45" i="3"/>
  <c r="G45" i="3"/>
  <c r="E46" i="3"/>
  <c r="F46" i="3"/>
  <c r="G46" i="3"/>
  <c r="E47" i="3"/>
  <c r="F47" i="3"/>
  <c r="G47" i="3"/>
  <c r="J47" i="3" s="1"/>
  <c r="T174" i="1"/>
  <c r="T173" i="1"/>
  <c r="I174" i="1"/>
  <c r="G174" i="1"/>
  <c r="I173" i="1"/>
  <c r="O173" i="1" s="1"/>
  <c r="G173" i="1"/>
  <c r="F99" i="3"/>
  <c r="G12" i="1"/>
  <c r="G11" i="1"/>
  <c r="E9" i="1"/>
  <c r="E8" i="1"/>
  <c r="J173" i="1" l="1"/>
  <c r="G9" i="2" l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8" i="2"/>
  <c r="E107" i="3"/>
  <c r="E95" i="3"/>
  <c r="E196" i="1"/>
  <c r="E106" i="3"/>
  <c r="E170" i="1"/>
  <c r="E105" i="3" s="1"/>
  <c r="E156" i="1"/>
  <c r="E104" i="3" s="1"/>
  <c r="E143" i="1"/>
  <c r="E103" i="3" s="1"/>
  <c r="E130" i="1"/>
  <c r="E102" i="3" s="1"/>
  <c r="E117" i="1"/>
  <c r="E101" i="3" s="1"/>
  <c r="E104" i="1"/>
  <c r="E100" i="3" s="1"/>
  <c r="E79" i="1"/>
  <c r="E98" i="3" s="1"/>
  <c r="E67" i="1"/>
  <c r="E97" i="3" s="1"/>
  <c r="E55" i="1"/>
  <c r="E96" i="3" s="1"/>
  <c r="E43" i="1"/>
  <c r="E30" i="1"/>
  <c r="E17" i="1"/>
  <c r="E93" i="3" s="1"/>
  <c r="G99" i="3"/>
  <c r="F77" i="3"/>
  <c r="G77" i="3"/>
  <c r="E52" i="3" l="1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F51" i="3"/>
  <c r="E51" i="3"/>
  <c r="C50" i="3"/>
  <c r="D50" i="3"/>
  <c r="F49" i="3"/>
  <c r="E49" i="3"/>
  <c r="C48" i="3"/>
  <c r="D48" i="3"/>
  <c r="F44" i="3"/>
  <c r="E44" i="3"/>
  <c r="C43" i="3"/>
  <c r="D43" i="3"/>
  <c r="E40" i="3"/>
  <c r="F40" i="3"/>
  <c r="E41" i="3"/>
  <c r="F41" i="3"/>
  <c r="E42" i="3"/>
  <c r="F42" i="3"/>
  <c r="F39" i="3"/>
  <c r="E39" i="3"/>
  <c r="C38" i="3"/>
  <c r="D38" i="3"/>
  <c r="E36" i="3"/>
  <c r="F36" i="3"/>
  <c r="E37" i="3"/>
  <c r="F37" i="3"/>
  <c r="F35" i="3"/>
  <c r="E35" i="3"/>
  <c r="C34" i="3"/>
  <c r="D34" i="3"/>
  <c r="E32" i="3"/>
  <c r="F32" i="3"/>
  <c r="E33" i="3"/>
  <c r="F33" i="3"/>
  <c r="F31" i="3"/>
  <c r="E31" i="3"/>
  <c r="C30" i="3"/>
  <c r="D30" i="3"/>
  <c r="E28" i="3"/>
  <c r="F28" i="3"/>
  <c r="E29" i="3"/>
  <c r="F29" i="3"/>
  <c r="F27" i="3"/>
  <c r="E27" i="3"/>
  <c r="C26" i="3"/>
  <c r="D26" i="3"/>
  <c r="E24" i="3"/>
  <c r="F24" i="3"/>
  <c r="E25" i="3"/>
  <c r="F25" i="3"/>
  <c r="F23" i="3"/>
  <c r="E23" i="3"/>
  <c r="C22" i="3"/>
  <c r="D22" i="3"/>
  <c r="F21" i="3"/>
  <c r="E21" i="3"/>
  <c r="C20" i="3"/>
  <c r="D20" i="3"/>
  <c r="E19" i="3"/>
  <c r="F19" i="3"/>
  <c r="F18" i="3"/>
  <c r="E18" i="3"/>
  <c r="C17" i="3"/>
  <c r="D17" i="3"/>
  <c r="F16" i="3"/>
  <c r="E16" i="3"/>
  <c r="C15" i="3"/>
  <c r="D15" i="3"/>
  <c r="E14" i="3"/>
  <c r="E13" i="3"/>
  <c r="C12" i="3"/>
  <c r="D12" i="3"/>
  <c r="E10" i="3"/>
  <c r="F10" i="3"/>
  <c r="E11" i="3"/>
  <c r="F11" i="3"/>
  <c r="F9" i="3"/>
  <c r="E9" i="3"/>
  <c r="C8" i="3"/>
  <c r="D8" i="3"/>
  <c r="E7" i="3"/>
  <c r="F7" i="3"/>
  <c r="F6" i="3"/>
  <c r="E6" i="3"/>
  <c r="C5" i="3"/>
  <c r="D5" i="3"/>
  <c r="N227" i="1"/>
  <c r="G227" i="1"/>
  <c r="G225" i="1"/>
  <c r="G224" i="1"/>
  <c r="A23" i="2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17" i="2"/>
  <c r="A18" i="2"/>
  <c r="A19" i="2" s="1"/>
  <c r="A20" i="2" s="1"/>
  <c r="A21" i="2" s="1"/>
  <c r="A22" i="2" s="1"/>
  <c r="R24" i="2"/>
  <c r="S15" i="2" l="1"/>
  <c r="S23" i="2"/>
  <c r="S16" i="2"/>
  <c r="S9" i="2"/>
  <c r="S17" i="2"/>
  <c r="S10" i="2"/>
  <c r="S18" i="2"/>
  <c r="S11" i="2"/>
  <c r="S19" i="2"/>
  <c r="S12" i="2"/>
  <c r="S20" i="2"/>
  <c r="S13" i="2"/>
  <c r="S21" i="2"/>
  <c r="S14" i="2"/>
  <c r="S22" i="2"/>
  <c r="S8" i="2"/>
  <c r="S24" i="2"/>
  <c r="F188" i="1" l="1"/>
  <c r="F175" i="1"/>
  <c r="F162" i="1"/>
  <c r="F161" i="1"/>
  <c r="F148" i="1"/>
  <c r="F135" i="1"/>
  <c r="F122" i="1"/>
  <c r="F109" i="1"/>
  <c r="F95" i="1"/>
  <c r="F83" i="1"/>
  <c r="F71" i="1"/>
  <c r="F59" i="1"/>
  <c r="F35" i="1"/>
  <c r="F34" i="1"/>
  <c r="F9" i="1"/>
  <c r="I134" i="1"/>
  <c r="I135" i="1"/>
  <c r="I121" i="1"/>
  <c r="I190" i="1"/>
  <c r="L22" i="1"/>
  <c r="C17" i="2"/>
  <c r="C18" i="2"/>
  <c r="C19" i="2"/>
  <c r="C20" i="2"/>
  <c r="C21" i="2"/>
  <c r="C22" i="2"/>
  <c r="B22" i="2"/>
  <c r="B21" i="2"/>
  <c r="B20" i="2"/>
  <c r="B19" i="2"/>
  <c r="B18" i="2"/>
  <c r="B17" i="2"/>
  <c r="C83" i="3" l="1"/>
  <c r="Q20" i="2"/>
  <c r="C105" i="3"/>
  <c r="D82" i="3"/>
  <c r="D104" i="3"/>
  <c r="Q18" i="2"/>
  <c r="C81" i="3"/>
  <c r="C103" i="3"/>
  <c r="C107" i="3"/>
  <c r="Q22" i="2"/>
  <c r="C85" i="3"/>
  <c r="Q19" i="2"/>
  <c r="C104" i="3"/>
  <c r="C82" i="3"/>
  <c r="C102" i="3"/>
  <c r="Q17" i="2"/>
  <c r="C80" i="3"/>
  <c r="D107" i="3"/>
  <c r="D85" i="3"/>
  <c r="C106" i="3"/>
  <c r="C84" i="3"/>
  <c r="Q21" i="2"/>
  <c r="D102" i="3"/>
  <c r="D80" i="3"/>
  <c r="D103" i="3"/>
  <c r="D81" i="3"/>
  <c r="D83" i="3"/>
  <c r="D105" i="3"/>
  <c r="D106" i="3"/>
  <c r="D84" i="3"/>
  <c r="M190" i="1"/>
  <c r="I178" i="1"/>
  <c r="M178" i="1" s="1"/>
  <c r="I164" i="1"/>
  <c r="M164" i="1" s="1"/>
  <c r="I150" i="1"/>
  <c r="M150" i="1" s="1"/>
  <c r="I137" i="1"/>
  <c r="M137" i="1" s="1"/>
  <c r="N137" i="1" s="1"/>
  <c r="I124" i="1"/>
  <c r="I111" i="1"/>
  <c r="I98" i="1"/>
  <c r="I85" i="1"/>
  <c r="I61" i="1"/>
  <c r="I24" i="1"/>
  <c r="I73" i="1"/>
  <c r="I49" i="1"/>
  <c r="I37" i="1"/>
  <c r="I11" i="1"/>
  <c r="I160" i="1"/>
  <c r="G160" i="1"/>
  <c r="G134" i="1"/>
  <c r="H47" i="1"/>
  <c r="H46" i="1"/>
  <c r="F13" i="3" s="1"/>
  <c r="H21" i="1"/>
  <c r="G194" i="1"/>
  <c r="I193" i="1"/>
  <c r="M193" i="1" s="1"/>
  <c r="I192" i="1"/>
  <c r="M192" i="1" s="1"/>
  <c r="N192" i="1" s="1"/>
  <c r="I191" i="1"/>
  <c r="M191" i="1" s="1"/>
  <c r="N191" i="1" s="1"/>
  <c r="I188" i="1"/>
  <c r="G188" i="1"/>
  <c r="I187" i="1"/>
  <c r="G187" i="1"/>
  <c r="G182" i="1"/>
  <c r="I181" i="1"/>
  <c r="M181" i="1" s="1"/>
  <c r="I180" i="1"/>
  <c r="M180" i="1" s="1"/>
  <c r="N180" i="1" s="1"/>
  <c r="I179" i="1"/>
  <c r="M179" i="1" s="1"/>
  <c r="N179" i="1" s="1"/>
  <c r="I176" i="1"/>
  <c r="G176" i="1"/>
  <c r="I175" i="1"/>
  <c r="G175" i="1"/>
  <c r="G168" i="1"/>
  <c r="I167" i="1"/>
  <c r="M167" i="1" s="1"/>
  <c r="I166" i="1"/>
  <c r="M166" i="1" s="1"/>
  <c r="N166" i="1" s="1"/>
  <c r="I165" i="1"/>
  <c r="M165" i="1" s="1"/>
  <c r="N165" i="1" s="1"/>
  <c r="I162" i="1"/>
  <c r="G162" i="1"/>
  <c r="I161" i="1"/>
  <c r="G161" i="1"/>
  <c r="I159" i="1"/>
  <c r="G159" i="1"/>
  <c r="G154" i="1"/>
  <c r="I153" i="1"/>
  <c r="M153" i="1" s="1"/>
  <c r="I152" i="1"/>
  <c r="M152" i="1" s="1"/>
  <c r="N152" i="1" s="1"/>
  <c r="I151" i="1"/>
  <c r="M151" i="1" s="1"/>
  <c r="N151" i="1" s="1"/>
  <c r="I148" i="1"/>
  <c r="G148" i="1"/>
  <c r="I147" i="1"/>
  <c r="G147" i="1"/>
  <c r="I146" i="1"/>
  <c r="G146" i="1"/>
  <c r="G141" i="1"/>
  <c r="I140" i="1"/>
  <c r="M140" i="1" s="1"/>
  <c r="I139" i="1"/>
  <c r="M139" i="1" s="1"/>
  <c r="N139" i="1" s="1"/>
  <c r="I138" i="1"/>
  <c r="M138" i="1" s="1"/>
  <c r="N138" i="1" s="1"/>
  <c r="G135" i="1"/>
  <c r="I133" i="1"/>
  <c r="G133" i="1"/>
  <c r="H26" i="2"/>
  <c r="F47" i="1" l="1"/>
  <c r="F14" i="3"/>
  <c r="F21" i="1"/>
  <c r="I224" i="1"/>
  <c r="G136" i="1"/>
  <c r="D18" i="2" s="1"/>
  <c r="I163" i="1"/>
  <c r="G163" i="1"/>
  <c r="G189" i="1"/>
  <c r="G149" i="1"/>
  <c r="G177" i="1"/>
  <c r="I141" i="1"/>
  <c r="N190" i="1"/>
  <c r="M194" i="1"/>
  <c r="I136" i="1"/>
  <c r="N164" i="1"/>
  <c r="M168" i="1"/>
  <c r="I182" i="1"/>
  <c r="I189" i="1"/>
  <c r="M141" i="1"/>
  <c r="N150" i="1"/>
  <c r="M154" i="1"/>
  <c r="I149" i="1"/>
  <c r="N178" i="1"/>
  <c r="M182" i="1"/>
  <c r="I194" i="1"/>
  <c r="I154" i="1"/>
  <c r="I168" i="1"/>
  <c r="I177" i="1"/>
  <c r="A1" i="3"/>
  <c r="G195" i="1" l="1"/>
  <c r="D22" i="2"/>
  <c r="G169" i="1"/>
  <c r="G170" i="1" s="1"/>
  <c r="D20" i="2"/>
  <c r="E19" i="2"/>
  <c r="T19" i="2" s="1"/>
  <c r="G183" i="1"/>
  <c r="D21" i="2"/>
  <c r="E20" i="2"/>
  <c r="T20" i="2" s="1"/>
  <c r="E21" i="2"/>
  <c r="T21" i="2" s="1"/>
  <c r="G155" i="1"/>
  <c r="G156" i="1" s="1"/>
  <c r="D19" i="2"/>
  <c r="G142" i="1"/>
  <c r="G143" i="1" s="1"/>
  <c r="E18" i="2"/>
  <c r="T18" i="2" s="1"/>
  <c r="J187" i="1"/>
  <c r="E22" i="2"/>
  <c r="T22" i="2" s="1"/>
  <c r="I169" i="1"/>
  <c r="I170" i="1" s="1"/>
  <c r="I142" i="1"/>
  <c r="I143" i="1" s="1"/>
  <c r="N194" i="1"/>
  <c r="O194" i="1" s="1"/>
  <c r="N141" i="1"/>
  <c r="N168" i="1"/>
  <c r="O168" i="1" s="1"/>
  <c r="J188" i="1"/>
  <c r="I155" i="1"/>
  <c r="I156" i="1" s="1"/>
  <c r="I183" i="1"/>
  <c r="N182" i="1"/>
  <c r="O182" i="1" s="1"/>
  <c r="N154" i="1"/>
  <c r="O154" i="1" s="1"/>
  <c r="I195" i="1"/>
  <c r="L36" i="2"/>
  <c r="G128" i="1"/>
  <c r="I127" i="1"/>
  <c r="M127" i="1" s="1"/>
  <c r="I126" i="1"/>
  <c r="M126" i="1" s="1"/>
  <c r="N126" i="1" s="1"/>
  <c r="I125" i="1"/>
  <c r="M125" i="1" s="1"/>
  <c r="N125" i="1" s="1"/>
  <c r="M124" i="1"/>
  <c r="I122" i="1"/>
  <c r="G122" i="1"/>
  <c r="G121" i="1"/>
  <c r="I120" i="1"/>
  <c r="G120" i="1"/>
  <c r="J177" i="1" l="1"/>
  <c r="J163" i="1"/>
  <c r="J189" i="1"/>
  <c r="J136" i="1"/>
  <c r="J149" i="1"/>
  <c r="G123" i="1"/>
  <c r="D17" i="2" s="1"/>
  <c r="I123" i="1"/>
  <c r="N124" i="1"/>
  <c r="M128" i="1"/>
  <c r="I128" i="1"/>
  <c r="E17" i="2" l="1"/>
  <c r="T17" i="2" s="1"/>
  <c r="G129" i="1"/>
  <c r="G130" i="1" s="1"/>
  <c r="I129" i="1"/>
  <c r="I130" i="1" s="1"/>
  <c r="N128" i="1"/>
  <c r="O128" i="1" s="1"/>
  <c r="J123" i="1" l="1"/>
  <c r="G87" i="1" l="1"/>
  <c r="G226" i="1" s="1"/>
  <c r="C13" i="2" l="1"/>
  <c r="B13" i="2"/>
  <c r="C11" i="2"/>
  <c r="I108" i="1"/>
  <c r="G108" i="1"/>
  <c r="I83" i="1"/>
  <c r="G83" i="1"/>
  <c r="I71" i="1"/>
  <c r="G71" i="1"/>
  <c r="Q11" i="2" l="1"/>
  <c r="C74" i="3"/>
  <c r="C96" i="3"/>
  <c r="D98" i="3"/>
  <c r="D76" i="3"/>
  <c r="C98" i="3"/>
  <c r="C76" i="3"/>
  <c r="Q13" i="2"/>
  <c r="I59" i="1"/>
  <c r="G59" i="1"/>
  <c r="I21" i="1"/>
  <c r="G21" i="1"/>
  <c r="I22" i="1"/>
  <c r="G22" i="1"/>
  <c r="G77" i="1" l="1"/>
  <c r="I76" i="1"/>
  <c r="M76" i="1" s="1"/>
  <c r="I75" i="1"/>
  <c r="M75" i="1" s="1"/>
  <c r="N75" i="1" s="1"/>
  <c r="I74" i="1"/>
  <c r="M74" i="1" s="1"/>
  <c r="N74" i="1" s="1"/>
  <c r="M73" i="1"/>
  <c r="I70" i="1"/>
  <c r="G70" i="1"/>
  <c r="I47" i="1"/>
  <c r="G47" i="1"/>
  <c r="I34" i="1"/>
  <c r="G34" i="1"/>
  <c r="I72" i="1" l="1"/>
  <c r="G72" i="1"/>
  <c r="N73" i="1"/>
  <c r="M77" i="1"/>
  <c r="I77" i="1"/>
  <c r="G78" i="1" l="1"/>
  <c r="G79" i="1" s="1"/>
  <c r="D13" i="2"/>
  <c r="E13" i="2"/>
  <c r="T13" i="2" s="1"/>
  <c r="I78" i="1"/>
  <c r="I79" i="1" s="1"/>
  <c r="N77" i="1"/>
  <c r="O77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5" i="1" l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174" i="1"/>
  <c r="J72" i="1"/>
  <c r="I64" i="1"/>
  <c r="M64" i="1" s="1"/>
  <c r="I63" i="1"/>
  <c r="M63" i="1" s="1"/>
  <c r="I62" i="1"/>
  <c r="M62" i="1" s="1"/>
  <c r="I114" i="1"/>
  <c r="M114" i="1" s="1"/>
  <c r="I112" i="1"/>
  <c r="M112" i="1" s="1"/>
  <c r="I101" i="1"/>
  <c r="M101" i="1" s="1"/>
  <c r="I100" i="1"/>
  <c r="I99" i="1"/>
  <c r="I88" i="1"/>
  <c r="M88" i="1" s="1"/>
  <c r="I87" i="1"/>
  <c r="I86" i="1"/>
  <c r="M86" i="1" s="1"/>
  <c r="I52" i="1"/>
  <c r="M52" i="1" s="1"/>
  <c r="I51" i="1"/>
  <c r="M51" i="1" s="1"/>
  <c r="I50" i="1"/>
  <c r="M50" i="1" s="1"/>
  <c r="I40" i="1"/>
  <c r="M40" i="1" s="1"/>
  <c r="I38" i="1"/>
  <c r="I27" i="1"/>
  <c r="M27" i="1" s="1"/>
  <c r="I26" i="1"/>
  <c r="M26" i="1" s="1"/>
  <c r="I25" i="1"/>
  <c r="M25" i="1" s="1"/>
  <c r="I14" i="1"/>
  <c r="I227" i="1" s="1"/>
  <c r="I13" i="1"/>
  <c r="I12" i="1"/>
  <c r="B32" i="2"/>
  <c r="I225" i="1" l="1"/>
  <c r="E32" i="2"/>
  <c r="M13" i="1"/>
  <c r="M12" i="1"/>
  <c r="M100" i="1"/>
  <c r="M14" i="1"/>
  <c r="M227" i="1" s="1"/>
  <c r="M99" i="1"/>
  <c r="M87" i="1"/>
  <c r="I28" i="1"/>
  <c r="I53" i="1"/>
  <c r="M38" i="1"/>
  <c r="G41" i="1"/>
  <c r="G115" i="1"/>
  <c r="I39" i="1"/>
  <c r="M39" i="1" s="1"/>
  <c r="I113" i="1"/>
  <c r="G15" i="1"/>
  <c r="G65" i="1"/>
  <c r="D32" i="2"/>
  <c r="G102" i="1"/>
  <c r="G89" i="1"/>
  <c r="G53" i="1"/>
  <c r="G28" i="1"/>
  <c r="I226" i="1" l="1"/>
  <c r="I228" i="1" s="1"/>
  <c r="J32" i="2"/>
  <c r="I102" i="1"/>
  <c r="I15" i="1"/>
  <c r="I65" i="1"/>
  <c r="I89" i="1"/>
  <c r="I115" i="1"/>
  <c r="M113" i="1"/>
  <c r="I41" i="1"/>
  <c r="I212" i="1"/>
  <c r="G212" i="1"/>
  <c r="I211" i="1"/>
  <c r="G211" i="1"/>
  <c r="I210" i="1"/>
  <c r="G210" i="1"/>
  <c r="I209" i="1"/>
  <c r="G209" i="1"/>
  <c r="I208" i="1"/>
  <c r="G208" i="1"/>
  <c r="I207" i="1"/>
  <c r="G207" i="1"/>
  <c r="I206" i="1"/>
  <c r="G206" i="1"/>
  <c r="I205" i="1"/>
  <c r="G205" i="1"/>
  <c r="I204" i="1"/>
  <c r="G204" i="1"/>
  <c r="I203" i="1"/>
  <c r="G203" i="1"/>
  <c r="I202" i="1"/>
  <c r="G202" i="1"/>
  <c r="I201" i="1"/>
  <c r="G201" i="1"/>
  <c r="I200" i="1"/>
  <c r="G200" i="1"/>
  <c r="E31" i="2" l="1"/>
  <c r="E30" i="2"/>
  <c r="D31" i="2"/>
  <c r="D30" i="2"/>
  <c r="C10" i="2"/>
  <c r="C14" i="2"/>
  <c r="C15" i="2"/>
  <c r="C16" i="2"/>
  <c r="C12" i="2"/>
  <c r="C23" i="2"/>
  <c r="B23" i="2"/>
  <c r="B12" i="2"/>
  <c r="B16" i="2"/>
  <c r="B15" i="2"/>
  <c r="B14" i="2"/>
  <c r="B11" i="2"/>
  <c r="B10" i="2"/>
  <c r="C9" i="2"/>
  <c r="C8" i="2"/>
  <c r="B9" i="2"/>
  <c r="B8" i="2"/>
  <c r="I96" i="1"/>
  <c r="G96" i="1"/>
  <c r="N87" i="1"/>
  <c r="N86" i="1"/>
  <c r="M85" i="1"/>
  <c r="N51" i="1"/>
  <c r="N50" i="1"/>
  <c r="M49" i="1"/>
  <c r="I46" i="1"/>
  <c r="G46" i="1"/>
  <c r="N26" i="1"/>
  <c r="N25" i="1"/>
  <c r="M24" i="1"/>
  <c r="I20" i="1"/>
  <c r="G20" i="1"/>
  <c r="N38" i="1"/>
  <c r="M37" i="1"/>
  <c r="I35" i="1"/>
  <c r="G35" i="1"/>
  <c r="I33" i="1"/>
  <c r="G33" i="1"/>
  <c r="N100" i="1"/>
  <c r="N99" i="1"/>
  <c r="M98" i="1"/>
  <c r="I95" i="1"/>
  <c r="G95" i="1"/>
  <c r="I94" i="1"/>
  <c r="G94" i="1"/>
  <c r="N113" i="1"/>
  <c r="N112" i="1"/>
  <c r="M111" i="1"/>
  <c r="I109" i="1"/>
  <c r="G109" i="1"/>
  <c r="I107" i="1"/>
  <c r="G107" i="1"/>
  <c r="N63" i="1"/>
  <c r="N62" i="1"/>
  <c r="M61" i="1"/>
  <c r="I58" i="1"/>
  <c r="G58" i="1"/>
  <c r="C75" i="3" l="1"/>
  <c r="Q12" i="2"/>
  <c r="C97" i="3"/>
  <c r="D74" i="3"/>
  <c r="D96" i="3"/>
  <c r="D99" i="3"/>
  <c r="D77" i="3"/>
  <c r="C100" i="3"/>
  <c r="C78" i="3"/>
  <c r="Q15" i="2"/>
  <c r="D100" i="3"/>
  <c r="D78" i="3"/>
  <c r="C99" i="3"/>
  <c r="C77" i="3"/>
  <c r="Q14" i="2"/>
  <c r="D93" i="3"/>
  <c r="D71" i="3"/>
  <c r="D94" i="3"/>
  <c r="D72" i="3"/>
  <c r="D101" i="3"/>
  <c r="D79" i="3"/>
  <c r="C93" i="3"/>
  <c r="C71" i="3"/>
  <c r="Q8" i="2"/>
  <c r="D108" i="3"/>
  <c r="D86" i="3"/>
  <c r="Q10" i="2"/>
  <c r="C73" i="3"/>
  <c r="C95" i="3"/>
  <c r="D75" i="3"/>
  <c r="D97" i="3"/>
  <c r="C72" i="3"/>
  <c r="C94" i="3"/>
  <c r="Q9" i="2"/>
  <c r="C108" i="3"/>
  <c r="C86" i="3"/>
  <c r="Q23" i="2"/>
  <c r="D73" i="3"/>
  <c r="D95" i="3"/>
  <c r="C79" i="3"/>
  <c r="C101" i="3"/>
  <c r="Q16" i="2"/>
  <c r="N24" i="1"/>
  <c r="M28" i="1"/>
  <c r="N61" i="1"/>
  <c r="M65" i="1"/>
  <c r="N111" i="1"/>
  <c r="M115" i="1"/>
  <c r="N98" i="1"/>
  <c r="M102" i="1"/>
  <c r="N85" i="1"/>
  <c r="M89" i="1"/>
  <c r="N49" i="1"/>
  <c r="M53" i="1"/>
  <c r="N37" i="1"/>
  <c r="M41" i="1"/>
  <c r="N41" i="1" s="1"/>
  <c r="O41" i="1" s="1"/>
  <c r="G228" i="1"/>
  <c r="E29" i="2"/>
  <c r="E33" i="2" s="1"/>
  <c r="G48" i="1"/>
  <c r="D11" i="2" s="1"/>
  <c r="D29" i="2"/>
  <c r="D33" i="2" s="1"/>
  <c r="G23" i="1"/>
  <c r="D9" i="2" s="1"/>
  <c r="G84" i="1"/>
  <c r="I84" i="1"/>
  <c r="I48" i="1"/>
  <c r="I23" i="1"/>
  <c r="G36" i="1"/>
  <c r="N39" i="1"/>
  <c r="I36" i="1"/>
  <c r="J35" i="1" s="1"/>
  <c r="G97" i="1"/>
  <c r="I60" i="1"/>
  <c r="G110" i="1"/>
  <c r="D16" i="2" s="1"/>
  <c r="I97" i="1"/>
  <c r="I110" i="1"/>
  <c r="G60" i="1"/>
  <c r="G199" i="1"/>
  <c r="I199" i="1"/>
  <c r="G218" i="1"/>
  <c r="M216" i="1"/>
  <c r="M226" i="1" s="1"/>
  <c r="M215" i="1"/>
  <c r="M225" i="1" s="1"/>
  <c r="M214" i="1"/>
  <c r="B30" i="2"/>
  <c r="B31" i="2"/>
  <c r="B29" i="2"/>
  <c r="M11" i="1"/>
  <c r="M224" i="1" s="1"/>
  <c r="I9" i="1"/>
  <c r="I8" i="1"/>
  <c r="G9" i="1"/>
  <c r="G8" i="1"/>
  <c r="A2" i="1"/>
  <c r="A1" i="1"/>
  <c r="A8" i="2"/>
  <c r="A9" i="2" s="1"/>
  <c r="A10" i="2" s="1"/>
  <c r="A11" i="2" s="1"/>
  <c r="A12" i="2" s="1"/>
  <c r="A13" i="2" s="1"/>
  <c r="A14" i="2" s="1"/>
  <c r="A15" i="2" s="1"/>
  <c r="M228" i="1" l="1"/>
  <c r="J83" i="1"/>
  <c r="O84" i="1"/>
  <c r="M15" i="1"/>
  <c r="N214" i="1"/>
  <c r="A16" i="2"/>
  <c r="J108" i="1"/>
  <c r="J21" i="1"/>
  <c r="J22" i="1"/>
  <c r="E11" i="2"/>
  <c r="T11" i="2" s="1"/>
  <c r="J47" i="1"/>
  <c r="N215" i="1"/>
  <c r="J109" i="1"/>
  <c r="N216" i="1"/>
  <c r="J31" i="2"/>
  <c r="J34" i="1"/>
  <c r="J59" i="1"/>
  <c r="J46" i="1"/>
  <c r="J107" i="1"/>
  <c r="J33" i="1"/>
  <c r="J58" i="1"/>
  <c r="J20" i="1"/>
  <c r="G54" i="1"/>
  <c r="G55" i="1" s="1"/>
  <c r="G29" i="1"/>
  <c r="G30" i="1" s="1"/>
  <c r="N12" i="1"/>
  <c r="N225" i="1" s="1"/>
  <c r="J30" i="2"/>
  <c r="N13" i="1"/>
  <c r="G90" i="1"/>
  <c r="D14" i="2"/>
  <c r="G42" i="1"/>
  <c r="G43" i="1" s="1"/>
  <c r="D10" i="2"/>
  <c r="I54" i="1"/>
  <c r="I55" i="1" s="1"/>
  <c r="G66" i="1"/>
  <c r="G67" i="1" s="1"/>
  <c r="D12" i="2"/>
  <c r="I66" i="1"/>
  <c r="I67" i="1" s="1"/>
  <c r="E12" i="2"/>
  <c r="T12" i="2" s="1"/>
  <c r="I42" i="1"/>
  <c r="I43" i="1" s="1"/>
  <c r="E10" i="2"/>
  <c r="T10" i="2" s="1"/>
  <c r="I103" i="1"/>
  <c r="I104" i="1" s="1"/>
  <c r="E15" i="2"/>
  <c r="T15" i="2" s="1"/>
  <c r="I116" i="1"/>
  <c r="I117" i="1" s="1"/>
  <c r="E16" i="2"/>
  <c r="T16" i="2" s="1"/>
  <c r="G116" i="1"/>
  <c r="G117" i="1" s="1"/>
  <c r="G103" i="1"/>
  <c r="G104" i="1" s="1"/>
  <c r="D15" i="2"/>
  <c r="I29" i="1"/>
  <c r="I30" i="1" s="1"/>
  <c r="E9" i="2"/>
  <c r="T9" i="2" s="1"/>
  <c r="I90" i="1"/>
  <c r="O90" i="1" s="1"/>
  <c r="E14" i="2"/>
  <c r="T14" i="2" s="1"/>
  <c r="N53" i="1"/>
  <c r="O53" i="1" s="1"/>
  <c r="N89" i="1"/>
  <c r="O89" i="1" s="1"/>
  <c r="N28" i="1"/>
  <c r="O28" i="1" s="1"/>
  <c r="N102" i="1"/>
  <c r="O102" i="1" s="1"/>
  <c r="N115" i="1"/>
  <c r="O115" i="1" s="1"/>
  <c r="N65" i="1"/>
  <c r="O65" i="1" s="1"/>
  <c r="G10" i="1"/>
  <c r="G223" i="1" s="1"/>
  <c r="I10" i="1"/>
  <c r="I223" i="1" s="1"/>
  <c r="I218" i="1"/>
  <c r="I213" i="1"/>
  <c r="G213" i="1"/>
  <c r="N11" i="1"/>
  <c r="N224" i="1" s="1"/>
  <c r="N228" i="1" l="1"/>
  <c r="N226" i="1"/>
  <c r="I229" i="1"/>
  <c r="D23" i="2"/>
  <c r="G229" i="1"/>
  <c r="J60" i="1"/>
  <c r="J110" i="1"/>
  <c r="J48" i="1"/>
  <c r="J29" i="2"/>
  <c r="J33" i="2" s="1"/>
  <c r="J36" i="1"/>
  <c r="E23" i="2"/>
  <c r="T23" i="2" s="1"/>
  <c r="J23" i="1"/>
  <c r="J97" i="1"/>
  <c r="J206" i="1"/>
  <c r="J210" i="1"/>
  <c r="J207" i="1"/>
  <c r="J204" i="1"/>
  <c r="J205" i="1"/>
  <c r="J211" i="1"/>
  <c r="J208" i="1"/>
  <c r="J212" i="1"/>
  <c r="J209" i="1"/>
  <c r="J203" i="1"/>
  <c r="J201" i="1"/>
  <c r="J202" i="1"/>
  <c r="J200" i="1"/>
  <c r="J84" i="1"/>
  <c r="G219" i="1"/>
  <c r="E8" i="2"/>
  <c r="G16" i="1"/>
  <c r="D8" i="2"/>
  <c r="J199" i="1"/>
  <c r="I219" i="1"/>
  <c r="M218" i="1"/>
  <c r="I16" i="1"/>
  <c r="I17" i="1" s="1"/>
  <c r="N15" i="1"/>
  <c r="T24" i="2" l="1"/>
  <c r="T8" i="2"/>
  <c r="D24" i="2"/>
  <c r="D26" i="2" s="1"/>
  <c r="D35" i="2" s="1"/>
  <c r="G24" i="2"/>
  <c r="E24" i="2"/>
  <c r="G17" i="1"/>
  <c r="J213" i="1"/>
  <c r="N218" i="1"/>
  <c r="O218" i="1" s="1"/>
  <c r="J10" i="1"/>
  <c r="U22" i="2" l="1"/>
  <c r="U20" i="2"/>
  <c r="U19" i="2"/>
  <c r="U18" i="2"/>
  <c r="U21" i="2"/>
  <c r="U17" i="2"/>
  <c r="U13" i="2"/>
  <c r="U15" i="2"/>
  <c r="U9" i="2"/>
  <c r="U10" i="2"/>
  <c r="U12" i="2"/>
  <c r="U16" i="2"/>
  <c r="U11" i="2"/>
  <c r="U14" i="2"/>
  <c r="U8" i="2"/>
  <c r="U23" i="2"/>
  <c r="E26" i="2"/>
  <c r="F19" i="2"/>
  <c r="F18" i="2"/>
  <c r="F22" i="2"/>
  <c r="F17" i="2"/>
  <c r="F21" i="2"/>
  <c r="F20" i="2"/>
  <c r="G26" i="2"/>
  <c r="H19" i="2"/>
  <c r="H22" i="2"/>
  <c r="H17" i="2"/>
  <c r="H20" i="2"/>
  <c r="H18" i="2"/>
  <c r="H21" i="2"/>
  <c r="H23" i="2"/>
  <c r="H8" i="2"/>
  <c r="F13" i="2"/>
  <c r="H13" i="2"/>
  <c r="H9" i="2"/>
  <c r="H16" i="2"/>
  <c r="V16" i="2" s="1"/>
  <c r="H15" i="2"/>
  <c r="H11" i="2"/>
  <c r="H10" i="2"/>
  <c r="V10" i="2" s="1"/>
  <c r="H12" i="2"/>
  <c r="V12" i="2" s="1"/>
  <c r="H14" i="2"/>
  <c r="F8" i="2"/>
  <c r="F11" i="2"/>
  <c r="F9" i="2"/>
  <c r="F23" i="2"/>
  <c r="F24" i="2"/>
  <c r="F26" i="2" s="1"/>
  <c r="F10" i="2"/>
  <c r="F16" i="2"/>
  <c r="F12" i="2"/>
  <c r="F15" i="2"/>
  <c r="F14" i="2"/>
  <c r="V23" i="2" l="1"/>
  <c r="V13" i="2"/>
  <c r="V14" i="2"/>
  <c r="V11" i="2"/>
  <c r="V9" i="2"/>
  <c r="V17" i="2"/>
  <c r="V8" i="2"/>
  <c r="I18" i="2"/>
  <c r="K136" i="1" s="1"/>
  <c r="V18" i="2"/>
  <c r="I20" i="2"/>
  <c r="K163" i="1" s="1"/>
  <c r="V20" i="2"/>
  <c r="I21" i="2"/>
  <c r="V21" i="2"/>
  <c r="I22" i="2"/>
  <c r="K189" i="1" s="1"/>
  <c r="V22" i="2"/>
  <c r="I19" i="2"/>
  <c r="K149" i="1" s="1"/>
  <c r="V19" i="2"/>
  <c r="I15" i="2"/>
  <c r="K97" i="1" s="1"/>
  <c r="V15" i="2"/>
  <c r="I17" i="2"/>
  <c r="K123" i="1" s="1"/>
  <c r="E35" i="2"/>
  <c r="I9" i="2"/>
  <c r="K23" i="1" s="1"/>
  <c r="K24" i="1" s="1"/>
  <c r="I13" i="2"/>
  <c r="K72" i="1" s="1"/>
  <c r="I14" i="2"/>
  <c r="K84" i="1" s="1"/>
  <c r="K85" i="1" s="1"/>
  <c r="I16" i="2"/>
  <c r="K110" i="1" s="1"/>
  <c r="I8" i="2"/>
  <c r="K10" i="1" s="1"/>
  <c r="I10" i="2"/>
  <c r="K36" i="1" s="1"/>
  <c r="I23" i="2"/>
  <c r="K213" i="1" s="1"/>
  <c r="I12" i="2"/>
  <c r="K60" i="1" s="1"/>
  <c r="I11" i="2"/>
  <c r="K48" i="1" s="1"/>
  <c r="S123" i="1" l="1"/>
  <c r="L122" i="1"/>
  <c r="L121" i="1"/>
  <c r="L120" i="1"/>
  <c r="L162" i="1"/>
  <c r="L161" i="1"/>
  <c r="L160" i="1"/>
  <c r="L159" i="1"/>
  <c r="L96" i="1"/>
  <c r="L95" i="1"/>
  <c r="L94" i="1"/>
  <c r="L71" i="1"/>
  <c r="L70" i="1"/>
  <c r="L148" i="1"/>
  <c r="L147" i="1"/>
  <c r="L146" i="1"/>
  <c r="L133" i="1"/>
  <c r="L135" i="1"/>
  <c r="L134" i="1"/>
  <c r="L9" i="1"/>
  <c r="G7" i="3" s="1"/>
  <c r="J7" i="3" s="1"/>
  <c r="L8" i="1"/>
  <c r="G6" i="3" s="1"/>
  <c r="J6" i="3" s="1"/>
  <c r="U24" i="2"/>
  <c r="V24" i="2" s="1"/>
  <c r="S136" i="1"/>
  <c r="K137" i="1"/>
  <c r="K190" i="1"/>
  <c r="S189" i="1"/>
  <c r="S213" i="1"/>
  <c r="L210" i="1" s="1"/>
  <c r="K214" i="1"/>
  <c r="S36" i="1"/>
  <c r="L35" i="1" s="1"/>
  <c r="G11" i="3" s="1"/>
  <c r="J11" i="3" s="1"/>
  <c r="K37" i="1"/>
  <c r="K177" i="1"/>
  <c r="S10" i="1"/>
  <c r="K11" i="1"/>
  <c r="S110" i="1"/>
  <c r="K111" i="1"/>
  <c r="S60" i="1"/>
  <c r="L59" i="1" s="1"/>
  <c r="G16" i="3" s="1"/>
  <c r="J16" i="3" s="1"/>
  <c r="K61" i="1"/>
  <c r="S97" i="1"/>
  <c r="G25" i="3" s="1"/>
  <c r="J25" i="3" s="1"/>
  <c r="K98" i="1"/>
  <c r="S163" i="1"/>
  <c r="G42" i="3" s="1"/>
  <c r="J42" i="3" s="1"/>
  <c r="K164" i="1"/>
  <c r="S48" i="1"/>
  <c r="K49" i="1"/>
  <c r="S72" i="1"/>
  <c r="G18" i="3" s="1"/>
  <c r="J18" i="3" s="1"/>
  <c r="K73" i="1"/>
  <c r="K124" i="1"/>
  <c r="S149" i="1"/>
  <c r="K150" i="1"/>
  <c r="G27" i="3"/>
  <c r="J27" i="3" s="1"/>
  <c r="G29" i="3"/>
  <c r="J29" i="3" s="1"/>
  <c r="G31" i="3"/>
  <c r="J31" i="3" s="1"/>
  <c r="I24" i="2"/>
  <c r="I26" i="2" s="1"/>
  <c r="L83" i="1"/>
  <c r="G21" i="3" s="1"/>
  <c r="J21" i="3" s="1"/>
  <c r="L34" i="1"/>
  <c r="G10" i="3" s="1"/>
  <c r="J10" i="3" s="1"/>
  <c r="L109" i="1"/>
  <c r="L107" i="1"/>
  <c r="L108" i="1"/>
  <c r="L33" i="1" l="1"/>
  <c r="G9" i="3" s="1"/>
  <c r="J9" i="3" s="1"/>
  <c r="L176" i="1"/>
  <c r="L175" i="1"/>
  <c r="G39" i="3"/>
  <c r="J39" i="3" s="1"/>
  <c r="G40" i="3"/>
  <c r="J40" i="3" s="1"/>
  <c r="T134" i="1"/>
  <c r="L204" i="1"/>
  <c r="L208" i="1"/>
  <c r="G60" i="3" s="1"/>
  <c r="J60" i="3" s="1"/>
  <c r="L207" i="1"/>
  <c r="G59" i="3" s="1"/>
  <c r="J59" i="3" s="1"/>
  <c r="L212" i="1"/>
  <c r="G64" i="3" s="1"/>
  <c r="J64" i="3" s="1"/>
  <c r="G41" i="3"/>
  <c r="J41" i="3" s="1"/>
  <c r="L209" i="1"/>
  <c r="G61" i="3" s="1"/>
  <c r="J61" i="3" s="1"/>
  <c r="L203" i="1"/>
  <c r="G55" i="3" s="1"/>
  <c r="J55" i="3" s="1"/>
  <c r="L205" i="1"/>
  <c r="G57" i="3" s="1"/>
  <c r="J57" i="3" s="1"/>
  <c r="L202" i="1"/>
  <c r="G54" i="3" s="1"/>
  <c r="J54" i="3" s="1"/>
  <c r="L206" i="1"/>
  <c r="G58" i="3" s="1"/>
  <c r="J58" i="3" s="1"/>
  <c r="L199" i="1"/>
  <c r="G51" i="3" s="1"/>
  <c r="J51" i="3" s="1"/>
  <c r="L211" i="1"/>
  <c r="G63" i="3" s="1"/>
  <c r="J63" i="3" s="1"/>
  <c r="L200" i="1"/>
  <c r="G52" i="3" s="1"/>
  <c r="J52" i="3" s="1"/>
  <c r="G19" i="3"/>
  <c r="J19" i="3" s="1"/>
  <c r="L201" i="1"/>
  <c r="G53" i="3" s="1"/>
  <c r="J53" i="3" s="1"/>
  <c r="L58" i="1"/>
  <c r="M58" i="1" s="1"/>
  <c r="N58" i="1" s="1"/>
  <c r="L187" i="1"/>
  <c r="L188" i="1"/>
  <c r="G23" i="3"/>
  <c r="J23" i="3" s="1"/>
  <c r="G24" i="3"/>
  <c r="J24" i="3" s="1"/>
  <c r="K178" i="1"/>
  <c r="S177" i="1"/>
  <c r="T121" i="1"/>
  <c r="G28" i="3"/>
  <c r="J28" i="3" s="1"/>
  <c r="M135" i="1"/>
  <c r="G33" i="3"/>
  <c r="J33" i="3" s="1"/>
  <c r="T210" i="1"/>
  <c r="G62" i="3"/>
  <c r="J62" i="3" s="1"/>
  <c r="M204" i="1"/>
  <c r="N204" i="1" s="1"/>
  <c r="O204" i="1" s="1"/>
  <c r="G56" i="3"/>
  <c r="J56" i="3" s="1"/>
  <c r="G37" i="3"/>
  <c r="J37" i="3" s="1"/>
  <c r="G36" i="3"/>
  <c r="J36" i="3" s="1"/>
  <c r="T162" i="1"/>
  <c r="M162" i="1"/>
  <c r="N162" i="1" s="1"/>
  <c r="O162" i="1" s="1"/>
  <c r="T159" i="1"/>
  <c r="M159" i="1"/>
  <c r="M122" i="1"/>
  <c r="N122" i="1" s="1"/>
  <c r="O122" i="1" s="1"/>
  <c r="T122" i="1"/>
  <c r="T120" i="1"/>
  <c r="M120" i="1"/>
  <c r="N120" i="1" s="1"/>
  <c r="M121" i="1"/>
  <c r="N121" i="1" s="1"/>
  <c r="O121" i="1" s="1"/>
  <c r="T212" i="1"/>
  <c r="T133" i="1"/>
  <c r="M133" i="1"/>
  <c r="T135" i="1"/>
  <c r="L47" i="1"/>
  <c r="G14" i="3" s="1"/>
  <c r="J14" i="3" s="1"/>
  <c r="L21" i="1"/>
  <c r="L46" i="1"/>
  <c r="L20" i="1"/>
  <c r="M209" i="1"/>
  <c r="N209" i="1" s="1"/>
  <c r="O209" i="1" s="1"/>
  <c r="M211" i="1"/>
  <c r="N211" i="1" s="1"/>
  <c r="O211" i="1" s="1"/>
  <c r="M202" i="1"/>
  <c r="N202" i="1" s="1"/>
  <c r="O202" i="1" s="1"/>
  <c r="M59" i="1"/>
  <c r="N59" i="1" s="1"/>
  <c r="O59" i="1" s="1"/>
  <c r="M107" i="1"/>
  <c r="T108" i="1"/>
  <c r="T107" i="1"/>
  <c r="M210" i="1"/>
  <c r="N210" i="1" s="1"/>
  <c r="O210" i="1" s="1"/>
  <c r="M108" i="1"/>
  <c r="N108" i="1" s="1"/>
  <c r="O108" i="1" s="1"/>
  <c r="T202" i="1"/>
  <c r="M9" i="1"/>
  <c r="N9" i="1" s="1"/>
  <c r="O9" i="1" s="1"/>
  <c r="T59" i="1"/>
  <c r="T109" i="1"/>
  <c r="T33" i="1"/>
  <c r="T204" i="1"/>
  <c r="M208" i="1"/>
  <c r="N208" i="1" s="1"/>
  <c r="O208" i="1" s="1"/>
  <c r="T70" i="1"/>
  <c r="T208" i="1"/>
  <c r="T207" i="1"/>
  <c r="M71" i="1"/>
  <c r="N71" i="1" s="1"/>
  <c r="O71" i="1" s="1"/>
  <c r="M8" i="1"/>
  <c r="N8" i="1" s="1"/>
  <c r="T8" i="1"/>
  <c r="M207" i="1"/>
  <c r="N207" i="1" s="1"/>
  <c r="O207" i="1" s="1"/>
  <c r="M70" i="1"/>
  <c r="N70" i="1" s="1"/>
  <c r="M33" i="1"/>
  <c r="N33" i="1" s="1"/>
  <c r="M109" i="1"/>
  <c r="N109" i="1" s="1"/>
  <c r="O109" i="1" s="1"/>
  <c r="T34" i="1"/>
  <c r="T206" i="1"/>
  <c r="T209" i="1"/>
  <c r="M203" i="1"/>
  <c r="N203" i="1" s="1"/>
  <c r="O203" i="1" s="1"/>
  <c r="M34" i="1"/>
  <c r="N34" i="1" s="1"/>
  <c r="O34" i="1" s="1"/>
  <c r="M206" i="1"/>
  <c r="N206" i="1" s="1"/>
  <c r="O206" i="1" s="1"/>
  <c r="M201" i="1"/>
  <c r="N201" i="1" s="1"/>
  <c r="O201" i="1" s="1"/>
  <c r="M35" i="1"/>
  <c r="N35" i="1" s="1"/>
  <c r="O35" i="1" s="1"/>
  <c r="T83" i="1"/>
  <c r="T35" i="1"/>
  <c r="T9" i="1"/>
  <c r="M83" i="1"/>
  <c r="N83" i="1" s="1"/>
  <c r="M96" i="1"/>
  <c r="N96" i="1" s="1"/>
  <c r="O96" i="1" s="1"/>
  <c r="L174" i="1" l="1"/>
  <c r="M174" i="1" s="1"/>
  <c r="L173" i="1"/>
  <c r="M173" i="1" s="1"/>
  <c r="O83" i="1"/>
  <c r="N84" i="1"/>
  <c r="T160" i="1"/>
  <c r="T161" i="1"/>
  <c r="M160" i="1"/>
  <c r="M161" i="1"/>
  <c r="N161" i="1" s="1"/>
  <c r="O161" i="1" s="1"/>
  <c r="G32" i="3"/>
  <c r="J32" i="3" s="1"/>
  <c r="M134" i="1"/>
  <c r="M136" i="1" s="1"/>
  <c r="P133" i="1" s="1"/>
  <c r="Q133" i="1" s="1"/>
  <c r="T71" i="1"/>
  <c r="M205" i="1"/>
  <c r="N205" i="1" s="1"/>
  <c r="O205" i="1" s="1"/>
  <c r="T205" i="1"/>
  <c r="T211" i="1"/>
  <c r="M212" i="1"/>
  <c r="N212" i="1" s="1"/>
  <c r="O212" i="1" s="1"/>
  <c r="T203" i="1"/>
  <c r="T201" i="1"/>
  <c r="M199" i="1"/>
  <c r="N199" i="1" s="1"/>
  <c r="T199" i="1"/>
  <c r="M200" i="1"/>
  <c r="N200" i="1" s="1"/>
  <c r="O200" i="1" s="1"/>
  <c r="T200" i="1"/>
  <c r="T94" i="1"/>
  <c r="M94" i="1"/>
  <c r="N94" i="1" s="1"/>
  <c r="O94" i="1" s="1"/>
  <c r="O58" i="1"/>
  <c r="N60" i="1"/>
  <c r="O8" i="1"/>
  <c r="N10" i="1"/>
  <c r="O120" i="1"/>
  <c r="N123" i="1"/>
  <c r="O199" i="1"/>
  <c r="O33" i="1"/>
  <c r="N36" i="1"/>
  <c r="O70" i="1"/>
  <c r="N72" i="1"/>
  <c r="G49" i="3"/>
  <c r="J49" i="3" s="1"/>
  <c r="T188" i="1"/>
  <c r="M188" i="1"/>
  <c r="M187" i="1"/>
  <c r="T187" i="1"/>
  <c r="M146" i="1"/>
  <c r="N146" i="1" s="1"/>
  <c r="G35" i="3"/>
  <c r="J35" i="3" s="1"/>
  <c r="M46" i="1"/>
  <c r="N46" i="1" s="1"/>
  <c r="G13" i="3"/>
  <c r="J13" i="3" s="1"/>
  <c r="M123" i="1"/>
  <c r="P120" i="1" s="1"/>
  <c r="T47" i="1"/>
  <c r="M147" i="1"/>
  <c r="T147" i="1"/>
  <c r="T148" i="1"/>
  <c r="M148" i="1"/>
  <c r="N160" i="1"/>
  <c r="O160" i="1" s="1"/>
  <c r="N159" i="1"/>
  <c r="M47" i="1"/>
  <c r="N135" i="1"/>
  <c r="O135" i="1" s="1"/>
  <c r="N133" i="1"/>
  <c r="M10" i="1"/>
  <c r="P8" i="1" s="1"/>
  <c r="M110" i="1"/>
  <c r="N107" i="1"/>
  <c r="M36" i="1"/>
  <c r="R36" i="1" s="1"/>
  <c r="M84" i="1"/>
  <c r="M60" i="1"/>
  <c r="R60" i="1" s="1"/>
  <c r="T96" i="1"/>
  <c r="T95" i="1"/>
  <c r="M95" i="1"/>
  <c r="M72" i="1"/>
  <c r="N173" i="1" l="1"/>
  <c r="N174" i="1"/>
  <c r="O174" i="1" s="1"/>
  <c r="N213" i="1"/>
  <c r="O213" i="1" s="1"/>
  <c r="M163" i="1"/>
  <c r="P159" i="1" s="1"/>
  <c r="Q159" i="1" s="1"/>
  <c r="N134" i="1"/>
  <c r="O134" i="1" s="1"/>
  <c r="M213" i="1"/>
  <c r="P212" i="1" s="1"/>
  <c r="Q212" i="1" s="1"/>
  <c r="M48" i="1"/>
  <c r="P47" i="1" s="1"/>
  <c r="Q47" i="1" s="1"/>
  <c r="O133" i="1"/>
  <c r="O146" i="1"/>
  <c r="N187" i="1"/>
  <c r="M189" i="1"/>
  <c r="P187" i="1" s="1"/>
  <c r="Q187" i="1" s="1"/>
  <c r="O107" i="1"/>
  <c r="N110" i="1"/>
  <c r="O159" i="1"/>
  <c r="N163" i="1"/>
  <c r="J45" i="3"/>
  <c r="T175" i="1"/>
  <c r="M175" i="1"/>
  <c r="N175" i="1" s="1"/>
  <c r="O175" i="1" s="1"/>
  <c r="N188" i="1"/>
  <c r="O188" i="1" s="1"/>
  <c r="G44" i="3"/>
  <c r="J44" i="3" s="1"/>
  <c r="O46" i="1"/>
  <c r="J46" i="3"/>
  <c r="T176" i="1"/>
  <c r="M176" i="1"/>
  <c r="P173" i="1" s="1"/>
  <c r="Q173" i="1" s="1"/>
  <c r="P83" i="1"/>
  <c r="Q83" i="1" s="1"/>
  <c r="M129" i="1"/>
  <c r="L17" i="2"/>
  <c r="R123" i="1"/>
  <c r="P122" i="1"/>
  <c r="Q122" i="1" s="1"/>
  <c r="P121" i="1"/>
  <c r="Q121" i="1" s="1"/>
  <c r="J17" i="2"/>
  <c r="O17" i="2" s="1"/>
  <c r="P59" i="1"/>
  <c r="Q59" i="1" s="1"/>
  <c r="M149" i="1"/>
  <c r="P146" i="1" s="1"/>
  <c r="N47" i="1"/>
  <c r="O47" i="1" s="1"/>
  <c r="N148" i="1"/>
  <c r="O148" i="1" s="1"/>
  <c r="N147" i="1"/>
  <c r="O147" i="1" s="1"/>
  <c r="P162" i="1"/>
  <c r="Q162" i="1" s="1"/>
  <c r="J20" i="2"/>
  <c r="O20" i="2" s="1"/>
  <c r="M169" i="1"/>
  <c r="R163" i="1"/>
  <c r="P161" i="1"/>
  <c r="Q161" i="1" s="1"/>
  <c r="P108" i="1"/>
  <c r="Q108" i="1" s="1"/>
  <c r="P58" i="1"/>
  <c r="Q58" i="1" s="1"/>
  <c r="P134" i="1"/>
  <c r="Q134" i="1" s="1"/>
  <c r="M66" i="1"/>
  <c r="M67" i="1" s="1"/>
  <c r="N67" i="1" s="1"/>
  <c r="L12" i="2"/>
  <c r="J12" i="2"/>
  <c r="O12" i="2" s="1"/>
  <c r="R136" i="1"/>
  <c r="M142" i="1"/>
  <c r="J18" i="2"/>
  <c r="O18" i="2" s="1"/>
  <c r="P135" i="1"/>
  <c r="Q135" i="1" s="1"/>
  <c r="J16" i="2"/>
  <c r="O16" i="2" s="1"/>
  <c r="L16" i="2"/>
  <c r="P107" i="1"/>
  <c r="J8" i="2"/>
  <c r="O8" i="2" s="1"/>
  <c r="P34" i="1"/>
  <c r="Q34" i="1" s="1"/>
  <c r="O14" i="2"/>
  <c r="O10" i="1"/>
  <c r="P9" i="1"/>
  <c r="Q9" i="1" s="1"/>
  <c r="M116" i="1"/>
  <c r="M117" i="1" s="1"/>
  <c r="N117" i="1" s="1"/>
  <c r="M16" i="1"/>
  <c r="M17" i="1" s="1"/>
  <c r="N17" i="1" s="1"/>
  <c r="R10" i="1"/>
  <c r="P109" i="1"/>
  <c r="Q109" i="1" s="1"/>
  <c r="R110" i="1"/>
  <c r="P33" i="1"/>
  <c r="Q33" i="1" s="1"/>
  <c r="J23" i="2"/>
  <c r="L23" i="2" s="1"/>
  <c r="P35" i="1"/>
  <c r="Q35" i="1" s="1"/>
  <c r="O36" i="1"/>
  <c r="M42" i="1"/>
  <c r="M43" i="1" s="1"/>
  <c r="N43" i="1" s="1"/>
  <c r="J10" i="2"/>
  <c r="O10" i="2" s="1"/>
  <c r="R84" i="1"/>
  <c r="M90" i="1"/>
  <c r="P203" i="1"/>
  <c r="Q203" i="1" s="1"/>
  <c r="P208" i="1"/>
  <c r="Q208" i="1" s="1"/>
  <c r="P210" i="1"/>
  <c r="Q210" i="1" s="1"/>
  <c r="P206" i="1"/>
  <c r="Q206" i="1" s="1"/>
  <c r="P204" i="1"/>
  <c r="Q204" i="1" s="1"/>
  <c r="P199" i="1"/>
  <c r="Q199" i="1" s="1"/>
  <c r="P209" i="1"/>
  <c r="Q209" i="1" s="1"/>
  <c r="P202" i="1"/>
  <c r="Q202" i="1" s="1"/>
  <c r="P205" i="1"/>
  <c r="Q205" i="1" s="1"/>
  <c r="P201" i="1"/>
  <c r="Q201" i="1" s="1"/>
  <c r="P207" i="1"/>
  <c r="Q207" i="1" s="1"/>
  <c r="P211" i="1"/>
  <c r="Q211" i="1" s="1"/>
  <c r="M219" i="1"/>
  <c r="N219" i="1" s="1"/>
  <c r="R213" i="1"/>
  <c r="P200" i="1"/>
  <c r="Q200" i="1" s="1"/>
  <c r="N95" i="1"/>
  <c r="M97" i="1"/>
  <c r="O123" i="1"/>
  <c r="Q120" i="1"/>
  <c r="J13" i="2"/>
  <c r="O13" i="2" s="1"/>
  <c r="M78" i="1"/>
  <c r="R72" i="1"/>
  <c r="P70" i="1"/>
  <c r="P71" i="1"/>
  <c r="Q71" i="1" s="1"/>
  <c r="Q8" i="1"/>
  <c r="N129" i="1" l="1"/>
  <c r="M130" i="1"/>
  <c r="N130" i="1" s="1"/>
  <c r="F102" i="3" s="1"/>
  <c r="O17" i="1"/>
  <c r="F93" i="3"/>
  <c r="O117" i="1"/>
  <c r="F101" i="3"/>
  <c r="O43" i="1"/>
  <c r="F95" i="3"/>
  <c r="O67" i="1"/>
  <c r="F97" i="3"/>
  <c r="J11" i="2"/>
  <c r="O11" i="2" s="1"/>
  <c r="P160" i="1"/>
  <c r="P46" i="1"/>
  <c r="Q46" i="1" s="1"/>
  <c r="N136" i="1"/>
  <c r="O136" i="1" s="1"/>
  <c r="R48" i="1"/>
  <c r="M54" i="1"/>
  <c r="M55" i="1" s="1"/>
  <c r="N55" i="1" s="1"/>
  <c r="O219" i="1"/>
  <c r="N23" i="2" s="1"/>
  <c r="N48" i="1"/>
  <c r="O48" i="1" s="1"/>
  <c r="M12" i="2"/>
  <c r="F75" i="3"/>
  <c r="M16" i="2"/>
  <c r="F79" i="3"/>
  <c r="M17" i="2"/>
  <c r="F80" i="3"/>
  <c r="O129" i="1"/>
  <c r="N17" i="2" s="1"/>
  <c r="P188" i="1"/>
  <c r="Q188" i="1" s="1"/>
  <c r="M23" i="2"/>
  <c r="F86" i="3"/>
  <c r="N176" i="1"/>
  <c r="O176" i="1" s="1"/>
  <c r="J22" i="2"/>
  <c r="O22" i="2" s="1"/>
  <c r="R189" i="1"/>
  <c r="M195" i="1"/>
  <c r="N195" i="1" s="1"/>
  <c r="O187" i="1"/>
  <c r="N189" i="1"/>
  <c r="N149" i="1"/>
  <c r="O149" i="1" s="1"/>
  <c r="O95" i="1"/>
  <c r="N97" i="1"/>
  <c r="M177" i="1"/>
  <c r="P174" i="1" s="1"/>
  <c r="Q174" i="1" s="1"/>
  <c r="M14" i="2"/>
  <c r="P48" i="1"/>
  <c r="Q48" i="1" s="1"/>
  <c r="P123" i="1"/>
  <c r="Q123" i="1" s="1"/>
  <c r="O60" i="1"/>
  <c r="N66" i="1"/>
  <c r="P148" i="1"/>
  <c r="J19" i="2"/>
  <c r="O19" i="2" s="1"/>
  <c r="M155" i="1"/>
  <c r="N155" i="1" s="1"/>
  <c r="P147" i="1"/>
  <c r="R149" i="1"/>
  <c r="P60" i="1"/>
  <c r="Q60" i="1" s="1"/>
  <c r="M170" i="1"/>
  <c r="N170" i="1" s="1"/>
  <c r="N169" i="1"/>
  <c r="O163" i="1"/>
  <c r="L20" i="2"/>
  <c r="P136" i="1"/>
  <c r="Q136" i="1" s="1"/>
  <c r="N116" i="1"/>
  <c r="O110" i="1"/>
  <c r="N142" i="1"/>
  <c r="M143" i="1"/>
  <c r="N143" i="1" s="1"/>
  <c r="N16" i="1"/>
  <c r="P84" i="1"/>
  <c r="Q84" i="1" s="1"/>
  <c r="P110" i="1"/>
  <c r="Q110" i="1" s="1"/>
  <c r="L8" i="2"/>
  <c r="Q107" i="1"/>
  <c r="P10" i="1"/>
  <c r="Q10" i="1" s="1"/>
  <c r="O23" i="2"/>
  <c r="N42" i="1"/>
  <c r="L10" i="2"/>
  <c r="N90" i="1"/>
  <c r="P36" i="1"/>
  <c r="Q36" i="1" s="1"/>
  <c r="P189" i="1"/>
  <c r="Q189" i="1" s="1"/>
  <c r="P213" i="1"/>
  <c r="Q213" i="1" s="1"/>
  <c r="R97" i="1"/>
  <c r="P94" i="1"/>
  <c r="P95" i="1"/>
  <c r="Q95" i="1" s="1"/>
  <c r="P96" i="1"/>
  <c r="Q96" i="1" s="1"/>
  <c r="J15" i="2"/>
  <c r="O15" i="2" s="1"/>
  <c r="M103" i="1"/>
  <c r="P72" i="1"/>
  <c r="Q72" i="1" s="1"/>
  <c r="Q70" i="1"/>
  <c r="O72" i="1"/>
  <c r="L13" i="2"/>
  <c r="M79" i="1"/>
  <c r="N79" i="1" s="1"/>
  <c r="N78" i="1"/>
  <c r="O55" i="1" l="1"/>
  <c r="F96" i="3"/>
  <c r="O79" i="1"/>
  <c r="F98" i="3"/>
  <c r="O143" i="1"/>
  <c r="F103" i="3"/>
  <c r="O170" i="1"/>
  <c r="F105" i="3"/>
  <c r="N103" i="1"/>
  <c r="O103" i="1" s="1"/>
  <c r="N15" i="2" s="1"/>
  <c r="M104" i="1"/>
  <c r="N104" i="1" s="1"/>
  <c r="F100" i="3" s="1"/>
  <c r="N54" i="1"/>
  <c r="L18" i="2"/>
  <c r="M18" i="2" s="1"/>
  <c r="L11" i="2"/>
  <c r="M11" i="2" s="1"/>
  <c r="O116" i="1"/>
  <c r="N16" i="2" s="1"/>
  <c r="O54" i="1"/>
  <c r="N11" i="2" s="1"/>
  <c r="O78" i="1"/>
  <c r="N13" i="2" s="1"/>
  <c r="M10" i="2"/>
  <c r="F73" i="3"/>
  <c r="O16" i="1"/>
  <c r="N8" i="2" s="1"/>
  <c r="M20" i="2"/>
  <c r="F83" i="3"/>
  <c r="O155" i="1"/>
  <c r="N19" i="2" s="1"/>
  <c r="M8" i="2"/>
  <c r="F71" i="3"/>
  <c r="O195" i="1"/>
  <c r="N22" i="2" s="1"/>
  <c r="O42" i="1"/>
  <c r="N10" i="2" s="1"/>
  <c r="M13" i="2"/>
  <c r="F76" i="3"/>
  <c r="O169" i="1"/>
  <c r="N20" i="2" s="1"/>
  <c r="O66" i="1"/>
  <c r="N12" i="2" s="1"/>
  <c r="G80" i="3"/>
  <c r="G102" i="3"/>
  <c r="O142" i="1"/>
  <c r="N18" i="2" s="1"/>
  <c r="G86" i="3"/>
  <c r="G108" i="3"/>
  <c r="L22" i="2"/>
  <c r="O189" i="1"/>
  <c r="P175" i="1"/>
  <c r="Q175" i="1" s="1"/>
  <c r="J21" i="2"/>
  <c r="O21" i="2" s="1"/>
  <c r="M183" i="1"/>
  <c r="R177" i="1"/>
  <c r="N177" i="1"/>
  <c r="P176" i="1"/>
  <c r="Q176" i="1" s="1"/>
  <c r="M156" i="1"/>
  <c r="N156" i="1" s="1"/>
  <c r="L19" i="2"/>
  <c r="L15" i="2"/>
  <c r="O97" i="1"/>
  <c r="P97" i="1"/>
  <c r="Q97" i="1" s="1"/>
  <c r="Q94" i="1"/>
  <c r="O156" i="1" l="1"/>
  <c r="F104" i="3"/>
  <c r="F81" i="3"/>
  <c r="F74" i="3"/>
  <c r="G95" i="3"/>
  <c r="G73" i="3"/>
  <c r="G104" i="3"/>
  <c r="G82" i="3"/>
  <c r="G98" i="3"/>
  <c r="G76" i="3"/>
  <c r="M15" i="2"/>
  <c r="F78" i="3"/>
  <c r="G97" i="3"/>
  <c r="G75" i="3"/>
  <c r="G107" i="3"/>
  <c r="G85" i="3"/>
  <c r="G96" i="3"/>
  <c r="G74" i="3"/>
  <c r="M19" i="2"/>
  <c r="F82" i="3"/>
  <c r="G105" i="3"/>
  <c r="G83" i="3"/>
  <c r="G71" i="3"/>
  <c r="G93" i="3"/>
  <c r="G79" i="3"/>
  <c r="G101" i="3"/>
  <c r="M22" i="2"/>
  <c r="F85" i="3"/>
  <c r="G103" i="3"/>
  <c r="G81" i="3"/>
  <c r="G78" i="3"/>
  <c r="G100" i="3"/>
  <c r="N184" i="1"/>
  <c r="O184" i="1" s="1"/>
  <c r="F106" i="3" s="1"/>
  <c r="N183" i="1"/>
  <c r="O177" i="1"/>
  <c r="L21" i="2"/>
  <c r="P177" i="1"/>
  <c r="Q177" i="1" s="1"/>
  <c r="M20" i="1"/>
  <c r="M21" i="1"/>
  <c r="O183" i="1" l="1"/>
  <c r="N21" i="2" s="1"/>
  <c r="M21" i="2"/>
  <c r="F84" i="3"/>
  <c r="T21" i="1"/>
  <c r="T22" i="1"/>
  <c r="M22" i="1"/>
  <c r="N22" i="1" s="1"/>
  <c r="O22" i="1" s="1"/>
  <c r="N20" i="1"/>
  <c r="N21" i="1"/>
  <c r="O21" i="1" s="1"/>
  <c r="G106" i="3" l="1"/>
  <c r="G84" i="3"/>
  <c r="O20" i="1"/>
  <c r="N23" i="1"/>
  <c r="M23" i="1"/>
  <c r="M223" i="1" l="1"/>
  <c r="M229" i="1" s="1"/>
  <c r="J9" i="2"/>
  <c r="O9" i="2" s="1"/>
  <c r="M29" i="1"/>
  <c r="M30" i="1" s="1"/>
  <c r="N30" i="1" s="1"/>
  <c r="O30" i="1" s="1"/>
  <c r="N223" i="1"/>
  <c r="P22" i="1"/>
  <c r="Q22" i="1" s="1"/>
  <c r="R23" i="1"/>
  <c r="P21" i="1"/>
  <c r="Q21" i="1" s="1"/>
  <c r="Q146" i="1"/>
  <c r="P20" i="1"/>
  <c r="Q20" i="1" s="1"/>
  <c r="Q147" i="1"/>
  <c r="Q148" i="1"/>
  <c r="Q160" i="1"/>
  <c r="P163" i="1"/>
  <c r="Q163" i="1" s="1"/>
  <c r="J24" i="2" l="1"/>
  <c r="K20" i="2" s="1"/>
  <c r="L9" i="2"/>
  <c r="O23" i="1"/>
  <c r="P23" i="1"/>
  <c r="Q23" i="1" s="1"/>
  <c r="P149" i="1"/>
  <c r="Q149" i="1" s="1"/>
  <c r="N29" i="1"/>
  <c r="O223" i="1"/>
  <c r="N229" i="1"/>
  <c r="O29" i="1" l="1"/>
  <c r="N9" i="2" s="1"/>
  <c r="M9" i="2"/>
  <c r="F72" i="3"/>
  <c r="O24" i="2"/>
  <c r="O26" i="2" s="1"/>
  <c r="K19" i="2"/>
  <c r="K9" i="2"/>
  <c r="K12" i="2"/>
  <c r="K10" i="2"/>
  <c r="K21" i="2"/>
  <c r="K23" i="2"/>
  <c r="K13" i="2"/>
  <c r="J26" i="2"/>
  <c r="J35" i="2" s="1"/>
  <c r="L35" i="2" s="1"/>
  <c r="F87" i="3" s="1"/>
  <c r="K15" i="2"/>
  <c r="K24" i="2"/>
  <c r="K26" i="2" s="1"/>
  <c r="K14" i="2"/>
  <c r="K22" i="2"/>
  <c r="K11" i="2"/>
  <c r="K8" i="2"/>
  <c r="L24" i="2"/>
  <c r="L26" i="2" s="1"/>
  <c r="K17" i="2"/>
  <c r="K18" i="2"/>
  <c r="K16" i="2"/>
  <c r="N231" i="1"/>
  <c r="O229" i="1"/>
  <c r="G94" i="3" l="1"/>
  <c r="G72" i="3"/>
  <c r="M24" i="2"/>
  <c r="M26" i="2" s="1"/>
  <c r="L37" i="2"/>
  <c r="L38" i="2" s="1"/>
  <c r="N35" i="2"/>
  <c r="G87" i="3" s="1"/>
</calcChain>
</file>

<file path=xl/sharedStrings.xml><?xml version="1.0" encoding="utf-8"?>
<sst xmlns="http://schemas.openxmlformats.org/spreadsheetml/2006/main" count="292" uniqueCount="113">
  <si>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</si>
  <si>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</si>
  <si>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</si>
  <si>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</si>
  <si>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</si>
  <si>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</si>
  <si>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</si>
  <si>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</si>
  <si>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</si>
  <si>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</si>
  <si>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</si>
  <si>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</si>
  <si>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</si>
  <si>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</si>
  <si>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</si>
  <si>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</si>
  <si>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</si>
  <si>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</si>
  <si>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</si>
  <si>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</si>
  <si>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2019 Rate</t>
  </si>
  <si>
    <t>2019 Revenue</t>
  </si>
  <si>
    <t>Present Share</t>
  </si>
  <si>
    <t>Proposed Rate</t>
  </si>
  <si>
    <t>Proposed Share</t>
  </si>
  <si>
    <t xml:space="preserve">          2019 Revenue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</si>
  <si>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</si>
  <si>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</si>
  <si>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</si>
  <si>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</si>
  <si>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</si>
  <si>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</si>
  <si>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</si>
  <si>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Lighting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</si>
  <si>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</si>
  <si>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</si>
  <si>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</si>
  <si>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</si>
  <si>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</si>
  <si>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</si>
  <si>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</si>
  <si>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</si>
  <si>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</si>
  <si>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 xml:space="preserve">    Prepay Daily Charges</t>
  </si>
  <si>
    <t>TOTAL Base Rates</t>
  </si>
  <si>
    <t>SubTotal Base Rates</t>
  </si>
  <si>
    <t>Base %</t>
  </si>
  <si>
    <t>Total %</t>
  </si>
  <si>
    <t>Base Rate Increase</t>
  </si>
  <si>
    <t>Notice Table</t>
  </si>
  <si>
    <t>Present</t>
  </si>
  <si>
    <t>Proposed</t>
  </si>
  <si>
    <t>Energy Charge per kWh</t>
  </si>
  <si>
    <t>Energy Charge - On Peak per kWh</t>
  </si>
  <si>
    <t>Energy Charge - Off Peak per kWh</t>
  </si>
  <si>
    <t>Demand Charge per kW</t>
  </si>
  <si>
    <t>FARMERS RECC</t>
  </si>
  <si>
    <t xml:space="preserve">Residential </t>
  </si>
  <si>
    <t>Residential Pay-As-You-Go</t>
  </si>
  <si>
    <t>Residential TOD</t>
  </si>
  <si>
    <t>Net Metering</t>
  </si>
  <si>
    <t>Residential Off-Peak Mktg ETS</t>
  </si>
  <si>
    <t>Commercial &amp; Industrial &lt; 50 KW</t>
  </si>
  <si>
    <t>Small Commercial ETS</t>
  </si>
  <si>
    <t>Large Commercial &amp; Industrial</t>
  </si>
  <si>
    <t>Commercial &amp; Industrial &gt; 50 KW</t>
  </si>
  <si>
    <t>Large Industrial</t>
  </si>
  <si>
    <t>Large Power Schedule LPC2</t>
  </si>
  <si>
    <t>Large Commercial Optional TOD</t>
  </si>
  <si>
    <t>Large Power Schedule LPE4</t>
  </si>
  <si>
    <t>TOD Three Phase - Schedule C</t>
  </si>
  <si>
    <t>Prepay Charge</t>
  </si>
  <si>
    <t>Sodium Vapor 100 Watt</t>
  </si>
  <si>
    <t>Mercury Vapor 175 Watt</t>
  </si>
  <si>
    <t>Mercury Vapor 175 Watt (shared)</t>
  </si>
  <si>
    <t>Mercury Vapor 250 Watt</t>
  </si>
  <si>
    <t>Mercury Vapor 400 Watt</t>
  </si>
  <si>
    <t>Mercury Vapor 1000 Watt</t>
  </si>
  <si>
    <t>Sodium Vapor 150 Watt</t>
  </si>
  <si>
    <t>Sodium Vapor 250 Watt</t>
  </si>
  <si>
    <t>Sodium Vapor 400 Watt</t>
  </si>
  <si>
    <t>Sodium Vapor 1000 Watt</t>
  </si>
  <si>
    <t>LED Light 70 Watt</t>
  </si>
  <si>
    <t>LED Light 105 Watt</t>
  </si>
  <si>
    <t>LED Light 145 Watt</t>
  </si>
  <si>
    <t>LED Flood Light 199 Watt</t>
  </si>
  <si>
    <t>Street Lighting</t>
  </si>
  <si>
    <t>&lt; Rate Same as 1</t>
  </si>
  <si>
    <t>Allocation Shares</t>
  </si>
  <si>
    <t>Last Rate Order</t>
  </si>
  <si>
    <t>Diff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</si>
  <si>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</si>
  <si>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</si>
  <si>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</si>
  <si>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</si>
  <si>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</si>
  <si>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</si>
  <si>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</si>
  <si>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</si>
  <si>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</si>
  <si>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</si>
  <si>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</t>
  </si>
  <si>
    <t>Customer Charge Single Phase</t>
  </si>
  <si>
    <t>Customer Charge Three Phase</t>
  </si>
  <si>
    <t>NOTES</t>
  </si>
  <si>
    <t>The specific results from using the Last Rate Order / 2020-00095 method that yield unreasonable results</t>
  </si>
  <si>
    <t>The target shares for each rate class as a percentage of total revenue are noted in green highlight on the Summary tab</t>
  </si>
  <si>
    <t xml:space="preserve">These are calculated from the last rate order using the billing determinants from the last rate case filing and </t>
  </si>
  <si>
    <t>per-unit charges approved by the Commission in that case</t>
  </si>
  <si>
    <t>The target shares from the last rate order for each billing component are noted in blue highlight on the Billing Detail tab</t>
  </si>
  <si>
    <t>Set to LRO</t>
  </si>
  <si>
    <t>Alert</t>
  </si>
  <si>
    <r>
      <t xml:space="preserve">are noted on the Notice Table tab in the cells marked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in the Alert column.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</si>
</sst>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00_);_(* \(#,##0.00000\);_(* &quot;-&quot;??_);_(@_)"/>
    <numFmt numFmtId="168" formatCode="_(* #,##0.000000_);_(* \(#,##0.000000\);_(* &quot;-&quot;??_);_(@_)"/>
    <numFmt numFmtId="169" formatCode="0.00000%"/>
    <numFmt numFmtId="170" formatCode="_(* #,##0.0000_);_(* \(#,##0.0000\);_(* &quot;-&quot;??_);_(@_)"/>
    <numFmt numFmtId="171" formatCode="_(&quot;$&quot;* #,##0.00000_);_(&quot;$&quot;* \(#,##0.00000\);_(&quot;$&quot;* &quot;-&quot;??_);_(@_)"/>
    <numFmt numFmtId="172" formatCode="0.0%"/>
    <numFmt numFmtId="173" formatCode="_(&quot;$&quot;* #,##0.000000_);_(&quot;$&quot;* \(#,##0.000000\);_(&quot;$&quot;* &quot;-&quot;??_);_(@_)"/>
    <numFmt numFmtId="174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b/>
      <sz val="10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2" fillId="0" borderId="0" xfId="0" applyFont="1"/>
    <xf numFmtId="0" fontId="3" fillId="0" borderId="0" xfId="0" applyFont="1"/>
    <xf numFmtId="6" fontId="4" fillId="2" borderId="1" xfId="0" applyNumberFormat="1" applyFont="1" applyFill="1" applyBorder="1"/>
    <xf numFmtId="0" fontId="3" fillId="0" borderId="0" xfId="0" applyFont="1" applyAlignment="1">
      <alignment horizontal="left"/>
    </xf>
    <xf numFmtId="10" fontId="3" fillId="0" borderId="0" xfId="3" applyNumberFormat="1" applyFont="1"/>
    <xf numFmtId="165" fontId="3" fillId="0" borderId="0" xfId="2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3" xfId="2" applyNumberFormat="1" applyFont="1" applyBorder="1" applyAlignment="1">
      <alignment vertical="center"/>
    </xf>
    <xf numFmtId="10" fontId="3" fillId="0" borderId="3" xfId="3" applyNumberFormat="1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4" fontId="3" fillId="0" borderId="0" xfId="0" applyNumberFormat="1" applyFont="1"/>
    <xf numFmtId="10" fontId="3" fillId="0" borderId="0" xfId="0" applyNumberFormat="1" applyFont="1"/>
    <xf numFmtId="43" fontId="3" fillId="0" borderId="0" xfId="1" applyFont="1"/>
    <xf numFmtId="43" fontId="8" fillId="0" borderId="0" xfId="1" applyFont="1"/>
    <xf numFmtId="43" fontId="4" fillId="0" borderId="0" xfId="1" applyFont="1"/>
    <xf numFmtId="0" fontId="4" fillId="0" borderId="0" xfId="0" applyFont="1"/>
    <xf numFmtId="165" fontId="4" fillId="0" borderId="0" xfId="0" applyNumberFormat="1" applyFont="1"/>
    <xf numFmtId="165" fontId="4" fillId="0" borderId="0" xfId="2" applyNumberFormat="1" applyFont="1"/>
    <xf numFmtId="164" fontId="4" fillId="0" borderId="0" xfId="1" applyNumberFormat="1" applyFont="1"/>
    <xf numFmtId="166" fontId="8" fillId="0" borderId="0" xfId="0" applyNumberFormat="1" applyFont="1"/>
    <xf numFmtId="0" fontId="3" fillId="0" borderId="5" xfId="0" applyFont="1" applyBorder="1"/>
    <xf numFmtId="165" fontId="3" fillId="0" borderId="5" xfId="2" applyNumberFormat="1" applyFont="1" applyBorder="1"/>
    <xf numFmtId="165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165" fontId="7" fillId="0" borderId="5" xfId="2" applyNumberFormat="1" applyFont="1" applyFill="1" applyBorder="1" applyAlignment="1">
      <alignment vertical="center"/>
    </xf>
    <xf numFmtId="165" fontId="3" fillId="0" borderId="5" xfId="2" applyNumberFormat="1" applyFont="1" applyBorder="1" applyAlignment="1">
      <alignment vertical="center"/>
    </xf>
    <xf numFmtId="10" fontId="3" fillId="0" borderId="5" xfId="3" applyNumberFormat="1" applyFont="1" applyBorder="1" applyAlignment="1">
      <alignment vertical="center"/>
    </xf>
    <xf numFmtId="10" fontId="3" fillId="0" borderId="5" xfId="0" applyNumberFormat="1" applyFont="1" applyBorder="1" applyAlignment="1">
      <alignment vertical="center"/>
    </xf>
    <xf numFmtId="43" fontId="3" fillId="0" borderId="5" xfId="1" applyFont="1" applyBorder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5" fontId="3" fillId="0" borderId="5" xfId="0" applyNumberFormat="1" applyFont="1" applyBorder="1"/>
    <xf numFmtId="165" fontId="3" fillId="0" borderId="5" xfId="0" applyNumberFormat="1" applyFont="1" applyBorder="1" applyAlignment="1">
      <alignment vertical="center"/>
    </xf>
    <xf numFmtId="44" fontId="3" fillId="0" borderId="5" xfId="2" applyFont="1" applyBorder="1" applyAlignment="1">
      <alignment vertical="center"/>
    </xf>
    <xf numFmtId="0" fontId="3" fillId="0" borderId="0" xfId="0" applyFont="1" applyFill="1"/>
    <xf numFmtId="169" fontId="3" fillId="0" borderId="0" xfId="3" applyNumberFormat="1" applyFont="1"/>
    <xf numFmtId="165" fontId="7" fillId="0" borderId="0" xfId="0" applyNumberFormat="1" applyFont="1"/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3" fillId="0" borderId="6" xfId="0" applyFont="1" applyFill="1" applyBorder="1"/>
    <xf numFmtId="10" fontId="3" fillId="0" borderId="0" xfId="3" applyNumberFormat="1" applyFont="1" applyFill="1"/>
    <xf numFmtId="165" fontId="3" fillId="0" borderId="5" xfId="3" applyNumberFormat="1" applyFont="1" applyFill="1" applyBorder="1" applyAlignment="1">
      <alignment vertical="center"/>
    </xf>
    <xf numFmtId="0" fontId="3" fillId="0" borderId="5" xfId="0" applyFont="1" applyFill="1" applyBorder="1"/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65" fontId="7" fillId="0" borderId="0" xfId="0" applyNumberFormat="1" applyFont="1" applyAlignment="1">
      <alignment horizontal="right"/>
    </xf>
    <xf numFmtId="165" fontId="8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43" fontId="4" fillId="0" borderId="0" xfId="1" applyFont="1" applyFill="1"/>
    <xf numFmtId="0" fontId="9" fillId="0" borderId="5" xfId="0" applyFont="1" applyBorder="1" applyAlignment="1">
      <alignment vertical="center"/>
    </xf>
    <xf numFmtId="168" fontId="3" fillId="0" borderId="0" xfId="1" applyNumberFormat="1" applyFont="1"/>
    <xf numFmtId="0" fontId="3" fillId="0" borderId="0" xfId="0" applyFont="1" applyFill="1" applyAlignment="1">
      <alignment horizontal="center" vertical="center"/>
    </xf>
    <xf numFmtId="167" fontId="3" fillId="0" borderId="0" xfId="1" applyNumberFormat="1" applyFont="1"/>
    <xf numFmtId="165" fontId="3" fillId="0" borderId="0" xfId="0" applyNumberFormat="1" applyFont="1" applyFill="1"/>
    <xf numFmtId="0" fontId="6" fillId="0" borderId="0" xfId="0" applyFont="1" applyAlignme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0" fontId="3" fillId="0" borderId="0" xfId="0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165" fontId="3" fillId="5" borderId="0" xfId="2" applyNumberFormat="1" applyFont="1" applyFill="1" applyAlignment="1"/>
    <xf numFmtId="165" fontId="3" fillId="0" borderId="0" xfId="0" applyNumberFormat="1" applyFont="1" applyAlignment="1"/>
    <xf numFmtId="0" fontId="3" fillId="0" borderId="2" xfId="0" applyFont="1" applyBorder="1" applyAlignment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 applyAlignment="1"/>
    <xf numFmtId="0" fontId="3" fillId="0" borderId="0" xfId="0" applyFont="1" applyBorder="1" applyAlignment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0" xfId="0" applyNumberFormat="1" applyFont="1" applyBorder="1" applyAlignment="1"/>
    <xf numFmtId="0" fontId="3" fillId="0" borderId="5" xfId="0" applyFont="1" applyBorder="1" applyAlignment="1"/>
    <xf numFmtId="165" fontId="3" fillId="0" borderId="5" xfId="2" applyNumberFormat="1" applyFont="1" applyBorder="1" applyAlignment="1"/>
    <xf numFmtId="164" fontId="3" fillId="3" borderId="0" xfId="1" applyNumberFormat="1" applyFont="1" applyFill="1" applyAlignment="1"/>
    <xf numFmtId="0" fontId="3" fillId="3" borderId="0" xfId="0" applyFont="1" applyFill="1" applyAlignment="1"/>
    <xf numFmtId="165" fontId="3" fillId="3" borderId="0" xfId="2" applyNumberFormat="1" applyFont="1" applyFill="1" applyAlignment="1"/>
    <xf numFmtId="0" fontId="3" fillId="3" borderId="2" xfId="0" applyFont="1" applyFill="1" applyBorder="1" applyAlignment="1"/>
    <xf numFmtId="165" fontId="3" fillId="3" borderId="2" xfId="2" applyNumberFormat="1" applyFont="1" applyFill="1" applyBorder="1" applyAlignment="1"/>
    <xf numFmtId="0" fontId="3" fillId="0" borderId="3" xfId="0" applyFont="1" applyBorder="1" applyAlignment="1"/>
    <xf numFmtId="165" fontId="3" fillId="0" borderId="3" xfId="0" applyNumberFormat="1" applyFont="1" applyBorder="1" applyAlignment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165" fontId="4" fillId="0" borderId="0" xfId="2" applyNumberFormat="1" applyFont="1" applyAlignment="1">
      <alignment horizontal="center"/>
    </xf>
    <xf numFmtId="0" fontId="3" fillId="3" borderId="0" xfId="0" applyFont="1" applyFill="1" applyBorder="1" applyAlignment="1"/>
    <xf numFmtId="0" fontId="3" fillId="3" borderId="4" xfId="0" applyFont="1" applyFill="1" applyBorder="1" applyAlignment="1"/>
    <xf numFmtId="43" fontId="8" fillId="2" borderId="0" xfId="1" applyFont="1" applyFill="1"/>
    <xf numFmtId="0" fontId="3" fillId="2" borderId="0" xfId="0" applyFont="1" applyFill="1"/>
    <xf numFmtId="10" fontId="3" fillId="0" borderId="0" xfId="3" applyNumberFormat="1" applyFont="1" applyFill="1" applyAlignment="1"/>
    <xf numFmtId="43" fontId="3" fillId="0" borderId="0" xfId="0" applyNumberFormat="1" applyFont="1"/>
    <xf numFmtId="0" fontId="3" fillId="0" borderId="0" xfId="0" applyFont="1" applyFill="1" applyBorder="1"/>
    <xf numFmtId="0" fontId="8" fillId="0" borderId="0" xfId="0" applyFont="1" applyAlignment="1"/>
    <xf numFmtId="170" fontId="5" fillId="0" borderId="0" xfId="1" applyNumberFormat="1" applyFont="1" applyAlignment="1">
      <alignment vertic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4" fontId="3" fillId="0" borderId="0" xfId="2" applyFont="1"/>
    <xf numFmtId="171" fontId="3" fillId="0" borderId="0" xfId="2" applyNumberFormat="1" applyFont="1"/>
    <xf numFmtId="0" fontId="2" fillId="0" borderId="4" xfId="0" applyFont="1" applyBorder="1" applyAlignment="1">
      <alignment horizontal="right"/>
    </xf>
    <xf numFmtId="164" fontId="4" fillId="0" borderId="0" xfId="1" applyNumberFormat="1" applyFont="1" applyFill="1"/>
    <xf numFmtId="165" fontId="4" fillId="0" borderId="0" xfId="2" applyNumberFormat="1" applyFont="1" applyFill="1"/>
    <xf numFmtId="168" fontId="4" fillId="0" borderId="0" xfId="1" applyNumberFormat="1" applyFo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6" fontId="8" fillId="2" borderId="0" xfId="0" applyNumberFormat="1" applyFont="1" applyFill="1"/>
    <xf numFmtId="168" fontId="8" fillId="2" borderId="0" xfId="1" applyNumberFormat="1" applyFont="1" applyFill="1"/>
    <xf numFmtId="170" fontId="3" fillId="0" borderId="0" xfId="1" applyNumberFormat="1" applyFont="1" applyAlignment="1">
      <alignment vertical="center"/>
    </xf>
    <xf numFmtId="43" fontId="8" fillId="0" borderId="0" xfId="1" applyFont="1" applyFill="1"/>
    <xf numFmtId="165" fontId="3" fillId="2" borderId="0" xfId="2" applyNumberFormat="1" applyFont="1" applyFill="1" applyAlignment="1"/>
    <xf numFmtId="10" fontId="3" fillId="2" borderId="0" xfId="3" applyNumberFormat="1" applyFont="1" applyFill="1" applyAlignment="1"/>
    <xf numFmtId="0" fontId="2" fillId="0" borderId="4" xfId="0" applyFont="1" applyFill="1" applyBorder="1" applyAlignment="1">
      <alignment horizontal="center" wrapText="1"/>
    </xf>
    <xf numFmtId="0" fontId="11" fillId="7" borderId="0" xfId="0" applyFont="1" applyFill="1"/>
    <xf numFmtId="0" fontId="11" fillId="7" borderId="0" xfId="0" applyFont="1" applyFill="1" applyAlignment="1">
      <alignment horizontal="right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right"/>
    </xf>
    <xf numFmtId="0" fontId="3" fillId="7" borderId="0" xfId="0" applyFont="1" applyFill="1"/>
    <xf numFmtId="0" fontId="3" fillId="7" borderId="0" xfId="0" applyFont="1" applyFill="1" applyAlignment="1">
      <alignment horizontal="center"/>
    </xf>
    <xf numFmtId="165" fontId="3" fillId="7" borderId="0" xfId="2" applyNumberFormat="1" applyFont="1" applyFill="1" applyAlignment="1"/>
    <xf numFmtId="172" fontId="3" fillId="7" borderId="0" xfId="3" applyNumberFormat="1" applyFont="1" applyFill="1" applyAlignment="1">
      <alignment horizontal="right"/>
    </xf>
    <xf numFmtId="10" fontId="3" fillId="7" borderId="0" xfId="0" applyNumberFormat="1" applyFont="1" applyFill="1" applyAlignment="1">
      <alignment horizontal="center"/>
    </xf>
    <xf numFmtId="165" fontId="3" fillId="7" borderId="2" xfId="2" applyNumberFormat="1" applyFont="1" applyFill="1" applyBorder="1" applyAlignment="1"/>
    <xf numFmtId="172" fontId="3" fillId="7" borderId="2" xfId="3" applyNumberFormat="1" applyFont="1" applyFill="1" applyBorder="1" applyAlignment="1">
      <alignment horizontal="right"/>
    </xf>
    <xf numFmtId="10" fontId="3" fillId="7" borderId="2" xfId="0" applyNumberFormat="1" applyFont="1" applyFill="1" applyBorder="1" applyAlignment="1">
      <alignment horizontal="center"/>
    </xf>
    <xf numFmtId="173" fontId="3" fillId="0" borderId="0" xfId="2" applyNumberFormat="1" applyFont="1"/>
    <xf numFmtId="44" fontId="3" fillId="0" borderId="0" xfId="2" applyNumberFormat="1" applyFont="1"/>
    <xf numFmtId="0" fontId="12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2" xfId="0" applyFont="1" applyBorder="1"/>
    <xf numFmtId="174" fontId="3" fillId="0" borderId="2" xfId="0" applyNumberFormat="1" applyFont="1" applyBorder="1"/>
    <xf numFmtId="10" fontId="3" fillId="0" borderId="2" xfId="3" applyNumberFormat="1" applyFont="1" applyBorder="1"/>
    <xf numFmtId="174" fontId="3" fillId="0" borderId="0" xfId="0" applyNumberFormat="1" applyFont="1"/>
    <xf numFmtId="10" fontId="3" fillId="0" borderId="0" xfId="3" applyNumberFormat="1" applyFont="1" applyBorder="1"/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/>
    <xf numFmtId="164" fontId="7" fillId="0" borderId="0" xfId="1" applyNumberFormat="1" applyFont="1" applyAlignment="1">
      <alignment horizontal="right"/>
    </xf>
    <xf numFmtId="0" fontId="13" fillId="0" borderId="0" xfId="0" applyFont="1"/>
    <xf numFmtId="43" fontId="3" fillId="0" borderId="0" xfId="1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3" fillId="7" borderId="0" xfId="0" applyFont="1" applyFill="1" applyAlignment="1"/>
    <xf numFmtId="0" fontId="2" fillId="7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right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10" fontId="4" fillId="8" borderId="0" xfId="3" applyNumberFormat="1" applyFont="1" applyFill="1"/>
    <xf numFmtId="168" fontId="8" fillId="0" borderId="0" xfId="1" applyNumberFormat="1" applyFont="1"/>
    <xf numFmtId="0" fontId="3" fillId="6" borderId="0" xfId="0" applyFont="1" applyFill="1"/>
    <xf numFmtId="44" fontId="3" fillId="0" borderId="0" xfId="2" applyFont="1" applyAlignment="1">
      <alignment horizontal="right"/>
    </xf>
    <xf numFmtId="10" fontId="3" fillId="7" borderId="0" xfId="3" applyNumberFormat="1" applyFont="1" applyFill="1" applyAlignment="1">
      <alignment horizontal="right"/>
    </xf>
    <xf numFmtId="10" fontId="3" fillId="7" borderId="0" xfId="3" applyNumberFormat="1" applyFont="1" applyFill="1" applyAlignment="1">
      <alignment horizontal="center"/>
    </xf>
    <xf numFmtId="0" fontId="1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164" fontId="3" fillId="0" borderId="0" xfId="1" applyNumberFormat="1" applyFont="1"/>
    <xf numFmtId="0" fontId="14" fillId="8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FFFFCC"/>
      <color rgb="FF0000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39"/>
  <sheetViews>
    <sheetView tabSelected="1" zoomScale="75" zoomScaleNormal="75" workbookViewId="0">
      <selection activeCell="M4" sqref="M4"/>
    </sheetView>
  </sheetViews>
  <sheetFormatPr defaultColWidth="8.88671875" defaultRowHeight="13.2" x14ac:dyDescent="0.25"/>
  <cols>
    <col min="1" max="1" width="9" style="2" bestFit="1" customWidth="1"/>
    <col min="2" max="2" width="40.109375" style="2" bestFit="1" customWidth="1"/>
    <col min="3" max="3" width="7.33203125" style="29" bestFit="1" customWidth="1"/>
    <col min="4" max="4" width="15.109375" style="2" hidden="1" customWidth="1"/>
    <col min="5" max="5" width="12.6640625" style="2" bestFit="1" customWidth="1"/>
    <col min="6" max="6" width="8.5546875" style="2" bestFit="1" customWidth="1"/>
    <col min="7" max="7" width="12.6640625" style="2" bestFit="1" customWidth="1"/>
    <col min="8" max="8" width="10.44140625" style="2" bestFit="1" customWidth="1"/>
    <col min="9" max="9" width="11.6640625" style="2" bestFit="1" customWidth="1"/>
    <col min="10" max="10" width="12.6640625" style="2" bestFit="1" customWidth="1"/>
    <col min="11" max="11" width="10.77734375" style="2" customWidth="1"/>
    <col min="12" max="12" width="11.6640625" style="2" bestFit="1" customWidth="1"/>
    <col min="13" max="13" width="7.6640625" style="2" bestFit="1" customWidth="1"/>
    <col min="14" max="14" width="7.77734375" style="2" bestFit="1" customWidth="1"/>
    <col min="15" max="15" width="10" style="2" bestFit="1" customWidth="1"/>
    <col min="16" max="16" width="8.88671875" style="2"/>
    <col min="17" max="17" width="9" style="2" bestFit="1" customWidth="1"/>
    <col min="18" max="18" width="14.5546875" style="2" customWidth="1"/>
    <col min="19" max="19" width="9" style="2" customWidth="1"/>
    <col min="20" max="20" width="14.6640625" style="2" customWidth="1"/>
    <col min="21" max="21" width="10" style="2" customWidth="1"/>
    <col min="22" max="16384" width="8.88671875" style="2"/>
  </cols>
  <sheetData>
    <row r="1" spans="1:22" x14ac:dyDescent="0.25">
      <c r="A1" s="1" t="s">
        <v>56</v>
      </c>
    </row>
    <row r="2" spans="1:22" x14ac:dyDescent="0.25">
      <c r="A2" s="1" t="s">
        <v>0</v>
      </c>
    </row>
    <row r="3" spans="1:22" x14ac:dyDescent="0.25">
      <c r="A3" s="1"/>
    </row>
    <row r="4" spans="1:22" x14ac:dyDescent="0.25">
      <c r="A4" s="1"/>
      <c r="K4" s="45" t="s">
        <v>39</v>
      </c>
      <c r="L4" s="3">
        <v>1802690</v>
      </c>
      <c r="M4" s="5"/>
    </row>
    <row r="5" spans="1:22" x14ac:dyDescent="0.25">
      <c r="M5" s="5"/>
      <c r="N5" s="5"/>
      <c r="Q5" s="136"/>
      <c r="R5" s="132" t="s">
        <v>88</v>
      </c>
      <c r="S5" s="133"/>
      <c r="T5" s="132"/>
      <c r="U5" s="132"/>
      <c r="V5" s="132"/>
    </row>
    <row r="6" spans="1:22" s="13" customFormat="1" ht="31.95" customHeight="1" x14ac:dyDescent="0.25">
      <c r="A6" s="11" t="s">
        <v>1</v>
      </c>
      <c r="B6" s="11" t="s">
        <v>2</v>
      </c>
      <c r="C6" s="12" t="s">
        <v>11</v>
      </c>
      <c r="D6" s="54" t="s">
        <v>21</v>
      </c>
      <c r="E6" s="54" t="s">
        <v>3</v>
      </c>
      <c r="F6" s="54" t="s">
        <v>22</v>
      </c>
      <c r="G6" s="54" t="s">
        <v>34</v>
      </c>
      <c r="H6" s="54" t="s">
        <v>35</v>
      </c>
      <c r="I6" s="54" t="s">
        <v>36</v>
      </c>
      <c r="J6" s="54" t="s">
        <v>4</v>
      </c>
      <c r="K6" s="54" t="s">
        <v>24</v>
      </c>
      <c r="L6" s="54" t="s">
        <v>48</v>
      </c>
      <c r="M6" s="131" t="s">
        <v>46</v>
      </c>
      <c r="N6" s="131" t="s">
        <v>47</v>
      </c>
      <c r="O6" s="14" t="s">
        <v>38</v>
      </c>
      <c r="Q6" s="134"/>
      <c r="R6" s="167" t="s">
        <v>89</v>
      </c>
      <c r="S6" s="168"/>
      <c r="T6" s="169" t="s">
        <v>50</v>
      </c>
      <c r="U6" s="170"/>
      <c r="V6" s="171" t="s">
        <v>90</v>
      </c>
    </row>
    <row r="7" spans="1:22" s="77" customFormat="1" x14ac:dyDescent="0.25">
      <c r="A7" s="4">
        <v>1</v>
      </c>
      <c r="B7" s="73" t="s">
        <v>5</v>
      </c>
      <c r="C7" s="120"/>
      <c r="D7" s="73"/>
      <c r="E7" s="74"/>
      <c r="F7" s="75"/>
      <c r="G7" s="75"/>
      <c r="H7" s="13"/>
      <c r="I7" s="13"/>
      <c r="J7" s="74"/>
      <c r="K7" s="75"/>
      <c r="L7" s="74"/>
      <c r="M7" s="76"/>
      <c r="N7" s="76"/>
      <c r="Q7" s="134"/>
      <c r="R7" s="136"/>
      <c r="S7" s="135"/>
      <c r="T7" s="136"/>
      <c r="U7" s="137"/>
      <c r="V7" s="137"/>
    </row>
    <row r="8" spans="1:22" s="77" customFormat="1" x14ac:dyDescent="0.25">
      <c r="A8" s="4">
        <f>A7+1</f>
        <v>2</v>
      </c>
      <c r="B8" s="77" t="str">
        <f>'Billing Detail'!B7</f>
        <v xml:space="preserve">Residential </v>
      </c>
      <c r="C8" s="29">
        <f>'Billing Detail'!C7</f>
        <v>1</v>
      </c>
      <c r="D8" s="78">
        <f>'Billing Detail'!G10</f>
        <v>30629589.858412996</v>
      </c>
      <c r="E8" s="78">
        <f>'Billing Detail'!I10</f>
        <v>30137606.466382999</v>
      </c>
      <c r="F8" s="76">
        <f t="shared" ref="F8:F24" si="0">E8/E$24</f>
        <v>0.6538417679739208</v>
      </c>
      <c r="G8" s="102">
        <f>R8</f>
        <v>30436994.949216001</v>
      </c>
      <c r="H8" s="76">
        <f t="shared" ref="H8:H23" si="1">G8/G$24</f>
        <v>0.66112707462127718</v>
      </c>
      <c r="I8" s="80">
        <f t="shared" ref="I8:I23" si="2">ROUND(L$4*H8,2)</f>
        <v>1191807.17</v>
      </c>
      <c r="J8" s="78">
        <f>'Billing Detail'!M10</f>
        <v>31330014.612507001</v>
      </c>
      <c r="K8" s="76">
        <f t="shared" ref="K8:K24" si="3">J8/J$24</f>
        <v>0.65406454285661642</v>
      </c>
      <c r="L8" s="78">
        <f>'Billing Detail'!N10</f>
        <v>1192408.1461240011</v>
      </c>
      <c r="M8" s="76">
        <f>IF(E8=0,0,L8/E8)</f>
        <v>3.9565456117229253E-2</v>
      </c>
      <c r="N8" s="76">
        <f>'Billing Detail'!O16</f>
        <v>3.7801970863409674E-2</v>
      </c>
      <c r="O8" s="81">
        <f>J8-I8-E8</f>
        <v>600.97612399980426</v>
      </c>
      <c r="Q8" s="137">
        <f>C8</f>
        <v>1</v>
      </c>
      <c r="R8" s="138">
        <v>30436994.949216001</v>
      </c>
      <c r="S8" s="176">
        <f>R8/R$24</f>
        <v>0.66112707462127718</v>
      </c>
      <c r="T8" s="138">
        <f>E8</f>
        <v>30137606.466382999</v>
      </c>
      <c r="U8" s="140">
        <f>T8/T$24</f>
        <v>0.6538417679739208</v>
      </c>
      <c r="V8" s="177">
        <f t="shared" ref="V8:V24" si="4">U8-S8</f>
        <v>-7.2853066473563821E-3</v>
      </c>
    </row>
    <row r="9" spans="1:22" s="77" customFormat="1" x14ac:dyDescent="0.25">
      <c r="A9" s="4">
        <f t="shared" ref="A9:A38" si="5">A8+1</f>
        <v>3</v>
      </c>
      <c r="B9" s="77" t="str">
        <f>'Billing Detail'!B19</f>
        <v>Residential Pay-As-You-Go</v>
      </c>
      <c r="C9" s="29">
        <f>'Billing Detail'!C19</f>
        <v>2</v>
      </c>
      <c r="D9" s="78">
        <f>'Billing Detail'!G23</f>
        <v>50953.14</v>
      </c>
      <c r="E9" s="78">
        <f>'Billing Detail'!I23</f>
        <v>50953.14</v>
      </c>
      <c r="F9" s="76">
        <f t="shared" si="0"/>
        <v>1.1054391853773872E-3</v>
      </c>
      <c r="G9" s="102">
        <f t="shared" ref="G9:G23" si="6">R9</f>
        <v>33008.400000000001</v>
      </c>
      <c r="H9" s="76">
        <f t="shared" si="1"/>
        <v>7.1698099521125941E-4</v>
      </c>
      <c r="I9" s="80">
        <f t="shared" si="2"/>
        <v>1292.49</v>
      </c>
      <c r="J9" s="78">
        <f>'Billing Detail'!M23</f>
        <v>50953.14</v>
      </c>
      <c r="K9" s="76">
        <f t="shared" si="3"/>
        <v>1.0637289076751697E-3</v>
      </c>
      <c r="L9" s="78">
        <f>'Billing Detail'!N23</f>
        <v>0</v>
      </c>
      <c r="M9" s="76">
        <f t="shared" ref="M9:M23" si="7">IF(E9=0,0,L9/E9)</f>
        <v>0</v>
      </c>
      <c r="N9" s="76">
        <f>'Billing Detail'!O29</f>
        <v>0</v>
      </c>
      <c r="O9" s="81">
        <f t="shared" ref="O9:O24" si="8">J9-I9-E9</f>
        <v>-1292.489999999998</v>
      </c>
      <c r="Q9" s="137">
        <f t="shared" ref="Q9:Q23" si="9">C9</f>
        <v>2</v>
      </c>
      <c r="R9" s="138">
        <v>33008.400000000001</v>
      </c>
      <c r="S9" s="139">
        <f t="shared" ref="S9:S23" si="10">R9/R$24</f>
        <v>7.1698099521125941E-4</v>
      </c>
      <c r="T9" s="138">
        <f t="shared" ref="T9:T23" si="11">E9</f>
        <v>50953.14</v>
      </c>
      <c r="U9" s="140">
        <f t="shared" ref="U9:U23" si="12">T9/T$24</f>
        <v>1.1054391853773872E-3</v>
      </c>
      <c r="V9" s="140">
        <f t="shared" si="4"/>
        <v>3.884581901661278E-4</v>
      </c>
    </row>
    <row r="10" spans="1:22" s="77" customFormat="1" x14ac:dyDescent="0.25">
      <c r="A10" s="4">
        <f t="shared" si="5"/>
        <v>4</v>
      </c>
      <c r="B10" s="77" t="str">
        <f>'Billing Detail'!B32</f>
        <v>Residential TOD</v>
      </c>
      <c r="C10" s="29">
        <f>'Billing Detail'!C32</f>
        <v>3</v>
      </c>
      <c r="D10" s="78">
        <f>'Billing Detail'!G36</f>
        <v>841.44818699999996</v>
      </c>
      <c r="E10" s="78">
        <f>'Billing Detail'!I36</f>
        <v>828.39746700000001</v>
      </c>
      <c r="F10" s="76">
        <f t="shared" si="0"/>
        <v>1.7972258845856628E-5</v>
      </c>
      <c r="G10" s="102">
        <f t="shared" si="6"/>
        <v>0</v>
      </c>
      <c r="H10" s="76">
        <f t="shared" si="1"/>
        <v>0</v>
      </c>
      <c r="I10" s="80">
        <f t="shared" si="2"/>
        <v>0</v>
      </c>
      <c r="J10" s="78">
        <f>'Billing Detail'!M36</f>
        <v>828.39746700000001</v>
      </c>
      <c r="K10" s="76">
        <f t="shared" si="3"/>
        <v>1.7294132072975041E-5</v>
      </c>
      <c r="L10" s="78">
        <f>'Billing Detail'!N36</f>
        <v>0</v>
      </c>
      <c r="M10" s="76">
        <f t="shared" si="7"/>
        <v>0</v>
      </c>
      <c r="N10" s="76">
        <f>'Billing Detail'!O42</f>
        <v>0</v>
      </c>
      <c r="O10" s="81">
        <f t="shared" si="8"/>
        <v>0</v>
      </c>
      <c r="Q10" s="137">
        <f t="shared" si="9"/>
        <v>3</v>
      </c>
      <c r="R10" s="138">
        <v>0</v>
      </c>
      <c r="S10" s="139">
        <f t="shared" si="10"/>
        <v>0</v>
      </c>
      <c r="T10" s="138">
        <f t="shared" si="11"/>
        <v>828.39746700000001</v>
      </c>
      <c r="U10" s="140">
        <f t="shared" si="12"/>
        <v>1.7972258845856628E-5</v>
      </c>
      <c r="V10" s="140">
        <f t="shared" si="4"/>
        <v>1.7972258845856628E-5</v>
      </c>
    </row>
    <row r="11" spans="1:22" s="77" customFormat="1" x14ac:dyDescent="0.25">
      <c r="A11" s="4">
        <f t="shared" si="5"/>
        <v>5</v>
      </c>
      <c r="B11" s="77" t="str">
        <f>'Billing Detail'!B45</f>
        <v>Net Metering</v>
      </c>
      <c r="C11" s="29">
        <f>'Billing Detail'!C45</f>
        <v>20</v>
      </c>
      <c r="D11" s="78">
        <f>'Billing Detail'!G48</f>
        <v>27707.240693999996</v>
      </c>
      <c r="E11" s="78">
        <f>'Billing Detail'!I48</f>
        <v>27257.833554000001</v>
      </c>
      <c r="F11" s="76">
        <f t="shared" si="0"/>
        <v>5.9136448350555378E-4</v>
      </c>
      <c r="G11" s="102">
        <f t="shared" si="6"/>
        <v>10474.276782223667</v>
      </c>
      <c r="H11" s="76">
        <f t="shared" si="1"/>
        <v>2.2751352357087629E-4</v>
      </c>
      <c r="I11" s="80">
        <f t="shared" si="2"/>
        <v>410.14</v>
      </c>
      <c r="J11" s="78">
        <f>'Billing Detail'!M48</f>
        <v>28345.304265999999</v>
      </c>
      <c r="K11" s="76">
        <f t="shared" si="3"/>
        <v>5.9175390456000371E-4</v>
      </c>
      <c r="L11" s="78">
        <f>'Billing Detail'!N48</f>
        <v>1087.4707119999966</v>
      </c>
      <c r="M11" s="76">
        <f t="shared" si="7"/>
        <v>3.9895713276171717E-2</v>
      </c>
      <c r="N11" s="76">
        <f>'Billing Detail'!O54</f>
        <v>3.9355944087743268E-2</v>
      </c>
      <c r="O11" s="81">
        <f t="shared" si="8"/>
        <v>677.33071199999904</v>
      </c>
      <c r="Q11" s="137">
        <f t="shared" si="9"/>
        <v>20</v>
      </c>
      <c r="R11" s="138">
        <v>10474.276782223667</v>
      </c>
      <c r="S11" s="139">
        <f t="shared" si="10"/>
        <v>2.2751352357087629E-4</v>
      </c>
      <c r="T11" s="138">
        <f t="shared" si="11"/>
        <v>27257.833554000001</v>
      </c>
      <c r="U11" s="140">
        <f t="shared" si="12"/>
        <v>5.9136448350555378E-4</v>
      </c>
      <c r="V11" s="140">
        <f t="shared" si="4"/>
        <v>3.6385095993467752E-4</v>
      </c>
    </row>
    <row r="12" spans="1:22" s="77" customFormat="1" x14ac:dyDescent="0.25">
      <c r="A12" s="4">
        <f t="shared" si="5"/>
        <v>6</v>
      </c>
      <c r="B12" s="77" t="str">
        <f>'Billing Detail'!B57</f>
        <v>Residential Off-Peak Mktg ETS</v>
      </c>
      <c r="C12" s="29">
        <f>'Billing Detail'!C57</f>
        <v>7</v>
      </c>
      <c r="D12" s="78">
        <f>'Billing Detail'!G60</f>
        <v>29321.330981000003</v>
      </c>
      <c r="E12" s="78">
        <f>'Billing Detail'!I60</f>
        <v>28403.180711000001</v>
      </c>
      <c r="F12" s="76">
        <f t="shared" si="0"/>
        <v>6.162130331377921E-4</v>
      </c>
      <c r="G12" s="102">
        <f t="shared" si="6"/>
        <v>44048.293378000002</v>
      </c>
      <c r="H12" s="76">
        <f t="shared" si="1"/>
        <v>9.5678037176948798E-4</v>
      </c>
      <c r="I12" s="80">
        <f t="shared" si="2"/>
        <v>1724.78</v>
      </c>
      <c r="J12" s="78">
        <f>'Billing Detail'!M60</f>
        <v>30128.032821999997</v>
      </c>
      <c r="K12" s="76">
        <f t="shared" si="3"/>
        <v>6.2897123600523378E-4</v>
      </c>
      <c r="L12" s="78">
        <f>'Billing Detail'!N60</f>
        <v>1724.8521109999965</v>
      </c>
      <c r="M12" s="76">
        <f>IF(E12=0,0,L12/E12)</f>
        <v>6.0727427978937397E-2</v>
      </c>
      <c r="N12" s="76">
        <f>'Billing Detail'!O66</f>
        <v>6.134475987057661E-2</v>
      </c>
      <c r="O12" s="81">
        <f>J12-I12-E12</f>
        <v>7.2110999997676117E-2</v>
      </c>
      <c r="Q12" s="137">
        <f t="shared" si="9"/>
        <v>7</v>
      </c>
      <c r="R12" s="138">
        <v>44048.293378000002</v>
      </c>
      <c r="S12" s="139">
        <f t="shared" si="10"/>
        <v>9.5678037176948798E-4</v>
      </c>
      <c r="T12" s="138">
        <f t="shared" si="11"/>
        <v>28403.180711000001</v>
      </c>
      <c r="U12" s="140">
        <f t="shared" si="12"/>
        <v>6.162130331377921E-4</v>
      </c>
      <c r="V12" s="140">
        <f t="shared" si="4"/>
        <v>-3.4056733863169588E-4</v>
      </c>
    </row>
    <row r="13" spans="1:22" s="77" customFormat="1" x14ac:dyDescent="0.25">
      <c r="A13" s="4">
        <f t="shared" si="5"/>
        <v>7</v>
      </c>
      <c r="B13" s="77" t="str">
        <f>'Billing Detail'!B69</f>
        <v>Commercial &amp; Industrial &lt; 50 KW</v>
      </c>
      <c r="C13" s="29">
        <f>'Billing Detail'!C69</f>
        <v>4</v>
      </c>
      <c r="D13" s="78">
        <f>'Billing Detail'!G72</f>
        <v>2982370.2640749998</v>
      </c>
      <c r="E13" s="78">
        <f>'Billing Detail'!I72</f>
        <v>2932931.9886250002</v>
      </c>
      <c r="F13" s="76">
        <f t="shared" si="0"/>
        <v>6.3630581908649814E-2</v>
      </c>
      <c r="G13" s="102">
        <f t="shared" si="6"/>
        <v>2935237.6966399997</v>
      </c>
      <c r="H13" s="76">
        <f t="shared" si="1"/>
        <v>6.3756790541757605E-2</v>
      </c>
      <c r="I13" s="80">
        <f t="shared" si="2"/>
        <v>114933.73</v>
      </c>
      <c r="J13" s="78">
        <f>'Billing Detail'!M72</f>
        <v>3047863.9633900002</v>
      </c>
      <c r="K13" s="76">
        <f t="shared" si="3"/>
        <v>6.3629071820095057E-2</v>
      </c>
      <c r="L13" s="78">
        <f>'Billing Detail'!N72</f>
        <v>114931.97476499982</v>
      </c>
      <c r="M13" s="76">
        <f t="shared" ref="M13" si="13">IF(E13=0,0,L13/E13)</f>
        <v>3.9186716640804732E-2</v>
      </c>
      <c r="N13" s="76">
        <f>'Billing Detail'!O78</f>
        <v>3.752320217311788E-2</v>
      </c>
      <c r="O13" s="81">
        <f t="shared" ref="O13" si="14">J13-I13-E13</f>
        <v>-1.7552350000478327</v>
      </c>
      <c r="Q13" s="137">
        <f t="shared" si="9"/>
        <v>4</v>
      </c>
      <c r="R13" s="138">
        <v>2935237.6966399997</v>
      </c>
      <c r="S13" s="139">
        <f t="shared" si="10"/>
        <v>6.3756790541757605E-2</v>
      </c>
      <c r="T13" s="138">
        <f t="shared" si="11"/>
        <v>2932931.9886250002</v>
      </c>
      <c r="U13" s="140">
        <f t="shared" si="12"/>
        <v>6.3630581908649814E-2</v>
      </c>
      <c r="V13" s="140">
        <f t="shared" si="4"/>
        <v>-1.2620863310779107E-4</v>
      </c>
    </row>
    <row r="14" spans="1:22" s="77" customFormat="1" x14ac:dyDescent="0.25">
      <c r="A14" s="4">
        <f t="shared" si="5"/>
        <v>8</v>
      </c>
      <c r="B14" s="77" t="str">
        <f>'Billing Detail'!B81</f>
        <v>Small Commercial ETS</v>
      </c>
      <c r="C14" s="29">
        <f>'Billing Detail'!C81</f>
        <v>8</v>
      </c>
      <c r="D14" s="78">
        <f>'Billing Detail'!G84</f>
        <v>0</v>
      </c>
      <c r="E14" s="78">
        <f>'Billing Detail'!I84</f>
        <v>0</v>
      </c>
      <c r="F14" s="76">
        <f t="shared" si="0"/>
        <v>0</v>
      </c>
      <c r="G14" s="102">
        <f t="shared" si="6"/>
        <v>189.42634799999999</v>
      </c>
      <c r="H14" s="76">
        <f t="shared" si="1"/>
        <v>4.1145614906591765E-6</v>
      </c>
      <c r="I14" s="80">
        <f t="shared" si="2"/>
        <v>7.42</v>
      </c>
      <c r="J14" s="129">
        <v>0</v>
      </c>
      <c r="K14" s="76">
        <f t="shared" si="3"/>
        <v>0</v>
      </c>
      <c r="L14" s="129">
        <v>0</v>
      </c>
      <c r="M14" s="76">
        <f t="shared" si="7"/>
        <v>0</v>
      </c>
      <c r="N14" s="130">
        <v>0</v>
      </c>
      <c r="O14" s="81">
        <f t="shared" si="8"/>
        <v>-7.42</v>
      </c>
      <c r="Q14" s="137">
        <f t="shared" si="9"/>
        <v>8</v>
      </c>
      <c r="R14" s="138">
        <v>189.42634799999999</v>
      </c>
      <c r="S14" s="139">
        <f t="shared" si="10"/>
        <v>4.1145614906591765E-6</v>
      </c>
      <c r="T14" s="138">
        <f t="shared" si="11"/>
        <v>0</v>
      </c>
      <c r="U14" s="140">
        <f t="shared" si="12"/>
        <v>0</v>
      </c>
      <c r="V14" s="140">
        <f t="shared" si="4"/>
        <v>-4.1145614906591765E-6</v>
      </c>
    </row>
    <row r="15" spans="1:22" s="77" customFormat="1" x14ac:dyDescent="0.25">
      <c r="A15" s="4">
        <f t="shared" si="5"/>
        <v>9</v>
      </c>
      <c r="B15" s="77" t="str">
        <f>'Billing Detail'!B93</f>
        <v>Commercial &amp; Industrial &gt; 50 KW</v>
      </c>
      <c r="C15" s="29">
        <f>'Billing Detail'!C93</f>
        <v>5</v>
      </c>
      <c r="D15" s="78">
        <f>'Billing Detail'!G97</f>
        <v>4953645.76425</v>
      </c>
      <c r="E15" s="78">
        <f>'Billing Detail'!I97</f>
        <v>4867042.6459499998</v>
      </c>
      <c r="F15" s="76">
        <f t="shared" si="0"/>
        <v>0.1055915230687642</v>
      </c>
      <c r="G15" s="102">
        <f t="shared" si="6"/>
        <v>4882895.4970649993</v>
      </c>
      <c r="H15" s="76">
        <f t="shared" si="1"/>
        <v>0.10606219244187057</v>
      </c>
      <c r="I15" s="80">
        <f t="shared" si="2"/>
        <v>191197.25</v>
      </c>
      <c r="J15" s="78">
        <f>'Billing Detail'!M97</f>
        <v>5059011.6893199999</v>
      </c>
      <c r="K15" s="76">
        <f t="shared" si="3"/>
        <v>0.10561502153147537</v>
      </c>
      <c r="L15" s="78">
        <f>'Billing Detail'!N97</f>
        <v>191969.04337000038</v>
      </c>
      <c r="M15" s="76">
        <f t="shared" ref="M15:M16" si="15">IF(E15=0,0,L15/E15)</f>
        <v>3.9442646661364905E-2</v>
      </c>
      <c r="N15" s="107">
        <f>'Billing Detail'!O103</f>
        <v>3.7989514101596122E-2</v>
      </c>
      <c r="O15" s="81">
        <f t="shared" si="8"/>
        <v>771.79337000008672</v>
      </c>
      <c r="Q15" s="137">
        <f t="shared" si="9"/>
        <v>5</v>
      </c>
      <c r="R15" s="138">
        <v>4882895.4970649993</v>
      </c>
      <c r="S15" s="139">
        <f t="shared" si="10"/>
        <v>0.10606219244187057</v>
      </c>
      <c r="T15" s="138">
        <f t="shared" si="11"/>
        <v>4867042.6459499998</v>
      </c>
      <c r="U15" s="140">
        <f t="shared" si="12"/>
        <v>0.1055915230687642</v>
      </c>
      <c r="V15" s="140">
        <f t="shared" si="4"/>
        <v>-4.7066937310637214E-4</v>
      </c>
    </row>
    <row r="16" spans="1:22" s="77" customFormat="1" x14ac:dyDescent="0.25">
      <c r="A16" s="4">
        <f t="shared" si="5"/>
        <v>10</v>
      </c>
      <c r="B16" s="77" t="str">
        <f>'Billing Detail'!B106</f>
        <v>Large Commercial &amp; Industrial</v>
      </c>
      <c r="C16" s="29">
        <f>'Billing Detail'!C106</f>
        <v>9</v>
      </c>
      <c r="D16" s="78">
        <f>'Billing Detail'!G110</f>
        <v>1899800.7660000001</v>
      </c>
      <c r="E16" s="78">
        <f>'Billing Detail'!I110</f>
        <v>1862949.6540000001</v>
      </c>
      <c r="F16" s="76">
        <f t="shared" si="0"/>
        <v>4.04170880914669E-2</v>
      </c>
      <c r="G16" s="102">
        <f t="shared" si="6"/>
        <v>0</v>
      </c>
      <c r="H16" s="76">
        <f t="shared" si="1"/>
        <v>0</v>
      </c>
      <c r="I16" s="80">
        <f t="shared" si="2"/>
        <v>0</v>
      </c>
      <c r="J16" s="78">
        <f>'Billing Detail'!M110</f>
        <v>1862949.6540000001</v>
      </c>
      <c r="K16" s="76">
        <f t="shared" si="3"/>
        <v>3.8892076141004372E-2</v>
      </c>
      <c r="L16" s="78">
        <f>'Billing Detail'!N110</f>
        <v>0</v>
      </c>
      <c r="M16" s="76">
        <f t="shared" si="15"/>
        <v>0</v>
      </c>
      <c r="N16" s="76">
        <f>'Billing Detail'!O116</f>
        <v>0</v>
      </c>
      <c r="O16" s="81">
        <f t="shared" si="8"/>
        <v>0</v>
      </c>
      <c r="Q16" s="137">
        <f t="shared" si="9"/>
        <v>9</v>
      </c>
      <c r="R16" s="138">
        <v>0</v>
      </c>
      <c r="S16" s="139">
        <f t="shared" si="10"/>
        <v>0</v>
      </c>
      <c r="T16" s="138">
        <f t="shared" si="11"/>
        <v>1862949.6540000001</v>
      </c>
      <c r="U16" s="140">
        <f t="shared" si="12"/>
        <v>4.04170880914669E-2</v>
      </c>
      <c r="V16" s="140">
        <f t="shared" si="4"/>
        <v>4.04170880914669E-2</v>
      </c>
    </row>
    <row r="17" spans="1:22" s="77" customFormat="1" x14ac:dyDescent="0.25">
      <c r="A17" s="4">
        <f t="shared" si="5"/>
        <v>11</v>
      </c>
      <c r="B17" s="77" t="str">
        <f>'Billing Detail'!B119</f>
        <v>Large Industrial</v>
      </c>
      <c r="C17" s="29">
        <f>'Billing Detail'!C119</f>
        <v>10</v>
      </c>
      <c r="D17" s="78">
        <f>'Billing Detail'!G123</f>
        <v>3237391.1664000005</v>
      </c>
      <c r="E17" s="78">
        <f>'Billing Detail'!I123</f>
        <v>3158560.2384000001</v>
      </c>
      <c r="F17" s="76">
        <f t="shared" si="0"/>
        <v>6.8525634669468899E-2</v>
      </c>
      <c r="G17" s="102">
        <f t="shared" si="6"/>
        <v>3941628.9408</v>
      </c>
      <c r="H17" s="76">
        <f t="shared" si="1"/>
        <v>8.5616783628660778E-2</v>
      </c>
      <c r="I17" s="80">
        <f t="shared" si="2"/>
        <v>154340.51999999999</v>
      </c>
      <c r="J17" s="78">
        <f>'Billing Detail'!M123</f>
        <v>3313364.0064000003</v>
      </c>
      <c r="K17" s="76">
        <f t="shared" si="3"/>
        <v>6.9171813067027785E-2</v>
      </c>
      <c r="L17" s="78">
        <f>'Billing Detail'!N123</f>
        <v>154803.76799999969</v>
      </c>
      <c r="M17" s="76">
        <f t="shared" ref="M17:M22" si="16">IF(E17=0,0,L17/E17)</f>
        <v>4.9010864544542315E-2</v>
      </c>
      <c r="N17" s="76">
        <f>'Billing Detail'!O129</f>
        <v>4.8456515822924991E-2</v>
      </c>
      <c r="O17" s="81">
        <f t="shared" ref="O17:O22" si="17">J17-I17-E17</f>
        <v>463.24800000013784</v>
      </c>
      <c r="Q17" s="137">
        <f t="shared" si="9"/>
        <v>10</v>
      </c>
      <c r="R17" s="138">
        <v>3941628.9408</v>
      </c>
      <c r="S17" s="139">
        <f t="shared" si="10"/>
        <v>8.5616783628660778E-2</v>
      </c>
      <c r="T17" s="138">
        <f t="shared" si="11"/>
        <v>3158560.2384000001</v>
      </c>
      <c r="U17" s="140">
        <f t="shared" si="12"/>
        <v>6.8525634669468899E-2</v>
      </c>
      <c r="V17" s="140">
        <f t="shared" si="4"/>
        <v>-1.7091148959191879E-2</v>
      </c>
    </row>
    <row r="18" spans="1:22" s="77" customFormat="1" x14ac:dyDescent="0.25">
      <c r="A18" s="4">
        <f t="shared" si="5"/>
        <v>12</v>
      </c>
      <c r="B18" s="77" t="str">
        <f>'Billing Detail'!B132</f>
        <v>Large Power Schedule LPC2</v>
      </c>
      <c r="C18" s="29">
        <f>'Billing Detail'!C132</f>
        <v>14</v>
      </c>
      <c r="D18" s="78">
        <f>'Billing Detail'!G136</f>
        <v>523011.11519999994</v>
      </c>
      <c r="E18" s="78">
        <f>'Billing Detail'!I136</f>
        <v>511131.90719999996</v>
      </c>
      <c r="F18" s="76">
        <f t="shared" si="0"/>
        <v>1.1089115197131291E-2</v>
      </c>
      <c r="G18" s="102">
        <f t="shared" si="6"/>
        <v>464240.00159999996</v>
      </c>
      <c r="H18" s="76">
        <f t="shared" si="1"/>
        <v>1.0083834974250331E-2</v>
      </c>
      <c r="I18" s="80">
        <f t="shared" si="2"/>
        <v>18178.03</v>
      </c>
      <c r="J18" s="78">
        <f>'Billing Detail'!M136</f>
        <v>529360.1544</v>
      </c>
      <c r="K18" s="76">
        <f t="shared" si="3"/>
        <v>1.1051246278574218E-2</v>
      </c>
      <c r="L18" s="78">
        <f>'Billing Detail'!N136</f>
        <v>18228.247200000027</v>
      </c>
      <c r="M18" s="76">
        <f t="shared" si="16"/>
        <v>3.566251087680098E-2</v>
      </c>
      <c r="N18" s="76">
        <f>'Billing Detail'!O142</f>
        <v>3.5036108206266563E-2</v>
      </c>
      <c r="O18" s="81">
        <f t="shared" si="17"/>
        <v>50.21720000001369</v>
      </c>
      <c r="Q18" s="137">
        <f t="shared" si="9"/>
        <v>14</v>
      </c>
      <c r="R18" s="138">
        <v>464240.00159999996</v>
      </c>
      <c r="S18" s="139">
        <f t="shared" si="10"/>
        <v>1.0083834974250331E-2</v>
      </c>
      <c r="T18" s="138">
        <f t="shared" si="11"/>
        <v>511131.90719999996</v>
      </c>
      <c r="U18" s="140">
        <f t="shared" si="12"/>
        <v>1.1089115197131291E-2</v>
      </c>
      <c r="V18" s="140">
        <f t="shared" si="4"/>
        <v>1.0052802228809592E-3</v>
      </c>
    </row>
    <row r="19" spans="1:22" s="77" customFormat="1" x14ac:dyDescent="0.25">
      <c r="A19" s="4">
        <f t="shared" si="5"/>
        <v>13</v>
      </c>
      <c r="B19" s="77" t="str">
        <f>'Billing Detail'!B145</f>
        <v>Large Commercial Optional TOD</v>
      </c>
      <c r="C19" s="29">
        <f>'Billing Detail'!C145</f>
        <v>15</v>
      </c>
      <c r="D19" s="78">
        <f>'Billing Detail'!G149</f>
        <v>102170.1292</v>
      </c>
      <c r="E19" s="78">
        <f>'Billing Detail'!I149</f>
        <v>100737.8572</v>
      </c>
      <c r="F19" s="76">
        <f t="shared" si="0"/>
        <v>2.1855291901506282E-3</v>
      </c>
      <c r="G19" s="102">
        <f t="shared" si="6"/>
        <v>100233.56999999998</v>
      </c>
      <c r="H19" s="76">
        <f t="shared" si="1"/>
        <v>2.1771901931683275E-3</v>
      </c>
      <c r="I19" s="80">
        <f t="shared" si="2"/>
        <v>3924.8</v>
      </c>
      <c r="J19" s="78">
        <f>'Billing Detail'!M149</f>
        <v>104673.82919999999</v>
      </c>
      <c r="K19" s="76">
        <f t="shared" si="3"/>
        <v>2.1852348647618826E-3</v>
      </c>
      <c r="L19" s="78">
        <f>'Billing Detail'!N149</f>
        <v>3935.9720000000016</v>
      </c>
      <c r="M19" s="76">
        <f t="shared" si="16"/>
        <v>3.9071428650559001E-2</v>
      </c>
      <c r="N19" s="76">
        <f>'Billing Detail'!O155</f>
        <v>3.7174219670554974E-2</v>
      </c>
      <c r="O19" s="81">
        <f t="shared" si="17"/>
        <v>11.171999999991385</v>
      </c>
      <c r="Q19" s="137">
        <f t="shared" si="9"/>
        <v>15</v>
      </c>
      <c r="R19" s="138">
        <v>100233.56999999998</v>
      </c>
      <c r="S19" s="139">
        <f t="shared" si="10"/>
        <v>2.1771901931683275E-3</v>
      </c>
      <c r="T19" s="138">
        <f t="shared" si="11"/>
        <v>100737.8572</v>
      </c>
      <c r="U19" s="140">
        <f t="shared" si="12"/>
        <v>2.1855291901506282E-3</v>
      </c>
      <c r="V19" s="140">
        <f t="shared" si="4"/>
        <v>8.338996982300631E-6</v>
      </c>
    </row>
    <row r="20" spans="1:22" s="77" customFormat="1" x14ac:dyDescent="0.25">
      <c r="A20" s="4">
        <f t="shared" si="5"/>
        <v>14</v>
      </c>
      <c r="B20" s="77" t="str">
        <f>'Billing Detail'!B158</f>
        <v>Large Power Schedule LPE4</v>
      </c>
      <c r="C20" s="29">
        <f>'Billing Detail'!C158</f>
        <v>36</v>
      </c>
      <c r="D20" s="78">
        <f>'Billing Detail'!G163</f>
        <v>1468218.733308</v>
      </c>
      <c r="E20" s="78">
        <f>'Billing Detail'!I163</f>
        <v>1435918.7419080001</v>
      </c>
      <c r="F20" s="76">
        <f t="shared" si="0"/>
        <v>3.1152561830790064E-2</v>
      </c>
      <c r="G20" s="102">
        <f t="shared" si="6"/>
        <v>2136377.7236179998</v>
      </c>
      <c r="H20" s="76">
        <f t="shared" si="1"/>
        <v>4.6404619019001177E-2</v>
      </c>
      <c r="I20" s="80">
        <f t="shared" si="2"/>
        <v>83653.14</v>
      </c>
      <c r="J20" s="78">
        <f>'Billing Detail'!M163</f>
        <v>1519659.8828019998</v>
      </c>
      <c r="K20" s="76">
        <f t="shared" si="3"/>
        <v>3.1725348961236688E-2</v>
      </c>
      <c r="L20" s="78">
        <f>'Billing Detail'!N163</f>
        <v>83741.140893999793</v>
      </c>
      <c r="M20" s="76">
        <f t="shared" si="16"/>
        <v>5.8318857780717735E-2</v>
      </c>
      <c r="N20" s="76">
        <f>'Billing Detail'!O169</f>
        <v>5.7127359937856191E-2</v>
      </c>
      <c r="O20" s="81">
        <f t="shared" si="17"/>
        <v>88.000893999822438</v>
      </c>
      <c r="Q20" s="137">
        <f t="shared" si="9"/>
        <v>36</v>
      </c>
      <c r="R20" s="138">
        <v>2136377.7236179998</v>
      </c>
      <c r="S20" s="139">
        <f t="shared" si="10"/>
        <v>4.6404619019001177E-2</v>
      </c>
      <c r="T20" s="138">
        <f t="shared" si="11"/>
        <v>1435918.7419080001</v>
      </c>
      <c r="U20" s="140">
        <f t="shared" si="12"/>
        <v>3.1152561830790064E-2</v>
      </c>
      <c r="V20" s="140">
        <f t="shared" si="4"/>
        <v>-1.5252057188211113E-2</v>
      </c>
    </row>
    <row r="21" spans="1:22" s="77" customFormat="1" x14ac:dyDescent="0.25">
      <c r="A21" s="4">
        <f t="shared" si="5"/>
        <v>15</v>
      </c>
      <c r="B21" s="77" t="str">
        <f>'Billing Detail'!B172</f>
        <v>TOD Three Phase - Schedule C</v>
      </c>
      <c r="C21" s="29">
        <f>'Billing Detail'!C172</f>
        <v>50</v>
      </c>
      <c r="D21" s="78">
        <f>'Billing Detail'!G177</f>
        <v>797303.40370000002</v>
      </c>
      <c r="E21" s="78">
        <f>'Billing Detail'!I177</f>
        <v>33033.751680000001</v>
      </c>
      <c r="F21" s="76">
        <f t="shared" si="0"/>
        <v>7.1667425299202559E-4</v>
      </c>
      <c r="G21" s="102">
        <f t="shared" si="6"/>
        <v>49125.322025384987</v>
      </c>
      <c r="H21" s="76">
        <f t="shared" si="1"/>
        <v>1.0670593629450119E-3</v>
      </c>
      <c r="I21" s="80">
        <f t="shared" si="2"/>
        <v>1923.58</v>
      </c>
      <c r="J21" s="78">
        <f>'Billing Detail'!M177</f>
        <v>38037.575782</v>
      </c>
      <c r="K21" s="76">
        <f t="shared" si="3"/>
        <v>7.940956913979855E-4</v>
      </c>
      <c r="L21" s="78">
        <f>'Billing Detail'!N177</f>
        <v>5003.8241019999987</v>
      </c>
      <c r="M21" s="76">
        <f t="shared" si="16"/>
        <v>0.15147610693669775</v>
      </c>
      <c r="N21" s="76">
        <f>'Billing Detail'!O183</f>
        <v>0.14392477504559298</v>
      </c>
      <c r="O21" s="81">
        <f t="shared" si="17"/>
        <v>3080.2441019999969</v>
      </c>
      <c r="Q21" s="137">
        <f t="shared" si="9"/>
        <v>50</v>
      </c>
      <c r="R21" s="138">
        <v>49125.322025384987</v>
      </c>
      <c r="S21" s="139">
        <f t="shared" si="10"/>
        <v>1.0670593629450119E-3</v>
      </c>
      <c r="T21" s="138">
        <f t="shared" si="11"/>
        <v>33033.751680000001</v>
      </c>
      <c r="U21" s="140">
        <f t="shared" si="12"/>
        <v>7.1667425299202559E-4</v>
      </c>
      <c r="V21" s="140">
        <f t="shared" si="4"/>
        <v>-3.5038510995298632E-4</v>
      </c>
    </row>
    <row r="22" spans="1:22" s="77" customFormat="1" x14ac:dyDescent="0.25">
      <c r="A22" s="4">
        <f t="shared" si="5"/>
        <v>16</v>
      </c>
      <c r="B22" s="77" t="str">
        <f>'Billing Detail'!B186</f>
        <v>Street Lighting</v>
      </c>
      <c r="C22" s="29">
        <f>'Billing Detail'!C186</f>
        <v>6</v>
      </c>
      <c r="D22" s="78">
        <f>'Billing Detail'!G189</f>
        <v>20797.770700000001</v>
      </c>
      <c r="E22" s="78">
        <f>'Billing Detail'!I189</f>
        <v>20210.930319999999</v>
      </c>
      <c r="F22" s="76">
        <f t="shared" si="0"/>
        <v>4.3848042237750091E-4</v>
      </c>
      <c r="G22" s="102">
        <f t="shared" si="6"/>
        <v>63589.309655999998</v>
      </c>
      <c r="H22" s="76">
        <f t="shared" si="1"/>
        <v>1.3812340653274872E-3</v>
      </c>
      <c r="I22" s="80">
        <f t="shared" si="2"/>
        <v>2489.94</v>
      </c>
      <c r="J22" s="78">
        <f>'Billing Detail'!M189</f>
        <v>22700.757492000001</v>
      </c>
      <c r="K22" s="76">
        <f t="shared" si="3"/>
        <v>4.7391489455535197E-4</v>
      </c>
      <c r="L22" s="78">
        <f>'Billing Detail'!N189</f>
        <v>2489.8271720000012</v>
      </c>
      <c r="M22" s="76">
        <f t="shared" si="16"/>
        <v>0.12319211102994893</v>
      </c>
      <c r="N22" s="76">
        <f>'Billing Detail'!O195</f>
        <v>9.6816167081655968E-2</v>
      </c>
      <c r="O22" s="81">
        <f t="shared" si="17"/>
        <v>-0.11282799999753479</v>
      </c>
      <c r="Q22" s="137">
        <f t="shared" si="9"/>
        <v>6</v>
      </c>
      <c r="R22" s="138">
        <v>63589.309655999998</v>
      </c>
      <c r="S22" s="139">
        <f t="shared" si="10"/>
        <v>1.3812340653274872E-3</v>
      </c>
      <c r="T22" s="138">
        <f t="shared" si="11"/>
        <v>20210.930319999999</v>
      </c>
      <c r="U22" s="140">
        <f t="shared" si="12"/>
        <v>4.3848042237750091E-4</v>
      </c>
      <c r="V22" s="140">
        <f t="shared" si="4"/>
        <v>-9.4275364294998628E-4</v>
      </c>
    </row>
    <row r="23" spans="1:22" s="77" customFormat="1" x14ac:dyDescent="0.25">
      <c r="A23" s="4">
        <f t="shared" si="5"/>
        <v>17</v>
      </c>
      <c r="B23" s="77" t="str">
        <f>'Billing Detail'!B198</f>
        <v>Lighting</v>
      </c>
      <c r="C23" s="29">
        <f>'Billing Detail'!C198</f>
        <v>6</v>
      </c>
      <c r="D23" s="78">
        <f>'Billing Detail'!G213</f>
        <v>933295.62000000011</v>
      </c>
      <c r="E23" s="78">
        <f>'Billing Detail'!I213</f>
        <v>925552.34</v>
      </c>
      <c r="F23" s="76">
        <f t="shared" si="0"/>
        <v>2.0080054433421268E-2</v>
      </c>
      <c r="G23" s="102">
        <f t="shared" si="6"/>
        <v>939996.9600000002</v>
      </c>
      <c r="H23" s="76">
        <f t="shared" si="1"/>
        <v>2.0417831699699428E-2</v>
      </c>
      <c r="I23" s="80">
        <f t="shared" si="2"/>
        <v>36807.019999999997</v>
      </c>
      <c r="J23" s="78">
        <f>'Billing Detail'!M213</f>
        <v>962602.85</v>
      </c>
      <c r="K23" s="76">
        <f t="shared" si="3"/>
        <v>2.0095885712941443E-2</v>
      </c>
      <c r="L23" s="78">
        <f t="shared" ref="L23:L24" si="18">J23-E23</f>
        <v>37050.510000000009</v>
      </c>
      <c r="M23" s="76">
        <f t="shared" si="7"/>
        <v>4.0030702099462044E-2</v>
      </c>
      <c r="N23" s="76">
        <f>'Billing Detail'!O219</f>
        <v>4.0030702099462044E-2</v>
      </c>
      <c r="O23" s="81">
        <f t="shared" si="8"/>
        <v>243.48999999999069</v>
      </c>
      <c r="Q23" s="137">
        <f t="shared" si="9"/>
        <v>6</v>
      </c>
      <c r="R23" s="138">
        <v>939996.9600000002</v>
      </c>
      <c r="S23" s="139">
        <f t="shared" si="10"/>
        <v>2.0417831699699428E-2</v>
      </c>
      <c r="T23" s="138">
        <f t="shared" si="11"/>
        <v>925552.34</v>
      </c>
      <c r="U23" s="140">
        <f t="shared" si="12"/>
        <v>2.0080054433421268E-2</v>
      </c>
      <c r="V23" s="140">
        <f t="shared" si="4"/>
        <v>-3.3777726627816015E-4</v>
      </c>
    </row>
    <row r="24" spans="1:22" s="77" customFormat="1" ht="16.2" customHeight="1" x14ac:dyDescent="0.25">
      <c r="A24" s="4">
        <f t="shared" si="5"/>
        <v>18</v>
      </c>
      <c r="B24" s="82" t="s">
        <v>45</v>
      </c>
      <c r="C24" s="121"/>
      <c r="D24" s="83">
        <f>SUM(D8:D23)</f>
        <v>47656417.751108006</v>
      </c>
      <c r="E24" s="83">
        <f>SUM(E8:E23)</f>
        <v>46093119.073398001</v>
      </c>
      <c r="F24" s="84">
        <f t="shared" si="0"/>
        <v>1</v>
      </c>
      <c r="G24" s="83">
        <f>SUM(G8:G23)</f>
        <v>46038040.367128603</v>
      </c>
      <c r="H24" s="84">
        <v>1</v>
      </c>
      <c r="I24" s="83">
        <f>SUM(I8:I23)</f>
        <v>1802690.0099999998</v>
      </c>
      <c r="J24" s="83">
        <f>SUM(J8:J23)</f>
        <v>47900493.849848002</v>
      </c>
      <c r="K24" s="84">
        <f t="shared" si="3"/>
        <v>1</v>
      </c>
      <c r="L24" s="83">
        <f t="shared" si="18"/>
        <v>1807374.7764500007</v>
      </c>
      <c r="M24" s="84">
        <f t="shared" ref="M24" si="19">L24/E24</f>
        <v>3.9211379329135092E-2</v>
      </c>
      <c r="N24" s="84"/>
      <c r="O24" s="85">
        <f t="shared" si="8"/>
        <v>4684.7664500027895</v>
      </c>
      <c r="Q24" s="166"/>
      <c r="R24" s="141">
        <f>SUM(R8:R23)</f>
        <v>46038040.367128603</v>
      </c>
      <c r="S24" s="142">
        <f t="shared" ref="S24" si="20">R24/R$24</f>
        <v>1</v>
      </c>
      <c r="T24" s="141">
        <f>SUM(T8:T23)</f>
        <v>46093119.073398001</v>
      </c>
      <c r="U24" s="143">
        <f>SUM(U8:U23)</f>
        <v>1</v>
      </c>
      <c r="V24" s="140">
        <f t="shared" si="4"/>
        <v>0</v>
      </c>
    </row>
    <row r="25" spans="1:22" s="77" customFormat="1" ht="16.2" customHeight="1" x14ac:dyDescent="0.25">
      <c r="A25" s="4">
        <f t="shared" si="5"/>
        <v>19</v>
      </c>
      <c r="B25" s="86"/>
      <c r="C25" s="122"/>
      <c r="D25" s="87"/>
      <c r="E25" s="87"/>
      <c r="F25" s="88"/>
      <c r="G25" s="87"/>
      <c r="H25" s="88"/>
      <c r="I25" s="87"/>
      <c r="J25" s="87"/>
      <c r="K25" s="88"/>
      <c r="L25" s="87"/>
      <c r="M25" s="88"/>
      <c r="N25" s="88"/>
      <c r="O25" s="89"/>
    </row>
    <row r="26" spans="1:22" s="77" customFormat="1" ht="16.2" customHeight="1" x14ac:dyDescent="0.25">
      <c r="A26" s="4">
        <f t="shared" si="5"/>
        <v>20</v>
      </c>
      <c r="B26" s="90" t="s">
        <v>44</v>
      </c>
      <c r="C26" s="123"/>
      <c r="D26" s="91">
        <f>D24</f>
        <v>47656417.751108006</v>
      </c>
      <c r="E26" s="91">
        <f t="shared" ref="E26:O26" si="21">E24</f>
        <v>46093119.073398001</v>
      </c>
      <c r="F26" s="91">
        <f t="shared" si="21"/>
        <v>1</v>
      </c>
      <c r="G26" s="91">
        <f t="shared" si="21"/>
        <v>46038040.367128603</v>
      </c>
      <c r="H26" s="91">
        <f t="shared" si="21"/>
        <v>1</v>
      </c>
      <c r="I26" s="91">
        <f t="shared" si="21"/>
        <v>1802690.0099999998</v>
      </c>
      <c r="J26" s="91">
        <f t="shared" si="21"/>
        <v>47900493.849848002</v>
      </c>
      <c r="K26" s="91">
        <f t="shared" si="21"/>
        <v>1</v>
      </c>
      <c r="L26" s="91">
        <f t="shared" si="21"/>
        <v>1807374.7764500007</v>
      </c>
      <c r="M26" s="91">
        <f t="shared" si="21"/>
        <v>3.9211379329135092E-2</v>
      </c>
      <c r="N26" s="91"/>
      <c r="O26" s="91">
        <f t="shared" si="21"/>
        <v>4684.7664500027895</v>
      </c>
    </row>
    <row r="27" spans="1:22" s="77" customFormat="1" ht="12.6" customHeight="1" x14ac:dyDescent="0.25">
      <c r="A27" s="4">
        <f t="shared" si="5"/>
        <v>21</v>
      </c>
      <c r="C27" s="29"/>
      <c r="S27" s="78"/>
    </row>
    <row r="28" spans="1:22" s="77" customFormat="1" x14ac:dyDescent="0.25">
      <c r="A28" s="4">
        <f t="shared" si="5"/>
        <v>22</v>
      </c>
      <c r="B28" s="73" t="s">
        <v>7</v>
      </c>
      <c r="C28" s="120"/>
      <c r="D28" s="73"/>
    </row>
    <row r="29" spans="1:22" s="77" customFormat="1" x14ac:dyDescent="0.25">
      <c r="A29" s="4">
        <f t="shared" si="5"/>
        <v>23</v>
      </c>
      <c r="B29" s="77" t="str">
        <f>'Billing Detail'!D11</f>
        <v xml:space="preserve">    FAC</v>
      </c>
      <c r="C29" s="29"/>
      <c r="D29" s="78">
        <f>'Billing Detail'!G224</f>
        <v>-1996675.7800000003</v>
      </c>
      <c r="E29" s="78">
        <f>'Billing Detail'!I224</f>
        <v>-2787939.5667900001</v>
      </c>
      <c r="F29" s="92"/>
      <c r="G29" s="93"/>
      <c r="H29" s="93"/>
      <c r="I29" s="93"/>
      <c r="J29" s="78">
        <f>'Billing Detail'!M224</f>
        <v>-2787939.5667900001</v>
      </c>
      <c r="K29" s="94"/>
      <c r="L29" s="94"/>
      <c r="M29" s="93"/>
      <c r="N29" s="93"/>
    </row>
    <row r="30" spans="1:22" s="77" customFormat="1" x14ac:dyDescent="0.25">
      <c r="A30" s="4">
        <f t="shared" si="5"/>
        <v>24</v>
      </c>
      <c r="B30" s="77" t="str">
        <f>'Billing Detail'!D12</f>
        <v xml:space="preserve">    ES</v>
      </c>
      <c r="C30" s="29"/>
      <c r="D30" s="78">
        <f>'Billing Detail'!G225</f>
        <v>4637875.68</v>
      </c>
      <c r="E30" s="78">
        <f>'Billing Detail'!I225</f>
        <v>4635547.4099999992</v>
      </c>
      <c r="F30" s="93"/>
      <c r="G30" s="93"/>
      <c r="H30" s="93"/>
      <c r="I30" s="93"/>
      <c r="J30" s="78">
        <f>'Billing Detail'!M225</f>
        <v>4635547.4099999992</v>
      </c>
      <c r="K30" s="94"/>
      <c r="L30" s="94"/>
      <c r="M30" s="93"/>
      <c r="N30" s="93"/>
    </row>
    <row r="31" spans="1:22" s="77" customFormat="1" x14ac:dyDescent="0.25">
      <c r="A31" s="4">
        <f t="shared" si="5"/>
        <v>25</v>
      </c>
      <c r="B31" s="77" t="str">
        <f>'Billing Detail'!D13</f>
        <v xml:space="preserve">    Misc Adj</v>
      </c>
      <c r="C31" s="29"/>
      <c r="D31" s="78">
        <f>'Billing Detail'!G226</f>
        <v>0</v>
      </c>
      <c r="E31" s="78">
        <f>'Billing Detail'!I226</f>
        <v>0</v>
      </c>
      <c r="F31" s="93"/>
      <c r="G31" s="93"/>
      <c r="H31" s="93"/>
      <c r="I31" s="93"/>
      <c r="J31" s="78">
        <f>'Billing Detail'!M226</f>
        <v>0</v>
      </c>
      <c r="K31" s="94"/>
      <c r="L31" s="94"/>
      <c r="M31" s="93"/>
      <c r="N31" s="93"/>
    </row>
    <row r="32" spans="1:22" s="77" customFormat="1" x14ac:dyDescent="0.25">
      <c r="A32" s="4">
        <f t="shared" si="5"/>
        <v>26</v>
      </c>
      <c r="B32" s="77" t="str">
        <f>'Billing Detail'!D14</f>
        <v xml:space="preserve">    Other</v>
      </c>
      <c r="C32" s="29"/>
      <c r="D32" s="78">
        <f>'Billing Detail'!G227</f>
        <v>0</v>
      </c>
      <c r="E32" s="78">
        <f>'Billing Detail'!I227</f>
        <v>0</v>
      </c>
      <c r="F32" s="93"/>
      <c r="G32" s="93"/>
      <c r="H32" s="93"/>
      <c r="I32" s="93"/>
      <c r="J32" s="78">
        <f>'Billing Detail'!M227</f>
        <v>0</v>
      </c>
      <c r="K32" s="94"/>
      <c r="L32" s="94"/>
      <c r="M32" s="93"/>
      <c r="N32" s="104"/>
    </row>
    <row r="33" spans="1:14" s="77" customFormat="1" x14ac:dyDescent="0.25">
      <c r="A33" s="4">
        <f t="shared" si="5"/>
        <v>27</v>
      </c>
      <c r="B33" s="82" t="s">
        <v>8</v>
      </c>
      <c r="C33" s="121"/>
      <c r="D33" s="83">
        <f>SUM(D29:D32)</f>
        <v>2641199.8999999994</v>
      </c>
      <c r="E33" s="83">
        <f>SUM(E29:E32)</f>
        <v>1847607.8432099991</v>
      </c>
      <c r="F33" s="95"/>
      <c r="G33" s="95"/>
      <c r="H33" s="95"/>
      <c r="I33" s="95"/>
      <c r="J33" s="83">
        <f>SUM(J29:J32)</f>
        <v>1847607.8432099991</v>
      </c>
      <c r="K33" s="96"/>
      <c r="L33" s="96"/>
      <c r="M33" s="95"/>
      <c r="N33" s="103"/>
    </row>
    <row r="34" spans="1:14" s="77" customFormat="1" x14ac:dyDescent="0.25">
      <c r="A34" s="4">
        <f t="shared" si="5"/>
        <v>28</v>
      </c>
      <c r="C34" s="29"/>
    </row>
    <row r="35" spans="1:14" s="77" customFormat="1" ht="18" customHeight="1" thickBot="1" x14ac:dyDescent="0.3">
      <c r="A35" s="4">
        <f t="shared" si="5"/>
        <v>29</v>
      </c>
      <c r="B35" s="97" t="s">
        <v>9</v>
      </c>
      <c r="C35" s="124"/>
      <c r="D35" s="98">
        <f>D26+D33</f>
        <v>50297617.651108004</v>
      </c>
      <c r="E35" s="98">
        <f>E26+E33</f>
        <v>47940726.916607998</v>
      </c>
      <c r="F35" s="99"/>
      <c r="G35" s="99"/>
      <c r="H35" s="99"/>
      <c r="I35" s="99"/>
      <c r="J35" s="98">
        <f>J26+J33</f>
        <v>49748101.693057999</v>
      </c>
      <c r="K35" s="100"/>
      <c r="L35" s="99">
        <f t="shared" ref="L35" si="22">J35-E35</f>
        <v>1807374.7764500007</v>
      </c>
      <c r="M35" s="97"/>
      <c r="N35" s="101">
        <f>L35/E35</f>
        <v>3.7700195485018309E-2</v>
      </c>
    </row>
    <row r="36" spans="1:14" s="77" customFormat="1" ht="18" customHeight="1" thickTop="1" x14ac:dyDescent="0.25">
      <c r="A36" s="4">
        <f t="shared" si="5"/>
        <v>30</v>
      </c>
      <c r="B36" s="77" t="s">
        <v>10</v>
      </c>
      <c r="C36" s="29"/>
      <c r="D36" s="79"/>
      <c r="L36" s="87">
        <f>L4</f>
        <v>1802690</v>
      </c>
    </row>
    <row r="37" spans="1:14" s="77" customFormat="1" ht="15" customHeight="1" x14ac:dyDescent="0.25">
      <c r="A37" s="4">
        <f t="shared" si="5"/>
        <v>31</v>
      </c>
      <c r="B37" s="82" t="s">
        <v>40</v>
      </c>
      <c r="C37" s="121"/>
      <c r="D37" s="83"/>
      <c r="E37" s="82"/>
      <c r="F37" s="82"/>
      <c r="G37" s="82"/>
      <c r="H37" s="82"/>
      <c r="I37" s="82"/>
      <c r="J37" s="82"/>
      <c r="K37" s="82"/>
      <c r="L37" s="83">
        <f>L35-L36</f>
        <v>4684.7764500007033</v>
      </c>
    </row>
    <row r="38" spans="1:14" s="77" customFormat="1" ht="15" customHeight="1" x14ac:dyDescent="0.25">
      <c r="A38" s="4">
        <f t="shared" si="5"/>
        <v>32</v>
      </c>
      <c r="B38" s="77" t="s">
        <v>40</v>
      </c>
      <c r="C38" s="29"/>
      <c r="D38" s="76"/>
      <c r="L38" s="76">
        <f>L37/L36</f>
        <v>2.598769866144874E-3</v>
      </c>
    </row>
    <row r="39" spans="1:14" x14ac:dyDescent="0.25">
      <c r="A39" s="4"/>
    </row>
  </sheetData>
  <pageMargins left="0.7" right="0.7" top="0.75" bottom="0.75" header="0.3" footer="0.3"/>
  <pageSetup scale="65" orientation="landscape" r:id="rId1"/>
  <ignoredErrors>
    <ignoredError sqref="J24 F24 J15:J16 J8:J11 G8:G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Y246"/>
  <sheetViews>
    <sheetView zoomScale="75" zoomScaleNormal="75" zoomScaleSheetLayoutView="75" workbookViewId="0">
      <pane xSplit="4" ySplit="5" topLeftCell="J6" activePane="bottomRight" state="frozen"/>
      <selection pane="topRight" activeCell="E1" sqref="E1"/>
      <selection pane="bottomLeft" activeCell="A6" sqref="A6"/>
      <selection pane="bottomRight" activeCell="F226" sqref="F226"/>
    </sheetView>
  </sheetViews>
  <sheetFormatPr defaultColWidth="8.88671875" defaultRowHeight="13.2" x14ac:dyDescent="0.25"/>
  <cols>
    <col min="1" max="1" width="7.44140625" style="7" customWidth="1"/>
    <col min="2" max="2" width="27.6640625" style="2" bestFit="1" customWidth="1"/>
    <col min="3" max="3" width="6.6640625" style="29" customWidth="1"/>
    <col min="4" max="4" width="30.44140625" style="2" customWidth="1"/>
    <col min="5" max="5" width="17.44140625" style="2" customWidth="1"/>
    <col min="6" max="6" width="17.6640625" style="2" bestFit="1" customWidth="1"/>
    <col min="7" max="7" width="16.6640625" style="2" customWidth="1"/>
    <col min="8" max="8" width="13.44140625" style="2" bestFit="1" customWidth="1"/>
    <col min="9" max="9" width="17.44140625" style="2" customWidth="1"/>
    <col min="10" max="10" width="12.109375" style="2" customWidth="1"/>
    <col min="11" max="11" width="13.109375" style="50" bestFit="1" customWidth="1"/>
    <col min="12" max="12" width="11.44140625" style="2" bestFit="1" customWidth="1"/>
    <col min="13" max="13" width="14.33203125" style="2" bestFit="1" customWidth="1"/>
    <col min="14" max="14" width="12.33203125" style="2" bestFit="1" customWidth="1"/>
    <col min="15" max="15" width="10.33203125" style="2" customWidth="1"/>
    <col min="16" max="16" width="11.44140625" style="2" bestFit="1" customWidth="1"/>
    <col min="17" max="17" width="10.88671875" style="2" bestFit="1" customWidth="1"/>
    <col min="18" max="18" width="14.33203125" style="2" customWidth="1"/>
    <col min="19" max="19" width="8.88671875" style="2"/>
    <col min="20" max="20" width="14.109375" style="2" customWidth="1"/>
    <col min="21" max="21" width="8.88671875" style="2"/>
    <col min="22" max="22" width="9.33203125" style="2" bestFit="1" customWidth="1"/>
    <col min="23" max="23" width="15.33203125" style="2" customWidth="1"/>
    <col min="24" max="24" width="11.6640625" style="2" customWidth="1"/>
    <col min="25" max="16384" width="8.88671875" style="2"/>
  </cols>
  <sheetData>
    <row r="1" spans="1:20" x14ac:dyDescent="0.25">
      <c r="A1" s="64" t="str">
        <f>Summary!A1</f>
        <v>FARMERS RECC</v>
      </c>
      <c r="F1" s="18"/>
    </row>
    <row r="2" spans="1:20" ht="14.4" customHeight="1" x14ac:dyDescent="0.25">
      <c r="A2" s="64" t="str">
        <f>Summary!A2</f>
        <v>Billing Analysis for Pass-Through Rate Increase</v>
      </c>
      <c r="F2" s="69"/>
      <c r="G2" s="69"/>
      <c r="H2" s="69"/>
      <c r="I2" s="110"/>
      <c r="P2" s="46"/>
      <c r="R2" s="50"/>
      <c r="S2" s="50"/>
      <c r="T2" s="50"/>
    </row>
    <row r="3" spans="1:20" x14ac:dyDescent="0.25">
      <c r="J3" s="181" t="s">
        <v>110</v>
      </c>
      <c r="R3" s="50"/>
      <c r="S3" s="50"/>
      <c r="T3" s="50"/>
    </row>
    <row r="4" spans="1:20" x14ac:dyDescent="0.25">
      <c r="D4" s="50"/>
      <c r="E4" s="50"/>
      <c r="F4" s="50"/>
      <c r="G4" s="50"/>
      <c r="H4" s="50"/>
      <c r="I4" s="50"/>
      <c r="J4" s="50"/>
      <c r="L4" s="50"/>
      <c r="M4" s="50"/>
      <c r="N4" s="50"/>
      <c r="O4" s="50"/>
      <c r="P4" s="50"/>
      <c r="Q4" s="50"/>
      <c r="R4" s="50"/>
      <c r="S4" s="50"/>
      <c r="T4" s="50"/>
    </row>
    <row r="5" spans="1:20" ht="38.4" customHeight="1" x14ac:dyDescent="0.25">
      <c r="A5" s="31" t="s">
        <v>1</v>
      </c>
      <c r="B5" s="31" t="s">
        <v>12</v>
      </c>
      <c r="C5" s="12" t="s">
        <v>11</v>
      </c>
      <c r="D5" s="31" t="s">
        <v>13</v>
      </c>
      <c r="E5" s="14" t="s">
        <v>14</v>
      </c>
      <c r="F5" s="54" t="s">
        <v>20</v>
      </c>
      <c r="G5" s="14" t="s">
        <v>25</v>
      </c>
      <c r="H5" s="14" t="s">
        <v>26</v>
      </c>
      <c r="I5" s="14" t="s">
        <v>27</v>
      </c>
      <c r="J5" s="14" t="s">
        <v>91</v>
      </c>
      <c r="K5" s="54" t="s">
        <v>10</v>
      </c>
      <c r="L5" s="14" t="s">
        <v>23</v>
      </c>
      <c r="M5" s="14" t="s">
        <v>4</v>
      </c>
      <c r="N5" s="14" t="s">
        <v>15</v>
      </c>
      <c r="O5" s="12" t="s">
        <v>16</v>
      </c>
      <c r="P5" s="14" t="s">
        <v>24</v>
      </c>
      <c r="Q5" s="14" t="s">
        <v>28</v>
      </c>
      <c r="R5" s="14" t="s">
        <v>41</v>
      </c>
      <c r="T5" s="14" t="s">
        <v>37</v>
      </c>
    </row>
    <row r="6" spans="1:20" ht="30.6" customHeight="1" thickBot="1" x14ac:dyDescent="0.3">
      <c r="A6" s="65"/>
      <c r="B6" s="40"/>
      <c r="C6" s="41"/>
      <c r="D6" s="40"/>
      <c r="E6" s="42"/>
      <c r="F6" s="42"/>
      <c r="G6" s="42"/>
      <c r="H6" s="42"/>
      <c r="I6" s="42"/>
      <c r="J6" s="42"/>
      <c r="K6" s="55"/>
      <c r="L6" s="42"/>
      <c r="M6" s="42"/>
      <c r="N6" s="42"/>
      <c r="O6" s="41"/>
      <c r="P6" s="42"/>
      <c r="Q6" s="42"/>
      <c r="R6" s="42"/>
    </row>
    <row r="7" spans="1:20" x14ac:dyDescent="0.25">
      <c r="A7" s="66">
        <v>1</v>
      </c>
      <c r="B7" s="43" t="s">
        <v>57</v>
      </c>
      <c r="C7" s="44">
        <v>1</v>
      </c>
      <c r="D7" s="43"/>
      <c r="E7" s="43"/>
      <c r="F7" s="43"/>
      <c r="G7" s="43"/>
      <c r="H7" s="43"/>
      <c r="I7" s="43"/>
      <c r="J7" s="43"/>
      <c r="K7" s="56"/>
      <c r="L7" s="43"/>
      <c r="M7" s="43"/>
      <c r="N7" s="43"/>
      <c r="O7" s="43"/>
      <c r="P7" s="43"/>
      <c r="Q7" s="43"/>
      <c r="R7" s="43"/>
    </row>
    <row r="8" spans="1:20" x14ac:dyDescent="0.25">
      <c r="A8" s="66">
        <f>A7+1</f>
        <v>2</v>
      </c>
      <c r="C8" s="2"/>
      <c r="D8" s="2" t="s">
        <v>17</v>
      </c>
      <c r="E8" s="24">
        <f>264673+16023</f>
        <v>280696</v>
      </c>
      <c r="F8" s="67">
        <v>14</v>
      </c>
      <c r="G8" s="6">
        <f>F8*E8</f>
        <v>3929744</v>
      </c>
      <c r="H8" s="20">
        <v>14</v>
      </c>
      <c r="I8" s="6">
        <f>H8*E8</f>
        <v>3929744</v>
      </c>
      <c r="J8" s="172">
        <v>0.12621666516059771</v>
      </c>
      <c r="K8" s="57"/>
      <c r="L8" s="19">
        <f>ROUND(J8*K10/E8,2)</f>
        <v>14.09</v>
      </c>
      <c r="M8" s="6">
        <f>L8*E8</f>
        <v>3955006.64</v>
      </c>
      <c r="N8" s="6">
        <f t="shared" ref="N8:N13" si="0">M8-I8</f>
        <v>25262.64000000013</v>
      </c>
      <c r="O8" s="5">
        <f>IF(I8=0,0,N8/I8)</f>
        <v>6.4285714285714614E-3</v>
      </c>
      <c r="P8" s="5">
        <f>M8/M10</f>
        <v>0.12623698676543718</v>
      </c>
      <c r="Q8" s="17">
        <f>P8-J8</f>
        <v>2.0321604839473872E-5</v>
      </c>
      <c r="R8" s="17"/>
      <c r="T8" s="5">
        <f>L8/H8-1</f>
        <v>6.4285714285714501E-3</v>
      </c>
    </row>
    <row r="9" spans="1:20" x14ac:dyDescent="0.25">
      <c r="A9" s="66">
        <f t="shared" ref="A9:A72" si="1">A8+1</f>
        <v>3</v>
      </c>
      <c r="B9" s="18"/>
      <c r="D9" s="2" t="s">
        <v>52</v>
      </c>
      <c r="E9" s="24">
        <f>289039587+20383930</f>
        <v>309423517</v>
      </c>
      <c r="F9" s="119">
        <f>H9+0.00159</f>
        <v>8.6288999999999991E-2</v>
      </c>
      <c r="G9" s="6">
        <f t="shared" ref="G9" si="2">F9*E9</f>
        <v>26699845.858412996</v>
      </c>
      <c r="H9" s="119">
        <v>8.4698999999999997E-2</v>
      </c>
      <c r="I9" s="6">
        <f t="shared" ref="I9" si="3">H9*E9</f>
        <v>26207862.466382999</v>
      </c>
      <c r="J9" s="172">
        <v>0.87378333483940229</v>
      </c>
      <c r="K9" s="57"/>
      <c r="L9" s="25">
        <f>ROUND(J9*K10/E9,6)</f>
        <v>8.8470999999999994E-2</v>
      </c>
      <c r="M9" s="6">
        <f t="shared" ref="M9" si="4">L9*E9</f>
        <v>27375007.972507</v>
      </c>
      <c r="N9" s="6">
        <f t="shared" si="0"/>
        <v>1167145.506124001</v>
      </c>
      <c r="O9" s="5">
        <f t="shared" ref="O9" si="5">IF(I9=0,0,N9/I9)</f>
        <v>4.4534173957189616E-2</v>
      </c>
      <c r="P9" s="5">
        <f>M9/M10</f>
        <v>0.87376301323456285</v>
      </c>
      <c r="Q9" s="17">
        <f t="shared" ref="Q9:Q10" si="6">P9-J9</f>
        <v>-2.0321604839446117E-5</v>
      </c>
      <c r="R9" s="17"/>
      <c r="T9" s="5">
        <f>L9/H9-1</f>
        <v>4.4534173957189616E-2</v>
      </c>
    </row>
    <row r="10" spans="1:20" s="7" customFormat="1" ht="20.399999999999999" customHeight="1" x14ac:dyDescent="0.3">
      <c r="A10" s="66">
        <f t="shared" si="1"/>
        <v>4</v>
      </c>
      <c r="C10" s="30"/>
      <c r="D10" s="32" t="s">
        <v>6</v>
      </c>
      <c r="E10" s="32"/>
      <c r="F10" s="32"/>
      <c r="G10" s="33">
        <f>SUM(G8:G9)</f>
        <v>30629589.858412996</v>
      </c>
      <c r="H10" s="32"/>
      <c r="I10" s="34">
        <f>SUM(I8:I9)</f>
        <v>30137606.466382999</v>
      </c>
      <c r="J10" s="35">
        <f>SUM(J8:J9)</f>
        <v>1</v>
      </c>
      <c r="K10" s="58">
        <f>I10+Summary!I8</f>
        <v>31329413.636382997</v>
      </c>
      <c r="L10" s="32"/>
      <c r="M10" s="33">
        <f>SUM(M8:M9)</f>
        <v>31330014.612507001</v>
      </c>
      <c r="N10" s="33">
        <f>SUM(N8:N9)</f>
        <v>1192408.1461240011</v>
      </c>
      <c r="O10" s="35">
        <f t="shared" ref="O10" si="7">N10/I10</f>
        <v>3.9565456117229253E-2</v>
      </c>
      <c r="P10" s="35">
        <f>SUM(P8:P9)</f>
        <v>1</v>
      </c>
      <c r="Q10" s="36">
        <f t="shared" si="6"/>
        <v>0</v>
      </c>
      <c r="R10" s="49">
        <f>M10-K10</f>
        <v>600.97612400352955</v>
      </c>
      <c r="S10" s="7">
        <f>K10/I10</f>
        <v>1.0395455150471022</v>
      </c>
    </row>
    <row r="11" spans="1:20" x14ac:dyDescent="0.25">
      <c r="A11" s="66">
        <f t="shared" si="1"/>
        <v>5</v>
      </c>
      <c r="D11" s="2" t="s">
        <v>29</v>
      </c>
      <c r="G11" s="23">
        <f>-1151018.73-85294</f>
        <v>-1236312.73</v>
      </c>
      <c r="I11" s="63">
        <f>G11+(-0.00159*E9)</f>
        <v>-1728296.12203</v>
      </c>
      <c r="K11" s="72">
        <f>K10-I10</f>
        <v>1191807.1699999981</v>
      </c>
      <c r="M11" s="6">
        <f>I11</f>
        <v>-1728296.12203</v>
      </c>
      <c r="N11" s="6">
        <f t="shared" si="0"/>
        <v>0</v>
      </c>
      <c r="O11" s="18">
        <v>0</v>
      </c>
      <c r="R11" s="51"/>
    </row>
    <row r="12" spans="1:20" x14ac:dyDescent="0.25">
      <c r="A12" s="66">
        <f t="shared" si="1"/>
        <v>6</v>
      </c>
      <c r="D12" s="2" t="s">
        <v>30</v>
      </c>
      <c r="G12" s="23">
        <f>2928754.05+205480</f>
        <v>3134234.05</v>
      </c>
      <c r="I12" s="22">
        <f>G12</f>
        <v>3134234.05</v>
      </c>
      <c r="M12" s="6">
        <f t="shared" ref="M12:M14" si="8">I12</f>
        <v>3134234.05</v>
      </c>
      <c r="N12" s="6">
        <f t="shared" si="0"/>
        <v>0</v>
      </c>
      <c r="O12" s="18">
        <v>0</v>
      </c>
    </row>
    <row r="13" spans="1:20" x14ac:dyDescent="0.25">
      <c r="A13" s="66">
        <f t="shared" si="1"/>
        <v>7</v>
      </c>
      <c r="D13" s="2" t="s">
        <v>32</v>
      </c>
      <c r="G13" s="23"/>
      <c r="I13" s="22">
        <f>G13</f>
        <v>0</v>
      </c>
      <c r="M13" s="6">
        <f t="shared" si="8"/>
        <v>0</v>
      </c>
      <c r="N13" s="6">
        <f t="shared" si="0"/>
        <v>0</v>
      </c>
      <c r="O13" s="18">
        <v>0</v>
      </c>
    </row>
    <row r="14" spans="1:20" x14ac:dyDescent="0.25">
      <c r="A14" s="66">
        <f t="shared" si="1"/>
        <v>8</v>
      </c>
      <c r="D14" s="2" t="s">
        <v>42</v>
      </c>
      <c r="G14" s="23">
        <v>0</v>
      </c>
      <c r="I14" s="22">
        <f>G14</f>
        <v>0</v>
      </c>
      <c r="M14" s="6">
        <f t="shared" si="8"/>
        <v>0</v>
      </c>
      <c r="N14" s="6"/>
      <c r="O14" s="18">
        <v>0</v>
      </c>
    </row>
    <row r="15" spans="1:20" x14ac:dyDescent="0.25">
      <c r="A15" s="66">
        <f t="shared" si="1"/>
        <v>9</v>
      </c>
      <c r="D15" s="26" t="s">
        <v>8</v>
      </c>
      <c r="E15" s="26"/>
      <c r="F15" s="26"/>
      <c r="G15" s="27">
        <f>SUM(G11:G14)</f>
        <v>1897921.3199999998</v>
      </c>
      <c r="H15" s="26"/>
      <c r="I15" s="27">
        <f>SUM(I11:I14)</f>
        <v>1405937.9279699998</v>
      </c>
      <c r="J15" s="26"/>
      <c r="K15" s="59"/>
      <c r="L15" s="26"/>
      <c r="M15" s="27">
        <f>SUM(M11:M14)</f>
        <v>1405937.9279699998</v>
      </c>
      <c r="N15" s="27">
        <f>M15-I15</f>
        <v>0</v>
      </c>
      <c r="O15" s="37">
        <v>0</v>
      </c>
    </row>
    <row r="16" spans="1:20" s="7" customFormat="1" ht="26.4" customHeight="1" thickBot="1" x14ac:dyDescent="0.3">
      <c r="A16" s="66">
        <f t="shared" si="1"/>
        <v>10</v>
      </c>
      <c r="C16" s="30"/>
      <c r="D16" s="8" t="s">
        <v>19</v>
      </c>
      <c r="E16" s="8"/>
      <c r="F16" s="8"/>
      <c r="G16" s="9">
        <f>G10+G15</f>
        <v>32527511.178412996</v>
      </c>
      <c r="H16" s="8"/>
      <c r="I16" s="28">
        <f>I15+I10</f>
        <v>31543544.394352999</v>
      </c>
      <c r="J16" s="8"/>
      <c r="K16" s="60"/>
      <c r="L16" s="8"/>
      <c r="M16" s="9">
        <f>M15+M10</f>
        <v>32735952.540477</v>
      </c>
      <c r="N16" s="9">
        <f>M16-I16</f>
        <v>1192408.1461240016</v>
      </c>
      <c r="O16" s="10">
        <f>N16/I16</f>
        <v>3.7801970863409674E-2</v>
      </c>
      <c r="P16" s="2"/>
      <c r="Q16" s="2"/>
      <c r="R16" s="2"/>
    </row>
    <row r="17" spans="1:23" ht="13.8" thickTop="1" x14ac:dyDescent="0.25">
      <c r="A17" s="66">
        <f t="shared" si="1"/>
        <v>11</v>
      </c>
      <c r="D17" s="2" t="s">
        <v>18</v>
      </c>
      <c r="E17" s="18">
        <f>E9/E8</f>
        <v>1102.343877361986</v>
      </c>
      <c r="G17" s="16">
        <f>G16/E8</f>
        <v>115.8816341465963</v>
      </c>
      <c r="I17" s="16">
        <f>I16/E8</f>
        <v>112.3761806165852</v>
      </c>
      <c r="M17" s="16">
        <f>M16/E8</f>
        <v>116.62422172199462</v>
      </c>
      <c r="N17" s="16">
        <f>M17-I17</f>
        <v>4.2480411054094134</v>
      </c>
      <c r="O17" s="5">
        <f>N17/I17</f>
        <v>3.7801970863409647E-2</v>
      </c>
    </row>
    <row r="18" spans="1:23" ht="13.8" thickBot="1" x14ac:dyDescent="0.3">
      <c r="A18" s="66">
        <f t="shared" si="1"/>
        <v>12</v>
      </c>
    </row>
    <row r="19" spans="1:23" x14ac:dyDescent="0.25">
      <c r="A19" s="66">
        <f t="shared" si="1"/>
        <v>13</v>
      </c>
      <c r="B19" s="43" t="s">
        <v>58</v>
      </c>
      <c r="C19" s="44">
        <v>2</v>
      </c>
      <c r="D19" s="43"/>
      <c r="E19" s="43"/>
      <c r="F19" s="43"/>
      <c r="G19" s="43"/>
      <c r="H19" s="43"/>
      <c r="I19" s="43"/>
      <c r="J19" s="43"/>
      <c r="K19" s="56"/>
      <c r="L19" s="43"/>
      <c r="M19" s="43"/>
      <c r="N19" s="43"/>
      <c r="O19" s="43"/>
      <c r="P19" s="43"/>
      <c r="Q19" s="43"/>
      <c r="R19" s="43"/>
    </row>
    <row r="20" spans="1:23" x14ac:dyDescent="0.25">
      <c r="A20" s="66">
        <f t="shared" si="1"/>
        <v>14</v>
      </c>
      <c r="C20" s="2"/>
      <c r="D20" s="2" t="s">
        <v>17</v>
      </c>
      <c r="E20" s="24">
        <v>0</v>
      </c>
      <c r="F20" s="20">
        <v>14</v>
      </c>
      <c r="G20" s="6">
        <f>F20*E20</f>
        <v>0</v>
      </c>
      <c r="H20" s="20">
        <v>14</v>
      </c>
      <c r="I20" s="6">
        <f>H20*E20</f>
        <v>0</v>
      </c>
      <c r="J20" s="5">
        <f>I20/I23</f>
        <v>0</v>
      </c>
      <c r="K20" s="57"/>
      <c r="L20" s="105">
        <f>L8</f>
        <v>14.09</v>
      </c>
      <c r="M20" s="6">
        <f>L20*E20</f>
        <v>0</v>
      </c>
      <c r="N20" s="6">
        <f>M20-I20</f>
        <v>0</v>
      </c>
      <c r="O20" s="5">
        <f>IF(I20=0,0,N20/I20)</f>
        <v>0</v>
      </c>
      <c r="P20" s="5">
        <f>M20/M$23</f>
        <v>0</v>
      </c>
      <c r="Q20" s="17">
        <f>P20-J20</f>
        <v>0</v>
      </c>
      <c r="R20" s="17"/>
      <c r="W20" s="106" t="s">
        <v>87</v>
      </c>
    </row>
    <row r="21" spans="1:23" x14ac:dyDescent="0.25">
      <c r="A21" s="66">
        <f t="shared" si="1"/>
        <v>15</v>
      </c>
      <c r="D21" s="2" t="s">
        <v>52</v>
      </c>
      <c r="E21" s="24">
        <v>0</v>
      </c>
      <c r="F21" s="119">
        <f>H21+0.00159</f>
        <v>8.6288999999999991E-2</v>
      </c>
      <c r="G21" s="6">
        <f t="shared" ref="G21" si="9">F21*E21</f>
        <v>0</v>
      </c>
      <c r="H21" s="119">
        <f>H9</f>
        <v>8.4698999999999997E-2</v>
      </c>
      <c r="I21" s="6">
        <f t="shared" ref="I21" si="10">H21*E21</f>
        <v>0</v>
      </c>
      <c r="J21" s="5">
        <f>I21/I23</f>
        <v>0</v>
      </c>
      <c r="K21" s="57"/>
      <c r="L21" s="125">
        <f>L9</f>
        <v>8.8470999999999994E-2</v>
      </c>
      <c r="M21" s="6">
        <f t="shared" ref="M21" si="11">L21*E21</f>
        <v>0</v>
      </c>
      <c r="N21" s="6">
        <f t="shared" ref="N21" si="12">M21-I21</f>
        <v>0</v>
      </c>
      <c r="O21" s="5">
        <f t="shared" ref="O21" si="13">IF(I21=0,0,N21/I21)</f>
        <v>0</v>
      </c>
      <c r="P21" s="5">
        <f>M21/M$23</f>
        <v>0</v>
      </c>
      <c r="Q21" s="17">
        <f t="shared" ref="Q21" si="14">P21-J21</f>
        <v>0</v>
      </c>
      <c r="R21" s="17"/>
      <c r="T21" s="5">
        <f>L21/H21-1</f>
        <v>4.4534173957189616E-2</v>
      </c>
      <c r="W21" s="106" t="s">
        <v>87</v>
      </c>
    </row>
    <row r="22" spans="1:23" x14ac:dyDescent="0.25">
      <c r="A22" s="66">
        <f t="shared" si="1"/>
        <v>16</v>
      </c>
      <c r="D22" s="2" t="s">
        <v>71</v>
      </c>
      <c r="E22" s="24">
        <v>16023</v>
      </c>
      <c r="F22" s="20">
        <v>3.18</v>
      </c>
      <c r="G22" s="6">
        <f t="shared" ref="G22" si="15">F22*E22</f>
        <v>50953.14</v>
      </c>
      <c r="H22" s="20">
        <v>3.18</v>
      </c>
      <c r="I22" s="6">
        <f t="shared" ref="I22" si="16">H22*E22</f>
        <v>50953.14</v>
      </c>
      <c r="J22" s="5">
        <f>I22/I23</f>
        <v>1</v>
      </c>
      <c r="K22" s="57"/>
      <c r="L22" s="67">
        <f>H22</f>
        <v>3.18</v>
      </c>
      <c r="M22" s="6">
        <f t="shared" ref="M22" si="17">L22*E22</f>
        <v>50953.14</v>
      </c>
      <c r="N22" s="6">
        <f t="shared" ref="N22" si="18">M22-I22</f>
        <v>0</v>
      </c>
      <c r="O22" s="5">
        <f t="shared" ref="O22" si="19">IF(I22=0,0,N22/I22)</f>
        <v>0</v>
      </c>
      <c r="P22" s="5">
        <f>M22/M$23</f>
        <v>1</v>
      </c>
      <c r="Q22" s="17">
        <f t="shared" ref="Q22" si="20">P22-J22</f>
        <v>0</v>
      </c>
      <c r="R22" s="17"/>
      <c r="T22" s="5">
        <f>L22/H22-1</f>
        <v>0</v>
      </c>
      <c r="W22" s="106"/>
    </row>
    <row r="23" spans="1:23" s="7" customFormat="1" ht="20.399999999999999" customHeight="1" x14ac:dyDescent="0.3">
      <c r="A23" s="66">
        <f t="shared" si="1"/>
        <v>17</v>
      </c>
      <c r="C23" s="30"/>
      <c r="D23" s="32" t="s">
        <v>6</v>
      </c>
      <c r="E23" s="32"/>
      <c r="F23" s="32"/>
      <c r="G23" s="33">
        <f>SUM(G20:G22)</f>
        <v>50953.14</v>
      </c>
      <c r="H23" s="32"/>
      <c r="I23" s="34">
        <f>SUM(I20:I22)</f>
        <v>50953.14</v>
      </c>
      <c r="J23" s="35">
        <f>SUM(J20:J22)</f>
        <v>1</v>
      </c>
      <c r="K23" s="58">
        <f>I23+Summary!I9</f>
        <v>52245.63</v>
      </c>
      <c r="L23" s="32"/>
      <c r="M23" s="33">
        <f>SUM(M20:M22)</f>
        <v>50953.14</v>
      </c>
      <c r="N23" s="33">
        <f>SUM(N20:N22)</f>
        <v>0</v>
      </c>
      <c r="O23" s="35">
        <f t="shared" ref="O23" si="21">N23/I23</f>
        <v>0</v>
      </c>
      <c r="P23" s="35">
        <f>SUM(P20:P22)</f>
        <v>1</v>
      </c>
      <c r="Q23" s="36">
        <f t="shared" ref="Q23" si="22">P23-J23</f>
        <v>0</v>
      </c>
      <c r="R23" s="49">
        <f>M23-K23</f>
        <v>-1292.489999999998</v>
      </c>
      <c r="S23" s="111">
        <v>1.0406</v>
      </c>
    </row>
    <row r="24" spans="1:23" x14ac:dyDescent="0.25">
      <c r="A24" s="66">
        <f t="shared" si="1"/>
        <v>18</v>
      </c>
      <c r="D24" s="2" t="s">
        <v>29</v>
      </c>
      <c r="G24" s="23">
        <v>0</v>
      </c>
      <c r="I24" s="63">
        <f>G24+(-0.00159*E21)</f>
        <v>0</v>
      </c>
      <c r="K24" s="72">
        <f>K23-I23</f>
        <v>1292.489999999998</v>
      </c>
      <c r="M24" s="6">
        <f>I24</f>
        <v>0</v>
      </c>
      <c r="N24" s="6">
        <f t="shared" ref="N24:N30" si="23">M24-I24</f>
        <v>0</v>
      </c>
      <c r="O24" s="18">
        <v>0</v>
      </c>
    </row>
    <row r="25" spans="1:23" x14ac:dyDescent="0.25">
      <c r="A25" s="66">
        <f t="shared" si="1"/>
        <v>19</v>
      </c>
      <c r="D25" s="2" t="s">
        <v>30</v>
      </c>
      <c r="G25" s="23">
        <v>0</v>
      </c>
      <c r="I25" s="22">
        <f t="shared" ref="I25:I27" si="24">G25</f>
        <v>0</v>
      </c>
      <c r="M25" s="6">
        <f t="shared" ref="M25:M27" si="25">I25</f>
        <v>0</v>
      </c>
      <c r="N25" s="6">
        <f t="shared" si="23"/>
        <v>0</v>
      </c>
      <c r="O25" s="18">
        <v>0</v>
      </c>
    </row>
    <row r="26" spans="1:23" x14ac:dyDescent="0.25">
      <c r="A26" s="66">
        <f t="shared" si="1"/>
        <v>20</v>
      </c>
      <c r="D26" s="2" t="s">
        <v>32</v>
      </c>
      <c r="G26" s="23">
        <v>0</v>
      </c>
      <c r="I26" s="22">
        <f t="shared" si="24"/>
        <v>0</v>
      </c>
      <c r="M26" s="6">
        <f t="shared" si="25"/>
        <v>0</v>
      </c>
      <c r="N26" s="6">
        <f t="shared" si="23"/>
        <v>0</v>
      </c>
      <c r="O26" s="18">
        <v>0</v>
      </c>
    </row>
    <row r="27" spans="1:23" x14ac:dyDescent="0.25">
      <c r="A27" s="66">
        <f t="shared" si="1"/>
        <v>21</v>
      </c>
      <c r="D27" s="2" t="s">
        <v>42</v>
      </c>
      <c r="G27" s="23">
        <v>0</v>
      </c>
      <c r="I27" s="22">
        <f t="shared" si="24"/>
        <v>0</v>
      </c>
      <c r="M27" s="6">
        <f t="shared" si="25"/>
        <v>0</v>
      </c>
      <c r="N27" s="6"/>
      <c r="O27" s="18"/>
    </row>
    <row r="28" spans="1:23" x14ac:dyDescent="0.25">
      <c r="A28" s="66">
        <f t="shared" si="1"/>
        <v>22</v>
      </c>
      <c r="D28" s="26" t="s">
        <v>8</v>
      </c>
      <c r="E28" s="26"/>
      <c r="F28" s="26"/>
      <c r="G28" s="27">
        <f>SUM(G24:G27)</f>
        <v>0</v>
      </c>
      <c r="H28" s="26"/>
      <c r="I28" s="27">
        <f>SUM(I24:I27)</f>
        <v>0</v>
      </c>
      <c r="J28" s="26"/>
      <c r="K28" s="59"/>
      <c r="L28" s="26"/>
      <c r="M28" s="27">
        <f>SUM(M24:M27)</f>
        <v>0</v>
      </c>
      <c r="N28" s="27">
        <f t="shared" si="23"/>
        <v>0</v>
      </c>
      <c r="O28" s="37">
        <f t="shared" ref="O28" si="26">N28-J28</f>
        <v>0</v>
      </c>
    </row>
    <row r="29" spans="1:23" s="7" customFormat="1" ht="26.4" customHeight="1" thickBot="1" x14ac:dyDescent="0.3">
      <c r="A29" s="66">
        <f t="shared" si="1"/>
        <v>23</v>
      </c>
      <c r="C29" s="30"/>
      <c r="D29" s="8" t="s">
        <v>19</v>
      </c>
      <c r="E29" s="8"/>
      <c r="F29" s="8"/>
      <c r="G29" s="9">
        <f>G23+G28</f>
        <v>50953.14</v>
      </c>
      <c r="H29" s="8"/>
      <c r="I29" s="28">
        <f>I28+I23</f>
        <v>50953.14</v>
      </c>
      <c r="J29" s="8"/>
      <c r="K29" s="60"/>
      <c r="L29" s="8"/>
      <c r="M29" s="9">
        <f>M28+M23</f>
        <v>50953.14</v>
      </c>
      <c r="N29" s="9">
        <f t="shared" si="23"/>
        <v>0</v>
      </c>
      <c r="O29" s="10">
        <f>N29/I29</f>
        <v>0</v>
      </c>
      <c r="P29" s="2"/>
      <c r="Q29" s="2"/>
      <c r="R29" s="2"/>
    </row>
    <row r="30" spans="1:23" ht="13.8" thickTop="1" x14ac:dyDescent="0.25">
      <c r="A30" s="66">
        <f t="shared" si="1"/>
        <v>24</v>
      </c>
      <c r="D30" s="2" t="s">
        <v>18</v>
      </c>
      <c r="E30" s="18" t="e">
        <f>E21/E20</f>
        <v>#DIV/0!</v>
      </c>
      <c r="G30" s="16" t="e">
        <f>G29/E20</f>
        <v>#DIV/0!</v>
      </c>
      <c r="I30" s="16" t="e">
        <f>I29/E20</f>
        <v>#DIV/0!</v>
      </c>
      <c r="M30" s="16" t="e">
        <f>M29/E20</f>
        <v>#DIV/0!</v>
      </c>
      <c r="N30" s="16" t="e">
        <f t="shared" si="23"/>
        <v>#DIV/0!</v>
      </c>
      <c r="O30" s="5" t="e">
        <f>N30/I30</f>
        <v>#DIV/0!</v>
      </c>
    </row>
    <row r="31" spans="1:23" ht="13.8" thickBot="1" x14ac:dyDescent="0.3">
      <c r="A31" s="66">
        <f t="shared" si="1"/>
        <v>25</v>
      </c>
    </row>
    <row r="32" spans="1:23" x14ac:dyDescent="0.25">
      <c r="A32" s="66">
        <f t="shared" si="1"/>
        <v>26</v>
      </c>
      <c r="B32" s="43" t="s">
        <v>59</v>
      </c>
      <c r="C32" s="44">
        <v>3</v>
      </c>
      <c r="D32" s="43"/>
      <c r="E32" s="43"/>
      <c r="F32" s="43"/>
      <c r="G32" s="43"/>
      <c r="H32" s="43"/>
      <c r="I32" s="43"/>
      <c r="J32" s="43"/>
      <c r="K32" s="56"/>
      <c r="L32" s="43"/>
      <c r="M32" s="43"/>
      <c r="N32" s="43"/>
      <c r="O32" s="43"/>
      <c r="P32" s="43"/>
      <c r="Q32" s="43"/>
      <c r="R32" s="43"/>
    </row>
    <row r="33" spans="1:23" x14ac:dyDescent="0.25">
      <c r="A33" s="66">
        <f t="shared" si="1"/>
        <v>27</v>
      </c>
      <c r="C33" s="2"/>
      <c r="D33" s="2" t="s">
        <v>17</v>
      </c>
      <c r="E33" s="24">
        <v>10</v>
      </c>
      <c r="F33" s="20">
        <v>19.649999999999999</v>
      </c>
      <c r="G33" s="6">
        <f>F33*E33</f>
        <v>196.5</v>
      </c>
      <c r="H33" s="20">
        <v>19.649999999999999</v>
      </c>
      <c r="I33" s="6">
        <f>H33*E33</f>
        <v>196.5</v>
      </c>
      <c r="J33" s="5">
        <f>I33/I36</f>
        <v>0.23720497445702596</v>
      </c>
      <c r="K33" s="57"/>
      <c r="L33" s="19">
        <f>ROUND(H33*S36,2)</f>
        <v>19.649999999999999</v>
      </c>
      <c r="M33" s="6">
        <f>L33*E33</f>
        <v>196.5</v>
      </c>
      <c r="N33" s="6">
        <f>M33-I33</f>
        <v>0</v>
      </c>
      <c r="O33" s="5">
        <f>IF(I33=0,0,N33/I33)</f>
        <v>0</v>
      </c>
      <c r="P33" s="5">
        <f>M33/M$36</f>
        <v>0.23720497445702596</v>
      </c>
      <c r="Q33" s="17">
        <f>P33-J33</f>
        <v>0</v>
      </c>
      <c r="R33" s="17"/>
      <c r="T33" s="5">
        <f>L33/H33-1</f>
        <v>0</v>
      </c>
    </row>
    <row r="34" spans="1:23" x14ac:dyDescent="0.25">
      <c r="A34" s="66">
        <f t="shared" si="1"/>
        <v>28</v>
      </c>
      <c r="D34" s="2" t="s">
        <v>53</v>
      </c>
      <c r="E34" s="117">
        <v>3883</v>
      </c>
      <c r="F34" s="119">
        <f>H34+0.00159</f>
        <v>0.10203899999999999</v>
      </c>
      <c r="G34" s="6">
        <f t="shared" ref="G34" si="27">F34*E34</f>
        <v>396.21743699999996</v>
      </c>
      <c r="H34" s="119">
        <v>0.100449</v>
      </c>
      <c r="I34" s="6">
        <f t="shared" ref="I34" si="28">H34*E34</f>
        <v>390.04346699999996</v>
      </c>
      <c r="J34" s="5">
        <f>I34/I36</f>
        <v>0.47084097011127141</v>
      </c>
      <c r="K34" s="57"/>
      <c r="L34" s="25">
        <f>ROUND(H34*S36,6)</f>
        <v>0.100449</v>
      </c>
      <c r="M34" s="6">
        <f t="shared" ref="M34" si="29">L34*E34</f>
        <v>390.04346699999996</v>
      </c>
      <c r="N34" s="6">
        <f t="shared" ref="N34" si="30">M34-I34</f>
        <v>0</v>
      </c>
      <c r="O34" s="5">
        <f t="shared" ref="O34" si="31">IF(I34=0,0,N34/I34)</f>
        <v>0</v>
      </c>
      <c r="P34" s="5">
        <f t="shared" ref="P34:P35" si="32">M34/M$36</f>
        <v>0.47084097011127141</v>
      </c>
      <c r="Q34" s="17">
        <f t="shared" ref="Q34" si="33">P34-J34</f>
        <v>0</v>
      </c>
      <c r="R34" s="17"/>
      <c r="T34" s="5">
        <f>L34/H34-1</f>
        <v>0</v>
      </c>
    </row>
    <row r="35" spans="1:23" x14ac:dyDescent="0.25">
      <c r="A35" s="66">
        <f t="shared" si="1"/>
        <v>29</v>
      </c>
      <c r="D35" s="2" t="s">
        <v>54</v>
      </c>
      <c r="E35" s="117">
        <v>4325</v>
      </c>
      <c r="F35" s="119">
        <f>H35+0.00159</f>
        <v>5.7509999999999999E-2</v>
      </c>
      <c r="G35" s="6">
        <f t="shared" ref="G35" si="34">F35*E35</f>
        <v>248.73075</v>
      </c>
      <c r="H35" s="119">
        <v>5.5919999999999997E-2</v>
      </c>
      <c r="I35" s="6">
        <f t="shared" ref="I35" si="35">H35*E35</f>
        <v>241.85399999999998</v>
      </c>
      <c r="J35" s="5">
        <f>I35/I36</f>
        <v>0.29195405543170255</v>
      </c>
      <c r="K35" s="57"/>
      <c r="L35" s="25">
        <f>ROUND(H35*S36,6)</f>
        <v>5.5919999999999997E-2</v>
      </c>
      <c r="M35" s="6">
        <f t="shared" ref="M35" si="36">L35*E35</f>
        <v>241.85399999999998</v>
      </c>
      <c r="N35" s="6">
        <f t="shared" ref="N35:N43" si="37">M35-I35</f>
        <v>0</v>
      </c>
      <c r="O35" s="5">
        <f t="shared" ref="O35" si="38">IF(I35=0,0,N35/I35)</f>
        <v>0</v>
      </c>
      <c r="P35" s="5">
        <f t="shared" si="32"/>
        <v>0.29195405543170255</v>
      </c>
      <c r="Q35" s="17">
        <f t="shared" ref="Q35:Q36" si="39">P35-J35</f>
        <v>0</v>
      </c>
      <c r="R35" s="17"/>
      <c r="T35" s="5">
        <f>L35/H35-1</f>
        <v>0</v>
      </c>
    </row>
    <row r="36" spans="1:23" s="7" customFormat="1" ht="20.399999999999999" customHeight="1" x14ac:dyDescent="0.3">
      <c r="A36" s="66">
        <f t="shared" si="1"/>
        <v>30</v>
      </c>
      <c r="C36" s="30"/>
      <c r="D36" s="32" t="s">
        <v>6</v>
      </c>
      <c r="E36" s="32"/>
      <c r="F36" s="32"/>
      <c r="G36" s="33">
        <f>SUM(G33:G35)</f>
        <v>841.44818699999996</v>
      </c>
      <c r="H36" s="32"/>
      <c r="I36" s="34">
        <f>SUM(I33:I35)</f>
        <v>828.39746700000001</v>
      </c>
      <c r="J36" s="35">
        <f>SUM(J33:J35)</f>
        <v>1</v>
      </c>
      <c r="K36" s="58">
        <f>I36+Summary!I10</f>
        <v>828.39746700000001</v>
      </c>
      <c r="L36" s="32"/>
      <c r="M36" s="33">
        <f>SUM(M33:M35)</f>
        <v>828.39746700000001</v>
      </c>
      <c r="N36" s="33">
        <f>SUM(N33:N35)</f>
        <v>0</v>
      </c>
      <c r="O36" s="35">
        <f t="shared" ref="O36" si="40">N36/I36</f>
        <v>0</v>
      </c>
      <c r="P36" s="35">
        <f>SUM(P33:P35)</f>
        <v>1</v>
      </c>
      <c r="Q36" s="36">
        <f t="shared" si="39"/>
        <v>0</v>
      </c>
      <c r="R36" s="49">
        <f>M36-K36</f>
        <v>0</v>
      </c>
      <c r="S36" s="7">
        <f>K36/I36</f>
        <v>1</v>
      </c>
    </row>
    <row r="37" spans="1:23" x14ac:dyDescent="0.25">
      <c r="A37" s="66">
        <f t="shared" si="1"/>
        <v>31</v>
      </c>
      <c r="D37" s="2" t="s">
        <v>29</v>
      </c>
      <c r="G37" s="23">
        <v>-38.6</v>
      </c>
      <c r="I37" s="63">
        <f>G37+(-0.00159*(E35+E34))</f>
        <v>-51.65072</v>
      </c>
      <c r="K37" s="72">
        <f>K36-I36</f>
        <v>0</v>
      </c>
      <c r="M37" s="6">
        <f>I37</f>
        <v>-51.65072</v>
      </c>
      <c r="N37" s="6">
        <f t="shared" si="37"/>
        <v>0</v>
      </c>
      <c r="O37" s="18">
        <v>0</v>
      </c>
    </row>
    <row r="38" spans="1:23" x14ac:dyDescent="0.25">
      <c r="A38" s="66">
        <f t="shared" si="1"/>
        <v>32</v>
      </c>
      <c r="D38" s="2" t="s">
        <v>30</v>
      </c>
      <c r="G38" s="23">
        <v>82.83</v>
      </c>
      <c r="I38" s="22">
        <f t="shared" ref="I38:I40" si="41">G38</f>
        <v>82.83</v>
      </c>
      <c r="M38" s="6">
        <f t="shared" ref="M38:M40" si="42">I38</f>
        <v>82.83</v>
      </c>
      <c r="N38" s="6">
        <f t="shared" si="37"/>
        <v>0</v>
      </c>
      <c r="O38" s="18">
        <v>0</v>
      </c>
    </row>
    <row r="39" spans="1:23" x14ac:dyDescent="0.25">
      <c r="A39" s="66">
        <f t="shared" si="1"/>
        <v>33</v>
      </c>
      <c r="D39" s="2" t="s">
        <v>32</v>
      </c>
      <c r="G39" s="23">
        <v>0</v>
      </c>
      <c r="I39" s="22">
        <f t="shared" si="41"/>
        <v>0</v>
      </c>
      <c r="M39" s="6">
        <f t="shared" si="42"/>
        <v>0</v>
      </c>
      <c r="N39" s="6">
        <f t="shared" si="37"/>
        <v>0</v>
      </c>
      <c r="O39" s="18">
        <v>0</v>
      </c>
    </row>
    <row r="40" spans="1:23" x14ac:dyDescent="0.25">
      <c r="A40" s="66">
        <f t="shared" si="1"/>
        <v>34</v>
      </c>
      <c r="D40" s="2" t="s">
        <v>42</v>
      </c>
      <c r="G40" s="23">
        <v>0</v>
      </c>
      <c r="I40" s="22">
        <f t="shared" si="41"/>
        <v>0</v>
      </c>
      <c r="M40" s="6">
        <f t="shared" si="42"/>
        <v>0</v>
      </c>
      <c r="N40" s="6"/>
      <c r="O40" s="18"/>
    </row>
    <row r="41" spans="1:23" x14ac:dyDescent="0.25">
      <c r="A41" s="66">
        <f t="shared" si="1"/>
        <v>35</v>
      </c>
      <c r="D41" s="26" t="s">
        <v>8</v>
      </c>
      <c r="E41" s="26"/>
      <c r="F41" s="26"/>
      <c r="G41" s="27">
        <f>SUM(G37:G40)</f>
        <v>44.23</v>
      </c>
      <c r="H41" s="26"/>
      <c r="I41" s="27">
        <f>SUM(I37:I40)</f>
        <v>31.179279999999999</v>
      </c>
      <c r="J41" s="26"/>
      <c r="K41" s="59"/>
      <c r="L41" s="26"/>
      <c r="M41" s="27">
        <f>SUM(M37:M40)</f>
        <v>31.179279999999999</v>
      </c>
      <c r="N41" s="27">
        <f t="shared" si="37"/>
        <v>0</v>
      </c>
      <c r="O41" s="37">
        <f t="shared" ref="O41" si="43">N41-J41</f>
        <v>0</v>
      </c>
    </row>
    <row r="42" spans="1:23" s="7" customFormat="1" ht="26.4" customHeight="1" thickBot="1" x14ac:dyDescent="0.3">
      <c r="A42" s="66">
        <f t="shared" si="1"/>
        <v>36</v>
      </c>
      <c r="C42" s="30"/>
      <c r="D42" s="8" t="s">
        <v>19</v>
      </c>
      <c r="E42" s="8"/>
      <c r="F42" s="8"/>
      <c r="G42" s="9">
        <f>G36+G41</f>
        <v>885.67818699999998</v>
      </c>
      <c r="H42" s="8"/>
      <c r="I42" s="28">
        <f>I41+I36</f>
        <v>859.57674699999995</v>
      </c>
      <c r="J42" s="8"/>
      <c r="K42" s="60"/>
      <c r="L42" s="8"/>
      <c r="M42" s="9">
        <f>M41+M36</f>
        <v>859.57674699999995</v>
      </c>
      <c r="N42" s="9">
        <f t="shared" si="37"/>
        <v>0</v>
      </c>
      <c r="O42" s="10">
        <f>N42/I42</f>
        <v>0</v>
      </c>
      <c r="P42" s="2"/>
      <c r="Q42" s="2"/>
      <c r="R42" s="2"/>
    </row>
    <row r="43" spans="1:23" ht="13.8" thickTop="1" x14ac:dyDescent="0.25">
      <c r="A43" s="66">
        <f t="shared" si="1"/>
        <v>37</v>
      </c>
      <c r="D43" s="2" t="s">
        <v>18</v>
      </c>
      <c r="E43" s="18">
        <f>(E34+E35)/E33</f>
        <v>820.8</v>
      </c>
      <c r="G43" s="16">
        <f>G42/E33</f>
        <v>88.567818700000004</v>
      </c>
      <c r="I43" s="16">
        <f>I42/E33</f>
        <v>85.957674699999998</v>
      </c>
      <c r="M43" s="16">
        <f>M42/E33</f>
        <v>85.957674699999998</v>
      </c>
      <c r="N43" s="16">
        <f t="shared" si="37"/>
        <v>0</v>
      </c>
      <c r="O43" s="5">
        <f>N43/I43</f>
        <v>0</v>
      </c>
    </row>
    <row r="44" spans="1:23" ht="13.8" thickBot="1" x14ac:dyDescent="0.3">
      <c r="A44" s="66">
        <f t="shared" si="1"/>
        <v>38</v>
      </c>
    </row>
    <row r="45" spans="1:23" x14ac:dyDescent="0.25">
      <c r="A45" s="66">
        <f t="shared" si="1"/>
        <v>39</v>
      </c>
      <c r="B45" s="43" t="s">
        <v>60</v>
      </c>
      <c r="C45" s="44">
        <v>20</v>
      </c>
      <c r="D45" s="43"/>
      <c r="E45" s="43"/>
      <c r="F45" s="43"/>
      <c r="G45" s="43"/>
      <c r="H45" s="43"/>
      <c r="I45" s="43"/>
      <c r="J45" s="43"/>
      <c r="K45" s="56"/>
      <c r="L45" s="43"/>
      <c r="M45" s="43"/>
      <c r="N45" s="43"/>
      <c r="O45" s="43"/>
      <c r="P45" s="43"/>
      <c r="Q45" s="43"/>
      <c r="R45" s="43"/>
    </row>
    <row r="46" spans="1:23" x14ac:dyDescent="0.25">
      <c r="A46" s="66">
        <f t="shared" si="1"/>
        <v>40</v>
      </c>
      <c r="C46" s="2"/>
      <c r="D46" s="2" t="s">
        <v>17</v>
      </c>
      <c r="E46" s="24">
        <v>237</v>
      </c>
      <c r="F46" s="20">
        <v>14</v>
      </c>
      <c r="G46" s="6">
        <f>F46*E46</f>
        <v>3318</v>
      </c>
      <c r="H46" s="20">
        <f>H8</f>
        <v>14</v>
      </c>
      <c r="I46" s="6">
        <f>H46*E46</f>
        <v>3318</v>
      </c>
      <c r="J46" s="5">
        <f>I46/I48</f>
        <v>0.12172647519571833</v>
      </c>
      <c r="K46" s="57"/>
      <c r="L46" s="105">
        <f>L8</f>
        <v>14.09</v>
      </c>
      <c r="M46" s="6">
        <f>L46*E46</f>
        <v>3339.33</v>
      </c>
      <c r="N46" s="6">
        <f>M46-I46</f>
        <v>21.329999999999927</v>
      </c>
      <c r="O46" s="5">
        <f>IF(I46=0,0,N46/I46)</f>
        <v>6.4285714285714068E-3</v>
      </c>
      <c r="P46" s="5">
        <f>M46/M$48</f>
        <v>0.11780893119589843</v>
      </c>
      <c r="Q46" s="17">
        <f>P46-J46</f>
        <v>-3.917543999819903E-3</v>
      </c>
      <c r="R46" s="17"/>
      <c r="W46" s="106" t="s">
        <v>87</v>
      </c>
    </row>
    <row r="47" spans="1:23" x14ac:dyDescent="0.25">
      <c r="A47" s="66">
        <f t="shared" si="1"/>
        <v>41</v>
      </c>
      <c r="D47" s="2" t="s">
        <v>52</v>
      </c>
      <c r="E47" s="24">
        <v>282646</v>
      </c>
      <c r="F47" s="119">
        <f>H47+0.00159</f>
        <v>8.6288999999999991E-2</v>
      </c>
      <c r="G47" s="6">
        <f t="shared" ref="G47" si="44">F47*E47</f>
        <v>24389.240693999996</v>
      </c>
      <c r="H47" s="119">
        <f>H9</f>
        <v>8.4698999999999997E-2</v>
      </c>
      <c r="I47" s="6">
        <f t="shared" ref="I47" si="45">H47*E47</f>
        <v>23939.833554000001</v>
      </c>
      <c r="J47" s="5">
        <f>I47/I48</f>
        <v>0.87827352480428167</v>
      </c>
      <c r="K47" s="57"/>
      <c r="L47" s="126">
        <f>L9</f>
        <v>8.8470999999999994E-2</v>
      </c>
      <c r="M47" s="6">
        <f t="shared" ref="M47" si="46">L47*E47</f>
        <v>25005.974265999997</v>
      </c>
      <c r="N47" s="6">
        <f t="shared" ref="N47" si="47">M47-I47</f>
        <v>1066.1407119999967</v>
      </c>
      <c r="O47" s="5">
        <f t="shared" ref="O47" si="48">IF(I47=0,0,N47/I47)</f>
        <v>4.4534173957189435E-2</v>
      </c>
      <c r="P47" s="5">
        <f>M47/M$48</f>
        <v>0.88219106880410147</v>
      </c>
      <c r="Q47" s="17">
        <f t="shared" ref="Q47" si="49">P47-J47</f>
        <v>3.9175439998198058E-3</v>
      </c>
      <c r="R47" s="17"/>
      <c r="T47" s="5">
        <f>L47/H47-1</f>
        <v>4.4534173957189616E-2</v>
      </c>
      <c r="W47" s="106" t="s">
        <v>87</v>
      </c>
    </row>
    <row r="48" spans="1:23" s="7" customFormat="1" ht="20.399999999999999" customHeight="1" x14ac:dyDescent="0.3">
      <c r="A48" s="66">
        <f t="shared" si="1"/>
        <v>42</v>
      </c>
      <c r="C48" s="30"/>
      <c r="D48" s="32" t="s">
        <v>6</v>
      </c>
      <c r="E48" s="32"/>
      <c r="F48" s="32"/>
      <c r="G48" s="33">
        <f>SUM(G46:G47)</f>
        <v>27707.240693999996</v>
      </c>
      <c r="H48" s="32"/>
      <c r="I48" s="34">
        <f>SUM(I46:I47)</f>
        <v>27257.833554000001</v>
      </c>
      <c r="J48" s="35">
        <f>SUM(J46:J47)</f>
        <v>1</v>
      </c>
      <c r="K48" s="58">
        <f>I48+Summary!I11</f>
        <v>27667.973554</v>
      </c>
      <c r="L48" s="32"/>
      <c r="M48" s="33">
        <f>SUM(M46:M47)</f>
        <v>28345.304265999999</v>
      </c>
      <c r="N48" s="33">
        <f>SUM(N46:N47)</f>
        <v>1087.4707119999966</v>
      </c>
      <c r="O48" s="35">
        <f t="shared" ref="O48" si="50">N48/I48</f>
        <v>3.9895713276171717E-2</v>
      </c>
      <c r="P48" s="35">
        <f>SUM(P46:P47)</f>
        <v>0.99999999999999989</v>
      </c>
      <c r="Q48" s="36">
        <f t="shared" ref="Q48" si="51">P48-J48</f>
        <v>0</v>
      </c>
      <c r="R48" s="49">
        <f>M48-K48</f>
        <v>677.33071199999904</v>
      </c>
      <c r="S48" s="7">
        <f>K48/I48</f>
        <v>1.0150466837060794</v>
      </c>
    </row>
    <row r="49" spans="1:20" x14ac:dyDescent="0.25">
      <c r="A49" s="66">
        <f t="shared" si="1"/>
        <v>43</v>
      </c>
      <c r="D49" s="2" t="s">
        <v>29</v>
      </c>
      <c r="G49" s="23">
        <v>-366.79</v>
      </c>
      <c r="I49" s="63">
        <f>G49+(-0.00159*E47)</f>
        <v>-816.19713999999999</v>
      </c>
      <c r="K49" s="72">
        <f>K48-I48</f>
        <v>410.13999999999942</v>
      </c>
      <c r="M49" s="6">
        <f>I49</f>
        <v>-816.19713999999999</v>
      </c>
      <c r="N49" s="6">
        <f t="shared" ref="N49:N55" si="52">M49-I49</f>
        <v>0</v>
      </c>
      <c r="O49" s="18">
        <v>0</v>
      </c>
    </row>
    <row r="50" spans="1:20" x14ac:dyDescent="0.25">
      <c r="A50" s="66">
        <f t="shared" si="1"/>
        <v>44</v>
      </c>
      <c r="D50" s="2" t="s">
        <v>30</v>
      </c>
      <c r="G50" s="23">
        <v>1190.04</v>
      </c>
      <c r="I50" s="22">
        <f t="shared" ref="I50:I52" si="53">G50</f>
        <v>1190.04</v>
      </c>
      <c r="M50" s="6">
        <f t="shared" ref="M50:M52" si="54">I50</f>
        <v>1190.04</v>
      </c>
      <c r="N50" s="6">
        <f t="shared" si="52"/>
        <v>0</v>
      </c>
      <c r="O50" s="18">
        <v>0</v>
      </c>
    </row>
    <row r="51" spans="1:20" x14ac:dyDescent="0.25">
      <c r="A51" s="66">
        <f t="shared" si="1"/>
        <v>45</v>
      </c>
      <c r="D51" s="2" t="s">
        <v>32</v>
      </c>
      <c r="G51" s="23">
        <v>0</v>
      </c>
      <c r="I51" s="22">
        <f t="shared" si="53"/>
        <v>0</v>
      </c>
      <c r="M51" s="6">
        <f t="shared" si="54"/>
        <v>0</v>
      </c>
      <c r="N51" s="6">
        <f t="shared" si="52"/>
        <v>0</v>
      </c>
      <c r="O51" s="18">
        <v>0</v>
      </c>
    </row>
    <row r="52" spans="1:20" x14ac:dyDescent="0.25">
      <c r="A52" s="66">
        <f t="shared" si="1"/>
        <v>46</v>
      </c>
      <c r="D52" s="2" t="s">
        <v>42</v>
      </c>
      <c r="G52" s="23">
        <v>0</v>
      </c>
      <c r="I52" s="22">
        <f t="shared" si="53"/>
        <v>0</v>
      </c>
      <c r="M52" s="6">
        <f t="shared" si="54"/>
        <v>0</v>
      </c>
      <c r="N52" s="6"/>
      <c r="O52" s="18"/>
    </row>
    <row r="53" spans="1:20" x14ac:dyDescent="0.25">
      <c r="A53" s="66">
        <f t="shared" si="1"/>
        <v>47</v>
      </c>
      <c r="D53" s="26" t="s">
        <v>8</v>
      </c>
      <c r="E53" s="26"/>
      <c r="F53" s="26"/>
      <c r="G53" s="27">
        <f>SUM(G49:G52)</f>
        <v>823.25</v>
      </c>
      <c r="H53" s="26"/>
      <c r="I53" s="27">
        <f>SUM(I49:I52)</f>
        <v>373.84285999999997</v>
      </c>
      <c r="J53" s="26"/>
      <c r="K53" s="59"/>
      <c r="L53" s="26"/>
      <c r="M53" s="27">
        <f>SUM(M49:M52)</f>
        <v>373.84285999999997</v>
      </c>
      <c r="N53" s="27">
        <f t="shared" si="52"/>
        <v>0</v>
      </c>
      <c r="O53" s="37">
        <f t="shared" ref="O53" si="55">N53-J53</f>
        <v>0</v>
      </c>
    </row>
    <row r="54" spans="1:20" s="7" customFormat="1" ht="26.4" customHeight="1" thickBot="1" x14ac:dyDescent="0.3">
      <c r="A54" s="66">
        <f t="shared" si="1"/>
        <v>48</v>
      </c>
      <c r="C54" s="30"/>
      <c r="D54" s="8" t="s">
        <v>19</v>
      </c>
      <c r="E54" s="8"/>
      <c r="F54" s="8"/>
      <c r="G54" s="9">
        <f>G48+G53</f>
        <v>28530.490693999996</v>
      </c>
      <c r="H54" s="8"/>
      <c r="I54" s="28">
        <f>I53+I48</f>
        <v>27631.676414000001</v>
      </c>
      <c r="J54" s="8"/>
      <c r="K54" s="60"/>
      <c r="L54" s="8"/>
      <c r="M54" s="9">
        <f>M53+M48</f>
        <v>28719.147126</v>
      </c>
      <c r="N54" s="9">
        <f t="shared" si="52"/>
        <v>1087.4707119999985</v>
      </c>
      <c r="O54" s="10">
        <f>N54/I54</f>
        <v>3.9355944087743268E-2</v>
      </c>
      <c r="P54" s="2"/>
      <c r="Q54" s="2"/>
      <c r="R54" s="2"/>
    </row>
    <row r="55" spans="1:20" ht="13.8" thickTop="1" x14ac:dyDescent="0.25">
      <c r="A55" s="66">
        <f t="shared" si="1"/>
        <v>49</v>
      </c>
      <c r="D55" s="2" t="s">
        <v>18</v>
      </c>
      <c r="E55" s="18">
        <f>E47/E46</f>
        <v>1192.5991561181434</v>
      </c>
      <c r="G55" s="16">
        <f>G54/E46</f>
        <v>120.38181727426159</v>
      </c>
      <c r="I55" s="16">
        <f>I54/E46</f>
        <v>116.58935195780592</v>
      </c>
      <c r="M55" s="16">
        <f>M54/E46</f>
        <v>121.17783597468355</v>
      </c>
      <c r="N55" s="16">
        <f t="shared" si="52"/>
        <v>4.5884840168776293</v>
      </c>
      <c r="O55" s="5">
        <f>N55/I55</f>
        <v>3.9355944087743254E-2</v>
      </c>
    </row>
    <row r="56" spans="1:20" ht="13.8" thickBot="1" x14ac:dyDescent="0.3">
      <c r="A56" s="66">
        <f t="shared" si="1"/>
        <v>50</v>
      </c>
    </row>
    <row r="57" spans="1:20" x14ac:dyDescent="0.25">
      <c r="A57" s="66">
        <f t="shared" si="1"/>
        <v>51</v>
      </c>
      <c r="B57" s="43" t="s">
        <v>61</v>
      </c>
      <c r="C57" s="44">
        <v>7</v>
      </c>
      <c r="D57" s="43"/>
      <c r="E57" s="43"/>
      <c r="F57" s="43"/>
      <c r="G57" s="43"/>
      <c r="H57" s="43"/>
      <c r="I57" s="43"/>
      <c r="J57" s="43"/>
      <c r="K57" s="56"/>
      <c r="L57" s="43"/>
      <c r="M57" s="43"/>
      <c r="N57" s="43"/>
      <c r="O57" s="43"/>
      <c r="P57" s="43"/>
      <c r="Q57" s="43"/>
      <c r="R57" s="43"/>
    </row>
    <row r="58" spans="1:20" x14ac:dyDescent="0.25">
      <c r="A58" s="66">
        <f t="shared" si="1"/>
        <v>52</v>
      </c>
      <c r="C58" s="2"/>
      <c r="D58" s="2" t="s">
        <v>17</v>
      </c>
      <c r="E58" s="24">
        <v>1762</v>
      </c>
      <c r="F58" s="20">
        <v>0</v>
      </c>
      <c r="G58" s="6">
        <f>F58*E58</f>
        <v>0</v>
      </c>
      <c r="H58" s="20">
        <v>0</v>
      </c>
      <c r="I58" s="6">
        <f>H58*E58</f>
        <v>0</v>
      </c>
      <c r="J58" s="5">
        <f>I58/I60</f>
        <v>0</v>
      </c>
      <c r="K58" s="57"/>
      <c r="L58" s="19">
        <f>ROUND(H58*S60,2)</f>
        <v>0</v>
      </c>
      <c r="M58" s="6">
        <f>L58*E58</f>
        <v>0</v>
      </c>
      <c r="N58" s="6">
        <f>M58-I58</f>
        <v>0</v>
      </c>
      <c r="O58" s="5">
        <f>IF(I58=0,0,N58/I58)</f>
        <v>0</v>
      </c>
      <c r="P58" s="5">
        <f>M58/M$60</f>
        <v>0</v>
      </c>
      <c r="Q58" s="17">
        <f>P58-J58</f>
        <v>0</v>
      </c>
      <c r="R58" s="17"/>
      <c r="T58" s="5"/>
    </row>
    <row r="59" spans="1:20" x14ac:dyDescent="0.25">
      <c r="A59" s="66">
        <f t="shared" si="1"/>
        <v>53</v>
      </c>
      <c r="D59" s="2" t="s">
        <v>54</v>
      </c>
      <c r="E59" s="24">
        <v>577453</v>
      </c>
      <c r="F59" s="119">
        <f>H59+0.00159</f>
        <v>5.0777000000000003E-2</v>
      </c>
      <c r="G59" s="6">
        <f t="shared" ref="G59" si="56">F59*E59</f>
        <v>29321.330981000003</v>
      </c>
      <c r="H59" s="119">
        <v>4.9187000000000002E-2</v>
      </c>
      <c r="I59" s="6">
        <f t="shared" ref="I59" si="57">H59*E59</f>
        <v>28403.180711000001</v>
      </c>
      <c r="J59" s="5">
        <f>I59/I60</f>
        <v>1</v>
      </c>
      <c r="K59" s="57"/>
      <c r="L59" s="25">
        <f>ROUND(H59*S60,6)</f>
        <v>5.2173999999999998E-2</v>
      </c>
      <c r="M59" s="6">
        <f t="shared" ref="M59" si="58">L59*E59</f>
        <v>30128.032821999997</v>
      </c>
      <c r="N59" s="6">
        <f t="shared" ref="N59" si="59">M59-I59</f>
        <v>1724.8521109999965</v>
      </c>
      <c r="O59" s="5">
        <f t="shared" ref="O59" si="60">IF(I59=0,0,N59/I59)</f>
        <v>6.0727427978937397E-2</v>
      </c>
      <c r="P59" s="5">
        <f>M59/M$60</f>
        <v>1</v>
      </c>
      <c r="Q59" s="17">
        <f t="shared" ref="Q59" si="61">P59-J59</f>
        <v>0</v>
      </c>
      <c r="R59" s="17"/>
      <c r="T59" s="5">
        <f>L59/H59-1</f>
        <v>6.0727427978937376E-2</v>
      </c>
    </row>
    <row r="60" spans="1:20" s="7" customFormat="1" ht="20.399999999999999" customHeight="1" x14ac:dyDescent="0.3">
      <c r="A60" s="66">
        <f t="shared" si="1"/>
        <v>54</v>
      </c>
      <c r="C60" s="30"/>
      <c r="D60" s="32" t="s">
        <v>6</v>
      </c>
      <c r="E60" s="32"/>
      <c r="F60" s="32"/>
      <c r="G60" s="33">
        <f>SUM(G58:G59)</f>
        <v>29321.330981000003</v>
      </c>
      <c r="H60" s="68"/>
      <c r="I60" s="34">
        <f>SUM(I58:I59)</f>
        <v>28403.180711000001</v>
      </c>
      <c r="J60" s="35">
        <f>SUM(J58:J59)</f>
        <v>1</v>
      </c>
      <c r="K60" s="58">
        <f>I60+Summary!I12</f>
        <v>30127.960711</v>
      </c>
      <c r="L60" s="32"/>
      <c r="M60" s="33">
        <f>SUM(M58:M59)</f>
        <v>30128.032821999997</v>
      </c>
      <c r="N60" s="33">
        <f>SUM(N58:N59)</f>
        <v>1724.8521109999965</v>
      </c>
      <c r="O60" s="35">
        <f t="shared" ref="O60" si="62">N60/I60</f>
        <v>6.0727427978937397E-2</v>
      </c>
      <c r="P60" s="35">
        <f>SUM(P58:P59)</f>
        <v>1</v>
      </c>
      <c r="Q60" s="36">
        <f t="shared" ref="Q60" si="63">P60-J60</f>
        <v>0</v>
      </c>
      <c r="R60" s="49">
        <f>M60-K60</f>
        <v>7.2110999997676117E-2</v>
      </c>
      <c r="S60" s="7">
        <f>K60/I60</f>
        <v>1.0607248891435608</v>
      </c>
    </row>
    <row r="61" spans="1:20" x14ac:dyDescent="0.25">
      <c r="A61" s="66">
        <f t="shared" si="1"/>
        <v>55</v>
      </c>
      <c r="D61" s="2" t="s">
        <v>29</v>
      </c>
      <c r="G61" s="23">
        <v>-2010.19</v>
      </c>
      <c r="I61" s="63">
        <f>G61+(-0.00159*(E59))</f>
        <v>-2928.3402700000001</v>
      </c>
      <c r="K61" s="72">
        <f>K60-I60</f>
        <v>1724.7799999999988</v>
      </c>
      <c r="M61" s="6">
        <f>I61</f>
        <v>-2928.3402700000001</v>
      </c>
      <c r="N61" s="6">
        <f t="shared" ref="N61:N67" si="64">M61-I61</f>
        <v>0</v>
      </c>
      <c r="O61" s="18">
        <v>0</v>
      </c>
    </row>
    <row r="62" spans="1:20" x14ac:dyDescent="0.25">
      <c r="A62" s="66">
        <f t="shared" si="1"/>
        <v>56</v>
      </c>
      <c r="D62" s="2" t="s">
        <v>30</v>
      </c>
      <c r="G62" s="23">
        <v>2642.51</v>
      </c>
      <c r="I62" s="22">
        <f t="shared" ref="I62:I64" si="65">G62</f>
        <v>2642.51</v>
      </c>
      <c r="M62" s="6">
        <f t="shared" ref="M62:M64" si="66">I62</f>
        <v>2642.51</v>
      </c>
      <c r="N62" s="6">
        <f t="shared" si="64"/>
        <v>0</v>
      </c>
      <c r="O62" s="18">
        <v>0</v>
      </c>
    </row>
    <row r="63" spans="1:20" x14ac:dyDescent="0.25">
      <c r="A63" s="66">
        <f t="shared" si="1"/>
        <v>57</v>
      </c>
      <c r="D63" s="2" t="s">
        <v>32</v>
      </c>
      <c r="G63" s="23">
        <v>0</v>
      </c>
      <c r="I63" s="22">
        <f t="shared" si="65"/>
        <v>0</v>
      </c>
      <c r="M63" s="6">
        <f t="shared" si="66"/>
        <v>0</v>
      </c>
      <c r="N63" s="6">
        <f t="shared" si="64"/>
        <v>0</v>
      </c>
      <c r="O63" s="18">
        <v>0</v>
      </c>
    </row>
    <row r="64" spans="1:20" x14ac:dyDescent="0.25">
      <c r="A64" s="66">
        <f t="shared" si="1"/>
        <v>58</v>
      </c>
      <c r="D64" s="2" t="s">
        <v>42</v>
      </c>
      <c r="G64" s="23">
        <v>0</v>
      </c>
      <c r="I64" s="22">
        <f t="shared" si="65"/>
        <v>0</v>
      </c>
      <c r="M64" s="6">
        <f t="shared" si="66"/>
        <v>0</v>
      </c>
      <c r="N64" s="6"/>
      <c r="O64" s="18"/>
    </row>
    <row r="65" spans="1:20" x14ac:dyDescent="0.25">
      <c r="A65" s="66">
        <f t="shared" si="1"/>
        <v>59</v>
      </c>
      <c r="D65" s="26" t="s">
        <v>8</v>
      </c>
      <c r="E65" s="26"/>
      <c r="F65" s="26"/>
      <c r="G65" s="27">
        <f>SUM(G61:G64)</f>
        <v>632.32000000000016</v>
      </c>
      <c r="H65" s="26"/>
      <c r="I65" s="27">
        <f>SUM(I61:I64)</f>
        <v>-285.83026999999993</v>
      </c>
      <c r="J65" s="26"/>
      <c r="K65" s="59"/>
      <c r="L65" s="26"/>
      <c r="M65" s="27">
        <f>SUM(M61:M64)</f>
        <v>-285.83026999999993</v>
      </c>
      <c r="N65" s="27">
        <f t="shared" si="64"/>
        <v>0</v>
      </c>
      <c r="O65" s="37">
        <f t="shared" ref="O65" si="67">N65-J65</f>
        <v>0</v>
      </c>
    </row>
    <row r="66" spans="1:20" s="7" customFormat="1" ht="26.4" customHeight="1" thickBot="1" x14ac:dyDescent="0.3">
      <c r="A66" s="66">
        <f t="shared" si="1"/>
        <v>60</v>
      </c>
      <c r="C66" s="30"/>
      <c r="D66" s="8" t="s">
        <v>19</v>
      </c>
      <c r="E66" s="8"/>
      <c r="F66" s="8"/>
      <c r="G66" s="9">
        <f>G60+G65</f>
        <v>29953.650981000003</v>
      </c>
      <c r="H66" s="8"/>
      <c r="I66" s="28">
        <f>I65+I60</f>
        <v>28117.350441000002</v>
      </c>
      <c r="J66" s="8"/>
      <c r="K66" s="60"/>
      <c r="L66" s="8"/>
      <c r="M66" s="9">
        <f>M65+M60</f>
        <v>29842.202551999999</v>
      </c>
      <c r="N66" s="9">
        <f t="shared" si="64"/>
        <v>1724.8521109999965</v>
      </c>
      <c r="O66" s="10">
        <f>N66/I66</f>
        <v>6.134475987057661E-2</v>
      </c>
      <c r="P66" s="2"/>
      <c r="Q66" s="2"/>
      <c r="R66" s="2"/>
    </row>
    <row r="67" spans="1:20" ht="13.8" thickTop="1" x14ac:dyDescent="0.25">
      <c r="A67" s="66">
        <f t="shared" si="1"/>
        <v>61</v>
      </c>
      <c r="D67" s="2" t="s">
        <v>18</v>
      </c>
      <c r="E67" s="18">
        <f>E59/E58</f>
        <v>327.72587968217937</v>
      </c>
      <c r="G67" s="16">
        <f>G66/E58</f>
        <v>16.999801918842227</v>
      </c>
      <c r="I67" s="16">
        <f>I66/E58</f>
        <v>15.957633621452896</v>
      </c>
      <c r="M67" s="16">
        <f>M66/E58</f>
        <v>16.936550824063563</v>
      </c>
      <c r="N67" s="16">
        <f t="shared" si="64"/>
        <v>0.97891720261066695</v>
      </c>
      <c r="O67" s="5">
        <f>N67/I67</f>
        <v>6.1344759870576561E-2</v>
      </c>
    </row>
    <row r="68" spans="1:20" ht="13.8" thickBot="1" x14ac:dyDescent="0.3">
      <c r="A68" s="66">
        <f t="shared" si="1"/>
        <v>62</v>
      </c>
      <c r="B68" s="50"/>
      <c r="C68" s="53"/>
      <c r="D68" s="50"/>
      <c r="E68" s="50"/>
      <c r="F68" s="50"/>
      <c r="G68" s="50"/>
      <c r="H68" s="50"/>
      <c r="I68" s="50"/>
      <c r="J68" s="50"/>
      <c r="L68" s="50"/>
      <c r="M68" s="50"/>
      <c r="N68" s="50"/>
      <c r="O68" s="50"/>
      <c r="P68" s="50"/>
      <c r="Q68" s="50"/>
      <c r="R68" s="50"/>
    </row>
    <row r="69" spans="1:20" x14ac:dyDescent="0.25">
      <c r="A69" s="66">
        <f t="shared" si="1"/>
        <v>63</v>
      </c>
      <c r="B69" s="43" t="s">
        <v>62</v>
      </c>
      <c r="C69" s="44">
        <v>4</v>
      </c>
      <c r="D69" s="43"/>
      <c r="E69" s="43"/>
      <c r="F69" s="43"/>
      <c r="G69" s="43"/>
      <c r="H69" s="43"/>
      <c r="I69" s="43"/>
      <c r="J69" s="43"/>
      <c r="K69" s="56"/>
      <c r="L69" s="43"/>
      <c r="M69" s="43"/>
      <c r="N69" s="43"/>
      <c r="O69" s="43"/>
      <c r="P69" s="43"/>
      <c r="Q69" s="43"/>
      <c r="R69" s="43"/>
    </row>
    <row r="70" spans="1:20" x14ac:dyDescent="0.25">
      <c r="A70" s="66">
        <f t="shared" si="1"/>
        <v>64</v>
      </c>
      <c r="C70" s="2"/>
      <c r="D70" s="2" t="s">
        <v>17</v>
      </c>
      <c r="E70" s="24">
        <v>20931</v>
      </c>
      <c r="F70" s="21">
        <v>21.32</v>
      </c>
      <c r="G70" s="6">
        <f>F70*E70</f>
        <v>446248.92</v>
      </c>
      <c r="H70" s="20">
        <v>21.32</v>
      </c>
      <c r="I70" s="6">
        <f>H70*E70</f>
        <v>446248.92</v>
      </c>
      <c r="J70" s="172">
        <v>0.15349156918900697</v>
      </c>
      <c r="K70" s="57"/>
      <c r="L70" s="19">
        <f>ROUND(J70*K72/E70,2)</f>
        <v>22.35</v>
      </c>
      <c r="M70" s="6">
        <f>L70*E70</f>
        <v>467807.85000000003</v>
      </c>
      <c r="N70" s="6">
        <f>M70-I70</f>
        <v>21558.930000000051</v>
      </c>
      <c r="O70" s="5">
        <f>IF(I70=0,0,N70/I70)</f>
        <v>4.8311444652908181E-2</v>
      </c>
      <c r="P70" s="5">
        <f>M70/M$72</f>
        <v>0.15348711609808158</v>
      </c>
      <c r="Q70" s="17">
        <f>P70-J70</f>
        <v>-4.453090925393699E-6</v>
      </c>
      <c r="R70" s="17"/>
      <c r="T70" s="5">
        <f>L70/H70-1</f>
        <v>4.8311444652908042E-2</v>
      </c>
    </row>
    <row r="71" spans="1:20" x14ac:dyDescent="0.25">
      <c r="A71" s="66">
        <f t="shared" si="1"/>
        <v>65</v>
      </c>
      <c r="D71" s="2" t="s">
        <v>52</v>
      </c>
      <c r="E71" s="24">
        <v>31093255</v>
      </c>
      <c r="F71" s="119">
        <f>H71+0.00159</f>
        <v>8.1564999999999999E-2</v>
      </c>
      <c r="G71" s="6">
        <f t="shared" ref="G71" si="68">F71*E71</f>
        <v>2536121.3440749999</v>
      </c>
      <c r="H71" s="119">
        <v>7.9975000000000004E-2</v>
      </c>
      <c r="I71" s="6">
        <f t="shared" ref="I71" si="69">H71*E71</f>
        <v>2486683.0686250003</v>
      </c>
      <c r="J71" s="172">
        <v>0.84650843081099314</v>
      </c>
      <c r="K71" s="57"/>
      <c r="L71" s="25">
        <f>ROUND(J71*K72/E71,6)</f>
        <v>8.2977999999999996E-2</v>
      </c>
      <c r="M71" s="6">
        <f t="shared" ref="M71" si="70">L71*E71</f>
        <v>2580056.1133900001</v>
      </c>
      <c r="N71" s="6">
        <f t="shared" ref="N71" si="71">M71-I71</f>
        <v>93373.044764999766</v>
      </c>
      <c r="O71" s="5">
        <f t="shared" ref="O71" si="72">IF(I71=0,0,N71/I71)</f>
        <v>3.7549234135667298E-2</v>
      </c>
      <c r="P71" s="5">
        <f>M71/M$72</f>
        <v>0.84651288390191837</v>
      </c>
      <c r="Q71" s="17">
        <f t="shared" ref="Q71" si="73">P71-J71</f>
        <v>4.4530909252271655E-6</v>
      </c>
      <c r="R71" s="17"/>
      <c r="T71" s="5">
        <f>L71/H71-1</f>
        <v>3.7549234135667353E-2</v>
      </c>
    </row>
    <row r="72" spans="1:20" s="7" customFormat="1" ht="20.399999999999999" customHeight="1" x14ac:dyDescent="0.3">
      <c r="A72" s="66">
        <f t="shared" si="1"/>
        <v>66</v>
      </c>
      <c r="C72" s="30"/>
      <c r="D72" s="32" t="s">
        <v>6</v>
      </c>
      <c r="E72" s="32"/>
      <c r="F72" s="32"/>
      <c r="G72" s="33">
        <f>SUM(G70:G71)</f>
        <v>2982370.2640749998</v>
      </c>
      <c r="H72" s="32"/>
      <c r="I72" s="34">
        <f>SUM(I70:I71)</f>
        <v>2932931.9886250002</v>
      </c>
      <c r="J72" s="35">
        <f>SUM(J70:J71)</f>
        <v>1</v>
      </c>
      <c r="K72" s="58">
        <f>I72+Summary!I13</f>
        <v>3047865.7186250002</v>
      </c>
      <c r="L72" s="32"/>
      <c r="M72" s="33">
        <f>SUM(M70:M71)</f>
        <v>3047863.9633900002</v>
      </c>
      <c r="N72" s="33">
        <f>SUM(N70:N71)</f>
        <v>114931.97476499982</v>
      </c>
      <c r="O72" s="35">
        <f t="shared" ref="O72" si="74">N72/I72</f>
        <v>3.9186716640804732E-2</v>
      </c>
      <c r="P72" s="35">
        <f>SUM(P70:P71)</f>
        <v>1</v>
      </c>
      <c r="Q72" s="36">
        <f t="shared" ref="Q72" si="75">P72-J72</f>
        <v>0</v>
      </c>
      <c r="R72" s="49">
        <f>M72-K72</f>
        <v>-1.7552350000478327</v>
      </c>
      <c r="S72" s="7">
        <f>K72/I72</f>
        <v>1.0391873150982551</v>
      </c>
    </row>
    <row r="73" spans="1:20" x14ac:dyDescent="0.25">
      <c r="A73" s="66">
        <f t="shared" ref="A73:A136" si="76">A72+1</f>
        <v>67</v>
      </c>
      <c r="D73" s="2" t="s">
        <v>29</v>
      </c>
      <c r="G73" s="23">
        <v>-126889.05</v>
      </c>
      <c r="I73" s="63">
        <f>G73+(-0.00159*(E71))</f>
        <v>-176327.32545</v>
      </c>
      <c r="K73" s="72">
        <f>K72-I72</f>
        <v>114933.72999999998</v>
      </c>
      <c r="M73" s="6">
        <f>I73</f>
        <v>-176327.32545</v>
      </c>
      <c r="N73" s="6">
        <f t="shared" ref="N73:N75" si="77">M73-I73</f>
        <v>0</v>
      </c>
      <c r="O73" s="18">
        <v>0</v>
      </c>
    </row>
    <row r="74" spans="1:20" x14ac:dyDescent="0.25">
      <c r="A74" s="66">
        <f t="shared" si="76"/>
        <v>68</v>
      </c>
      <c r="D74" s="2" t="s">
        <v>30</v>
      </c>
      <c r="G74" s="23">
        <v>306352.87</v>
      </c>
      <c r="I74" s="22">
        <f t="shared" ref="I74:I76" si="78">G74</f>
        <v>306352.87</v>
      </c>
      <c r="M74" s="6">
        <f t="shared" ref="M74:M76" si="79">I74</f>
        <v>306352.87</v>
      </c>
      <c r="N74" s="6">
        <f t="shared" si="77"/>
        <v>0</v>
      </c>
      <c r="O74" s="18">
        <v>0</v>
      </c>
    </row>
    <row r="75" spans="1:20" x14ac:dyDescent="0.25">
      <c r="A75" s="66">
        <f t="shared" si="76"/>
        <v>69</v>
      </c>
      <c r="D75" s="2" t="s">
        <v>32</v>
      </c>
      <c r="G75" s="23">
        <v>0</v>
      </c>
      <c r="I75" s="22">
        <f t="shared" si="78"/>
        <v>0</v>
      </c>
      <c r="M75" s="6">
        <f t="shared" si="79"/>
        <v>0</v>
      </c>
      <c r="N75" s="6">
        <f t="shared" si="77"/>
        <v>0</v>
      </c>
      <c r="O75" s="18">
        <v>0</v>
      </c>
    </row>
    <row r="76" spans="1:20" x14ac:dyDescent="0.25">
      <c r="A76" s="66">
        <f t="shared" si="76"/>
        <v>70</v>
      </c>
      <c r="D76" s="2" t="s">
        <v>42</v>
      </c>
      <c r="G76" s="23">
        <v>0</v>
      </c>
      <c r="I76" s="22">
        <f t="shared" si="78"/>
        <v>0</v>
      </c>
      <c r="M76" s="6">
        <f t="shared" si="79"/>
        <v>0</v>
      </c>
      <c r="N76" s="6"/>
      <c r="O76" s="18"/>
    </row>
    <row r="77" spans="1:20" x14ac:dyDescent="0.25">
      <c r="A77" s="66">
        <f t="shared" si="76"/>
        <v>71</v>
      </c>
      <c r="D77" s="26" t="s">
        <v>8</v>
      </c>
      <c r="E77" s="26"/>
      <c r="F77" s="26"/>
      <c r="G77" s="27">
        <f>SUM(G73:G76)</f>
        <v>179463.82</v>
      </c>
      <c r="H77" s="26"/>
      <c r="I77" s="27">
        <f>SUM(I73:I76)</f>
        <v>130025.54454999999</v>
      </c>
      <c r="J77" s="26"/>
      <c r="K77" s="59"/>
      <c r="L77" s="26"/>
      <c r="M77" s="27">
        <f>SUM(M73:M76)</f>
        <v>130025.54454999999</v>
      </c>
      <c r="N77" s="27">
        <f t="shared" ref="N77:N79" si="80">M77-I77</f>
        <v>0</v>
      </c>
      <c r="O77" s="37">
        <f t="shared" ref="O77" si="81">N77-J77</f>
        <v>0</v>
      </c>
    </row>
    <row r="78" spans="1:20" s="7" customFormat="1" ht="26.4" customHeight="1" thickBot="1" x14ac:dyDescent="0.3">
      <c r="A78" s="66">
        <f t="shared" si="76"/>
        <v>72</v>
      </c>
      <c r="C78" s="30"/>
      <c r="D78" s="8" t="s">
        <v>19</v>
      </c>
      <c r="E78" s="8"/>
      <c r="F78" s="8"/>
      <c r="G78" s="9">
        <f>G72+G77</f>
        <v>3161834.0840749997</v>
      </c>
      <c r="H78" s="8"/>
      <c r="I78" s="28">
        <f>I77+I72</f>
        <v>3062957.533175</v>
      </c>
      <c r="J78" s="8"/>
      <c r="K78" s="60"/>
      <c r="L78" s="8"/>
      <c r="M78" s="9">
        <f>M77+M72</f>
        <v>3177889.5079399999</v>
      </c>
      <c r="N78" s="9">
        <f t="shared" si="80"/>
        <v>114931.97476499993</v>
      </c>
      <c r="O78" s="10">
        <f>N78/I78</f>
        <v>3.752320217311788E-2</v>
      </c>
      <c r="P78" s="2"/>
      <c r="Q78" s="2"/>
      <c r="R78" s="2"/>
    </row>
    <row r="79" spans="1:20" ht="13.8" thickTop="1" x14ac:dyDescent="0.25">
      <c r="A79" s="66">
        <f t="shared" si="76"/>
        <v>73</v>
      </c>
      <c r="D79" s="2" t="s">
        <v>18</v>
      </c>
      <c r="E79" s="18">
        <f>E71/E70</f>
        <v>1485.5121589986145</v>
      </c>
      <c r="G79" s="16">
        <f>G78/E70</f>
        <v>151.05986737733502</v>
      </c>
      <c r="I79" s="16">
        <f>I78/E70</f>
        <v>146.33593871171945</v>
      </c>
      <c r="M79" s="16">
        <f>M78/E70</f>
        <v>151.82693172519228</v>
      </c>
      <c r="N79" s="16">
        <f t="shared" si="80"/>
        <v>5.4909930134728313</v>
      </c>
      <c r="O79" s="5">
        <f>N79/I79</f>
        <v>3.7523202173117845E-2</v>
      </c>
    </row>
    <row r="80" spans="1:20" ht="13.8" thickBot="1" x14ac:dyDescent="0.3">
      <c r="A80" s="66">
        <f t="shared" si="76"/>
        <v>74</v>
      </c>
    </row>
    <row r="81" spans="1:20" x14ac:dyDescent="0.25">
      <c r="A81" s="66">
        <f t="shared" si="76"/>
        <v>75</v>
      </c>
      <c r="B81" s="43" t="s">
        <v>63</v>
      </c>
      <c r="C81" s="44">
        <v>8</v>
      </c>
      <c r="D81" s="43"/>
      <c r="E81" s="43"/>
      <c r="F81" s="43"/>
      <c r="G81" s="43"/>
      <c r="H81" s="43"/>
      <c r="I81" s="43"/>
      <c r="J81" s="43"/>
      <c r="K81" s="56"/>
      <c r="L81" s="43"/>
      <c r="M81" s="43"/>
      <c r="N81" s="43"/>
      <c r="O81" s="43"/>
      <c r="P81" s="43"/>
      <c r="Q81" s="43"/>
      <c r="R81" s="43"/>
    </row>
    <row r="82" spans="1:20" x14ac:dyDescent="0.25">
      <c r="A82" s="66">
        <f t="shared" si="76"/>
        <v>76</v>
      </c>
      <c r="C82" s="2"/>
      <c r="D82" s="2" t="s">
        <v>17</v>
      </c>
      <c r="E82" s="117"/>
      <c r="F82" s="21"/>
      <c r="G82" s="6"/>
      <c r="H82" s="20"/>
      <c r="I82" s="6"/>
      <c r="J82" s="5"/>
      <c r="K82" s="57"/>
      <c r="L82" s="25"/>
      <c r="M82" s="6"/>
      <c r="N82" s="6"/>
      <c r="O82" s="5"/>
      <c r="P82" s="5"/>
      <c r="Q82" s="17"/>
      <c r="R82" s="17"/>
      <c r="T82" s="5"/>
    </row>
    <row r="83" spans="1:20" x14ac:dyDescent="0.25">
      <c r="A83" s="66">
        <f t="shared" si="76"/>
        <v>77</v>
      </c>
      <c r="D83" s="2" t="s">
        <v>52</v>
      </c>
      <c r="E83" s="117">
        <v>0</v>
      </c>
      <c r="F83" s="119">
        <f>H83+0.00159</f>
        <v>4.7943E-2</v>
      </c>
      <c r="G83" s="6">
        <f t="shared" ref="G83" si="82">F83*E83</f>
        <v>0</v>
      </c>
      <c r="H83" s="119">
        <v>4.6352999999999998E-2</v>
      </c>
      <c r="I83" s="6">
        <f t="shared" ref="I83" si="83">H83*E83</f>
        <v>0</v>
      </c>
      <c r="J83" s="5">
        <f>IF(I84=0,0,I83/I84)</f>
        <v>0</v>
      </c>
      <c r="K83" s="57"/>
      <c r="L83" s="25">
        <f>ROUND(H83*S84,6)</f>
        <v>4.6352999999999998E-2</v>
      </c>
      <c r="M83" s="6">
        <f t="shared" ref="M83" si="84">L83*E83</f>
        <v>0</v>
      </c>
      <c r="N83" s="6">
        <f t="shared" ref="N83" si="85">M83-I83</f>
        <v>0</v>
      </c>
      <c r="O83" s="5">
        <f t="shared" ref="O83" si="86">IF(I83=0,0,N83/I83)</f>
        <v>0</v>
      </c>
      <c r="P83" s="5">
        <f>IF(M84=0,0,M83/M84)</f>
        <v>0</v>
      </c>
      <c r="Q83" s="17">
        <f t="shared" ref="Q83" si="87">P83-J83</f>
        <v>0</v>
      </c>
      <c r="R83" s="17"/>
      <c r="T83" s="5">
        <f>L83/H83-1</f>
        <v>0</v>
      </c>
    </row>
    <row r="84" spans="1:20" s="7" customFormat="1" ht="20.399999999999999" customHeight="1" x14ac:dyDescent="0.3">
      <c r="A84" s="66">
        <f t="shared" si="76"/>
        <v>78</v>
      </c>
      <c r="C84" s="30"/>
      <c r="D84" s="32" t="s">
        <v>6</v>
      </c>
      <c r="E84" s="32"/>
      <c r="F84" s="32"/>
      <c r="G84" s="33">
        <f>SUM(G82:G83)</f>
        <v>0</v>
      </c>
      <c r="H84" s="32"/>
      <c r="I84" s="34">
        <f>SUM(I82:I83)</f>
        <v>0</v>
      </c>
      <c r="J84" s="35">
        <f>SUM(J82:J83)</f>
        <v>0</v>
      </c>
      <c r="K84" s="58">
        <f>I84+Summary!I14</f>
        <v>7.42</v>
      </c>
      <c r="L84" s="32"/>
      <c r="M84" s="33">
        <f>SUM(M82:M83)</f>
        <v>0</v>
      </c>
      <c r="N84" s="33">
        <f>SUM(N82:N83)</f>
        <v>0</v>
      </c>
      <c r="O84" s="35">
        <f>IF(I84=0,0,N84/I84)</f>
        <v>0</v>
      </c>
      <c r="P84" s="35">
        <f>SUM(P82:P83)</f>
        <v>0</v>
      </c>
      <c r="Q84" s="36">
        <f t="shared" ref="Q84" si="88">P84-J84</f>
        <v>0</v>
      </c>
      <c r="R84" s="49">
        <f>M84-K84</f>
        <v>-7.42</v>
      </c>
      <c r="S84" s="7">
        <v>1</v>
      </c>
    </row>
    <row r="85" spans="1:20" x14ac:dyDescent="0.25">
      <c r="A85" s="66">
        <f t="shared" si="76"/>
        <v>79</v>
      </c>
      <c r="D85" s="2" t="s">
        <v>29</v>
      </c>
      <c r="G85" s="118">
        <v>0</v>
      </c>
      <c r="I85" s="63">
        <f>G85+(-0.00159*(E83))</f>
        <v>0</v>
      </c>
      <c r="K85" s="72">
        <f>K84-I84</f>
        <v>7.42</v>
      </c>
      <c r="M85" s="6">
        <f>I85</f>
        <v>0</v>
      </c>
      <c r="N85" s="6">
        <f t="shared" ref="N85:N90" si="89">M85-I85</f>
        <v>0</v>
      </c>
      <c r="O85" s="18">
        <v>0</v>
      </c>
    </row>
    <row r="86" spans="1:20" x14ac:dyDescent="0.25">
      <c r="A86" s="66">
        <f t="shared" si="76"/>
        <v>80</v>
      </c>
      <c r="D86" s="2" t="s">
        <v>30</v>
      </c>
      <c r="G86" s="118">
        <v>0</v>
      </c>
      <c r="I86" s="22">
        <f t="shared" ref="I86:I88" si="90">G86</f>
        <v>0</v>
      </c>
      <c r="M86" s="6">
        <f t="shared" ref="M86:M88" si="91">I86</f>
        <v>0</v>
      </c>
      <c r="N86" s="6">
        <f t="shared" si="89"/>
        <v>0</v>
      </c>
      <c r="O86" s="18">
        <v>0</v>
      </c>
    </row>
    <row r="87" spans="1:20" x14ac:dyDescent="0.25">
      <c r="A87" s="66">
        <f t="shared" si="76"/>
        <v>81</v>
      </c>
      <c r="D87" s="2" t="s">
        <v>32</v>
      </c>
      <c r="F87" s="18"/>
      <c r="G87" s="23">
        <f>F87*E87</f>
        <v>0</v>
      </c>
      <c r="I87" s="22">
        <f t="shared" si="90"/>
        <v>0</v>
      </c>
      <c r="M87" s="6">
        <f t="shared" si="91"/>
        <v>0</v>
      </c>
      <c r="N87" s="6">
        <f t="shared" si="89"/>
        <v>0</v>
      </c>
      <c r="O87" s="18">
        <v>0</v>
      </c>
    </row>
    <row r="88" spans="1:20" x14ac:dyDescent="0.25">
      <c r="A88" s="66">
        <f t="shared" si="76"/>
        <v>82</v>
      </c>
      <c r="D88" s="2" t="s">
        <v>42</v>
      </c>
      <c r="G88" s="23">
        <v>0</v>
      </c>
      <c r="I88" s="22">
        <f t="shared" si="90"/>
        <v>0</v>
      </c>
      <c r="M88" s="6">
        <f t="shared" si="91"/>
        <v>0</v>
      </c>
      <c r="N88" s="6"/>
      <c r="O88" s="18"/>
    </row>
    <row r="89" spans="1:20" x14ac:dyDescent="0.25">
      <c r="A89" s="66">
        <f t="shared" si="76"/>
        <v>83</v>
      </c>
      <c r="D89" s="26" t="s">
        <v>8</v>
      </c>
      <c r="E89" s="26"/>
      <c r="F89" s="26"/>
      <c r="G89" s="27">
        <f>SUM(G85:G88)</f>
        <v>0</v>
      </c>
      <c r="H89" s="26"/>
      <c r="I89" s="27">
        <f>SUM(I85:I88)</f>
        <v>0</v>
      </c>
      <c r="J89" s="26"/>
      <c r="K89" s="59"/>
      <c r="L89" s="26"/>
      <c r="M89" s="27">
        <f>SUM(M85:M88)</f>
        <v>0</v>
      </c>
      <c r="N89" s="27">
        <f t="shared" si="89"/>
        <v>0</v>
      </c>
      <c r="O89" s="37">
        <f t="shared" ref="O89" si="92">N89-J89</f>
        <v>0</v>
      </c>
    </row>
    <row r="90" spans="1:20" s="7" customFormat="1" ht="26.4" customHeight="1" thickBot="1" x14ac:dyDescent="0.3">
      <c r="A90" s="66">
        <f t="shared" si="76"/>
        <v>84</v>
      </c>
      <c r="C90" s="30"/>
      <c r="D90" s="8" t="s">
        <v>19</v>
      </c>
      <c r="E90" s="8"/>
      <c r="F90" s="8"/>
      <c r="G90" s="9">
        <f>G84+G89</f>
        <v>0</v>
      </c>
      <c r="H90" s="8"/>
      <c r="I90" s="28">
        <f>I89+I84</f>
        <v>0</v>
      </c>
      <c r="J90" s="8"/>
      <c r="K90" s="60"/>
      <c r="L90" s="8"/>
      <c r="M90" s="9">
        <f>M89+M84</f>
        <v>0</v>
      </c>
      <c r="N90" s="9">
        <f t="shared" si="89"/>
        <v>0</v>
      </c>
      <c r="O90" s="10">
        <f>IF(I90=0,0,N90/I90)</f>
        <v>0</v>
      </c>
      <c r="P90" s="2"/>
      <c r="Q90" s="2"/>
      <c r="R90" s="2"/>
    </row>
    <row r="91" spans="1:20" ht="13.8" thickTop="1" x14ac:dyDescent="0.25">
      <c r="A91" s="66">
        <f t="shared" si="76"/>
        <v>85</v>
      </c>
      <c r="D91" s="2" t="s">
        <v>18</v>
      </c>
      <c r="E91" s="2" t="s">
        <v>100</v>
      </c>
      <c r="G91" s="16"/>
      <c r="I91" s="16"/>
      <c r="M91" s="16"/>
      <c r="N91" s="16"/>
      <c r="O91" s="5"/>
    </row>
    <row r="92" spans="1:20" ht="13.8" thickBot="1" x14ac:dyDescent="0.3">
      <c r="A92" s="66">
        <f t="shared" si="76"/>
        <v>86</v>
      </c>
    </row>
    <row r="93" spans="1:20" x14ac:dyDescent="0.25">
      <c r="A93" s="66">
        <f t="shared" si="76"/>
        <v>87</v>
      </c>
      <c r="B93" s="43" t="s">
        <v>65</v>
      </c>
      <c r="C93" s="44">
        <v>5</v>
      </c>
      <c r="D93" s="43"/>
      <c r="E93" s="43"/>
      <c r="F93" s="43"/>
      <c r="G93" s="43"/>
      <c r="H93" s="43"/>
      <c r="I93" s="43"/>
      <c r="J93" s="43"/>
      <c r="K93" s="56"/>
      <c r="L93" s="43"/>
      <c r="M93" s="43"/>
      <c r="N93" s="43"/>
      <c r="O93" s="43"/>
      <c r="P93" s="43"/>
      <c r="Q93" s="43"/>
      <c r="R93" s="43"/>
    </row>
    <row r="94" spans="1:20" x14ac:dyDescent="0.25">
      <c r="A94" s="66">
        <f t="shared" si="76"/>
        <v>88</v>
      </c>
      <c r="C94" s="2"/>
      <c r="D94" s="2" t="s">
        <v>17</v>
      </c>
      <c r="E94" s="24">
        <v>1208</v>
      </c>
      <c r="F94" s="20">
        <v>105</v>
      </c>
      <c r="G94" s="6">
        <f>F94*E94</f>
        <v>126840</v>
      </c>
      <c r="H94" s="20">
        <v>105</v>
      </c>
      <c r="I94" s="6">
        <f>H94*E94</f>
        <v>126840</v>
      </c>
      <c r="J94" s="172">
        <v>1.7417779438062581E-2</v>
      </c>
      <c r="K94" s="57"/>
      <c r="L94" s="19">
        <f>ROUND(J94*K97/E94,2)</f>
        <v>72.930000000000007</v>
      </c>
      <c r="M94" s="6">
        <f>L94*E94</f>
        <v>88099.44</v>
      </c>
      <c r="N94" s="6">
        <f>M94-I94</f>
        <v>-38740.559999999998</v>
      </c>
      <c r="O94" s="5">
        <f>IF(I94=0,0,N94/I94)</f>
        <v>-0.30542857142857138</v>
      </c>
      <c r="P94" s="5">
        <f>IF(M$97=0,0,M94/M$97)</f>
        <v>1.7414357864795085E-2</v>
      </c>
      <c r="Q94" s="17">
        <f>P94-J94</f>
        <v>-3.4215732674959531E-6</v>
      </c>
      <c r="R94" s="17"/>
      <c r="T94" s="5">
        <f t="shared" ref="T94:T96" si="93">L94/H94-1</f>
        <v>-0.30542857142857138</v>
      </c>
    </row>
    <row r="95" spans="1:20" x14ac:dyDescent="0.25">
      <c r="A95" s="66">
        <f t="shared" si="76"/>
        <v>89</v>
      </c>
      <c r="D95" s="2" t="s">
        <v>52</v>
      </c>
      <c r="E95" s="24">
        <v>54467370</v>
      </c>
      <c r="F95" s="119">
        <f>H95+0.00159</f>
        <v>6.2475000000000003E-2</v>
      </c>
      <c r="G95" s="6">
        <f t="shared" ref="G95" si="94">F95*E95</f>
        <v>3402848.9407500001</v>
      </c>
      <c r="H95" s="119">
        <v>6.0885000000000002E-2</v>
      </c>
      <c r="I95" s="6">
        <f t="shared" ref="I95" si="95">H95*E95</f>
        <v>3316245.8224499999</v>
      </c>
      <c r="J95" s="172">
        <v>0.73368872314516143</v>
      </c>
      <c r="K95" s="57"/>
      <c r="L95" s="25">
        <f>ROUND(J95*K97/E95,6)</f>
        <v>6.8136000000000002E-2</v>
      </c>
      <c r="M95" s="6">
        <f t="shared" ref="M95" si="96">L95*E95</f>
        <v>3711188.7223200002</v>
      </c>
      <c r="N95" s="6">
        <f t="shared" ref="N95:N103" si="97">M95-I95</f>
        <v>394942.89987000031</v>
      </c>
      <c r="O95" s="5">
        <f t="shared" ref="O95" si="98">IF(I95=0,0,N95/I95)</f>
        <v>0.11909337275190944</v>
      </c>
      <c r="P95" s="5">
        <f>IF(M$97=0,0,M95/M$97)</f>
        <v>0.73357978795633783</v>
      </c>
      <c r="Q95" s="17">
        <f t="shared" ref="Q95:Q97" si="99">P95-J95</f>
        <v>-1.0893518882360009E-4</v>
      </c>
      <c r="R95" s="17"/>
      <c r="T95" s="5">
        <f t="shared" si="93"/>
        <v>0.11909337275190923</v>
      </c>
    </row>
    <row r="96" spans="1:20" x14ac:dyDescent="0.25">
      <c r="A96" s="66">
        <f t="shared" si="76"/>
        <v>90</v>
      </c>
      <c r="D96" s="2" t="s">
        <v>55</v>
      </c>
      <c r="E96" s="24">
        <v>180476.15</v>
      </c>
      <c r="F96" s="20">
        <v>7.89</v>
      </c>
      <c r="G96" s="6">
        <f t="shared" ref="G96" si="100">F96*E96</f>
        <v>1423956.8234999999</v>
      </c>
      <c r="H96" s="20">
        <v>7.89</v>
      </c>
      <c r="I96" s="6">
        <f t="shared" ref="I96" si="101">H96*E96</f>
        <v>1423956.8234999999</v>
      </c>
      <c r="J96" s="172">
        <v>0.24889349741677591</v>
      </c>
      <c r="K96" s="57"/>
      <c r="L96" s="19">
        <f>ROUND(J96*K97/E96,2)</f>
        <v>6.98</v>
      </c>
      <c r="M96" s="6">
        <f t="shared" ref="M96" si="102">L96*E96</f>
        <v>1259723.527</v>
      </c>
      <c r="N96" s="6">
        <f t="shared" ref="N96" si="103">M96-I96</f>
        <v>-164233.29649999994</v>
      </c>
      <c r="O96" s="5">
        <f t="shared" ref="O96" si="104">IF(I96=0,0,N96/I96)</f>
        <v>-0.11533586818757918</v>
      </c>
      <c r="P96" s="5">
        <f>IF(M$97=0,0,M96/M$97)</f>
        <v>0.24900585417886709</v>
      </c>
      <c r="Q96" s="17">
        <f t="shared" ref="Q96" si="105">P96-J96</f>
        <v>1.1235676209117584E-4</v>
      </c>
      <c r="R96" s="17"/>
      <c r="T96" s="5">
        <f t="shared" si="93"/>
        <v>-0.11533586818757913</v>
      </c>
    </row>
    <row r="97" spans="1:20" s="7" customFormat="1" ht="20.399999999999999" customHeight="1" x14ac:dyDescent="0.3">
      <c r="A97" s="66">
        <f t="shared" si="76"/>
        <v>91</v>
      </c>
      <c r="C97" s="30"/>
      <c r="D97" s="32" t="s">
        <v>6</v>
      </c>
      <c r="E97" s="32"/>
      <c r="F97" s="32"/>
      <c r="G97" s="33">
        <f>SUM(G94:G96)</f>
        <v>4953645.76425</v>
      </c>
      <c r="H97" s="32"/>
      <c r="I97" s="34">
        <f>SUM(I94:I96)</f>
        <v>4867042.6459499998</v>
      </c>
      <c r="J97" s="35">
        <f>SUM(J94:J96)</f>
        <v>0.99999999999999989</v>
      </c>
      <c r="K97" s="58">
        <f>I97+Summary!I15</f>
        <v>5058239.8959499998</v>
      </c>
      <c r="L97" s="32"/>
      <c r="M97" s="33">
        <f>SUM(M94:M96)</f>
        <v>5059011.6893199999</v>
      </c>
      <c r="N97" s="33">
        <f>SUM(N94:N96)</f>
        <v>191969.04337000038</v>
      </c>
      <c r="O97" s="35">
        <f>IF(I97=0,0,N97/I97)</f>
        <v>3.9442646661364905E-2</v>
      </c>
      <c r="P97" s="35">
        <f>SUM(P94:P96)</f>
        <v>1</v>
      </c>
      <c r="Q97" s="36">
        <f t="shared" si="99"/>
        <v>0</v>
      </c>
      <c r="R97" s="49">
        <f>M97-K97</f>
        <v>771.79337000008672</v>
      </c>
      <c r="S97" s="7">
        <f>IF(I97=0,0,K97/I97)</f>
        <v>1.0392840712335036</v>
      </c>
    </row>
    <row r="98" spans="1:20" x14ac:dyDescent="0.25">
      <c r="A98" s="66">
        <f t="shared" si="76"/>
        <v>92</v>
      </c>
      <c r="D98" s="2" t="s">
        <v>29</v>
      </c>
      <c r="G98" s="23">
        <v>-222558.74</v>
      </c>
      <c r="I98" s="63">
        <f>G98+(-0.00159*(E95))</f>
        <v>-309161.85829999996</v>
      </c>
      <c r="K98" s="72">
        <f>K97-I97</f>
        <v>191197.25</v>
      </c>
      <c r="M98" s="6">
        <f>I98</f>
        <v>-309161.85829999996</v>
      </c>
      <c r="N98" s="6">
        <f t="shared" si="97"/>
        <v>0</v>
      </c>
      <c r="O98" s="18">
        <v>0</v>
      </c>
    </row>
    <row r="99" spans="1:20" x14ac:dyDescent="0.25">
      <c r="A99" s="66">
        <f t="shared" si="76"/>
        <v>93</v>
      </c>
      <c r="D99" s="2" t="s">
        <v>30</v>
      </c>
      <c r="G99" s="23">
        <v>495330.55</v>
      </c>
      <c r="I99" s="22">
        <f t="shared" ref="I99:I101" si="106">G99</f>
        <v>495330.55</v>
      </c>
      <c r="M99" s="6">
        <f t="shared" ref="M99:M101" si="107">I99</f>
        <v>495330.55</v>
      </c>
      <c r="N99" s="6">
        <f t="shared" si="97"/>
        <v>0</v>
      </c>
      <c r="O99" s="18">
        <v>0</v>
      </c>
    </row>
    <row r="100" spans="1:20" x14ac:dyDescent="0.25">
      <c r="A100" s="66">
        <f t="shared" si="76"/>
        <v>94</v>
      </c>
      <c r="D100" s="2" t="s">
        <v>32</v>
      </c>
      <c r="G100" s="23">
        <v>0</v>
      </c>
      <c r="I100" s="22">
        <f t="shared" si="106"/>
        <v>0</v>
      </c>
      <c r="M100" s="6">
        <f t="shared" si="107"/>
        <v>0</v>
      </c>
      <c r="N100" s="6">
        <f t="shared" si="97"/>
        <v>0</v>
      </c>
      <c r="O100" s="18">
        <v>0</v>
      </c>
    </row>
    <row r="101" spans="1:20" x14ac:dyDescent="0.25">
      <c r="A101" s="66">
        <f t="shared" si="76"/>
        <v>95</v>
      </c>
      <c r="D101" s="2" t="s">
        <v>42</v>
      </c>
      <c r="G101" s="23">
        <v>0</v>
      </c>
      <c r="I101" s="22">
        <f t="shared" si="106"/>
        <v>0</v>
      </c>
      <c r="M101" s="6">
        <f t="shared" si="107"/>
        <v>0</v>
      </c>
      <c r="N101" s="6"/>
      <c r="O101" s="18"/>
    </row>
    <row r="102" spans="1:20" x14ac:dyDescent="0.25">
      <c r="A102" s="66">
        <f t="shared" si="76"/>
        <v>96</v>
      </c>
      <c r="D102" s="26" t="s">
        <v>8</v>
      </c>
      <c r="E102" s="26"/>
      <c r="F102" s="26"/>
      <c r="G102" s="27">
        <f>SUM(G98:G101)</f>
        <v>272771.81</v>
      </c>
      <c r="H102" s="26"/>
      <c r="I102" s="27">
        <f>SUM(I98:I101)</f>
        <v>186168.69170000002</v>
      </c>
      <c r="J102" s="26"/>
      <c r="K102" s="59"/>
      <c r="L102" s="26"/>
      <c r="M102" s="27">
        <f>SUM(M98:M101)</f>
        <v>186168.69170000002</v>
      </c>
      <c r="N102" s="27">
        <f t="shared" si="97"/>
        <v>0</v>
      </c>
      <c r="O102" s="37">
        <f t="shared" ref="O102" si="108">N102-J102</f>
        <v>0</v>
      </c>
    </row>
    <row r="103" spans="1:20" s="7" customFormat="1" ht="26.4" customHeight="1" thickBot="1" x14ac:dyDescent="0.3">
      <c r="A103" s="66">
        <f t="shared" si="76"/>
        <v>97</v>
      </c>
      <c r="C103" s="30"/>
      <c r="D103" s="8" t="s">
        <v>19</v>
      </c>
      <c r="E103" s="8"/>
      <c r="F103" s="8"/>
      <c r="G103" s="9">
        <f>G97+G102</f>
        <v>5226417.5742499996</v>
      </c>
      <c r="H103" s="8"/>
      <c r="I103" s="28">
        <f>I102+I97</f>
        <v>5053211.3376500001</v>
      </c>
      <c r="J103" s="8"/>
      <c r="K103" s="60"/>
      <c r="L103" s="8"/>
      <c r="M103" s="9">
        <f>M102+M97</f>
        <v>5245180.3810200002</v>
      </c>
      <c r="N103" s="9">
        <f t="shared" si="97"/>
        <v>191969.04337000009</v>
      </c>
      <c r="O103" s="10">
        <f>IF(I103=0,0,N103/I103)</f>
        <v>3.7989514101596122E-2</v>
      </c>
      <c r="P103" s="2"/>
      <c r="Q103" s="2"/>
      <c r="R103" s="2"/>
    </row>
    <row r="104" spans="1:20" ht="13.8" thickTop="1" x14ac:dyDescent="0.25">
      <c r="A104" s="66">
        <f t="shared" si="76"/>
        <v>98</v>
      </c>
      <c r="D104" s="29"/>
      <c r="E104" s="162">
        <f>E95/E94</f>
        <v>45088.882450331126</v>
      </c>
      <c r="F104" s="162"/>
      <c r="G104" s="162">
        <f>G103/E94</f>
        <v>4326.5046144453636</v>
      </c>
      <c r="H104" s="162"/>
      <c r="I104" s="162">
        <f>I103/E94</f>
        <v>4183.121968253311</v>
      </c>
      <c r="J104" s="162"/>
      <c r="K104" s="162"/>
      <c r="L104" s="162"/>
      <c r="M104" s="162">
        <f>M103/E94</f>
        <v>4342.036739254967</v>
      </c>
      <c r="N104" s="162">
        <f>M104-I104</f>
        <v>158.91477100165594</v>
      </c>
      <c r="O104" s="162"/>
      <c r="P104" s="162"/>
      <c r="Q104" s="29"/>
    </row>
    <row r="105" spans="1:20" ht="13.8" thickBot="1" x14ac:dyDescent="0.3">
      <c r="A105" s="66">
        <f t="shared" si="76"/>
        <v>99</v>
      </c>
    </row>
    <row r="106" spans="1:20" x14ac:dyDescent="0.25">
      <c r="A106" s="66">
        <f t="shared" si="76"/>
        <v>100</v>
      </c>
      <c r="B106" s="43" t="s">
        <v>64</v>
      </c>
      <c r="C106" s="44">
        <v>9</v>
      </c>
      <c r="D106" s="43"/>
      <c r="E106" s="43"/>
      <c r="F106" s="43"/>
      <c r="G106" s="43"/>
      <c r="H106" s="43"/>
      <c r="I106" s="43"/>
      <c r="J106" s="43"/>
      <c r="K106" s="56"/>
      <c r="L106" s="43"/>
      <c r="M106" s="43"/>
      <c r="N106" s="43"/>
      <c r="O106" s="43"/>
      <c r="P106" s="43"/>
      <c r="Q106" s="43"/>
      <c r="R106" s="43"/>
    </row>
    <row r="107" spans="1:20" x14ac:dyDescent="0.25">
      <c r="A107" s="66">
        <f t="shared" si="76"/>
        <v>101</v>
      </c>
      <c r="C107" s="2"/>
      <c r="D107" s="2" t="s">
        <v>17</v>
      </c>
      <c r="E107" s="117">
        <v>48</v>
      </c>
      <c r="F107" s="20">
        <v>105</v>
      </c>
      <c r="G107" s="6">
        <f>F107*E107</f>
        <v>5040</v>
      </c>
      <c r="H107" s="20">
        <v>105</v>
      </c>
      <c r="I107" s="6">
        <f>H107*E107</f>
        <v>5040</v>
      </c>
      <c r="J107" s="5">
        <f>I107/I110</f>
        <v>2.705387120461603E-3</v>
      </c>
      <c r="K107" s="57"/>
      <c r="L107" s="19">
        <f>ROUND(H107*S110,2)</f>
        <v>105</v>
      </c>
      <c r="M107" s="6">
        <f>L107*E107</f>
        <v>5040</v>
      </c>
      <c r="N107" s="6">
        <f>M107-I107</f>
        <v>0</v>
      </c>
      <c r="O107" s="5">
        <f>IF(I107=0,0,N107/I107)</f>
        <v>0</v>
      </c>
      <c r="P107" s="5">
        <f>M107/M$110</f>
        <v>2.705387120461603E-3</v>
      </c>
      <c r="Q107" s="17">
        <f>P107-J107</f>
        <v>0</v>
      </c>
      <c r="R107" s="17"/>
      <c r="T107" s="5">
        <f t="shared" ref="T107:T109" si="109">L107/H107-1</f>
        <v>0</v>
      </c>
    </row>
    <row r="108" spans="1:20" x14ac:dyDescent="0.25">
      <c r="A108" s="66">
        <f t="shared" si="76"/>
        <v>102</v>
      </c>
      <c r="D108" s="2" t="s">
        <v>55</v>
      </c>
      <c r="E108" s="117">
        <v>56627.4</v>
      </c>
      <c r="F108" s="20">
        <v>7.89</v>
      </c>
      <c r="G108" s="6">
        <f t="shared" ref="G108" si="110">F108*E108</f>
        <v>446790.18599999999</v>
      </c>
      <c r="H108" s="20">
        <v>7.89</v>
      </c>
      <c r="I108" s="6">
        <f t="shared" ref="I108" si="111">H108*E108</f>
        <v>446790.18599999999</v>
      </c>
      <c r="J108" s="5">
        <f>I108/I110</f>
        <v>0.23982944737163572</v>
      </c>
      <c r="K108" s="57"/>
      <c r="L108" s="19">
        <f>ROUND(H108*S$110,2)</f>
        <v>7.89</v>
      </c>
      <c r="M108" s="6">
        <f t="shared" ref="M108" si="112">L108*E108</f>
        <v>446790.18599999999</v>
      </c>
      <c r="N108" s="6">
        <f t="shared" ref="N108" si="113">M108-I108</f>
        <v>0</v>
      </c>
      <c r="O108" s="5">
        <f t="shared" ref="O108" si="114">IF(I108=0,0,N108/I108)</f>
        <v>0</v>
      </c>
      <c r="P108" s="5">
        <f>M108/M$110</f>
        <v>0.23982944737163572</v>
      </c>
      <c r="Q108" s="17">
        <f t="shared" ref="Q108" si="115">P108-J108</f>
        <v>0</v>
      </c>
      <c r="R108" s="17"/>
      <c r="T108" s="5">
        <f t="shared" ref="T108" si="116">L108/H108-1</f>
        <v>0</v>
      </c>
    </row>
    <row r="109" spans="1:20" x14ac:dyDescent="0.25">
      <c r="A109" s="66">
        <f t="shared" si="76"/>
        <v>103</v>
      </c>
      <c r="B109" s="108"/>
      <c r="D109" s="2" t="s">
        <v>52</v>
      </c>
      <c r="E109" s="117">
        <v>23176800</v>
      </c>
      <c r="F109" s="119">
        <f>H109+0.00159</f>
        <v>6.2475000000000003E-2</v>
      </c>
      <c r="G109" s="6">
        <f t="shared" ref="G109" si="117">F109*E109</f>
        <v>1447970.58</v>
      </c>
      <c r="H109" s="119">
        <v>6.0885000000000002E-2</v>
      </c>
      <c r="I109" s="6">
        <f t="shared" ref="I109" si="118">H109*E109</f>
        <v>1411119.4680000001</v>
      </c>
      <c r="J109" s="5">
        <f>I109/I110</f>
        <v>0.75746516550790266</v>
      </c>
      <c r="K109" s="57"/>
      <c r="L109" s="25">
        <f>ROUND(H109*S110,6)</f>
        <v>6.0885000000000002E-2</v>
      </c>
      <c r="M109" s="6">
        <f t="shared" ref="M109" si="119">L109*E109</f>
        <v>1411119.4680000001</v>
      </c>
      <c r="N109" s="6">
        <f t="shared" ref="N109:N117" si="120">M109-I109</f>
        <v>0</v>
      </c>
      <c r="O109" s="5">
        <f t="shared" ref="O109" si="121">IF(I109=0,0,N109/I109)</f>
        <v>0</v>
      </c>
      <c r="P109" s="5">
        <f>M109/M$110</f>
        <v>0.75746516550790266</v>
      </c>
      <c r="Q109" s="17">
        <f t="shared" ref="Q109:Q110" si="122">P109-J109</f>
        <v>0</v>
      </c>
      <c r="R109" s="17"/>
      <c r="T109" s="5">
        <f t="shared" si="109"/>
        <v>0</v>
      </c>
    </row>
    <row r="110" spans="1:20" s="7" customFormat="1" ht="20.399999999999999" customHeight="1" x14ac:dyDescent="0.3">
      <c r="A110" s="66">
        <f t="shared" si="76"/>
        <v>104</v>
      </c>
      <c r="C110" s="30"/>
      <c r="D110" s="32" t="s">
        <v>6</v>
      </c>
      <c r="E110" s="32"/>
      <c r="F110" s="32"/>
      <c r="G110" s="33">
        <f>SUM(G107:G109)</f>
        <v>1899800.7660000001</v>
      </c>
      <c r="H110" s="32"/>
      <c r="I110" s="34">
        <f>SUM(I107:I109)</f>
        <v>1862949.6540000001</v>
      </c>
      <c r="J110" s="35">
        <f>SUM(J107:J109)</f>
        <v>1</v>
      </c>
      <c r="K110" s="58">
        <f>I110+Summary!I16</f>
        <v>1862949.6540000001</v>
      </c>
      <c r="L110" s="32"/>
      <c r="M110" s="33">
        <f>SUM(M107:M109)</f>
        <v>1862949.6540000001</v>
      </c>
      <c r="N110" s="33">
        <f>SUM(N107:N109)</f>
        <v>0</v>
      </c>
      <c r="O110" s="35">
        <f t="shared" ref="O110" si="123">N110/I110</f>
        <v>0</v>
      </c>
      <c r="P110" s="35">
        <f>SUM(P107:P109)</f>
        <v>1</v>
      </c>
      <c r="Q110" s="36">
        <f t="shared" si="122"/>
        <v>0</v>
      </c>
      <c r="R110" s="49">
        <f>M110-K110</f>
        <v>0</v>
      </c>
      <c r="S110" s="7">
        <f>K110/I110</f>
        <v>1</v>
      </c>
    </row>
    <row r="111" spans="1:20" x14ac:dyDescent="0.25">
      <c r="A111" s="66">
        <f t="shared" si="76"/>
        <v>105</v>
      </c>
      <c r="D111" s="2" t="s">
        <v>29</v>
      </c>
      <c r="G111" s="118">
        <v>-92775.039999999994</v>
      </c>
      <c r="I111" s="63">
        <f>G111+(-0.00159*E109)</f>
        <v>-129626.152</v>
      </c>
      <c r="K111" s="72">
        <f>K110-I110</f>
        <v>0</v>
      </c>
      <c r="M111" s="6">
        <f>I111</f>
        <v>-129626.152</v>
      </c>
      <c r="N111" s="6">
        <f t="shared" si="120"/>
        <v>0</v>
      </c>
      <c r="O111" s="18">
        <v>0</v>
      </c>
    </row>
    <row r="112" spans="1:20" x14ac:dyDescent="0.25">
      <c r="A112" s="66">
        <f t="shared" si="76"/>
        <v>106</v>
      </c>
      <c r="D112" s="2" t="s">
        <v>30</v>
      </c>
      <c r="G112" s="118">
        <v>167380.59</v>
      </c>
      <c r="I112" s="22">
        <f t="shared" ref="I112:I114" si="124">G112</f>
        <v>167380.59</v>
      </c>
      <c r="M112" s="6">
        <f t="shared" ref="M112:M114" si="125">I112</f>
        <v>167380.59</v>
      </c>
      <c r="N112" s="6">
        <f t="shared" si="120"/>
        <v>0</v>
      </c>
      <c r="O112" s="18">
        <v>0</v>
      </c>
    </row>
    <row r="113" spans="1:25" x14ac:dyDescent="0.25">
      <c r="A113" s="66">
        <f t="shared" si="76"/>
        <v>107</v>
      </c>
      <c r="D113" s="2" t="s">
        <v>32</v>
      </c>
      <c r="G113" s="23">
        <v>0</v>
      </c>
      <c r="I113" s="22">
        <f t="shared" si="124"/>
        <v>0</v>
      </c>
      <c r="M113" s="6">
        <f t="shared" si="125"/>
        <v>0</v>
      </c>
      <c r="N113" s="6">
        <f t="shared" si="120"/>
        <v>0</v>
      </c>
      <c r="O113" s="18">
        <v>0</v>
      </c>
    </row>
    <row r="114" spans="1:25" x14ac:dyDescent="0.25">
      <c r="A114" s="66">
        <f t="shared" si="76"/>
        <v>108</v>
      </c>
      <c r="D114" s="2" t="s">
        <v>42</v>
      </c>
      <c r="G114" s="23">
        <v>0</v>
      </c>
      <c r="I114" s="22">
        <f t="shared" si="124"/>
        <v>0</v>
      </c>
      <c r="M114" s="6">
        <f t="shared" si="125"/>
        <v>0</v>
      </c>
      <c r="N114" s="6"/>
      <c r="O114" s="18"/>
    </row>
    <row r="115" spans="1:25" x14ac:dyDescent="0.25">
      <c r="A115" s="66">
        <f t="shared" si="76"/>
        <v>109</v>
      </c>
      <c r="D115" s="26" t="s">
        <v>8</v>
      </c>
      <c r="E115" s="26"/>
      <c r="F115" s="26"/>
      <c r="G115" s="27">
        <f>SUM(G111:G114)</f>
        <v>74605.55</v>
      </c>
      <c r="H115" s="26"/>
      <c r="I115" s="27">
        <f>SUM(I111:I114)</f>
        <v>37754.437999999995</v>
      </c>
      <c r="J115" s="26"/>
      <c r="K115" s="59"/>
      <c r="L115" s="26"/>
      <c r="M115" s="27">
        <f>SUM(M111:M114)</f>
        <v>37754.437999999995</v>
      </c>
      <c r="N115" s="27">
        <f t="shared" si="120"/>
        <v>0</v>
      </c>
      <c r="O115" s="37">
        <f t="shared" ref="O115" si="126">N115-J115</f>
        <v>0</v>
      </c>
    </row>
    <row r="116" spans="1:25" s="7" customFormat="1" ht="26.4" customHeight="1" thickBot="1" x14ac:dyDescent="0.3">
      <c r="A116" s="66">
        <f t="shared" si="76"/>
        <v>110</v>
      </c>
      <c r="C116" s="30"/>
      <c r="D116" s="8" t="s">
        <v>19</v>
      </c>
      <c r="E116" s="8"/>
      <c r="F116" s="8"/>
      <c r="G116" s="9">
        <f>G110+G115</f>
        <v>1974406.3160000001</v>
      </c>
      <c r="H116" s="8"/>
      <c r="I116" s="28">
        <f>I115+I110</f>
        <v>1900704.0920000002</v>
      </c>
      <c r="J116" s="8"/>
      <c r="K116" s="60"/>
      <c r="L116" s="8"/>
      <c r="M116" s="9">
        <f>M115+M110</f>
        <v>1900704.0920000002</v>
      </c>
      <c r="N116" s="9">
        <f t="shared" si="120"/>
        <v>0</v>
      </c>
      <c r="O116" s="10">
        <f>N116/I116</f>
        <v>0</v>
      </c>
      <c r="P116" s="2"/>
      <c r="Q116" s="2"/>
      <c r="R116" s="2"/>
    </row>
    <row r="117" spans="1:25" ht="13.8" thickTop="1" x14ac:dyDescent="0.25">
      <c r="A117" s="66">
        <f t="shared" si="76"/>
        <v>111</v>
      </c>
      <c r="D117" s="2" t="s">
        <v>18</v>
      </c>
      <c r="E117" s="18">
        <f>E109/E107</f>
        <v>482850</v>
      </c>
      <c r="G117" s="16">
        <f>G116/E107</f>
        <v>41133.464916666671</v>
      </c>
      <c r="I117" s="16">
        <f>I116/E107</f>
        <v>39598.001916666668</v>
      </c>
      <c r="M117" s="16">
        <f>M116/E107</f>
        <v>39598.001916666668</v>
      </c>
      <c r="N117" s="16">
        <f t="shared" si="120"/>
        <v>0</v>
      </c>
      <c r="O117" s="5">
        <f>N117/I117</f>
        <v>0</v>
      </c>
    </row>
    <row r="118" spans="1:25" ht="13.8" thickBot="1" x14ac:dyDescent="0.3">
      <c r="A118" s="66">
        <f t="shared" si="76"/>
        <v>112</v>
      </c>
    </row>
    <row r="119" spans="1:25" x14ac:dyDescent="0.25">
      <c r="A119" s="66">
        <f t="shared" si="76"/>
        <v>113</v>
      </c>
      <c r="B119" s="43" t="s">
        <v>66</v>
      </c>
      <c r="C119" s="44">
        <v>10</v>
      </c>
      <c r="D119" s="43"/>
      <c r="E119" s="43"/>
      <c r="F119" s="43"/>
      <c r="G119" s="43"/>
      <c r="H119" s="43"/>
      <c r="I119" s="43"/>
      <c r="J119" s="43"/>
      <c r="K119" s="56"/>
      <c r="L119" s="43"/>
      <c r="M119" s="43"/>
      <c r="N119" s="43"/>
      <c r="O119" s="43"/>
      <c r="P119" s="43"/>
      <c r="Q119" s="43"/>
      <c r="R119" s="43"/>
      <c r="X119" s="7"/>
      <c r="Y119" s="7"/>
    </row>
    <row r="120" spans="1:25" x14ac:dyDescent="0.25">
      <c r="A120" s="66">
        <f t="shared" si="76"/>
        <v>114</v>
      </c>
      <c r="C120" s="2"/>
      <c r="D120" s="2" t="s">
        <v>17</v>
      </c>
      <c r="E120" s="24">
        <v>12</v>
      </c>
      <c r="F120" s="20">
        <v>1142.46</v>
      </c>
      <c r="G120" s="6">
        <f>F120*E120</f>
        <v>13709.52</v>
      </c>
      <c r="H120" s="20">
        <v>1142.46</v>
      </c>
      <c r="I120" s="6">
        <f>H120*E120</f>
        <v>13709.52</v>
      </c>
      <c r="J120" s="172">
        <v>3.4781356149717869E-3</v>
      </c>
      <c r="K120" s="57"/>
      <c r="L120" s="19">
        <f>ROUND(J120*K123/E120,2)</f>
        <v>960.23</v>
      </c>
      <c r="M120" s="6">
        <f>L120*E120</f>
        <v>11522.76</v>
      </c>
      <c r="N120" s="6">
        <f>M120-I120</f>
        <v>-2186.7600000000002</v>
      </c>
      <c r="O120" s="5">
        <f>IF(I120=0,0,N120/I120)</f>
        <v>-0.15950667857080336</v>
      </c>
      <c r="P120" s="5">
        <f>M120/M$123</f>
        <v>3.4776619706566991E-3</v>
      </c>
      <c r="Q120" s="17">
        <f>P120-J120</f>
        <v>-4.7364431508779489E-7</v>
      </c>
      <c r="R120" s="17"/>
      <c r="T120" s="5">
        <f t="shared" ref="T120:T122" si="127">L120/H120-1</f>
        <v>-0.15950667857080336</v>
      </c>
      <c r="V120" s="71"/>
      <c r="X120" s="7"/>
      <c r="Y120" s="7"/>
    </row>
    <row r="121" spans="1:25" x14ac:dyDescent="0.25">
      <c r="A121" s="66">
        <f t="shared" si="76"/>
        <v>115</v>
      </c>
      <c r="D121" s="2" t="s">
        <v>55</v>
      </c>
      <c r="E121" s="24">
        <v>100533.6</v>
      </c>
      <c r="F121" s="20">
        <v>7.89</v>
      </c>
      <c r="G121" s="6">
        <f t="shared" ref="G121:G122" si="128">F121*E121</f>
        <v>793210.10400000005</v>
      </c>
      <c r="H121" s="20">
        <v>7.89</v>
      </c>
      <c r="I121" s="6">
        <f>H121*E121</f>
        <v>793210.10400000005</v>
      </c>
      <c r="J121" s="172">
        <v>0.18617829202640709</v>
      </c>
      <c r="K121" s="57"/>
      <c r="L121" s="19">
        <f>ROUND(J121*K123/E121,2)</f>
        <v>6.14</v>
      </c>
      <c r="M121" s="6">
        <f t="shared" ref="M121:M122" si="129">L121*E121</f>
        <v>617276.304</v>
      </c>
      <c r="N121" s="6">
        <f t="shared" ref="N121:N126" si="130">M121-I121</f>
        <v>-175933.80000000005</v>
      </c>
      <c r="O121" s="5">
        <f t="shared" ref="O121:O122" si="131">IF(I121=0,0,N121/I121)</f>
        <v>-0.22179974651457546</v>
      </c>
      <c r="P121" s="5">
        <f>M121/M$123</f>
        <v>0.18629897071607179</v>
      </c>
      <c r="Q121" s="17">
        <f t="shared" ref="Q121:Q123" si="132">P121-J121</f>
        <v>1.2067868966469941E-4</v>
      </c>
      <c r="R121" s="17"/>
      <c r="T121" s="5">
        <f t="shared" si="127"/>
        <v>-0.22179974651457546</v>
      </c>
      <c r="X121" s="7"/>
      <c r="Y121" s="7"/>
    </row>
    <row r="122" spans="1:25" x14ac:dyDescent="0.25">
      <c r="A122" s="66">
        <f t="shared" si="76"/>
        <v>116</v>
      </c>
      <c r="D122" s="2" t="s">
        <v>52</v>
      </c>
      <c r="E122" s="24">
        <v>49579200</v>
      </c>
      <c r="F122" s="119">
        <f>H122+0.00159</f>
        <v>4.9022000000000003E-2</v>
      </c>
      <c r="G122" s="6">
        <f t="shared" si="128"/>
        <v>2430471.5424000002</v>
      </c>
      <c r="H122" s="119">
        <v>4.7432000000000002E-2</v>
      </c>
      <c r="I122" s="6">
        <f t="shared" ref="I122" si="133">H122*E122</f>
        <v>2351640.6144000003</v>
      </c>
      <c r="J122" s="172">
        <v>0.8103435723586212</v>
      </c>
      <c r="K122" s="57"/>
      <c r="L122" s="173">
        <f>ROUND(J122*K123/E122,6)</f>
        <v>5.4147000000000001E-2</v>
      </c>
      <c r="M122" s="6">
        <f t="shared" si="129"/>
        <v>2684564.9424000001</v>
      </c>
      <c r="N122" s="6">
        <f t="shared" si="130"/>
        <v>332924.32799999975</v>
      </c>
      <c r="O122" s="5">
        <f t="shared" si="131"/>
        <v>0.14157109124641579</v>
      </c>
      <c r="P122" s="5">
        <f>M122/M$123</f>
        <v>0.81022336731327138</v>
      </c>
      <c r="Q122" s="17">
        <f t="shared" si="132"/>
        <v>-1.2020504534981935E-4</v>
      </c>
      <c r="R122" s="17"/>
      <c r="T122" s="5">
        <f t="shared" si="127"/>
        <v>0.14157109124641587</v>
      </c>
      <c r="X122" s="7"/>
      <c r="Y122" s="7"/>
    </row>
    <row r="123" spans="1:25" s="7" customFormat="1" ht="20.399999999999999" customHeight="1" x14ac:dyDescent="0.3">
      <c r="A123" s="66">
        <f t="shared" si="76"/>
        <v>117</v>
      </c>
      <c r="C123" s="30"/>
      <c r="D123" s="32" t="s">
        <v>6</v>
      </c>
      <c r="E123" s="32"/>
      <c r="F123" s="32"/>
      <c r="G123" s="33">
        <f>SUM(G120:G122)</f>
        <v>3237391.1664000005</v>
      </c>
      <c r="H123" s="32"/>
      <c r="I123" s="34">
        <f>SUM(I120:I122)</f>
        <v>3158560.2384000001</v>
      </c>
      <c r="J123" s="35">
        <f>SUM(J120:J122)</f>
        <v>1</v>
      </c>
      <c r="K123" s="58">
        <f>I123+Summary!I17</f>
        <v>3312900.7584000002</v>
      </c>
      <c r="L123" s="32"/>
      <c r="M123" s="33">
        <f>SUM(M120:M122)</f>
        <v>3313364.0064000003</v>
      </c>
      <c r="N123" s="33">
        <f>SUM(N120:N122)</f>
        <v>154803.76799999969</v>
      </c>
      <c r="O123" s="35">
        <f t="shared" ref="O123" si="134">N123/I123</f>
        <v>4.9010864544542315E-2</v>
      </c>
      <c r="P123" s="35">
        <f>SUM(P120:P122)</f>
        <v>0.99999999999999989</v>
      </c>
      <c r="Q123" s="36">
        <f t="shared" si="132"/>
        <v>0</v>
      </c>
      <c r="R123" s="49">
        <f>M123-K123</f>
        <v>463.24800000013784</v>
      </c>
      <c r="S123" s="127">
        <f>K123/I123</f>
        <v>1.0488642002528921</v>
      </c>
    </row>
    <row r="124" spans="1:25" x14ac:dyDescent="0.25">
      <c r="A124" s="66">
        <f t="shared" si="76"/>
        <v>118</v>
      </c>
      <c r="D124" s="2" t="s">
        <v>29</v>
      </c>
      <c r="G124" s="23">
        <v>-197793.17</v>
      </c>
      <c r="I124" s="63">
        <f>G124+(-0.00159*E122)</f>
        <v>-276624.098</v>
      </c>
      <c r="K124" s="72">
        <f>K123-I123</f>
        <v>154340.52000000002</v>
      </c>
      <c r="M124" s="6">
        <f>I124</f>
        <v>-276624.098</v>
      </c>
      <c r="N124" s="6">
        <f t="shared" si="130"/>
        <v>0</v>
      </c>
      <c r="O124" s="18">
        <v>0</v>
      </c>
      <c r="X124" s="7"/>
      <c r="Y124" s="7"/>
    </row>
    <row r="125" spans="1:25" x14ac:dyDescent="0.25">
      <c r="A125" s="66">
        <f t="shared" si="76"/>
        <v>119</v>
      </c>
      <c r="D125" s="2" t="s">
        <v>30</v>
      </c>
      <c r="G125" s="23">
        <v>312758.43</v>
      </c>
      <c r="I125" s="22">
        <f t="shared" ref="I125:I127" si="135">G125</f>
        <v>312758.43</v>
      </c>
      <c r="M125" s="6">
        <f t="shared" ref="M125:M127" si="136">I125</f>
        <v>312758.43</v>
      </c>
      <c r="N125" s="6">
        <f t="shared" si="130"/>
        <v>0</v>
      </c>
      <c r="O125" s="18">
        <v>0</v>
      </c>
      <c r="X125" s="7"/>
      <c r="Y125" s="7"/>
    </row>
    <row r="126" spans="1:25" x14ac:dyDescent="0.25">
      <c r="A126" s="66">
        <f t="shared" si="76"/>
        <v>120</v>
      </c>
      <c r="D126" s="2" t="s">
        <v>32</v>
      </c>
      <c r="G126" s="23">
        <v>0</v>
      </c>
      <c r="I126" s="22">
        <f t="shared" si="135"/>
        <v>0</v>
      </c>
      <c r="M126" s="6">
        <f t="shared" si="136"/>
        <v>0</v>
      </c>
      <c r="N126" s="6">
        <f t="shared" si="130"/>
        <v>0</v>
      </c>
      <c r="O126" s="18">
        <v>0</v>
      </c>
    </row>
    <row r="127" spans="1:25" x14ac:dyDescent="0.25">
      <c r="A127" s="66">
        <f t="shared" si="76"/>
        <v>121</v>
      </c>
      <c r="D127" s="2" t="s">
        <v>42</v>
      </c>
      <c r="G127" s="23">
        <v>0</v>
      </c>
      <c r="I127" s="22">
        <f t="shared" si="135"/>
        <v>0</v>
      </c>
      <c r="M127" s="6">
        <f t="shared" si="136"/>
        <v>0</v>
      </c>
      <c r="N127" s="6"/>
      <c r="O127" s="18"/>
    </row>
    <row r="128" spans="1:25" x14ac:dyDescent="0.25">
      <c r="A128" s="66">
        <f t="shared" si="76"/>
        <v>122</v>
      </c>
      <c r="D128" s="26" t="s">
        <v>8</v>
      </c>
      <c r="E128" s="26"/>
      <c r="F128" s="26"/>
      <c r="G128" s="27">
        <f>SUM(G124:G127)</f>
        <v>114965.25999999998</v>
      </c>
      <c r="H128" s="26"/>
      <c r="I128" s="27">
        <f>SUM(I124:I127)</f>
        <v>36134.331999999995</v>
      </c>
      <c r="J128" s="26"/>
      <c r="K128" s="59"/>
      <c r="L128" s="26"/>
      <c r="M128" s="27">
        <f>SUM(M124:M127)</f>
        <v>36134.331999999995</v>
      </c>
      <c r="N128" s="27">
        <f t="shared" ref="N128:N129" si="137">M128-I128</f>
        <v>0</v>
      </c>
      <c r="O128" s="37">
        <f t="shared" ref="O128" si="138">N128-J128</f>
        <v>0</v>
      </c>
    </row>
    <row r="129" spans="1:25" s="7" customFormat="1" ht="26.4" customHeight="1" thickBot="1" x14ac:dyDescent="0.3">
      <c r="A129" s="66">
        <f t="shared" si="76"/>
        <v>123</v>
      </c>
      <c r="C129" s="30"/>
      <c r="D129" s="8" t="s">
        <v>19</v>
      </c>
      <c r="E129" s="8"/>
      <c r="F129" s="8"/>
      <c r="G129" s="9">
        <f>G123+G128</f>
        <v>3352356.4264000002</v>
      </c>
      <c r="H129" s="8"/>
      <c r="I129" s="28">
        <f>I128+I123</f>
        <v>3194694.5704000001</v>
      </c>
      <c r="J129" s="8"/>
      <c r="K129" s="60"/>
      <c r="L129" s="8"/>
      <c r="M129" s="9">
        <f>M128+M123</f>
        <v>3349498.3384000002</v>
      </c>
      <c r="N129" s="9">
        <f t="shared" si="137"/>
        <v>154803.76800000016</v>
      </c>
      <c r="O129" s="10">
        <f>N129/I129</f>
        <v>4.8456515822924991E-2</v>
      </c>
      <c r="P129" s="2"/>
      <c r="Q129" s="2"/>
      <c r="R129" s="2"/>
    </row>
    <row r="130" spans="1:25" ht="13.8" thickTop="1" x14ac:dyDescent="0.25">
      <c r="A130" s="66">
        <f t="shared" si="76"/>
        <v>124</v>
      </c>
      <c r="E130" s="18">
        <f>E122/E120</f>
        <v>4131600</v>
      </c>
      <c r="G130" s="16">
        <f>G129/E120</f>
        <v>279363.03553333337</v>
      </c>
      <c r="I130" s="16">
        <f>I129/E120</f>
        <v>266224.54753333336</v>
      </c>
      <c r="M130" s="16">
        <f>M129/E120</f>
        <v>279124.86153333337</v>
      </c>
      <c r="N130" s="16">
        <f>M130-I130</f>
        <v>12900.314000000013</v>
      </c>
      <c r="O130" s="5"/>
    </row>
    <row r="131" spans="1:25" ht="13.8" thickBot="1" x14ac:dyDescent="0.3">
      <c r="A131" s="66">
        <f t="shared" si="76"/>
        <v>125</v>
      </c>
    </row>
    <row r="132" spans="1:25" x14ac:dyDescent="0.25">
      <c r="A132" s="66">
        <f t="shared" si="76"/>
        <v>126</v>
      </c>
      <c r="B132" s="43" t="s">
        <v>67</v>
      </c>
      <c r="C132" s="44">
        <v>14</v>
      </c>
      <c r="D132" s="43"/>
      <c r="E132" s="43"/>
      <c r="F132" s="43"/>
      <c r="G132" s="43"/>
      <c r="H132" s="43"/>
      <c r="I132" s="43"/>
      <c r="J132" s="43"/>
      <c r="K132" s="56"/>
      <c r="L132" s="43"/>
      <c r="M132" s="43"/>
      <c r="N132" s="43"/>
      <c r="O132" s="43"/>
      <c r="P132" s="43"/>
      <c r="Q132" s="43"/>
      <c r="R132" s="43"/>
    </row>
    <row r="133" spans="1:25" x14ac:dyDescent="0.25">
      <c r="A133" s="66">
        <f t="shared" si="76"/>
        <v>127</v>
      </c>
      <c r="C133" s="2"/>
      <c r="D133" s="2" t="s">
        <v>17</v>
      </c>
      <c r="E133" s="24">
        <v>12</v>
      </c>
      <c r="F133" s="67">
        <v>1288</v>
      </c>
      <c r="G133" s="6">
        <f>F133*E133</f>
        <v>15456</v>
      </c>
      <c r="H133" s="20">
        <v>1288</v>
      </c>
      <c r="I133" s="6">
        <f>H133*E133</f>
        <v>15456</v>
      </c>
      <c r="J133" s="172">
        <v>3.3293124131335089E-2</v>
      </c>
      <c r="K133" s="57"/>
      <c r="L133" s="19">
        <f>ROUND(J133*K136/E133,2)</f>
        <v>1468.53</v>
      </c>
      <c r="M133" s="6">
        <f>L133*E133</f>
        <v>17622.36</v>
      </c>
      <c r="N133" s="6">
        <f t="shared" ref="N133:N139" si="139">M133-I133</f>
        <v>2166.3600000000006</v>
      </c>
      <c r="O133" s="5">
        <f>IF(I133=0,0,N133/I133)</f>
        <v>0.14016304347826092</v>
      </c>
      <c r="P133" s="5">
        <f>M133/M136</f>
        <v>3.3289925306097048E-2</v>
      </c>
      <c r="Q133" s="17">
        <f>P133-J133</f>
        <v>-3.1988252380404925E-6</v>
      </c>
      <c r="R133" s="17"/>
      <c r="T133" s="5">
        <f>L133/H133-1</f>
        <v>0.14016304347826081</v>
      </c>
    </row>
    <row r="134" spans="1:25" x14ac:dyDescent="0.25">
      <c r="A134" s="66">
        <f t="shared" si="76"/>
        <v>128</v>
      </c>
      <c r="D134" s="2" t="s">
        <v>55</v>
      </c>
      <c r="E134" s="24">
        <v>14114.4</v>
      </c>
      <c r="F134" s="20">
        <v>7.77</v>
      </c>
      <c r="G134" s="6">
        <f t="shared" ref="G134" si="140">F134*E134</f>
        <v>109668.88799999999</v>
      </c>
      <c r="H134" s="20">
        <v>7.77</v>
      </c>
      <c r="I134" s="6">
        <f t="shared" ref="I134:I135" si="141">H134*E134</f>
        <v>109668.88799999999</v>
      </c>
      <c r="J134" s="172">
        <v>0.20256495708231964</v>
      </c>
      <c r="K134" s="57"/>
      <c r="L134" s="19">
        <f>ROUND(J134*K136/E134,2)</f>
        <v>7.6</v>
      </c>
      <c r="M134" s="6">
        <f t="shared" ref="M134:M135" si="142">L134*E134</f>
        <v>107269.43999999999</v>
      </c>
      <c r="N134" s="6">
        <f t="shared" si="139"/>
        <v>-2399.448000000004</v>
      </c>
      <c r="O134" s="5">
        <f t="shared" ref="O134" si="143">IF(I134=0,0,N134/I134)</f>
        <v>-2.1879021879021916E-2</v>
      </c>
      <c r="P134" s="5">
        <f>M134/M136</f>
        <v>0.20263980790466535</v>
      </c>
      <c r="Q134" s="17">
        <f t="shared" ref="Q134" si="144">P134-J134</f>
        <v>7.4850822345706725E-5</v>
      </c>
      <c r="R134" s="17"/>
      <c r="T134" s="5">
        <f t="shared" ref="T134" si="145">L134/H134-1</f>
        <v>-2.1879021879021909E-2</v>
      </c>
      <c r="X134" s="7"/>
      <c r="Y134" s="7"/>
    </row>
    <row r="135" spans="1:25" x14ac:dyDescent="0.25">
      <c r="A135" s="66">
        <f t="shared" si="76"/>
        <v>129</v>
      </c>
      <c r="B135" s="18"/>
      <c r="D135" s="2" t="s">
        <v>52</v>
      </c>
      <c r="E135" s="24">
        <v>7471200</v>
      </c>
      <c r="F135" s="119">
        <f>H135+0.00159</f>
        <v>5.3255999999999998E-2</v>
      </c>
      <c r="G135" s="6">
        <f t="shared" ref="G135" si="146">F135*E135</f>
        <v>397886.22719999996</v>
      </c>
      <c r="H135" s="119">
        <v>5.1665999999999997E-2</v>
      </c>
      <c r="I135" s="6">
        <f t="shared" si="141"/>
        <v>386007.01919999998</v>
      </c>
      <c r="J135" s="172">
        <v>0.7641419187863453</v>
      </c>
      <c r="K135" s="57"/>
      <c r="L135" s="173">
        <f>ROUND(J135*K136/E135,6)</f>
        <v>5.4136999999999998E-2</v>
      </c>
      <c r="M135" s="6">
        <f t="shared" si="142"/>
        <v>404468.35440000001</v>
      </c>
      <c r="N135" s="6">
        <f t="shared" si="139"/>
        <v>18461.33520000003</v>
      </c>
      <c r="O135" s="5">
        <f t="shared" ref="O135" si="147">IF(I135=0,0,N135/I135)</f>
        <v>4.7826423566755781E-2</v>
      </c>
      <c r="P135" s="5">
        <f>M135/M136</f>
        <v>0.76407026678923762</v>
      </c>
      <c r="Q135" s="17">
        <f t="shared" ref="Q135:Q136" si="148">P135-J135</f>
        <v>-7.165199710768011E-5</v>
      </c>
      <c r="R135" s="17"/>
      <c r="T135" s="5">
        <f>L135/H135-1</f>
        <v>4.7826423566755816E-2</v>
      </c>
    </row>
    <row r="136" spans="1:25" s="7" customFormat="1" ht="20.399999999999999" customHeight="1" x14ac:dyDescent="0.3">
      <c r="A136" s="66">
        <f t="shared" si="76"/>
        <v>130</v>
      </c>
      <c r="C136" s="30"/>
      <c r="D136" s="32" t="s">
        <v>6</v>
      </c>
      <c r="E136" s="32"/>
      <c r="F136" s="32"/>
      <c r="G136" s="33">
        <f>SUM(G133:G135)</f>
        <v>523011.11519999994</v>
      </c>
      <c r="H136" s="32"/>
      <c r="I136" s="34">
        <f>SUM(I133:I135)</f>
        <v>511131.90719999996</v>
      </c>
      <c r="J136" s="35">
        <f>SUM(J133:J135)</f>
        <v>1</v>
      </c>
      <c r="K136" s="58">
        <f>I136+Summary!I18</f>
        <v>529309.93719999993</v>
      </c>
      <c r="L136" s="32"/>
      <c r="M136" s="33">
        <f>SUM(M133:M135)</f>
        <v>529360.1544</v>
      </c>
      <c r="N136" s="33">
        <f>SUM(N133:N135)</f>
        <v>18228.247200000027</v>
      </c>
      <c r="O136" s="35">
        <f t="shared" ref="O136" si="149">N136/I136</f>
        <v>3.566251087680098E-2</v>
      </c>
      <c r="P136" s="35">
        <f>SUM(P133:P135)</f>
        <v>1</v>
      </c>
      <c r="Q136" s="36">
        <f t="shared" si="148"/>
        <v>0</v>
      </c>
      <c r="R136" s="49">
        <f>M136-K136</f>
        <v>50.217200000071898</v>
      </c>
      <c r="S136" s="127">
        <f>K136/I136</f>
        <v>1.0355642638307985</v>
      </c>
    </row>
    <row r="137" spans="1:25" x14ac:dyDescent="0.25">
      <c r="A137" s="66">
        <f t="shared" ref="A137:A201" si="150">A136+1</f>
        <v>131</v>
      </c>
      <c r="D137" s="2" t="s">
        <v>29</v>
      </c>
      <c r="G137" s="23">
        <v>-29868.04</v>
      </c>
      <c r="I137" s="63">
        <f>G137+(-0.00159*E135)</f>
        <v>-41747.248</v>
      </c>
      <c r="K137" s="72">
        <f>K136-I136</f>
        <v>18178.02999999997</v>
      </c>
      <c r="M137" s="6">
        <f>I137</f>
        <v>-41747.248</v>
      </c>
      <c r="N137" s="6">
        <f t="shared" si="139"/>
        <v>0</v>
      </c>
      <c r="O137" s="18">
        <v>0</v>
      </c>
      <c r="R137" s="51"/>
    </row>
    <row r="138" spans="1:25" x14ac:dyDescent="0.25">
      <c r="A138" s="66">
        <f t="shared" si="150"/>
        <v>132</v>
      </c>
      <c r="D138" s="2" t="s">
        <v>30</v>
      </c>
      <c r="G138" s="23">
        <v>50885.66</v>
      </c>
      <c r="I138" s="22">
        <f>G138</f>
        <v>50885.66</v>
      </c>
      <c r="M138" s="6">
        <f t="shared" ref="M138:M140" si="151">I138</f>
        <v>50885.66</v>
      </c>
      <c r="N138" s="6">
        <f t="shared" si="139"/>
        <v>0</v>
      </c>
      <c r="O138" s="18">
        <v>0</v>
      </c>
    </row>
    <row r="139" spans="1:25" x14ac:dyDescent="0.25">
      <c r="A139" s="66">
        <f t="shared" si="150"/>
        <v>133</v>
      </c>
      <c r="D139" s="2" t="s">
        <v>43</v>
      </c>
      <c r="G139" s="23">
        <v>0</v>
      </c>
      <c r="I139" s="22">
        <f>G139</f>
        <v>0</v>
      </c>
      <c r="M139" s="6">
        <f t="shared" si="151"/>
        <v>0</v>
      </c>
      <c r="N139" s="6">
        <f t="shared" si="139"/>
        <v>0</v>
      </c>
      <c r="O139" s="18">
        <v>0</v>
      </c>
    </row>
    <row r="140" spans="1:25" x14ac:dyDescent="0.25">
      <c r="A140" s="66">
        <f t="shared" si="150"/>
        <v>134</v>
      </c>
      <c r="D140" s="2" t="s">
        <v>42</v>
      </c>
      <c r="G140" s="23">
        <v>0</v>
      </c>
      <c r="I140" s="22">
        <f>G140</f>
        <v>0</v>
      </c>
      <c r="M140" s="6">
        <f t="shared" si="151"/>
        <v>0</v>
      </c>
      <c r="N140" s="6"/>
      <c r="O140" s="18">
        <v>0</v>
      </c>
    </row>
    <row r="141" spans="1:25" x14ac:dyDescent="0.25">
      <c r="A141" s="66">
        <f t="shared" si="150"/>
        <v>135</v>
      </c>
      <c r="D141" s="26" t="s">
        <v>8</v>
      </c>
      <c r="E141" s="26"/>
      <c r="F141" s="26"/>
      <c r="G141" s="27">
        <f>SUM(G137:G140)</f>
        <v>21017.620000000003</v>
      </c>
      <c r="H141" s="26"/>
      <c r="I141" s="27">
        <f>SUM(I137:I140)</f>
        <v>9138.4120000000039</v>
      </c>
      <c r="J141" s="26"/>
      <c r="K141" s="59"/>
      <c r="L141" s="26"/>
      <c r="M141" s="27">
        <f>SUM(M137:M140)</f>
        <v>9138.4120000000039</v>
      </c>
      <c r="N141" s="27">
        <f>M141-I141</f>
        <v>0</v>
      </c>
      <c r="O141" s="37">
        <v>0</v>
      </c>
    </row>
    <row r="142" spans="1:25" s="7" customFormat="1" ht="26.4" customHeight="1" thickBot="1" x14ac:dyDescent="0.3">
      <c r="A142" s="66">
        <f t="shared" si="150"/>
        <v>136</v>
      </c>
      <c r="C142" s="30"/>
      <c r="D142" s="8" t="s">
        <v>19</v>
      </c>
      <c r="E142" s="8"/>
      <c r="F142" s="8"/>
      <c r="G142" s="9">
        <f>G136+G141</f>
        <v>544028.7352</v>
      </c>
      <c r="H142" s="8"/>
      <c r="I142" s="28">
        <f>I141+I136</f>
        <v>520270.31919999997</v>
      </c>
      <c r="J142" s="8"/>
      <c r="K142" s="60"/>
      <c r="L142" s="8"/>
      <c r="M142" s="9">
        <f>M141+M136</f>
        <v>538498.56640000001</v>
      </c>
      <c r="N142" s="9">
        <f>M142-I142</f>
        <v>18228.247200000042</v>
      </c>
      <c r="O142" s="10">
        <f>N142/I142</f>
        <v>3.5036108206266563E-2</v>
      </c>
      <c r="P142" s="2"/>
      <c r="Q142" s="2"/>
      <c r="R142" s="2"/>
    </row>
    <row r="143" spans="1:25" ht="13.8" thickTop="1" x14ac:dyDescent="0.25">
      <c r="A143" s="66">
        <f t="shared" si="150"/>
        <v>137</v>
      </c>
      <c r="D143" s="2" t="s">
        <v>18</v>
      </c>
      <c r="E143" s="18">
        <f>E135/E133</f>
        <v>622600</v>
      </c>
      <c r="G143" s="16">
        <f>G142/E133</f>
        <v>45335.727933333335</v>
      </c>
      <c r="I143" s="16">
        <f>I142/E133</f>
        <v>43355.859933333333</v>
      </c>
      <c r="M143" s="16">
        <f>M142/E133</f>
        <v>44874.880533333337</v>
      </c>
      <c r="N143" s="16">
        <f>M143-I143</f>
        <v>1519.0206000000035</v>
      </c>
      <c r="O143" s="5">
        <f>N143/I143</f>
        <v>3.5036108206266556E-2</v>
      </c>
    </row>
    <row r="144" spans="1:25" ht="13.8" thickBot="1" x14ac:dyDescent="0.3">
      <c r="A144" s="66">
        <f t="shared" si="150"/>
        <v>138</v>
      </c>
    </row>
    <row r="145" spans="1:20" x14ac:dyDescent="0.25">
      <c r="A145" s="66">
        <f t="shared" si="150"/>
        <v>139</v>
      </c>
      <c r="B145" s="43" t="s">
        <v>68</v>
      </c>
      <c r="C145" s="44">
        <v>15</v>
      </c>
      <c r="D145" s="43"/>
      <c r="E145" s="43"/>
      <c r="F145" s="43"/>
      <c r="G145" s="43"/>
      <c r="H145" s="43"/>
      <c r="I145" s="43"/>
      <c r="J145" s="43"/>
      <c r="K145" s="56"/>
      <c r="L145" s="43"/>
      <c r="M145" s="43"/>
      <c r="N145" s="43"/>
      <c r="O145" s="43"/>
      <c r="P145" s="43"/>
      <c r="Q145" s="43"/>
      <c r="R145" s="43"/>
    </row>
    <row r="146" spans="1:20" x14ac:dyDescent="0.25">
      <c r="A146" s="66">
        <f t="shared" si="150"/>
        <v>140</v>
      </c>
      <c r="C146" s="2"/>
      <c r="D146" s="2" t="s">
        <v>17</v>
      </c>
      <c r="E146" s="24">
        <v>48</v>
      </c>
      <c r="F146" s="20">
        <v>105</v>
      </c>
      <c r="G146" s="6">
        <f>F146*E146</f>
        <v>5040</v>
      </c>
      <c r="H146" s="20">
        <v>105</v>
      </c>
      <c r="I146" s="6">
        <f>H146*E146</f>
        <v>5040</v>
      </c>
      <c r="J146" s="172">
        <v>5.0282555036201951E-2</v>
      </c>
      <c r="K146" s="57"/>
      <c r="L146" s="19">
        <f>ROUND(J146*K149/E146,2)</f>
        <v>109.64</v>
      </c>
      <c r="M146" s="6">
        <f>L146*E146</f>
        <v>5262.72</v>
      </c>
      <c r="N146" s="6">
        <f>M146-I146</f>
        <v>222.72000000000025</v>
      </c>
      <c r="O146" s="5">
        <f>IF(I146=0,0,N146/I146)</f>
        <v>4.4190476190476238E-2</v>
      </c>
      <c r="P146" s="5">
        <f>M146/M149</f>
        <v>5.0277323761076284E-2</v>
      </c>
      <c r="Q146" s="17">
        <f>P146-J146</f>
        <v>-5.231275125666679E-6</v>
      </c>
      <c r="R146" s="17"/>
    </row>
    <row r="147" spans="1:20" x14ac:dyDescent="0.25">
      <c r="A147" s="66">
        <f t="shared" si="150"/>
        <v>141</v>
      </c>
      <c r="D147" s="2" t="s">
        <v>55</v>
      </c>
      <c r="E147" s="24">
        <v>5187.4799999999996</v>
      </c>
      <c r="F147" s="20">
        <v>7.89</v>
      </c>
      <c r="G147" s="6">
        <f t="shared" ref="G147:G148" si="152">F147*E147</f>
        <v>40929.217199999992</v>
      </c>
      <c r="H147" s="20">
        <v>7.89</v>
      </c>
      <c r="I147" s="6">
        <f t="shared" ref="I147:I148" si="153">H147*E147</f>
        <v>40929.217199999992</v>
      </c>
      <c r="J147" s="172">
        <v>0.47124205992064339</v>
      </c>
      <c r="K147" s="57"/>
      <c r="L147" s="19">
        <f>ROUND(J147*K149/E147,2)</f>
        <v>9.51</v>
      </c>
      <c r="M147" s="6">
        <f t="shared" ref="M147:M148" si="154">L147*E147</f>
        <v>49332.934799999995</v>
      </c>
      <c r="N147" s="6">
        <f t="shared" ref="N147:N152" si="155">M147-I147</f>
        <v>8403.7176000000036</v>
      </c>
      <c r="O147" s="5">
        <f t="shared" ref="O147:O148" si="156">IF(I147=0,0,N147/I147)</f>
        <v>0.20532319391634993</v>
      </c>
      <c r="P147" s="5">
        <f>M147/M149</f>
        <v>0.47130151994095576</v>
      </c>
      <c r="Q147" s="17">
        <f t="shared" ref="Q147:Q149" si="157">P147-J147</f>
        <v>5.9460020312374073E-5</v>
      </c>
      <c r="R147" s="17"/>
      <c r="T147" s="5">
        <f>L147/H147-1</f>
        <v>0.20532319391634979</v>
      </c>
    </row>
    <row r="148" spans="1:20" x14ac:dyDescent="0.25">
      <c r="A148" s="66">
        <f t="shared" si="150"/>
        <v>142</v>
      </c>
      <c r="D148" s="2" t="s">
        <v>52</v>
      </c>
      <c r="E148" s="24">
        <v>900800</v>
      </c>
      <c r="F148" s="119">
        <f>H148+0.00159</f>
        <v>6.2390000000000001E-2</v>
      </c>
      <c r="G148" s="6">
        <f t="shared" si="152"/>
        <v>56200.912000000004</v>
      </c>
      <c r="H148" s="119">
        <v>6.08E-2</v>
      </c>
      <c r="I148" s="6">
        <f t="shared" si="153"/>
        <v>54768.639999999999</v>
      </c>
      <c r="J148" s="172">
        <v>0.47847538504315473</v>
      </c>
      <c r="K148" s="57"/>
      <c r="L148" s="173">
        <f>ROUND(J148*K149/E148,6)</f>
        <v>5.5592999999999997E-2</v>
      </c>
      <c r="M148" s="6">
        <f t="shared" si="154"/>
        <v>50078.174399999996</v>
      </c>
      <c r="N148" s="6">
        <f t="shared" si="155"/>
        <v>-4690.4656000000032</v>
      </c>
      <c r="O148" s="5">
        <f t="shared" si="156"/>
        <v>-8.5641447368421109E-2</v>
      </c>
      <c r="P148" s="5">
        <f>M148/M149</f>
        <v>0.47842115629796794</v>
      </c>
      <c r="Q148" s="17">
        <f t="shared" si="157"/>
        <v>-5.4228745186790661E-5</v>
      </c>
      <c r="R148" s="17"/>
      <c r="T148" s="5">
        <f>L148/H148-1</f>
        <v>-8.5641447368421053E-2</v>
      </c>
    </row>
    <row r="149" spans="1:20" s="7" customFormat="1" ht="20.399999999999999" customHeight="1" x14ac:dyDescent="0.3">
      <c r="A149" s="66">
        <f t="shared" si="150"/>
        <v>143</v>
      </c>
      <c r="C149" s="30"/>
      <c r="D149" s="32" t="s">
        <v>6</v>
      </c>
      <c r="E149" s="32"/>
      <c r="F149" s="32"/>
      <c r="G149" s="33">
        <f>SUM(G146:G148)</f>
        <v>102170.1292</v>
      </c>
      <c r="H149" s="32"/>
      <c r="I149" s="34">
        <f>SUM(I146:I148)</f>
        <v>100737.8572</v>
      </c>
      <c r="J149" s="35">
        <f>SUM(J146:J148)</f>
        <v>1</v>
      </c>
      <c r="K149" s="58">
        <f>I149+Summary!I19</f>
        <v>104662.6572</v>
      </c>
      <c r="L149" s="32"/>
      <c r="M149" s="33">
        <f>SUM(M146:M148)</f>
        <v>104673.82919999999</v>
      </c>
      <c r="N149" s="33">
        <f>SUM(N146:N148)</f>
        <v>3935.9720000000016</v>
      </c>
      <c r="O149" s="35">
        <f t="shared" ref="O149" si="158">N149/I149</f>
        <v>3.9071428650559001E-2</v>
      </c>
      <c r="P149" s="35">
        <f>SUM(P146:P148)</f>
        <v>1</v>
      </c>
      <c r="Q149" s="36">
        <f t="shared" si="157"/>
        <v>0</v>
      </c>
      <c r="R149" s="49">
        <f>M149-K149</f>
        <v>11.171999999991385</v>
      </c>
      <c r="S149" s="127">
        <f>K149/I149</f>
        <v>1.0389605269467654</v>
      </c>
    </row>
    <row r="150" spans="1:20" x14ac:dyDescent="0.25">
      <c r="A150" s="66">
        <f t="shared" si="150"/>
        <v>144</v>
      </c>
      <c r="D150" s="2" t="s">
        <v>29</v>
      </c>
      <c r="G150" s="23">
        <v>-3320.68</v>
      </c>
      <c r="I150" s="63">
        <f>G150+(-0.00159*(E148))</f>
        <v>-4752.9519999999993</v>
      </c>
      <c r="K150" s="72">
        <f>K149-I149</f>
        <v>3924.8000000000029</v>
      </c>
      <c r="M150" s="6">
        <f>I150</f>
        <v>-4752.9519999999993</v>
      </c>
      <c r="N150" s="6">
        <f t="shared" si="155"/>
        <v>0</v>
      </c>
      <c r="O150" s="18">
        <v>0</v>
      </c>
    </row>
    <row r="151" spans="1:20" x14ac:dyDescent="0.25">
      <c r="A151" s="66">
        <f t="shared" si="150"/>
        <v>145</v>
      </c>
      <c r="D151" s="2" t="s">
        <v>30</v>
      </c>
      <c r="G151" s="23">
        <v>9894.17</v>
      </c>
      <c r="I151" s="22">
        <f t="shared" ref="I151:I153" si="159">G151</f>
        <v>9894.17</v>
      </c>
      <c r="M151" s="6">
        <f t="shared" ref="M151:M153" si="160">I151</f>
        <v>9894.17</v>
      </c>
      <c r="N151" s="6">
        <f t="shared" si="155"/>
        <v>0</v>
      </c>
      <c r="O151" s="18">
        <v>0</v>
      </c>
    </row>
    <row r="152" spans="1:20" x14ac:dyDescent="0.25">
      <c r="A152" s="66">
        <f t="shared" si="150"/>
        <v>146</v>
      </c>
      <c r="D152" s="2" t="s">
        <v>32</v>
      </c>
      <c r="G152" s="23">
        <v>0</v>
      </c>
      <c r="I152" s="22">
        <f t="shared" si="159"/>
        <v>0</v>
      </c>
      <c r="M152" s="6">
        <f t="shared" si="160"/>
        <v>0</v>
      </c>
      <c r="N152" s="6">
        <f t="shared" si="155"/>
        <v>0</v>
      </c>
      <c r="O152" s="18">
        <v>0</v>
      </c>
    </row>
    <row r="153" spans="1:20" x14ac:dyDescent="0.25">
      <c r="A153" s="66">
        <f t="shared" si="150"/>
        <v>147</v>
      </c>
      <c r="D153" s="2" t="s">
        <v>42</v>
      </c>
      <c r="G153" s="23">
        <v>0</v>
      </c>
      <c r="I153" s="22">
        <f t="shared" si="159"/>
        <v>0</v>
      </c>
      <c r="M153" s="6">
        <f t="shared" si="160"/>
        <v>0</v>
      </c>
      <c r="N153" s="6"/>
      <c r="O153" s="18"/>
    </row>
    <row r="154" spans="1:20" x14ac:dyDescent="0.25">
      <c r="A154" s="66">
        <f t="shared" si="150"/>
        <v>148</v>
      </c>
      <c r="D154" s="26" t="s">
        <v>8</v>
      </c>
      <c r="E154" s="26"/>
      <c r="F154" s="26"/>
      <c r="G154" s="27">
        <f>SUM(G150:G153)</f>
        <v>6573.49</v>
      </c>
      <c r="H154" s="26"/>
      <c r="I154" s="27">
        <f>SUM(I150:I153)</f>
        <v>5141.2180000000008</v>
      </c>
      <c r="J154" s="26"/>
      <c r="K154" s="59"/>
      <c r="L154" s="26"/>
      <c r="M154" s="27">
        <f>SUM(M150:M153)</f>
        <v>5141.2180000000008</v>
      </c>
      <c r="N154" s="27">
        <f t="shared" ref="N154:N156" si="161">M154-I154</f>
        <v>0</v>
      </c>
      <c r="O154" s="37">
        <f t="shared" ref="O154" si="162">N154-J154</f>
        <v>0</v>
      </c>
    </row>
    <row r="155" spans="1:20" s="7" customFormat="1" ht="26.4" customHeight="1" thickBot="1" x14ac:dyDescent="0.3">
      <c r="A155" s="66">
        <f t="shared" si="150"/>
        <v>149</v>
      </c>
      <c r="C155" s="30"/>
      <c r="D155" s="8" t="s">
        <v>19</v>
      </c>
      <c r="E155" s="8"/>
      <c r="F155" s="8"/>
      <c r="G155" s="9">
        <f>G149+G154</f>
        <v>108743.6192</v>
      </c>
      <c r="H155" s="8"/>
      <c r="I155" s="28">
        <f>I154+I149</f>
        <v>105879.07519999999</v>
      </c>
      <c r="J155" s="8"/>
      <c r="K155" s="60"/>
      <c r="L155" s="8"/>
      <c r="M155" s="9">
        <f>M154+M149</f>
        <v>109815.0472</v>
      </c>
      <c r="N155" s="9">
        <f t="shared" si="161"/>
        <v>3935.9720000000088</v>
      </c>
      <c r="O155" s="10">
        <f>N155/I155</f>
        <v>3.7174219670554974E-2</v>
      </c>
      <c r="P155" s="2"/>
      <c r="Q155" s="2"/>
      <c r="R155" s="2"/>
    </row>
    <row r="156" spans="1:20" ht="13.8" thickTop="1" x14ac:dyDescent="0.25">
      <c r="A156" s="66">
        <f t="shared" si="150"/>
        <v>150</v>
      </c>
      <c r="D156" s="2" t="s">
        <v>18</v>
      </c>
      <c r="E156" s="18">
        <f>E148/E146</f>
        <v>18766.666666666668</v>
      </c>
      <c r="G156" s="16">
        <f>G155/E146</f>
        <v>2265.4920666666667</v>
      </c>
      <c r="I156" s="16">
        <f>I155/E146</f>
        <v>2205.8140666666663</v>
      </c>
      <c r="M156" s="16">
        <f>M155/E146</f>
        <v>2287.8134833333334</v>
      </c>
      <c r="N156" s="16">
        <f t="shared" si="161"/>
        <v>81.999416666667003</v>
      </c>
      <c r="O156" s="5">
        <f>N156/I156</f>
        <v>3.7174219670555043E-2</v>
      </c>
    </row>
    <row r="157" spans="1:20" ht="13.8" thickBot="1" x14ac:dyDescent="0.3">
      <c r="A157" s="66">
        <f t="shared" si="150"/>
        <v>151</v>
      </c>
    </row>
    <row r="158" spans="1:20" x14ac:dyDescent="0.25">
      <c r="A158" s="66">
        <f t="shared" si="150"/>
        <v>152</v>
      </c>
      <c r="B158" s="43" t="s">
        <v>69</v>
      </c>
      <c r="C158" s="44">
        <v>36</v>
      </c>
      <c r="D158" s="43"/>
      <c r="E158" s="43"/>
      <c r="F158" s="43"/>
      <c r="G158" s="43"/>
      <c r="H158" s="43"/>
      <c r="I158" s="43"/>
      <c r="J158" s="43"/>
      <c r="K158" s="56"/>
      <c r="L158" s="43"/>
      <c r="M158" s="43"/>
      <c r="N158" s="43"/>
      <c r="O158" s="43"/>
      <c r="P158" s="43"/>
      <c r="Q158" s="43"/>
      <c r="R158" s="43"/>
    </row>
    <row r="159" spans="1:20" x14ac:dyDescent="0.25">
      <c r="A159" s="66">
        <f t="shared" si="150"/>
        <v>153</v>
      </c>
      <c r="C159" s="2"/>
      <c r="D159" s="2" t="s">
        <v>17</v>
      </c>
      <c r="E159" s="24">
        <v>12</v>
      </c>
      <c r="F159" s="20">
        <v>3215</v>
      </c>
      <c r="G159" s="6">
        <f>F159*E159</f>
        <v>38580</v>
      </c>
      <c r="H159" s="20">
        <v>3215</v>
      </c>
      <c r="I159" s="6">
        <f>H159*E159</f>
        <v>38580</v>
      </c>
      <c r="J159" s="172">
        <v>1.8058604325205178E-2</v>
      </c>
      <c r="K159" s="57"/>
      <c r="L159" s="19">
        <f>ROUND(J159*K163/E159,2)</f>
        <v>2286.7800000000002</v>
      </c>
      <c r="M159" s="6">
        <f>L159*E159</f>
        <v>27441.360000000001</v>
      </c>
      <c r="N159" s="6">
        <f>M159-I159</f>
        <v>-11138.64</v>
      </c>
      <c r="O159" s="5">
        <f>IF(I159=0,0,N159/I159)</f>
        <v>-0.28871539657853806</v>
      </c>
      <c r="P159" s="5">
        <f>M159/M163</f>
        <v>1.8057566900695373E-2</v>
      </c>
      <c r="Q159" s="17">
        <f>P159-J159</f>
        <v>-1.037424509804652E-6</v>
      </c>
      <c r="R159" s="17"/>
      <c r="T159" s="5">
        <f>L159/H159-1</f>
        <v>-0.28871539657853806</v>
      </c>
    </row>
    <row r="160" spans="1:20" x14ac:dyDescent="0.25">
      <c r="A160" s="66">
        <f t="shared" si="150"/>
        <v>154</v>
      </c>
      <c r="D160" s="2" t="s">
        <v>55</v>
      </c>
      <c r="E160" s="24">
        <v>47377.4</v>
      </c>
      <c r="F160" s="20">
        <v>6.62</v>
      </c>
      <c r="G160" s="6">
        <f t="shared" ref="G160" si="163">F160*E160</f>
        <v>313638.38800000004</v>
      </c>
      <c r="H160" s="20">
        <v>6.62</v>
      </c>
      <c r="I160" s="6">
        <f t="shared" ref="I160" si="164">H160*E160</f>
        <v>313638.38800000004</v>
      </c>
      <c r="J160" s="172">
        <v>0.19886081253483659</v>
      </c>
      <c r="K160" s="57"/>
      <c r="L160" s="128">
        <f>ROUND(J160*K163/E160,2)</f>
        <v>6.38</v>
      </c>
      <c r="M160" s="6">
        <f t="shared" ref="M160" si="165">L160*E160</f>
        <v>302267.81199999998</v>
      </c>
      <c r="N160" s="6">
        <f t="shared" ref="N160" si="166">M160-I160</f>
        <v>-11370.576000000059</v>
      </c>
      <c r="O160" s="5">
        <f t="shared" ref="O160" si="167">IF(I160=0,0,N160/I160)</f>
        <v>-3.6253776435045501E-2</v>
      </c>
      <c r="P160" s="5">
        <f>M160/M163</f>
        <v>0.19890490985566353</v>
      </c>
      <c r="Q160" s="17">
        <f t="shared" ref="Q160" si="168">P160-J160</f>
        <v>4.4097320826941289E-5</v>
      </c>
      <c r="R160" s="17"/>
      <c r="T160" s="5">
        <f>L160/H160-1</f>
        <v>-3.6253776435045348E-2</v>
      </c>
    </row>
    <row r="161" spans="1:20" x14ac:dyDescent="0.25">
      <c r="A161" s="66">
        <f t="shared" si="150"/>
        <v>155</v>
      </c>
      <c r="D161" s="2" t="s">
        <v>53</v>
      </c>
      <c r="E161" s="117">
        <v>9335718</v>
      </c>
      <c r="F161" s="119">
        <f>H161+0.00159</f>
        <v>5.9490000000000001E-2</v>
      </c>
      <c r="G161" s="6">
        <f t="shared" ref="G161:G162" si="169">F161*E161</f>
        <v>555381.86381999997</v>
      </c>
      <c r="H161" s="119">
        <v>5.79E-2</v>
      </c>
      <c r="I161" s="6">
        <f t="shared" ref="I161:I162" si="170">H161*E161</f>
        <v>540538.07220000005</v>
      </c>
      <c r="J161" s="172">
        <v>0.38557041936620001</v>
      </c>
      <c r="K161" s="57"/>
      <c r="L161" s="25">
        <f>ROUND(J161*K163/E161,6)</f>
        <v>6.2758999999999995E-2</v>
      </c>
      <c r="M161" s="6">
        <f t="shared" ref="M161:M162" si="171">L161*E161</f>
        <v>585900.32596199994</v>
      </c>
      <c r="N161" s="6">
        <f t="shared" ref="N161:N166" si="172">M161-I161</f>
        <v>45362.253761999891</v>
      </c>
      <c r="O161" s="5">
        <f t="shared" ref="O161:O162" si="173">IF(I161=0,0,N161/I161)</f>
        <v>8.392055267702915E-2</v>
      </c>
      <c r="P161" s="5">
        <f>M161/M163</f>
        <v>0.385547011270507</v>
      </c>
      <c r="Q161" s="17">
        <f t="shared" ref="Q161:Q163" si="174">P161-J161</f>
        <v>-2.340809569301161E-5</v>
      </c>
      <c r="R161" s="17"/>
      <c r="T161" s="5">
        <f>L161/H161-1</f>
        <v>8.3920552677029248E-2</v>
      </c>
    </row>
    <row r="162" spans="1:20" x14ac:dyDescent="0.25">
      <c r="A162" s="66">
        <f t="shared" si="150"/>
        <v>156</v>
      </c>
      <c r="D162" s="2" t="s">
        <v>54</v>
      </c>
      <c r="E162" s="117">
        <v>10978742</v>
      </c>
      <c r="F162" s="119">
        <f>H162+0.00159</f>
        <v>5.1063999999999998E-2</v>
      </c>
      <c r="G162" s="6">
        <f t="shared" si="169"/>
        <v>560618.48148800002</v>
      </c>
      <c r="H162" s="119">
        <v>4.9473999999999997E-2</v>
      </c>
      <c r="I162" s="6">
        <f t="shared" si="170"/>
        <v>543162.28170799999</v>
      </c>
      <c r="J162" s="172">
        <v>0.39751016377375825</v>
      </c>
      <c r="K162" s="57"/>
      <c r="L162" s="25">
        <f>ROUND(J162*K163/E162,6)</f>
        <v>5.5019999999999999E-2</v>
      </c>
      <c r="M162" s="6">
        <f t="shared" si="171"/>
        <v>604050.38483999996</v>
      </c>
      <c r="N162" s="6">
        <f t="shared" si="172"/>
        <v>60888.10313199996</v>
      </c>
      <c r="O162" s="5">
        <f t="shared" si="173"/>
        <v>0.11209928447265223</v>
      </c>
      <c r="P162" s="5">
        <f>M162/M163</f>
        <v>0.39749051197313418</v>
      </c>
      <c r="Q162" s="17">
        <f t="shared" si="174"/>
        <v>-1.9651800624076454E-5</v>
      </c>
      <c r="R162" s="17"/>
      <c r="T162" s="5">
        <f>L162/H162-1</f>
        <v>0.11209928447265227</v>
      </c>
    </row>
    <row r="163" spans="1:20" s="7" customFormat="1" ht="20.399999999999999" customHeight="1" x14ac:dyDescent="0.3">
      <c r="A163" s="66">
        <f t="shared" si="150"/>
        <v>157</v>
      </c>
      <c r="C163" s="30"/>
      <c r="D163" s="32" t="s">
        <v>6</v>
      </c>
      <c r="E163" s="32"/>
      <c r="F163" s="32"/>
      <c r="G163" s="33">
        <f>SUM(G159:G162)</f>
        <v>1468218.733308</v>
      </c>
      <c r="H163" s="32"/>
      <c r="I163" s="34">
        <f>SUM(I159:I162)</f>
        <v>1435918.7419080001</v>
      </c>
      <c r="J163" s="35">
        <f>SUM(J159:J162)</f>
        <v>1</v>
      </c>
      <c r="K163" s="58">
        <f>I163+Summary!I20</f>
        <v>1519571.881908</v>
      </c>
      <c r="L163" s="32"/>
      <c r="M163" s="33">
        <f>SUM(M159:M162)</f>
        <v>1519659.8828019998</v>
      </c>
      <c r="N163" s="33">
        <f>SUM(N159:N162)</f>
        <v>83741.140893999793</v>
      </c>
      <c r="O163" s="35">
        <f t="shared" ref="O163" si="175">N163/I163</f>
        <v>5.8318857780717735E-2</v>
      </c>
      <c r="P163" s="35">
        <f>SUM(P159:P162)</f>
        <v>1</v>
      </c>
      <c r="Q163" s="36">
        <f t="shared" si="174"/>
        <v>0</v>
      </c>
      <c r="R163" s="49">
        <f>M163-K163</f>
        <v>88.000893999822438</v>
      </c>
      <c r="S163" s="127">
        <f>K163/I163</f>
        <v>1.0582575723531851</v>
      </c>
    </row>
    <row r="164" spans="1:20" x14ac:dyDescent="0.25">
      <c r="A164" s="66">
        <f t="shared" si="150"/>
        <v>158</v>
      </c>
      <c r="D164" s="2" t="s">
        <v>29</v>
      </c>
      <c r="G164" s="23">
        <v>-81559.839999999997</v>
      </c>
      <c r="I164" s="63">
        <f>G164+(-0.00159*(E162+E161))</f>
        <v>-113859.8314</v>
      </c>
      <c r="K164" s="72">
        <f>K163-I163</f>
        <v>83653.139999999898</v>
      </c>
      <c r="M164" s="6">
        <f>I164</f>
        <v>-113859.8314</v>
      </c>
      <c r="N164" s="6">
        <f t="shared" si="172"/>
        <v>0</v>
      </c>
      <c r="O164" s="18">
        <v>0</v>
      </c>
    </row>
    <row r="165" spans="1:20" x14ac:dyDescent="0.25">
      <c r="A165" s="66">
        <f t="shared" si="150"/>
        <v>159</v>
      </c>
      <c r="D165" s="2" t="s">
        <v>30</v>
      </c>
      <c r="G165" s="23">
        <v>143808.6</v>
      </c>
      <c r="I165" s="22">
        <f t="shared" ref="I165:I167" si="176">G165</f>
        <v>143808.6</v>
      </c>
      <c r="M165" s="6">
        <f t="shared" ref="M165:M167" si="177">I165</f>
        <v>143808.6</v>
      </c>
      <c r="N165" s="6">
        <f t="shared" si="172"/>
        <v>0</v>
      </c>
      <c r="O165" s="18">
        <v>0</v>
      </c>
    </row>
    <row r="166" spans="1:20" x14ac:dyDescent="0.25">
      <c r="A166" s="66">
        <f t="shared" si="150"/>
        <v>160</v>
      </c>
      <c r="D166" s="2" t="s">
        <v>32</v>
      </c>
      <c r="G166" s="23">
        <v>0</v>
      </c>
      <c r="I166" s="22">
        <f t="shared" si="176"/>
        <v>0</v>
      </c>
      <c r="M166" s="6">
        <f t="shared" si="177"/>
        <v>0</v>
      </c>
      <c r="N166" s="6">
        <f t="shared" si="172"/>
        <v>0</v>
      </c>
      <c r="O166" s="18">
        <v>0</v>
      </c>
    </row>
    <row r="167" spans="1:20" x14ac:dyDescent="0.25">
      <c r="A167" s="66">
        <f t="shared" si="150"/>
        <v>161</v>
      </c>
      <c r="D167" s="2" t="s">
        <v>42</v>
      </c>
      <c r="G167" s="23">
        <v>0</v>
      </c>
      <c r="I167" s="22">
        <f t="shared" si="176"/>
        <v>0</v>
      </c>
      <c r="M167" s="6">
        <f t="shared" si="177"/>
        <v>0</v>
      </c>
      <c r="N167" s="6"/>
      <c r="O167" s="18"/>
    </row>
    <row r="168" spans="1:20" x14ac:dyDescent="0.25">
      <c r="A168" s="66">
        <f t="shared" si="150"/>
        <v>162</v>
      </c>
      <c r="D168" s="26" t="s">
        <v>8</v>
      </c>
      <c r="E168" s="26"/>
      <c r="F168" s="26"/>
      <c r="G168" s="27">
        <f>SUM(G164:G167)</f>
        <v>62248.760000000009</v>
      </c>
      <c r="H168" s="26"/>
      <c r="I168" s="27">
        <f>SUM(I164:I167)</f>
        <v>29948.76860000001</v>
      </c>
      <c r="J168" s="26"/>
      <c r="K168" s="59"/>
      <c r="L168" s="26"/>
      <c r="M168" s="27">
        <f>SUM(M164:M167)</f>
        <v>29948.76860000001</v>
      </c>
      <c r="N168" s="27">
        <f t="shared" ref="N168:N170" si="178">M168-I168</f>
        <v>0</v>
      </c>
      <c r="O168" s="37">
        <f t="shared" ref="O168" si="179">N168-J168</f>
        <v>0</v>
      </c>
    </row>
    <row r="169" spans="1:20" s="7" customFormat="1" ht="26.4" customHeight="1" thickBot="1" x14ac:dyDescent="0.3">
      <c r="A169" s="66">
        <f t="shared" si="150"/>
        <v>163</v>
      </c>
      <c r="C169" s="30"/>
      <c r="D169" s="8" t="s">
        <v>19</v>
      </c>
      <c r="E169" s="8"/>
      <c r="F169" s="8"/>
      <c r="G169" s="9">
        <f>G163+G168</f>
        <v>1530467.493308</v>
      </c>
      <c r="H169" s="8"/>
      <c r="I169" s="28">
        <f>I168+I163</f>
        <v>1465867.5105080002</v>
      </c>
      <c r="J169" s="8"/>
      <c r="K169" s="60"/>
      <c r="L169" s="8"/>
      <c r="M169" s="9">
        <f>M168+M163</f>
        <v>1549608.6514019999</v>
      </c>
      <c r="N169" s="9">
        <f t="shared" si="178"/>
        <v>83741.14089399972</v>
      </c>
      <c r="O169" s="10">
        <f>N169/I169</f>
        <v>5.7127359937856191E-2</v>
      </c>
      <c r="P169" s="2"/>
      <c r="Q169" s="2"/>
      <c r="R169" s="2"/>
    </row>
    <row r="170" spans="1:20" ht="13.8" thickTop="1" x14ac:dyDescent="0.25">
      <c r="A170" s="66">
        <f t="shared" si="150"/>
        <v>164</v>
      </c>
      <c r="D170" s="2" t="s">
        <v>18</v>
      </c>
      <c r="E170" s="18">
        <f>(E161+E162)/E159</f>
        <v>1692871.6666666667</v>
      </c>
      <c r="G170" s="16">
        <f>G169/E159</f>
        <v>127538.95777566667</v>
      </c>
      <c r="I170" s="16">
        <f>I169/E159</f>
        <v>122155.62587566668</v>
      </c>
      <c r="M170" s="16">
        <f>M169/E159</f>
        <v>129134.05428349999</v>
      </c>
      <c r="N170" s="16">
        <f t="shared" si="178"/>
        <v>6978.4284078333148</v>
      </c>
      <c r="O170" s="5">
        <f>N170/I170</f>
        <v>5.7127359937856233E-2</v>
      </c>
    </row>
    <row r="171" spans="1:20" ht="13.8" thickBot="1" x14ac:dyDescent="0.3">
      <c r="A171" s="66">
        <f t="shared" si="150"/>
        <v>165</v>
      </c>
    </row>
    <row r="172" spans="1:20" x14ac:dyDescent="0.25">
      <c r="A172" s="66">
        <f t="shared" si="150"/>
        <v>166</v>
      </c>
      <c r="B172" s="43" t="s">
        <v>70</v>
      </c>
      <c r="C172" s="44">
        <v>50</v>
      </c>
      <c r="D172" s="43"/>
      <c r="E172" s="43"/>
      <c r="F172" s="43"/>
      <c r="G172" s="43"/>
      <c r="H172" s="43"/>
      <c r="I172" s="43"/>
      <c r="J172" s="43"/>
      <c r="K172" s="56"/>
      <c r="L172" s="43"/>
      <c r="M172" s="43"/>
      <c r="N172" s="43"/>
      <c r="O172" s="43"/>
      <c r="P172" s="43"/>
      <c r="Q172" s="43"/>
      <c r="R172" s="43"/>
    </row>
    <row r="173" spans="1:20" x14ac:dyDescent="0.25">
      <c r="A173" s="66">
        <f t="shared" si="150"/>
        <v>167</v>
      </c>
      <c r="C173" s="2"/>
      <c r="D173" s="2" t="s">
        <v>102</v>
      </c>
      <c r="E173" s="24">
        <v>0</v>
      </c>
      <c r="F173" s="20">
        <v>21.32</v>
      </c>
      <c r="G173" s="6">
        <f>F173*E173</f>
        <v>0</v>
      </c>
      <c r="H173" s="20">
        <v>21.32</v>
      </c>
      <c r="I173" s="6">
        <f>H173*E173</f>
        <v>0</v>
      </c>
      <c r="J173" s="172">
        <f>I173/I176</f>
        <v>0</v>
      </c>
      <c r="K173" s="57"/>
      <c r="L173" s="19">
        <f>H173*S177</f>
        <v>22.561479502457772</v>
      </c>
      <c r="M173" s="6">
        <f>L173*E173</f>
        <v>0</v>
      </c>
      <c r="N173" s="6">
        <f>M173-I173</f>
        <v>0</v>
      </c>
      <c r="O173" s="5">
        <f>IF(I173=0,0,N173/I173)</f>
        <v>0</v>
      </c>
      <c r="P173" s="5">
        <f>M173/M176</f>
        <v>0</v>
      </c>
      <c r="Q173" s="17">
        <f>P173-J173</f>
        <v>0</v>
      </c>
      <c r="R173" s="17"/>
      <c r="T173" s="5">
        <f>L173/H173-1</f>
        <v>5.8230745893891767E-2</v>
      </c>
    </row>
    <row r="174" spans="1:20" x14ac:dyDescent="0.25">
      <c r="A174" s="66">
        <f t="shared" si="150"/>
        <v>168</v>
      </c>
      <c r="C174" s="2"/>
      <c r="D174" s="2" t="s">
        <v>103</v>
      </c>
      <c r="E174" s="24">
        <v>60</v>
      </c>
      <c r="F174" s="20">
        <v>105</v>
      </c>
      <c r="G174" s="6">
        <f>F174*E174</f>
        <v>6300</v>
      </c>
      <c r="H174" s="20">
        <v>105</v>
      </c>
      <c r="I174" s="6">
        <f>H174*E174</f>
        <v>6300</v>
      </c>
      <c r="J174" s="172">
        <v>0.10259474731576586</v>
      </c>
      <c r="K174" s="57"/>
      <c r="L174" s="19">
        <f>ROUND(H174*S177,2)</f>
        <v>111.11</v>
      </c>
      <c r="M174" s="6">
        <f>L174*E174</f>
        <v>6666.6</v>
      </c>
      <c r="N174" s="6">
        <f>M174-I174</f>
        <v>366.60000000000036</v>
      </c>
      <c r="O174" s="5">
        <f>IF(I174=0,0,N174/I174)</f>
        <v>5.8190476190476251E-2</v>
      </c>
      <c r="P174" s="5">
        <f>M174/M177</f>
        <v>0.17526353514765114</v>
      </c>
      <c r="Q174" s="17">
        <f>P174-J174</f>
        <v>7.2668787831885281E-2</v>
      </c>
      <c r="R174" s="17"/>
      <c r="T174" s="5">
        <f>L174/H174-1</f>
        <v>5.8190476190476126E-2</v>
      </c>
    </row>
    <row r="175" spans="1:20" x14ac:dyDescent="0.25">
      <c r="A175" s="66">
        <f>A173+1</f>
        <v>168</v>
      </c>
      <c r="D175" s="2" t="s">
        <v>53</v>
      </c>
      <c r="E175" s="117">
        <v>186382</v>
      </c>
      <c r="F175" s="119">
        <f>H175+0.00159</f>
        <v>0.11534999999999999</v>
      </c>
      <c r="G175" s="6">
        <f t="shared" ref="G175:G176" si="180">F175*E175</f>
        <v>21499.163699999997</v>
      </c>
      <c r="H175" s="119">
        <v>0.11376</v>
      </c>
      <c r="I175" s="6">
        <f t="shared" ref="I175:I176" si="181">H175*E175</f>
        <v>21202.816320000002</v>
      </c>
      <c r="J175" s="172">
        <v>0.64360343231556782</v>
      </c>
      <c r="K175" s="57"/>
      <c r="L175" s="173">
        <f>ROUND(J175*K177/E175,6)</f>
        <v>0.120713</v>
      </c>
      <c r="M175" s="6">
        <f t="shared" ref="M175:M176" si="182">L175*E175</f>
        <v>22498.730366</v>
      </c>
      <c r="N175" s="6">
        <f t="shared" ref="N175:N180" si="183">M175-I175</f>
        <v>1295.9140459999981</v>
      </c>
      <c r="O175" s="5">
        <f t="shared" ref="O175:O176" si="184">IF(I175=0,0,N175/I175)</f>
        <v>6.1119901547116641E-2</v>
      </c>
      <c r="P175" s="5">
        <f>M175/M177</f>
        <v>0.59148696791152411</v>
      </c>
      <c r="Q175" s="17">
        <f t="shared" ref="Q175:Q177" si="185">P175-J175</f>
        <v>-5.2116464404043716E-2</v>
      </c>
      <c r="R175" s="17"/>
      <c r="T175" s="5">
        <f>L175/H175-1</f>
        <v>6.1119901547116662E-2</v>
      </c>
    </row>
    <row r="176" spans="1:20" x14ac:dyDescent="0.25">
      <c r="A176" s="66">
        <f t="shared" si="150"/>
        <v>169</v>
      </c>
      <c r="D176" s="2" t="s">
        <v>54</v>
      </c>
      <c r="E176" s="117">
        <v>98908</v>
      </c>
      <c r="F176" s="20">
        <v>7.78</v>
      </c>
      <c r="G176" s="6">
        <f t="shared" si="180"/>
        <v>769504.24</v>
      </c>
      <c r="H176" s="119">
        <v>5.5919999999999997E-2</v>
      </c>
      <c r="I176" s="6">
        <f t="shared" si="181"/>
        <v>5530.9353599999995</v>
      </c>
      <c r="J176" s="172">
        <v>0.25380182036866628</v>
      </c>
      <c r="K176" s="57"/>
      <c r="L176" s="173">
        <f>ROUND(J176*K177/E176,6)</f>
        <v>8.9702000000000004E-2</v>
      </c>
      <c r="M176" s="6">
        <f t="shared" si="182"/>
        <v>8872.2454159999998</v>
      </c>
      <c r="N176" s="6">
        <f t="shared" si="183"/>
        <v>3341.3100560000003</v>
      </c>
      <c r="O176" s="5">
        <f t="shared" si="184"/>
        <v>0.60411301859799726</v>
      </c>
      <c r="P176" s="5">
        <f>M176/M177</f>
        <v>0.23324949694082478</v>
      </c>
      <c r="Q176" s="17">
        <f t="shared" si="185"/>
        <v>-2.0552323427841496E-2</v>
      </c>
      <c r="R176" s="17"/>
      <c r="T176" s="5">
        <f>L176/H176-1</f>
        <v>0.60411301859799726</v>
      </c>
    </row>
    <row r="177" spans="1:20" s="7" customFormat="1" ht="20.399999999999999" customHeight="1" x14ac:dyDescent="0.3">
      <c r="A177" s="66">
        <f t="shared" si="150"/>
        <v>170</v>
      </c>
      <c r="C177" s="30"/>
      <c r="D177" s="32" t="s">
        <v>6</v>
      </c>
      <c r="E177" s="32"/>
      <c r="F177" s="32"/>
      <c r="G177" s="33">
        <f>SUM(G173:G176)</f>
        <v>797303.40370000002</v>
      </c>
      <c r="H177" s="32"/>
      <c r="I177" s="34">
        <f>SUM(I173:I176)</f>
        <v>33033.751680000001</v>
      </c>
      <c r="J177" s="35">
        <f>SUM(J173:J176)</f>
        <v>1</v>
      </c>
      <c r="K177" s="58">
        <f>I177+Summary!I21</f>
        <v>34957.331680000003</v>
      </c>
      <c r="L177" s="32"/>
      <c r="M177" s="33">
        <f>SUM(M173:M176)</f>
        <v>38037.575782</v>
      </c>
      <c r="N177" s="33">
        <f>SUM(N173:N176)</f>
        <v>5003.8241019999987</v>
      </c>
      <c r="O177" s="35">
        <f t="shared" ref="O177" si="186">N177/I177</f>
        <v>0.15147610693669775</v>
      </c>
      <c r="P177" s="35">
        <f>SUM(P173:P176)</f>
        <v>1</v>
      </c>
      <c r="Q177" s="36">
        <f t="shared" si="185"/>
        <v>0</v>
      </c>
      <c r="R177" s="49">
        <f>M177-K177</f>
        <v>3080.2441019999969</v>
      </c>
      <c r="S177" s="127">
        <f>K177/I177</f>
        <v>1.0582307458938918</v>
      </c>
    </row>
    <row r="178" spans="1:20" x14ac:dyDescent="0.25">
      <c r="A178" s="66">
        <f t="shared" si="150"/>
        <v>171</v>
      </c>
      <c r="D178" s="2" t="s">
        <v>29</v>
      </c>
      <c r="G178" s="23">
        <v>-1214.07</v>
      </c>
      <c r="I178" s="63">
        <f>G178+(-0.00159*(E175+E176))</f>
        <v>-1667.6811</v>
      </c>
      <c r="K178" s="72">
        <f>K177-I177</f>
        <v>1923.5800000000017</v>
      </c>
      <c r="M178" s="6">
        <f>I178</f>
        <v>-1667.6811</v>
      </c>
      <c r="N178" s="6">
        <f t="shared" si="183"/>
        <v>0</v>
      </c>
      <c r="O178" s="18">
        <v>0</v>
      </c>
    </row>
    <row r="179" spans="1:20" x14ac:dyDescent="0.25">
      <c r="A179" s="66">
        <f t="shared" si="150"/>
        <v>172</v>
      </c>
      <c r="D179" s="2" t="s">
        <v>30</v>
      </c>
      <c r="G179" s="23">
        <v>3400.87</v>
      </c>
      <c r="I179" s="22">
        <f t="shared" ref="I179:I181" si="187">G179</f>
        <v>3400.87</v>
      </c>
      <c r="M179" s="6">
        <f t="shared" ref="M179:M181" si="188">I179</f>
        <v>3400.87</v>
      </c>
      <c r="N179" s="6">
        <f t="shared" si="183"/>
        <v>0</v>
      </c>
      <c r="O179" s="18">
        <v>0</v>
      </c>
    </row>
    <row r="180" spans="1:20" x14ac:dyDescent="0.25">
      <c r="A180" s="66">
        <f t="shared" si="150"/>
        <v>173</v>
      </c>
      <c r="D180" s="2" t="s">
        <v>32</v>
      </c>
      <c r="G180" s="23">
        <v>0</v>
      </c>
      <c r="I180" s="22">
        <f t="shared" si="187"/>
        <v>0</v>
      </c>
      <c r="M180" s="6">
        <f t="shared" si="188"/>
        <v>0</v>
      </c>
      <c r="N180" s="6">
        <f t="shared" si="183"/>
        <v>0</v>
      </c>
      <c r="O180" s="18">
        <v>0</v>
      </c>
    </row>
    <row r="181" spans="1:20" x14ac:dyDescent="0.25">
      <c r="A181" s="66">
        <f t="shared" si="150"/>
        <v>174</v>
      </c>
      <c r="D181" s="2" t="s">
        <v>42</v>
      </c>
      <c r="G181" s="23">
        <v>0</v>
      </c>
      <c r="I181" s="22">
        <f t="shared" si="187"/>
        <v>0</v>
      </c>
      <c r="M181" s="6">
        <f t="shared" si="188"/>
        <v>0</v>
      </c>
      <c r="N181" s="6"/>
      <c r="O181" s="18"/>
    </row>
    <row r="182" spans="1:20" x14ac:dyDescent="0.25">
      <c r="A182" s="66">
        <f t="shared" si="150"/>
        <v>175</v>
      </c>
      <c r="D182" s="26" t="s">
        <v>8</v>
      </c>
      <c r="E182" s="26"/>
      <c r="F182" s="26"/>
      <c r="G182" s="27">
        <f>SUM(G178:G181)</f>
        <v>2186.8000000000002</v>
      </c>
      <c r="H182" s="26"/>
      <c r="I182" s="27">
        <f>SUM(I178:I181)</f>
        <v>1733.1888999999999</v>
      </c>
      <c r="J182" s="26"/>
      <c r="K182" s="59"/>
      <c r="L182" s="26"/>
      <c r="M182" s="27">
        <f>SUM(M178:M181)</f>
        <v>1733.1888999999999</v>
      </c>
      <c r="N182" s="27">
        <f t="shared" ref="N182:N184" si="189">M182-I182</f>
        <v>0</v>
      </c>
      <c r="O182" s="37">
        <f t="shared" ref="O182" si="190">N182-J182</f>
        <v>0</v>
      </c>
    </row>
    <row r="183" spans="1:20" s="7" customFormat="1" ht="26.4" customHeight="1" thickBot="1" x14ac:dyDescent="0.3">
      <c r="A183" s="66">
        <f t="shared" si="150"/>
        <v>176</v>
      </c>
      <c r="C183" s="30"/>
      <c r="D183" s="8" t="s">
        <v>19</v>
      </c>
      <c r="E183" s="8"/>
      <c r="F183" s="8"/>
      <c r="G183" s="9">
        <f>G177+G182</f>
        <v>799490.20370000007</v>
      </c>
      <c r="H183" s="8"/>
      <c r="I183" s="28">
        <f>I182+I177</f>
        <v>34766.940580000002</v>
      </c>
      <c r="J183" s="8"/>
      <c r="K183" s="60"/>
      <c r="L183" s="8"/>
      <c r="M183" s="9">
        <f>M182+M177</f>
        <v>39770.764682000001</v>
      </c>
      <c r="N183" s="9">
        <f t="shared" si="189"/>
        <v>5003.8241019999987</v>
      </c>
      <c r="O183" s="10">
        <f>N183/I183</f>
        <v>0.14392477504559298</v>
      </c>
      <c r="P183" s="2"/>
      <c r="Q183" s="2"/>
      <c r="R183" s="2"/>
    </row>
    <row r="184" spans="1:20" ht="13.8" thickTop="1" x14ac:dyDescent="0.25">
      <c r="A184" s="66">
        <f t="shared" si="150"/>
        <v>177</v>
      </c>
      <c r="D184" s="2" t="s">
        <v>18</v>
      </c>
      <c r="E184" s="18">
        <f>(E175+E176)/E174</f>
        <v>4754.833333333333</v>
      </c>
      <c r="G184" s="16">
        <f>G183/E174</f>
        <v>13324.836728333334</v>
      </c>
      <c r="I184" s="16">
        <f>I183/E174</f>
        <v>579.44900966666671</v>
      </c>
      <c r="M184" s="16">
        <f>M183/E174</f>
        <v>662.84607803333336</v>
      </c>
      <c r="N184" s="16">
        <f t="shared" si="189"/>
        <v>83.397068366666645</v>
      </c>
      <c r="O184" s="5">
        <f>N184/I184</f>
        <v>0.14392477504559298</v>
      </c>
    </row>
    <row r="185" spans="1:20" ht="13.8" thickBot="1" x14ac:dyDescent="0.3">
      <c r="A185" s="66">
        <f t="shared" si="150"/>
        <v>178</v>
      </c>
    </row>
    <row r="186" spans="1:20" x14ac:dyDescent="0.25">
      <c r="A186" s="66">
        <f t="shared" si="150"/>
        <v>179</v>
      </c>
      <c r="B186" s="43" t="s">
        <v>86</v>
      </c>
      <c r="C186" s="44">
        <v>6</v>
      </c>
      <c r="D186" s="43"/>
      <c r="E186" s="43"/>
      <c r="F186" s="43"/>
      <c r="G186" s="43"/>
      <c r="H186" s="43"/>
      <c r="I186" s="43"/>
      <c r="J186" s="43"/>
      <c r="K186" s="56"/>
      <c r="L186" s="43"/>
      <c r="M186" s="43"/>
      <c r="N186" s="43"/>
      <c r="O186" s="43"/>
      <c r="P186" s="43"/>
      <c r="Q186" s="43"/>
      <c r="R186" s="43"/>
    </row>
    <row r="187" spans="1:20" x14ac:dyDescent="0.25">
      <c r="A187" s="66">
        <f t="shared" si="150"/>
        <v>180</v>
      </c>
      <c r="C187" s="2"/>
      <c r="D187" s="2" t="s">
        <v>17</v>
      </c>
      <c r="E187" s="24"/>
      <c r="F187" s="20">
        <v>0</v>
      </c>
      <c r="G187" s="6">
        <f>F187*E187</f>
        <v>0</v>
      </c>
      <c r="H187" s="20">
        <v>0</v>
      </c>
      <c r="I187" s="6">
        <f>H187*E187</f>
        <v>0</v>
      </c>
      <c r="J187" s="5">
        <f>I187/I189</f>
        <v>0</v>
      </c>
      <c r="K187" s="57"/>
      <c r="L187" s="19">
        <f>ROUND(H187*S189,2)</f>
        <v>0</v>
      </c>
      <c r="M187" s="6">
        <f>L187*E187</f>
        <v>0</v>
      </c>
      <c r="N187" s="6">
        <f>M187-I187</f>
        <v>0</v>
      </c>
      <c r="O187" s="5">
        <f>IF(I187=0,0,N187/I187)</f>
        <v>0</v>
      </c>
      <c r="P187" s="5">
        <f>M187/M189</f>
        <v>0</v>
      </c>
      <c r="Q187" s="17">
        <f>P187-J187</f>
        <v>0</v>
      </c>
      <c r="R187" s="17"/>
      <c r="T187" s="5" t="e">
        <f>L187/H187-1</f>
        <v>#DIV/0!</v>
      </c>
    </row>
    <row r="188" spans="1:20" x14ac:dyDescent="0.25">
      <c r="A188" s="66">
        <f t="shared" si="150"/>
        <v>181</v>
      </c>
      <c r="D188" s="2" t="s">
        <v>52</v>
      </c>
      <c r="E188" s="24">
        <v>369082</v>
      </c>
      <c r="F188" s="119">
        <f>H188+0.00159</f>
        <v>5.6350000000000004E-2</v>
      </c>
      <c r="G188" s="6">
        <f t="shared" ref="G188" si="191">F188*E188</f>
        <v>20797.770700000001</v>
      </c>
      <c r="H188" s="119">
        <v>5.4760000000000003E-2</v>
      </c>
      <c r="I188" s="6">
        <f t="shared" ref="I188" si="192">H188*E188</f>
        <v>20210.930319999999</v>
      </c>
      <c r="J188" s="5">
        <f>I188/I189</f>
        <v>1</v>
      </c>
      <c r="K188" s="57"/>
      <c r="L188" s="25">
        <f>ROUND(H188*S189,6)</f>
        <v>6.1505999999999998E-2</v>
      </c>
      <c r="M188" s="6">
        <f t="shared" ref="M188" si="193">L188*E188</f>
        <v>22700.757492000001</v>
      </c>
      <c r="N188" s="6">
        <f t="shared" ref="N188:N192" si="194">M188-I188</f>
        <v>2489.8271720000012</v>
      </c>
      <c r="O188" s="5">
        <f t="shared" ref="O188" si="195">IF(I188=0,0,N188/I188)</f>
        <v>0.12319211102994893</v>
      </c>
      <c r="P188" s="5">
        <f>M188/M189</f>
        <v>1</v>
      </c>
      <c r="Q188" s="17">
        <f t="shared" ref="Q188:Q189" si="196">P188-J188</f>
        <v>0</v>
      </c>
      <c r="R188" s="17"/>
      <c r="T188" s="5">
        <f>L188/H188-1</f>
        <v>0.12319211102994876</v>
      </c>
    </row>
    <row r="189" spans="1:20" s="7" customFormat="1" ht="20.399999999999999" customHeight="1" x14ac:dyDescent="0.3">
      <c r="A189" s="66">
        <f t="shared" si="150"/>
        <v>182</v>
      </c>
      <c r="C189" s="30"/>
      <c r="D189" s="32" t="s">
        <v>6</v>
      </c>
      <c r="E189" s="32"/>
      <c r="F189" s="32"/>
      <c r="G189" s="33">
        <f>SUM(G187:G188)</f>
        <v>20797.770700000001</v>
      </c>
      <c r="H189" s="68"/>
      <c r="I189" s="34">
        <f>SUM(I187:I188)</f>
        <v>20210.930319999999</v>
      </c>
      <c r="J189" s="35">
        <f>SUM(J187:J188)</f>
        <v>1</v>
      </c>
      <c r="K189" s="58">
        <f>I189+Summary!I22</f>
        <v>22700.870319999998</v>
      </c>
      <c r="L189" s="32"/>
      <c r="M189" s="33">
        <f>SUM(M187:M188)</f>
        <v>22700.757492000001</v>
      </c>
      <c r="N189" s="33">
        <f>SUM(N187:N188)</f>
        <v>2489.8271720000012</v>
      </c>
      <c r="O189" s="35">
        <f t="shared" ref="O189" si="197">N189/I189</f>
        <v>0.12319211102994893</v>
      </c>
      <c r="P189" s="35">
        <f>SUM(P187:P188)</f>
        <v>1</v>
      </c>
      <c r="Q189" s="36">
        <f t="shared" si="196"/>
        <v>0</v>
      </c>
      <c r="R189" s="49">
        <f>M189-K189</f>
        <v>-0.11282799999753479</v>
      </c>
      <c r="S189" s="127">
        <f>K189/I189</f>
        <v>1.123197693553772</v>
      </c>
    </row>
    <row r="190" spans="1:20" x14ac:dyDescent="0.25">
      <c r="A190" s="66">
        <f t="shared" si="150"/>
        <v>183</v>
      </c>
      <c r="D190" s="2" t="s">
        <v>29</v>
      </c>
      <c r="G190" s="23">
        <v>-1493.27</v>
      </c>
      <c r="I190" s="63">
        <f>G190+(-0.00159*(E188))</f>
        <v>-2080.1103800000001</v>
      </c>
      <c r="K190" s="72">
        <f>K189-I189</f>
        <v>2489.9399999999987</v>
      </c>
      <c r="M190" s="6">
        <f>I190</f>
        <v>-2080.1103800000001</v>
      </c>
      <c r="N190" s="6">
        <f t="shared" si="194"/>
        <v>0</v>
      </c>
      <c r="O190" s="18">
        <v>0</v>
      </c>
    </row>
    <row r="191" spans="1:20" x14ac:dyDescent="0.25">
      <c r="A191" s="66">
        <f t="shared" si="150"/>
        <v>184</v>
      </c>
      <c r="D191" s="2" t="s">
        <v>30</v>
      </c>
      <c r="G191" s="23">
        <v>7586.24</v>
      </c>
      <c r="I191" s="22">
        <f t="shared" ref="I191:I193" si="198">G191</f>
        <v>7586.24</v>
      </c>
      <c r="M191" s="6">
        <f t="shared" ref="M191:M193" si="199">I191</f>
        <v>7586.24</v>
      </c>
      <c r="N191" s="6">
        <f t="shared" si="194"/>
        <v>0</v>
      </c>
      <c r="O191" s="18">
        <v>0</v>
      </c>
    </row>
    <row r="192" spans="1:20" x14ac:dyDescent="0.25">
      <c r="A192" s="66">
        <f t="shared" si="150"/>
        <v>185</v>
      </c>
      <c r="D192" s="2" t="s">
        <v>32</v>
      </c>
      <c r="G192" s="23">
        <v>0</v>
      </c>
      <c r="I192" s="22">
        <f t="shared" si="198"/>
        <v>0</v>
      </c>
      <c r="M192" s="6">
        <f t="shared" si="199"/>
        <v>0</v>
      </c>
      <c r="N192" s="6">
        <f t="shared" si="194"/>
        <v>0</v>
      </c>
      <c r="O192" s="18">
        <v>0</v>
      </c>
    </row>
    <row r="193" spans="1:20" x14ac:dyDescent="0.25">
      <c r="A193" s="66">
        <f t="shared" si="150"/>
        <v>186</v>
      </c>
      <c r="D193" s="2" t="s">
        <v>42</v>
      </c>
      <c r="G193" s="23">
        <v>0</v>
      </c>
      <c r="I193" s="22">
        <f t="shared" si="198"/>
        <v>0</v>
      </c>
      <c r="M193" s="6">
        <f t="shared" si="199"/>
        <v>0</v>
      </c>
      <c r="N193" s="6"/>
      <c r="O193" s="18"/>
    </row>
    <row r="194" spans="1:20" x14ac:dyDescent="0.25">
      <c r="A194" s="66">
        <f t="shared" si="150"/>
        <v>187</v>
      </c>
      <c r="D194" s="26" t="s">
        <v>8</v>
      </c>
      <c r="E194" s="26"/>
      <c r="F194" s="26"/>
      <c r="G194" s="27">
        <f>SUM(G190:G193)</f>
        <v>6092.9699999999993</v>
      </c>
      <c r="H194" s="26"/>
      <c r="I194" s="27">
        <f>SUM(I190:I193)</f>
        <v>5506.1296199999997</v>
      </c>
      <c r="J194" s="26"/>
      <c r="K194" s="59"/>
      <c r="L194" s="26"/>
      <c r="M194" s="27">
        <f>SUM(M190:M193)</f>
        <v>5506.1296199999997</v>
      </c>
      <c r="N194" s="27">
        <f t="shared" ref="N194:N195" si="200">M194-I194</f>
        <v>0</v>
      </c>
      <c r="O194" s="37">
        <f t="shared" ref="O194" si="201">N194-J194</f>
        <v>0</v>
      </c>
    </row>
    <row r="195" spans="1:20" s="7" customFormat="1" ht="26.4" customHeight="1" thickBot="1" x14ac:dyDescent="0.3">
      <c r="A195" s="66">
        <f t="shared" si="150"/>
        <v>188</v>
      </c>
      <c r="C195" s="30"/>
      <c r="D195" s="8" t="s">
        <v>19</v>
      </c>
      <c r="E195" s="8"/>
      <c r="F195" s="8"/>
      <c r="G195" s="9">
        <f>G189+G194</f>
        <v>26890.740700000002</v>
      </c>
      <c r="H195" s="8"/>
      <c r="I195" s="28">
        <f>I194+I189</f>
        <v>25717.059939999999</v>
      </c>
      <c r="J195" s="8"/>
      <c r="K195" s="60"/>
      <c r="L195" s="8"/>
      <c r="M195" s="9">
        <f>M194+M189</f>
        <v>28206.887112</v>
      </c>
      <c r="N195" s="9">
        <f t="shared" si="200"/>
        <v>2489.8271720000012</v>
      </c>
      <c r="O195" s="10">
        <f>N195/I195</f>
        <v>9.6816167081655968E-2</v>
      </c>
      <c r="P195" s="2"/>
      <c r="Q195" s="2"/>
      <c r="R195" s="2"/>
    </row>
    <row r="196" spans="1:20" ht="13.8" thickTop="1" x14ac:dyDescent="0.25">
      <c r="A196" s="66">
        <f t="shared" si="150"/>
        <v>189</v>
      </c>
      <c r="E196" s="163">
        <f>E188</f>
        <v>369082</v>
      </c>
      <c r="G196" s="16"/>
      <c r="I196" s="16"/>
      <c r="M196" s="16"/>
      <c r="N196" s="16"/>
      <c r="O196" s="5"/>
    </row>
    <row r="197" spans="1:20" ht="13.8" thickBot="1" x14ac:dyDescent="0.3">
      <c r="A197" s="66">
        <f t="shared" si="150"/>
        <v>190</v>
      </c>
      <c r="B197" s="50"/>
      <c r="C197" s="53"/>
      <c r="D197" s="50"/>
      <c r="E197" s="50"/>
      <c r="F197" s="50"/>
      <c r="G197" s="50"/>
      <c r="H197" s="50"/>
      <c r="I197" s="50"/>
      <c r="J197" s="50"/>
      <c r="L197" s="50"/>
      <c r="M197" s="50"/>
      <c r="N197" s="50"/>
      <c r="O197" s="50"/>
      <c r="P197" s="50"/>
      <c r="Q197" s="50"/>
      <c r="R197" s="50"/>
    </row>
    <row r="198" spans="1:20" x14ac:dyDescent="0.25">
      <c r="A198" s="66">
        <f t="shared" si="150"/>
        <v>191</v>
      </c>
      <c r="B198" s="43" t="s">
        <v>33</v>
      </c>
      <c r="C198" s="44">
        <v>6</v>
      </c>
      <c r="D198" s="43"/>
      <c r="E198" s="43"/>
      <c r="F198" s="43"/>
      <c r="G198" s="43"/>
      <c r="H198" s="43"/>
      <c r="I198" s="43"/>
      <c r="J198" s="43"/>
      <c r="K198" s="56"/>
      <c r="L198" s="43"/>
      <c r="M198" s="43"/>
      <c r="N198" s="43"/>
      <c r="O198" s="43"/>
      <c r="P198" s="43"/>
      <c r="Q198" s="43"/>
      <c r="R198" s="43"/>
    </row>
    <row r="199" spans="1:20" x14ac:dyDescent="0.25">
      <c r="A199" s="66">
        <f t="shared" si="150"/>
        <v>192</v>
      </c>
      <c r="B199" s="62"/>
      <c r="C199" s="52"/>
      <c r="D199" s="2" t="s">
        <v>73</v>
      </c>
      <c r="E199" s="24">
        <v>43665</v>
      </c>
      <c r="F199" s="20">
        <v>9.5500000000000007</v>
      </c>
      <c r="G199" s="6">
        <f t="shared" ref="G199" si="202">F199*E199</f>
        <v>417000.75000000006</v>
      </c>
      <c r="H199" s="20">
        <v>9.44</v>
      </c>
      <c r="I199" s="6">
        <f t="shared" ref="I199" si="203">H199*E199</f>
        <v>412197.6</v>
      </c>
      <c r="J199" s="5">
        <f t="shared" ref="J199:J212" si="204">I199/I$213</f>
        <v>0.44535309586057553</v>
      </c>
      <c r="K199" s="57"/>
      <c r="L199" s="19">
        <f t="shared" ref="L199:L212" si="205">ROUND(H199*S$213,2)</f>
        <v>9.82</v>
      </c>
      <c r="M199" s="6">
        <f t="shared" ref="M199" si="206">L199*E199</f>
        <v>428790.3</v>
      </c>
      <c r="N199" s="6">
        <f t="shared" ref="N199" si="207">M199-I199</f>
        <v>16592.700000000012</v>
      </c>
      <c r="O199" s="5">
        <f t="shared" ref="O199" si="208">IF(I199=0,0,N199/I199)</f>
        <v>4.0254237288135625E-2</v>
      </c>
      <c r="P199" s="5">
        <f t="shared" ref="P199:P212" si="209">M199/M$213</f>
        <v>0.44544881619662774</v>
      </c>
      <c r="Q199" s="17">
        <f t="shared" ref="Q199" si="210">P199-J199</f>
        <v>9.5720336052207422E-5</v>
      </c>
      <c r="R199" s="17"/>
      <c r="T199" s="5">
        <f>L199/H199-1</f>
        <v>4.0254237288135597E-2</v>
      </c>
    </row>
    <row r="200" spans="1:20" x14ac:dyDescent="0.25">
      <c r="A200" s="66">
        <f t="shared" si="150"/>
        <v>193</v>
      </c>
      <c r="B200" s="62"/>
      <c r="C200" s="52"/>
      <c r="D200" s="2" t="s">
        <v>74</v>
      </c>
      <c r="E200" s="24">
        <v>0</v>
      </c>
      <c r="F200" s="20">
        <v>3.26</v>
      </c>
      <c r="G200" s="6">
        <f t="shared" ref="G200:G203" si="211">F200*E200</f>
        <v>0</v>
      </c>
      <c r="H200" s="20">
        <v>3.15</v>
      </c>
      <c r="I200" s="6">
        <f t="shared" ref="I200:I203" si="212">H200*E200</f>
        <v>0</v>
      </c>
      <c r="J200" s="5">
        <f t="shared" si="204"/>
        <v>0</v>
      </c>
      <c r="K200" s="57"/>
      <c r="L200" s="19">
        <f t="shared" si="205"/>
        <v>3.28</v>
      </c>
      <c r="M200" s="6">
        <f t="shared" ref="M200:M203" si="213">L200*E200</f>
        <v>0</v>
      </c>
      <c r="N200" s="6">
        <f t="shared" ref="N200:N203" si="214">M200-I200</f>
        <v>0</v>
      </c>
      <c r="O200" s="5">
        <f t="shared" ref="O200:O203" si="215">IF(I200=0,0,N200/I200)</f>
        <v>0</v>
      </c>
      <c r="P200" s="5">
        <f t="shared" si="209"/>
        <v>0</v>
      </c>
      <c r="Q200" s="17">
        <f t="shared" ref="Q200:Q203" si="216">P200-J200</f>
        <v>0</v>
      </c>
      <c r="R200" s="17"/>
      <c r="T200" s="5">
        <f t="shared" ref="T200:T212" si="217">L200/H200-1</f>
        <v>4.1269841269841345E-2</v>
      </c>
    </row>
    <row r="201" spans="1:20" x14ac:dyDescent="0.25">
      <c r="A201" s="66">
        <f t="shared" si="150"/>
        <v>194</v>
      </c>
      <c r="B201" s="62"/>
      <c r="C201" s="52"/>
      <c r="D201" s="2" t="s">
        <v>75</v>
      </c>
      <c r="E201" s="24">
        <v>388</v>
      </c>
      <c r="F201" s="20">
        <v>10.89</v>
      </c>
      <c r="G201" s="6">
        <f t="shared" si="211"/>
        <v>4225.3200000000006</v>
      </c>
      <c r="H201" s="20">
        <v>10.73</v>
      </c>
      <c r="I201" s="6">
        <f t="shared" si="212"/>
        <v>4163.24</v>
      </c>
      <c r="J201" s="5">
        <f t="shared" si="204"/>
        <v>4.4981140666772012E-3</v>
      </c>
      <c r="K201" s="57"/>
      <c r="L201" s="19">
        <f t="shared" si="205"/>
        <v>11.16</v>
      </c>
      <c r="M201" s="6">
        <f t="shared" si="213"/>
        <v>4330.08</v>
      </c>
      <c r="N201" s="6">
        <f t="shared" si="214"/>
        <v>166.84000000000015</v>
      </c>
      <c r="O201" s="5">
        <f t="shared" si="215"/>
        <v>4.0074557315936662E-2</v>
      </c>
      <c r="P201" s="5">
        <f t="shared" si="209"/>
        <v>4.4983037396990879E-3</v>
      </c>
      <c r="Q201" s="17">
        <f t="shared" si="216"/>
        <v>1.8967302188675067E-7</v>
      </c>
      <c r="R201" s="17"/>
      <c r="T201" s="5">
        <f t="shared" si="217"/>
        <v>4.0074557315936676E-2</v>
      </c>
    </row>
    <row r="202" spans="1:20" x14ac:dyDescent="0.25">
      <c r="A202" s="66">
        <f t="shared" ref="A202:A231" si="218">A201+1</f>
        <v>195</v>
      </c>
      <c r="B202" s="62"/>
      <c r="C202" s="52"/>
      <c r="D202" s="2" t="s">
        <v>76</v>
      </c>
      <c r="E202" s="24">
        <v>423</v>
      </c>
      <c r="F202" s="20">
        <v>16.55</v>
      </c>
      <c r="G202" s="6">
        <f t="shared" si="211"/>
        <v>7000.6500000000005</v>
      </c>
      <c r="H202" s="20">
        <v>16.3</v>
      </c>
      <c r="I202" s="6">
        <f t="shared" si="212"/>
        <v>6894.9000000000005</v>
      </c>
      <c r="J202" s="5">
        <f t="shared" si="204"/>
        <v>7.4494976696833819E-3</v>
      </c>
      <c r="K202" s="57"/>
      <c r="L202" s="19">
        <f t="shared" si="205"/>
        <v>16.95</v>
      </c>
      <c r="M202" s="6">
        <f t="shared" si="213"/>
        <v>7169.8499999999995</v>
      </c>
      <c r="N202" s="6">
        <f t="shared" si="214"/>
        <v>274.94999999999891</v>
      </c>
      <c r="O202" s="5">
        <f t="shared" si="215"/>
        <v>3.9877300613496772E-2</v>
      </c>
      <c r="P202" s="5">
        <f t="shared" si="209"/>
        <v>7.4483988905704977E-3</v>
      </c>
      <c r="Q202" s="17">
        <f t="shared" si="216"/>
        <v>-1.0987791128841753E-6</v>
      </c>
      <c r="R202" s="17"/>
      <c r="T202" s="5">
        <f t="shared" si="217"/>
        <v>3.9877300613496924E-2</v>
      </c>
    </row>
    <row r="203" spans="1:20" x14ac:dyDescent="0.25">
      <c r="A203" s="66">
        <f t="shared" si="218"/>
        <v>196</v>
      </c>
      <c r="B203" s="62"/>
      <c r="C203" s="52"/>
      <c r="D203" s="2" t="s">
        <v>77</v>
      </c>
      <c r="E203" s="24">
        <v>0</v>
      </c>
      <c r="F203" s="20">
        <v>29.18</v>
      </c>
      <c r="G203" s="6">
        <f t="shared" si="211"/>
        <v>0</v>
      </c>
      <c r="H203" s="20">
        <v>28.58</v>
      </c>
      <c r="I203" s="6">
        <f t="shared" si="212"/>
        <v>0</v>
      </c>
      <c r="J203" s="5">
        <f t="shared" si="204"/>
        <v>0</v>
      </c>
      <c r="K203" s="57"/>
      <c r="L203" s="19">
        <f t="shared" si="205"/>
        <v>29.72</v>
      </c>
      <c r="M203" s="6">
        <f t="shared" si="213"/>
        <v>0</v>
      </c>
      <c r="N203" s="6">
        <f t="shared" si="214"/>
        <v>0</v>
      </c>
      <c r="O203" s="5">
        <f t="shared" si="215"/>
        <v>0</v>
      </c>
      <c r="P203" s="5">
        <f t="shared" si="209"/>
        <v>0</v>
      </c>
      <c r="Q203" s="17">
        <f t="shared" si="216"/>
        <v>0</v>
      </c>
      <c r="R203" s="17"/>
      <c r="T203" s="5">
        <f t="shared" si="217"/>
        <v>3.9888033589922989E-2</v>
      </c>
    </row>
    <row r="204" spans="1:20" x14ac:dyDescent="0.25">
      <c r="A204" s="66">
        <f t="shared" si="218"/>
        <v>197</v>
      </c>
      <c r="B204" s="62"/>
      <c r="C204" s="52"/>
      <c r="D204" s="2" t="s">
        <v>72</v>
      </c>
      <c r="E204" s="24">
        <v>8818</v>
      </c>
      <c r="F204" s="20">
        <v>9.89</v>
      </c>
      <c r="G204" s="6">
        <f t="shared" ref="G204:G212" si="219">F204*E204</f>
        <v>87210.02</v>
      </c>
      <c r="H204" s="20">
        <v>9.82</v>
      </c>
      <c r="I204" s="6">
        <f t="shared" ref="I204:I212" si="220">H204*E204</f>
        <v>86592.760000000009</v>
      </c>
      <c r="J204" s="5">
        <f t="shared" si="204"/>
        <v>9.3557928879527241E-2</v>
      </c>
      <c r="K204" s="57"/>
      <c r="L204" s="19">
        <f t="shared" si="205"/>
        <v>10.210000000000001</v>
      </c>
      <c r="M204" s="6">
        <f t="shared" ref="M204:M212" si="221">L204*E204</f>
        <v>90031.780000000013</v>
      </c>
      <c r="N204" s="6">
        <f t="shared" ref="N204:N212" si="222">M204-I204</f>
        <v>3439.0200000000041</v>
      </c>
      <c r="O204" s="5">
        <f t="shared" ref="O204:O212" si="223">IF(I204=0,0,N204/I204)</f>
        <v>3.9714867617107984E-2</v>
      </c>
      <c r="P204" s="5">
        <f t="shared" si="209"/>
        <v>9.3529517391310463E-2</v>
      </c>
      <c r="Q204" s="17">
        <f t="shared" ref="Q204:Q212" si="224">P204-J204</f>
        <v>-2.8411488216778524E-5</v>
      </c>
      <c r="R204" s="17"/>
      <c r="T204" s="5">
        <f t="shared" si="217"/>
        <v>3.9714867617107963E-2</v>
      </c>
    </row>
    <row r="205" spans="1:20" x14ac:dyDescent="0.25">
      <c r="A205" s="66">
        <f t="shared" si="218"/>
        <v>198</v>
      </c>
      <c r="B205" s="62"/>
      <c r="C205" s="52"/>
      <c r="D205" s="2" t="s">
        <v>78</v>
      </c>
      <c r="E205" s="24">
        <v>126</v>
      </c>
      <c r="F205" s="20">
        <v>11.54</v>
      </c>
      <c r="G205" s="6">
        <f t="shared" si="219"/>
        <v>1454.04</v>
      </c>
      <c r="H205" s="20">
        <v>11.44</v>
      </c>
      <c r="I205" s="6">
        <f t="shared" si="220"/>
        <v>1441.4399999999998</v>
      </c>
      <c r="J205" s="5">
        <f t="shared" si="204"/>
        <v>1.5573835619063963E-3</v>
      </c>
      <c r="K205" s="57"/>
      <c r="L205" s="19">
        <f t="shared" si="205"/>
        <v>11.89</v>
      </c>
      <c r="M205" s="6">
        <f t="shared" si="221"/>
        <v>1498.14</v>
      </c>
      <c r="N205" s="6">
        <f t="shared" si="222"/>
        <v>56.700000000000273</v>
      </c>
      <c r="O205" s="5">
        <f t="shared" si="223"/>
        <v>3.933566433566453E-2</v>
      </c>
      <c r="P205" s="5">
        <f t="shared" si="209"/>
        <v>1.556342784565826E-3</v>
      </c>
      <c r="Q205" s="17">
        <f t="shared" si="224"/>
        <v>-1.04077734057028E-6</v>
      </c>
      <c r="R205" s="17"/>
      <c r="T205" s="5">
        <f t="shared" si="217"/>
        <v>3.9335664335664378E-2</v>
      </c>
    </row>
    <row r="206" spans="1:20" x14ac:dyDescent="0.25">
      <c r="A206" s="66">
        <f t="shared" si="218"/>
        <v>199</v>
      </c>
      <c r="B206" s="62"/>
      <c r="C206" s="52"/>
      <c r="D206" s="2" t="s">
        <v>79</v>
      </c>
      <c r="E206" s="24">
        <v>342</v>
      </c>
      <c r="F206" s="20">
        <v>15.68</v>
      </c>
      <c r="G206" s="6">
        <f t="shared" si="219"/>
        <v>5362.5599999999995</v>
      </c>
      <c r="H206" s="20">
        <v>15.51</v>
      </c>
      <c r="I206" s="6">
        <f t="shared" si="220"/>
        <v>5304.42</v>
      </c>
      <c r="J206" s="5">
        <f t="shared" si="204"/>
        <v>5.731085937290159E-3</v>
      </c>
      <c r="K206" s="57"/>
      <c r="L206" s="19">
        <f t="shared" si="205"/>
        <v>16.13</v>
      </c>
      <c r="M206" s="6">
        <f t="shared" si="221"/>
        <v>5516.46</v>
      </c>
      <c r="N206" s="6">
        <f t="shared" si="222"/>
        <v>212.03999999999996</v>
      </c>
      <c r="O206" s="5">
        <f t="shared" si="223"/>
        <v>3.9974210186976139E-2</v>
      </c>
      <c r="P206" s="5">
        <f t="shared" si="209"/>
        <v>5.7307746387827542E-3</v>
      </c>
      <c r="Q206" s="17">
        <f t="shared" si="224"/>
        <v>-3.1129850740479331E-7</v>
      </c>
      <c r="R206" s="17"/>
      <c r="T206" s="5">
        <f t="shared" si="217"/>
        <v>3.9974210186976E-2</v>
      </c>
    </row>
    <row r="207" spans="1:20" x14ac:dyDescent="0.25">
      <c r="A207" s="66">
        <f t="shared" si="218"/>
        <v>200</v>
      </c>
      <c r="B207" s="62"/>
      <c r="C207" s="52"/>
      <c r="D207" s="2" t="s">
        <v>80</v>
      </c>
      <c r="E207" s="24">
        <v>2024</v>
      </c>
      <c r="F207" s="20">
        <v>20.190000000000001</v>
      </c>
      <c r="G207" s="6">
        <f t="shared" si="219"/>
        <v>40864.560000000005</v>
      </c>
      <c r="H207" s="20">
        <v>19.93</v>
      </c>
      <c r="I207" s="6">
        <f t="shared" si="220"/>
        <v>40338.32</v>
      </c>
      <c r="J207" s="5">
        <f t="shared" si="204"/>
        <v>4.3582970142995912E-2</v>
      </c>
      <c r="K207" s="57"/>
      <c r="L207" s="19">
        <f t="shared" si="205"/>
        <v>20.72</v>
      </c>
      <c r="M207" s="6">
        <f t="shared" si="221"/>
        <v>41937.279999999999</v>
      </c>
      <c r="N207" s="6">
        <f t="shared" si="222"/>
        <v>1598.9599999999991</v>
      </c>
      <c r="O207" s="5">
        <f t="shared" si="223"/>
        <v>3.9638735574510767E-2</v>
      </c>
      <c r="P207" s="5">
        <f t="shared" si="209"/>
        <v>4.3566544603519511E-2</v>
      </c>
      <c r="Q207" s="17">
        <f t="shared" si="224"/>
        <v>-1.6425539476401518E-5</v>
      </c>
      <c r="R207" s="17"/>
      <c r="T207" s="5">
        <f t="shared" si="217"/>
        <v>3.9638735574510697E-2</v>
      </c>
    </row>
    <row r="208" spans="1:20" x14ac:dyDescent="0.25">
      <c r="A208" s="66">
        <f t="shared" si="218"/>
        <v>201</v>
      </c>
      <c r="B208" s="62"/>
      <c r="C208" s="52"/>
      <c r="D208" s="2" t="s">
        <v>81</v>
      </c>
      <c r="E208" s="24">
        <v>0</v>
      </c>
      <c r="F208" s="20">
        <v>43.72</v>
      </c>
      <c r="G208" s="6">
        <f t="shared" si="219"/>
        <v>0</v>
      </c>
      <c r="H208" s="20">
        <v>43.11</v>
      </c>
      <c r="I208" s="6">
        <f t="shared" si="220"/>
        <v>0</v>
      </c>
      <c r="J208" s="5">
        <f t="shared" si="204"/>
        <v>0</v>
      </c>
      <c r="K208" s="57"/>
      <c r="L208" s="19">
        <f t="shared" si="205"/>
        <v>44.82</v>
      </c>
      <c r="M208" s="6">
        <f t="shared" si="221"/>
        <v>0</v>
      </c>
      <c r="N208" s="6">
        <f t="shared" si="222"/>
        <v>0</v>
      </c>
      <c r="O208" s="5">
        <f t="shared" si="223"/>
        <v>0</v>
      </c>
      <c r="P208" s="5">
        <f t="shared" si="209"/>
        <v>0</v>
      </c>
      <c r="Q208" s="17">
        <f t="shared" si="224"/>
        <v>0</v>
      </c>
      <c r="R208" s="17"/>
      <c r="T208" s="5">
        <f t="shared" si="217"/>
        <v>3.9665970772442716E-2</v>
      </c>
    </row>
    <row r="209" spans="1:25" x14ac:dyDescent="0.25">
      <c r="A209" s="66">
        <f t="shared" si="218"/>
        <v>202</v>
      </c>
      <c r="B209" s="62"/>
      <c r="C209" s="52"/>
      <c r="D209" s="2" t="s">
        <v>82</v>
      </c>
      <c r="E209" s="24">
        <v>34038</v>
      </c>
      <c r="F209" s="20">
        <v>9.81</v>
      </c>
      <c r="G209" s="6">
        <f t="shared" si="219"/>
        <v>333912.78000000003</v>
      </c>
      <c r="H209" s="20">
        <v>9.77</v>
      </c>
      <c r="I209" s="6">
        <f t="shared" si="220"/>
        <v>332551.26</v>
      </c>
      <c r="J209" s="5">
        <f t="shared" si="204"/>
        <v>0.35930032870966544</v>
      </c>
      <c r="K209" s="57"/>
      <c r="L209" s="19">
        <f t="shared" si="205"/>
        <v>10.16</v>
      </c>
      <c r="M209" s="6">
        <f t="shared" si="221"/>
        <v>345826.08</v>
      </c>
      <c r="N209" s="6">
        <f t="shared" si="222"/>
        <v>13274.820000000007</v>
      </c>
      <c r="O209" s="5">
        <f t="shared" si="223"/>
        <v>3.9918116683725711E-2</v>
      </c>
      <c r="P209" s="5">
        <f t="shared" si="209"/>
        <v>0.35926143372627667</v>
      </c>
      <c r="Q209" s="17">
        <f t="shared" si="224"/>
        <v>-3.8894983388770843E-5</v>
      </c>
      <c r="R209" s="17"/>
      <c r="T209" s="5">
        <f t="shared" si="217"/>
        <v>3.9918116683725691E-2</v>
      </c>
    </row>
    <row r="210" spans="1:25" x14ac:dyDescent="0.25">
      <c r="A210" s="66">
        <f t="shared" si="218"/>
        <v>203</v>
      </c>
      <c r="B210" s="62"/>
      <c r="C210" s="52"/>
      <c r="D210" s="2" t="s">
        <v>83</v>
      </c>
      <c r="E210" s="24">
        <v>442</v>
      </c>
      <c r="F210" s="20">
        <v>15.07</v>
      </c>
      <c r="G210" s="6">
        <f t="shared" si="219"/>
        <v>6660.9400000000005</v>
      </c>
      <c r="H210" s="20">
        <v>15</v>
      </c>
      <c r="I210" s="6">
        <f t="shared" si="220"/>
        <v>6630</v>
      </c>
      <c r="J210" s="5">
        <f t="shared" si="204"/>
        <v>7.1632901927512821E-3</v>
      </c>
      <c r="K210" s="57"/>
      <c r="L210" s="19">
        <f t="shared" si="205"/>
        <v>15.6</v>
      </c>
      <c r="M210" s="6">
        <f t="shared" si="221"/>
        <v>6895.2</v>
      </c>
      <c r="N210" s="6">
        <f t="shared" si="222"/>
        <v>265.19999999999982</v>
      </c>
      <c r="O210" s="5">
        <f t="shared" si="223"/>
        <v>3.9999999999999973E-2</v>
      </c>
      <c r="P210" s="5">
        <f t="shared" si="209"/>
        <v>7.1630787297170375E-3</v>
      </c>
      <c r="Q210" s="17">
        <f t="shared" si="224"/>
        <v>-2.1146303424458834E-7</v>
      </c>
      <c r="R210" s="17"/>
      <c r="T210" s="5">
        <f t="shared" si="217"/>
        <v>4.0000000000000036E-2</v>
      </c>
    </row>
    <row r="211" spans="1:25" x14ac:dyDescent="0.25">
      <c r="A211" s="66">
        <f t="shared" si="218"/>
        <v>204</v>
      </c>
      <c r="B211" s="62"/>
      <c r="C211" s="52"/>
      <c r="D211" s="2" t="s">
        <v>84</v>
      </c>
      <c r="E211" s="24">
        <v>336</v>
      </c>
      <c r="F211" s="20">
        <v>16.600000000000001</v>
      </c>
      <c r="G211" s="6">
        <f t="shared" si="219"/>
        <v>5577.6</v>
      </c>
      <c r="H211" s="20">
        <v>16.510000000000002</v>
      </c>
      <c r="I211" s="6">
        <f t="shared" si="220"/>
        <v>5547.3600000000006</v>
      </c>
      <c r="J211" s="5">
        <f t="shared" si="204"/>
        <v>5.9935670412761318E-3</v>
      </c>
      <c r="K211" s="57"/>
      <c r="L211" s="19">
        <f t="shared" si="205"/>
        <v>17.170000000000002</v>
      </c>
      <c r="M211" s="6">
        <f t="shared" si="221"/>
        <v>5769.1200000000008</v>
      </c>
      <c r="N211" s="6">
        <f t="shared" si="222"/>
        <v>221.76000000000022</v>
      </c>
      <c r="O211" s="5">
        <f t="shared" si="223"/>
        <v>3.9975772259236861E-2</v>
      </c>
      <c r="P211" s="5">
        <f t="shared" si="209"/>
        <v>5.9932504874673923E-3</v>
      </c>
      <c r="Q211" s="17">
        <f t="shared" si="224"/>
        <v>-3.1655380873952393E-7</v>
      </c>
      <c r="R211" s="17"/>
      <c r="T211" s="5">
        <f t="shared" si="217"/>
        <v>3.9975772259236875E-2</v>
      </c>
    </row>
    <row r="212" spans="1:25" x14ac:dyDescent="0.25">
      <c r="A212" s="66">
        <f t="shared" si="218"/>
        <v>205</v>
      </c>
      <c r="B212" s="62"/>
      <c r="C212" s="52"/>
      <c r="D212" s="2" t="s">
        <v>85</v>
      </c>
      <c r="E212" s="24">
        <v>1128</v>
      </c>
      <c r="F212" s="20">
        <v>21.3</v>
      </c>
      <c r="G212" s="6">
        <f t="shared" si="219"/>
        <v>24026.400000000001</v>
      </c>
      <c r="H212" s="20">
        <v>21.18</v>
      </c>
      <c r="I212" s="6">
        <f t="shared" si="220"/>
        <v>23891.040000000001</v>
      </c>
      <c r="J212" s="5">
        <f t="shared" si="204"/>
        <v>2.5812737937651372E-2</v>
      </c>
      <c r="K212" s="57"/>
      <c r="L212" s="19">
        <f t="shared" si="205"/>
        <v>22.02</v>
      </c>
      <c r="M212" s="6">
        <f t="shared" si="221"/>
        <v>24838.560000000001</v>
      </c>
      <c r="N212" s="6">
        <f t="shared" si="222"/>
        <v>947.52000000000044</v>
      </c>
      <c r="O212" s="5">
        <f t="shared" si="223"/>
        <v>3.9660056657223816E-2</v>
      </c>
      <c r="P212" s="5">
        <f t="shared" si="209"/>
        <v>2.5803538811463109E-2</v>
      </c>
      <c r="Q212" s="17">
        <f t="shared" si="224"/>
        <v>-9.1991261882626296E-6</v>
      </c>
      <c r="R212" s="17"/>
      <c r="T212" s="5">
        <f t="shared" si="217"/>
        <v>3.966005665722383E-2</v>
      </c>
    </row>
    <row r="213" spans="1:25" s="7" customFormat="1" ht="24.6" customHeight="1" x14ac:dyDescent="0.3">
      <c r="A213" s="66">
        <f t="shared" si="218"/>
        <v>206</v>
      </c>
      <c r="C213" s="30"/>
      <c r="D213" s="32" t="s">
        <v>6</v>
      </c>
      <c r="E213" s="32"/>
      <c r="F213" s="32"/>
      <c r="G213" s="33">
        <f>SUM(G199:G212)</f>
        <v>933295.62000000011</v>
      </c>
      <c r="H213" s="32"/>
      <c r="I213" s="34">
        <f>SUM(I199:I212)</f>
        <v>925552.34</v>
      </c>
      <c r="J213" s="35">
        <f>SUM(J199:J212)</f>
        <v>1.0000000000000002</v>
      </c>
      <c r="K213" s="58">
        <f>I213+Summary!I23</f>
        <v>962359.36</v>
      </c>
      <c r="L213" s="32"/>
      <c r="M213" s="33">
        <f>SUM(M199:M212)</f>
        <v>962602.85</v>
      </c>
      <c r="N213" s="33">
        <f>SUM(N199:N212)</f>
        <v>37050.510000000024</v>
      </c>
      <c r="O213" s="35">
        <f t="shared" ref="O213" si="225">N213/I213</f>
        <v>4.0030702099462065E-2</v>
      </c>
      <c r="P213" s="35">
        <f>SUM(P199:P212)</f>
        <v>1</v>
      </c>
      <c r="Q213" s="36">
        <f t="shared" ref="Q213" si="226">P213-J213</f>
        <v>0</v>
      </c>
      <c r="R213" s="49">
        <f>M213-K213</f>
        <v>243.48999999999069</v>
      </c>
      <c r="S213" s="7">
        <f>K213/I213</f>
        <v>1.0397676267557165</v>
      </c>
    </row>
    <row r="214" spans="1:25" x14ac:dyDescent="0.25">
      <c r="A214" s="66">
        <f t="shared" si="218"/>
        <v>207</v>
      </c>
      <c r="D214" s="2" t="s">
        <v>29</v>
      </c>
      <c r="G214" s="23">
        <v>-475.57</v>
      </c>
      <c r="I214" s="22">
        <v>0</v>
      </c>
      <c r="K214" s="72">
        <f>K213-I213</f>
        <v>36807.020000000019</v>
      </c>
      <c r="M214" s="6">
        <f>I214</f>
        <v>0</v>
      </c>
      <c r="N214" s="6">
        <f>M214-I214</f>
        <v>0</v>
      </c>
      <c r="O214" s="18">
        <v>0</v>
      </c>
    </row>
    <row r="215" spans="1:25" x14ac:dyDescent="0.25">
      <c r="A215" s="66">
        <f t="shared" si="218"/>
        <v>208</v>
      </c>
      <c r="D215" s="2" t="s">
        <v>30</v>
      </c>
      <c r="G215" s="23">
        <v>2328.27</v>
      </c>
      <c r="I215" s="22">
        <v>0</v>
      </c>
      <c r="M215" s="6">
        <f t="shared" ref="M215:M216" si="227">I215</f>
        <v>0</v>
      </c>
      <c r="N215" s="6">
        <f>M215-I215</f>
        <v>0</v>
      </c>
      <c r="O215" s="18">
        <v>0</v>
      </c>
    </row>
    <row r="216" spans="1:25" x14ac:dyDescent="0.25">
      <c r="A216" s="66">
        <f t="shared" si="218"/>
        <v>209</v>
      </c>
      <c r="D216" s="2" t="s">
        <v>32</v>
      </c>
      <c r="G216" s="23">
        <v>0</v>
      </c>
      <c r="I216" s="22">
        <v>0</v>
      </c>
      <c r="M216" s="6">
        <f t="shared" si="227"/>
        <v>0</v>
      </c>
      <c r="N216" s="6">
        <f>M216-I216</f>
        <v>0</v>
      </c>
      <c r="O216" s="18">
        <v>0</v>
      </c>
    </row>
    <row r="217" spans="1:25" x14ac:dyDescent="0.25">
      <c r="A217" s="66">
        <f t="shared" si="218"/>
        <v>210</v>
      </c>
      <c r="D217" s="2" t="s">
        <v>42</v>
      </c>
      <c r="G217" s="23"/>
      <c r="I217" s="22"/>
      <c r="M217" s="6"/>
      <c r="N217" s="6"/>
      <c r="O217" s="18"/>
    </row>
    <row r="218" spans="1:25" x14ac:dyDescent="0.25">
      <c r="A218" s="66">
        <f t="shared" si="218"/>
        <v>211</v>
      </c>
      <c r="D218" s="26" t="s">
        <v>8</v>
      </c>
      <c r="E218" s="26"/>
      <c r="F218" s="26"/>
      <c r="G218" s="27">
        <f>SUM(G214:G216)</f>
        <v>1852.7</v>
      </c>
      <c r="H218" s="26"/>
      <c r="I218" s="27">
        <f>SUM(I214:I216)</f>
        <v>0</v>
      </c>
      <c r="J218" s="26"/>
      <c r="K218" s="59"/>
      <c r="L218" s="26"/>
      <c r="M218" s="27">
        <f>SUM(M214:M216)</f>
        <v>0</v>
      </c>
      <c r="N218" s="27">
        <f>M218-I218</f>
        <v>0</v>
      </c>
      <c r="O218" s="37">
        <f>N218-J218</f>
        <v>0</v>
      </c>
    </row>
    <row r="219" spans="1:25" s="7" customFormat="1" ht="26.4" customHeight="1" thickBot="1" x14ac:dyDescent="0.3">
      <c r="A219" s="66">
        <f t="shared" si="218"/>
        <v>212</v>
      </c>
      <c r="C219" s="30"/>
      <c r="D219" s="8" t="s">
        <v>19</v>
      </c>
      <c r="E219" s="8"/>
      <c r="F219" s="8"/>
      <c r="G219" s="9">
        <f>G213+G218</f>
        <v>935148.32000000007</v>
      </c>
      <c r="H219" s="8"/>
      <c r="I219" s="28">
        <f>I218+I213</f>
        <v>925552.34</v>
      </c>
      <c r="J219" s="8"/>
      <c r="K219" s="60"/>
      <c r="L219" s="8"/>
      <c r="M219" s="9">
        <f>M218+M213</f>
        <v>962602.85</v>
      </c>
      <c r="N219" s="9">
        <f>M219-I219</f>
        <v>37050.510000000009</v>
      </c>
      <c r="O219" s="10">
        <f>N219/I219</f>
        <v>4.0030702099462044E-2</v>
      </c>
      <c r="P219" s="2"/>
      <c r="Q219" s="2"/>
      <c r="R219" s="2"/>
    </row>
    <row r="220" spans="1:25" ht="13.8" thickTop="1" x14ac:dyDescent="0.25">
      <c r="A220" s="66">
        <f t="shared" si="218"/>
        <v>213</v>
      </c>
      <c r="G220" s="16"/>
      <c r="I220" s="16"/>
      <c r="M220" s="16"/>
      <c r="N220" s="16"/>
      <c r="O220" s="5"/>
      <c r="X220" s="7"/>
      <c r="Y220" s="7"/>
    </row>
    <row r="221" spans="1:25" x14ac:dyDescent="0.25">
      <c r="A221" s="66">
        <f t="shared" si="218"/>
        <v>214</v>
      </c>
      <c r="B221" s="38"/>
      <c r="C221" s="39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</row>
    <row r="222" spans="1:25" x14ac:dyDescent="0.25">
      <c r="A222" s="66">
        <f t="shared" si="218"/>
        <v>215</v>
      </c>
    </row>
    <row r="223" spans="1:25" s="7" customFormat="1" ht="19.95" customHeight="1" x14ac:dyDescent="0.3">
      <c r="A223" s="66">
        <f t="shared" si="218"/>
        <v>216</v>
      </c>
      <c r="B223" s="7" t="s">
        <v>31</v>
      </c>
      <c r="C223" s="70"/>
      <c r="D223" s="32" t="s">
        <v>6</v>
      </c>
      <c r="E223" s="32"/>
      <c r="F223" s="32"/>
      <c r="G223" s="48">
        <f>G10+G23+G36+G48+G84+G97+G110+G60+G213+G72+G123+G136+G149+G163+G177+G189</f>
        <v>47656417.751108006</v>
      </c>
      <c r="H223" s="48"/>
      <c r="I223" s="48">
        <f>I10+I23+I36+I48+I84+I97+I110+I60+I213+I72+I123+I136+I149+I163+I177+I189</f>
        <v>46093119.073397994</v>
      </c>
      <c r="J223" s="32"/>
      <c r="K223" s="61"/>
      <c r="L223" s="32"/>
      <c r="M223" s="48">
        <f t="shared" ref="M223:N227" si="228">M10+M23+M36+M48+M84+M97+M110+M60+M213+M72+M123+M136+M149+M163+M177+M189</f>
        <v>47900493.849847995</v>
      </c>
      <c r="N223" s="48">
        <f t="shared" si="228"/>
        <v>1807374.7764500012</v>
      </c>
      <c r="O223" s="35">
        <f>N223/I223</f>
        <v>3.9211379329135106E-2</v>
      </c>
    </row>
    <row r="224" spans="1:25" x14ac:dyDescent="0.25">
      <c r="A224" s="66">
        <f t="shared" si="218"/>
        <v>217</v>
      </c>
      <c r="C224" s="53"/>
      <c r="D224" s="2" t="s">
        <v>29</v>
      </c>
      <c r="G224" s="15">
        <f>G11+G24+G37+G49+G85+G98+G111+G61+G214+G73+G124+G137+G150+G164+G178+G190</f>
        <v>-1996675.7800000003</v>
      </c>
      <c r="H224" s="15"/>
      <c r="I224" s="15">
        <f>I11+I24+I37+I49+I85+I98+I111+I61+I214+I73+I124+I137+I150+I164+I178+I190</f>
        <v>-2787939.5667900001</v>
      </c>
      <c r="M224" s="15">
        <f t="shared" si="228"/>
        <v>-2787939.5667900001</v>
      </c>
      <c r="N224" s="15">
        <f t="shared" si="228"/>
        <v>0</v>
      </c>
    </row>
    <row r="225" spans="1:15" x14ac:dyDescent="0.25">
      <c r="A225" s="66">
        <f t="shared" si="218"/>
        <v>218</v>
      </c>
      <c r="C225" s="53"/>
      <c r="D225" s="2" t="s">
        <v>30</v>
      </c>
      <c r="G225" s="15">
        <f>G12+G25+G38+G50+G86+G99+G112+G62+G215+G74+G125+G138+G151+G165+G179+G191</f>
        <v>4637875.68</v>
      </c>
      <c r="H225" s="15"/>
      <c r="I225" s="15">
        <f>I12+I25+I38+I50+I86+I99+I112+I62+I215+I74+I125+I138+I151+I165+I179+I191</f>
        <v>4635547.4099999992</v>
      </c>
      <c r="M225" s="15">
        <f t="shared" si="228"/>
        <v>4635547.4099999992</v>
      </c>
      <c r="N225" s="15">
        <f t="shared" si="228"/>
        <v>0</v>
      </c>
    </row>
    <row r="226" spans="1:15" x14ac:dyDescent="0.25">
      <c r="A226" s="66">
        <f t="shared" si="218"/>
        <v>219</v>
      </c>
      <c r="C226" s="53"/>
      <c r="D226" s="2" t="s">
        <v>32</v>
      </c>
      <c r="G226" s="15">
        <f>G13+G26+G39+G51+G87+G100+G113+G63+G216+G75+G126+G139+G152+G166+G180+G192</f>
        <v>0</v>
      </c>
      <c r="H226" s="15"/>
      <c r="I226" s="15">
        <f>I13+I26+I39+I51+I87+I100+I113+I63+I216+I75+I126+I139+I152+I166+I180+I192</f>
        <v>0</v>
      </c>
      <c r="M226" s="15">
        <f t="shared" si="228"/>
        <v>0</v>
      </c>
      <c r="N226" s="15">
        <f t="shared" si="228"/>
        <v>0</v>
      </c>
    </row>
    <row r="227" spans="1:15" x14ac:dyDescent="0.25">
      <c r="A227" s="66">
        <f t="shared" si="218"/>
        <v>220</v>
      </c>
      <c r="C227" s="53"/>
      <c r="D227" s="2" t="s">
        <v>42</v>
      </c>
      <c r="G227" s="15">
        <f>G14+G27+G40+G52+G88+G101+G114+G64+G217+G76+G127+G140+G153+G167+G181+G193</f>
        <v>0</v>
      </c>
      <c r="I227" s="15">
        <f>I14+I27+I40+I52+I88+I101+I114+I64+I217+I76+I127+I140+I153+I167+I181+I193</f>
        <v>0</v>
      </c>
      <c r="M227" s="15">
        <f t="shared" si="228"/>
        <v>0</v>
      </c>
      <c r="N227" s="15">
        <f t="shared" si="228"/>
        <v>0</v>
      </c>
      <c r="O227" s="18"/>
    </row>
    <row r="228" spans="1:15" x14ac:dyDescent="0.25">
      <c r="A228" s="66">
        <f t="shared" si="218"/>
        <v>221</v>
      </c>
      <c r="C228" s="53"/>
      <c r="D228" s="26" t="s">
        <v>8</v>
      </c>
      <c r="E228" s="26"/>
      <c r="F228" s="26"/>
      <c r="G228" s="47">
        <f>SUM(G224:G227)</f>
        <v>2641199.8999999994</v>
      </c>
      <c r="H228" s="47"/>
      <c r="I228" s="47">
        <f>SUM(I224:I227)</f>
        <v>1847607.8432099991</v>
      </c>
      <c r="J228" s="26"/>
      <c r="K228" s="59"/>
      <c r="L228" s="26"/>
      <c r="M228" s="47">
        <f>SUM(M224:M227)</f>
        <v>1847607.8432099991</v>
      </c>
      <c r="N228" s="47">
        <f>SUM(N224:N227)</f>
        <v>0</v>
      </c>
      <c r="O228" s="26"/>
    </row>
    <row r="229" spans="1:15" s="7" customFormat="1" ht="21" customHeight="1" thickBot="1" x14ac:dyDescent="0.35">
      <c r="A229" s="66">
        <f t="shared" si="218"/>
        <v>222</v>
      </c>
      <c r="C229" s="70"/>
      <c r="D229" s="8" t="s">
        <v>19</v>
      </c>
      <c r="E229" s="8"/>
      <c r="F229" s="8"/>
      <c r="G229" s="28">
        <f>G228+G223</f>
        <v>50297617.651108004</v>
      </c>
      <c r="H229" s="28"/>
      <c r="I229" s="28">
        <f>I228+I223</f>
        <v>47940726.916607991</v>
      </c>
      <c r="J229" s="8"/>
      <c r="K229" s="60"/>
      <c r="L229" s="8"/>
      <c r="M229" s="28">
        <f>M228+M223</f>
        <v>49748101.693057992</v>
      </c>
      <c r="N229" s="28">
        <f>N228+N223</f>
        <v>1807374.7764500012</v>
      </c>
      <c r="O229" s="10">
        <f>N229/I229</f>
        <v>3.770019548501833E-2</v>
      </c>
    </row>
    <row r="230" spans="1:15" ht="13.8" thickTop="1" x14ac:dyDescent="0.25">
      <c r="A230" s="66">
        <f t="shared" si="218"/>
        <v>223</v>
      </c>
      <c r="C230" s="53"/>
    </row>
    <row r="231" spans="1:15" x14ac:dyDescent="0.25">
      <c r="A231" s="66">
        <f t="shared" si="218"/>
        <v>224</v>
      </c>
      <c r="D231" s="2" t="s">
        <v>40</v>
      </c>
      <c r="N231" s="15">
        <f>N229-Summary!L4</f>
        <v>4684.776450001169</v>
      </c>
    </row>
    <row r="232" spans="1:15" x14ac:dyDescent="0.25">
      <c r="A232" s="66"/>
      <c r="N232" s="15"/>
    </row>
    <row r="233" spans="1:15" x14ac:dyDescent="0.25">
      <c r="A233" s="66"/>
    </row>
    <row r="234" spans="1:15" x14ac:dyDescent="0.25">
      <c r="A234" s="66"/>
    </row>
    <row r="235" spans="1:15" x14ac:dyDescent="0.25">
      <c r="A235" s="66"/>
    </row>
    <row r="240" spans="1:15" x14ac:dyDescent="0.25">
      <c r="H240" s="109"/>
    </row>
    <row r="241" spans="8:8" x14ac:dyDescent="0.25">
      <c r="H241" s="109"/>
    </row>
    <row r="242" spans="8:8" x14ac:dyDescent="0.25">
      <c r="H242" s="109"/>
    </row>
    <row r="243" spans="8:8" x14ac:dyDescent="0.25">
      <c r="H243" s="109"/>
    </row>
    <row r="244" spans="8:8" x14ac:dyDescent="0.25">
      <c r="H244" s="109"/>
    </row>
    <row r="245" spans="8:8" x14ac:dyDescent="0.25">
      <c r="H245" s="109"/>
    </row>
    <row r="246" spans="8:8" x14ac:dyDescent="0.25">
      <c r="H246" s="109"/>
    </row>
  </sheetData>
  <phoneticPr fontId="10" type="noConversion"/>
  <pageMargins left="0.7" right="0.7" top="0.75" bottom="0.75" header="0.3" footer="0.3"/>
  <pageSetup scale="37" orientation="landscape" r:id="rId1"/>
  <rowBreaks count="3" manualBreakCount="3">
    <brk id="80" max="17" man="1"/>
    <brk id="92" max="17" man="1"/>
    <brk id="197" max="17" man="1"/>
  </rowBreaks>
  <ignoredErrors>
    <ignoredError sqref="M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sheetPr>
    <pageSetUpPr fitToPage="1"/>
  </sheetPr>
  <dimension ref="A1:J108"/>
  <sheetViews>
    <sheetView zoomScale="85" zoomScaleNormal="85" workbookViewId="0">
      <selection activeCell="G57" sqref="G57"/>
    </sheetView>
  </sheetViews>
  <sheetFormatPr defaultRowHeight="13.2" x14ac:dyDescent="0.25"/>
  <cols>
    <col min="1" max="1" width="1.77734375" style="2" customWidth="1"/>
    <col min="2" max="2" width="1.21875" style="2" customWidth="1"/>
    <col min="3" max="3" width="8" style="29" customWidth="1"/>
    <col min="4" max="4" width="28.6640625" style="29" bestFit="1" customWidth="1"/>
    <col min="5" max="5" width="33.77734375" style="2" bestFit="1" customWidth="1"/>
    <col min="6" max="6" width="12.6640625" style="2" customWidth="1"/>
    <col min="7" max="8" width="12.5546875" style="2" customWidth="1"/>
    <col min="9" max="9" width="8.88671875" style="2"/>
    <col min="10" max="10" width="8.88671875" style="5"/>
    <col min="11" max="16384" width="8.88671875" style="2"/>
  </cols>
  <sheetData>
    <row r="1" spans="1:10" x14ac:dyDescent="0.25">
      <c r="A1" s="1" t="str">
        <f>Summary!A1</f>
        <v>FARMERS RECC</v>
      </c>
    </row>
    <row r="2" spans="1:10" x14ac:dyDescent="0.25">
      <c r="A2" s="1" t="s">
        <v>49</v>
      </c>
    </row>
    <row r="4" spans="1:10" x14ac:dyDescent="0.25">
      <c r="C4" s="113" t="s">
        <v>101</v>
      </c>
      <c r="D4" s="112"/>
      <c r="E4" s="112" t="s">
        <v>2</v>
      </c>
      <c r="F4" s="116" t="s">
        <v>50</v>
      </c>
      <c r="G4" s="116" t="s">
        <v>51</v>
      </c>
      <c r="I4" s="179" t="s">
        <v>111</v>
      </c>
      <c r="J4" s="116" t="s">
        <v>93</v>
      </c>
    </row>
    <row r="5" spans="1:10" x14ac:dyDescent="0.25">
      <c r="C5" s="29">
        <f>'Billing Detail'!C7</f>
        <v>1</v>
      </c>
      <c r="D5" s="161" t="str">
        <f>'Billing Detail'!B7</f>
        <v xml:space="preserve">Residential </v>
      </c>
    </row>
    <row r="6" spans="1:10" x14ac:dyDescent="0.25">
      <c r="D6" s="161"/>
      <c r="E6" s="2" t="str">
        <f>'Billing Detail'!D8</f>
        <v>Customer Charge</v>
      </c>
      <c r="F6" s="114">
        <f>'Billing Detail'!H8</f>
        <v>14</v>
      </c>
      <c r="G6" s="114">
        <f>'Billing Detail'!L8</f>
        <v>14.09</v>
      </c>
      <c r="J6" s="5">
        <f>G6/F6-1</f>
        <v>6.4285714285714501E-3</v>
      </c>
    </row>
    <row r="7" spans="1:10" x14ac:dyDescent="0.25">
      <c r="D7" s="161"/>
      <c r="E7" s="2" t="str">
        <f>'Billing Detail'!D9</f>
        <v>Energy Charge per kWh</v>
      </c>
      <c r="F7" s="144">
        <f>'Billing Detail'!H9</f>
        <v>8.4698999999999997E-2</v>
      </c>
      <c r="G7" s="144">
        <f>'Billing Detail'!L9</f>
        <v>8.8470999999999994E-2</v>
      </c>
      <c r="H7" s="144"/>
      <c r="J7" s="5">
        <f t="shared" ref="J7:J63" si="0">G7/F7-1</f>
        <v>4.4534173957189616E-2</v>
      </c>
    </row>
    <row r="8" spans="1:10" x14ac:dyDescent="0.25">
      <c r="C8" s="29">
        <f>'Billing Detail'!C32</f>
        <v>3</v>
      </c>
      <c r="D8" s="161" t="str">
        <f>'Billing Detail'!B32</f>
        <v>Residential TOD</v>
      </c>
      <c r="F8" s="115"/>
      <c r="G8" s="115"/>
      <c r="H8" s="115"/>
    </row>
    <row r="9" spans="1:10" x14ac:dyDescent="0.25">
      <c r="D9" s="161"/>
      <c r="E9" s="2" t="str">
        <f>'Billing Detail'!D33</f>
        <v>Customer Charge</v>
      </c>
      <c r="F9" s="114">
        <f>'Billing Detail'!H33</f>
        <v>19.649999999999999</v>
      </c>
      <c r="G9" s="114">
        <f>'Billing Detail'!L33</f>
        <v>19.649999999999999</v>
      </c>
      <c r="H9" s="114"/>
      <c r="J9" s="5">
        <f t="shared" si="0"/>
        <v>0</v>
      </c>
    </row>
    <row r="10" spans="1:10" x14ac:dyDescent="0.25">
      <c r="D10" s="161"/>
      <c r="E10" s="2" t="str">
        <f>'Billing Detail'!D34</f>
        <v>Energy Charge - On Peak per kWh</v>
      </c>
      <c r="F10" s="144">
        <f>'Billing Detail'!H34</f>
        <v>0.100449</v>
      </c>
      <c r="G10" s="144">
        <f>'Billing Detail'!L34</f>
        <v>0.100449</v>
      </c>
      <c r="H10" s="144"/>
      <c r="J10" s="5">
        <f t="shared" si="0"/>
        <v>0</v>
      </c>
    </row>
    <row r="11" spans="1:10" x14ac:dyDescent="0.25">
      <c r="D11" s="161"/>
      <c r="E11" s="2" t="str">
        <f>'Billing Detail'!D35</f>
        <v>Energy Charge - Off Peak per kWh</v>
      </c>
      <c r="F11" s="144">
        <f>'Billing Detail'!H35</f>
        <v>5.5919999999999997E-2</v>
      </c>
      <c r="G11" s="144">
        <f>'Billing Detail'!L35</f>
        <v>5.5919999999999997E-2</v>
      </c>
      <c r="H11" s="144"/>
      <c r="J11" s="5">
        <f t="shared" si="0"/>
        <v>0</v>
      </c>
    </row>
    <row r="12" spans="1:10" x14ac:dyDescent="0.25">
      <c r="C12" s="29">
        <f>'Billing Detail'!C45</f>
        <v>20</v>
      </c>
      <c r="D12" s="161" t="str">
        <f>'Billing Detail'!B45</f>
        <v>Net Metering</v>
      </c>
      <c r="F12" s="114"/>
      <c r="G12" s="114"/>
      <c r="H12" s="114"/>
    </row>
    <row r="13" spans="1:10" x14ac:dyDescent="0.25">
      <c r="D13" s="161"/>
      <c r="E13" s="2" t="str">
        <f>'Billing Detail'!D46</f>
        <v>Customer Charge</v>
      </c>
      <c r="F13" s="114">
        <f>'Billing Detail'!H46</f>
        <v>14</v>
      </c>
      <c r="G13" s="114">
        <f>'Billing Detail'!L46</f>
        <v>14.09</v>
      </c>
      <c r="H13" s="114"/>
      <c r="J13" s="5">
        <f t="shared" si="0"/>
        <v>6.4285714285714501E-3</v>
      </c>
    </row>
    <row r="14" spans="1:10" x14ac:dyDescent="0.25">
      <c r="D14" s="161"/>
      <c r="E14" s="2" t="str">
        <f>'Billing Detail'!D47</f>
        <v>Energy Charge per kWh</v>
      </c>
      <c r="F14" s="144">
        <f>'Billing Detail'!H47</f>
        <v>8.4698999999999997E-2</v>
      </c>
      <c r="G14" s="144">
        <f>'Billing Detail'!L47</f>
        <v>8.8470999999999994E-2</v>
      </c>
      <c r="H14" s="144"/>
      <c r="J14" s="5">
        <f t="shared" si="0"/>
        <v>4.4534173957189616E-2</v>
      </c>
    </row>
    <row r="15" spans="1:10" x14ac:dyDescent="0.25">
      <c r="C15" s="29">
        <f>'Billing Detail'!C57</f>
        <v>7</v>
      </c>
      <c r="D15" s="161" t="str">
        <f>'Billing Detail'!B57</f>
        <v>Residential Off-Peak Mktg ETS</v>
      </c>
      <c r="F15" s="115"/>
      <c r="G15" s="115"/>
      <c r="H15" s="115"/>
    </row>
    <row r="16" spans="1:10" x14ac:dyDescent="0.25">
      <c r="D16" s="161"/>
      <c r="E16" s="2" t="str">
        <f>'Billing Detail'!D59</f>
        <v>Energy Charge - Off Peak per kWh</v>
      </c>
      <c r="F16" s="144">
        <f>'Billing Detail'!H59</f>
        <v>4.9187000000000002E-2</v>
      </c>
      <c r="G16" s="144">
        <f>'Billing Detail'!L59</f>
        <v>5.2173999999999998E-2</v>
      </c>
      <c r="H16" s="144"/>
      <c r="J16" s="5">
        <f t="shared" si="0"/>
        <v>6.0727427978937376E-2</v>
      </c>
    </row>
    <row r="17" spans="3:10" x14ac:dyDescent="0.25">
      <c r="C17" s="29">
        <f>'Billing Detail'!C69</f>
        <v>4</v>
      </c>
      <c r="D17" s="161" t="str">
        <f>'Billing Detail'!B69</f>
        <v>Commercial &amp; Industrial &lt; 50 KW</v>
      </c>
      <c r="F17" s="114"/>
      <c r="G17" s="114"/>
      <c r="H17" s="114"/>
    </row>
    <row r="18" spans="3:10" x14ac:dyDescent="0.25">
      <c r="D18" s="161"/>
      <c r="E18" s="2" t="str">
        <f>'Billing Detail'!D70</f>
        <v>Customer Charge</v>
      </c>
      <c r="F18" s="114">
        <f>'Billing Detail'!H70</f>
        <v>21.32</v>
      </c>
      <c r="G18" s="114">
        <f>'Billing Detail'!L70</f>
        <v>22.35</v>
      </c>
      <c r="H18" s="114"/>
      <c r="J18" s="5">
        <f t="shared" si="0"/>
        <v>4.8311444652908042E-2</v>
      </c>
    </row>
    <row r="19" spans="3:10" x14ac:dyDescent="0.25">
      <c r="D19" s="161"/>
      <c r="E19" s="2" t="str">
        <f>'Billing Detail'!D71</f>
        <v>Energy Charge per kWh</v>
      </c>
      <c r="F19" s="144">
        <f>'Billing Detail'!H71</f>
        <v>7.9975000000000004E-2</v>
      </c>
      <c r="G19" s="144">
        <f>'Billing Detail'!L71</f>
        <v>8.2977999999999996E-2</v>
      </c>
      <c r="H19" s="144"/>
      <c r="J19" s="5">
        <f t="shared" si="0"/>
        <v>3.7549234135667353E-2</v>
      </c>
    </row>
    <row r="20" spans="3:10" x14ac:dyDescent="0.25">
      <c r="C20" s="29">
        <f>'Billing Detail'!C81</f>
        <v>8</v>
      </c>
      <c r="D20" s="161" t="str">
        <f>'Billing Detail'!B81</f>
        <v>Small Commercial ETS</v>
      </c>
      <c r="F20" s="115"/>
      <c r="G20" s="115"/>
      <c r="H20" s="115"/>
    </row>
    <row r="21" spans="3:10" x14ac:dyDescent="0.25">
      <c r="D21" s="161"/>
      <c r="E21" s="2" t="str">
        <f>'Billing Detail'!D83</f>
        <v>Energy Charge per kWh</v>
      </c>
      <c r="F21" s="144">
        <f>'Billing Detail'!H83</f>
        <v>4.6352999999999998E-2</v>
      </c>
      <c r="G21" s="144">
        <f>'Billing Detail'!L83</f>
        <v>4.6352999999999998E-2</v>
      </c>
      <c r="H21" s="144"/>
      <c r="J21" s="5">
        <f t="shared" si="0"/>
        <v>0</v>
      </c>
    </row>
    <row r="22" spans="3:10" x14ac:dyDescent="0.25">
      <c r="C22" s="29">
        <f>'Billing Detail'!C93</f>
        <v>5</v>
      </c>
      <c r="D22" s="161" t="str">
        <f>'Billing Detail'!B93</f>
        <v>Commercial &amp; Industrial &gt; 50 KW</v>
      </c>
      <c r="F22" s="114"/>
      <c r="G22" s="114"/>
      <c r="H22" s="114"/>
    </row>
    <row r="23" spans="3:10" x14ac:dyDescent="0.25">
      <c r="D23" s="161"/>
      <c r="E23" s="2" t="str">
        <f>'Billing Detail'!D94</f>
        <v>Customer Charge</v>
      </c>
      <c r="F23" s="145">
        <f>'Billing Detail'!H94</f>
        <v>105</v>
      </c>
      <c r="G23" s="145">
        <f>'Billing Detail'!L94</f>
        <v>72.930000000000007</v>
      </c>
      <c r="H23" s="145"/>
      <c r="I23" s="174"/>
      <c r="J23" s="5">
        <f t="shared" si="0"/>
        <v>-0.30542857142857138</v>
      </c>
    </row>
    <row r="24" spans="3:10" x14ac:dyDescent="0.25">
      <c r="D24" s="161"/>
      <c r="E24" s="2" t="str">
        <f>'Billing Detail'!D95</f>
        <v>Energy Charge per kWh</v>
      </c>
      <c r="F24" s="144">
        <f>'Billing Detail'!H95</f>
        <v>6.0885000000000002E-2</v>
      </c>
      <c r="G24" s="144">
        <f>'Billing Detail'!L95</f>
        <v>6.8136000000000002E-2</v>
      </c>
      <c r="H24" s="144"/>
      <c r="I24" s="174"/>
      <c r="J24" s="5">
        <f t="shared" si="0"/>
        <v>0.11909337275190923</v>
      </c>
    </row>
    <row r="25" spans="3:10" x14ac:dyDescent="0.25">
      <c r="D25" s="161"/>
      <c r="E25" s="2" t="str">
        <f>'Billing Detail'!D96</f>
        <v>Demand Charge per kW</v>
      </c>
      <c r="F25" s="114">
        <f>'Billing Detail'!H96</f>
        <v>7.89</v>
      </c>
      <c r="G25" s="114">
        <f>'Billing Detail'!L96</f>
        <v>6.98</v>
      </c>
      <c r="H25" s="114"/>
      <c r="I25" s="174"/>
      <c r="J25" s="5">
        <f t="shared" si="0"/>
        <v>-0.11533586818757913</v>
      </c>
    </row>
    <row r="26" spans="3:10" x14ac:dyDescent="0.25">
      <c r="C26" s="29">
        <f>'Billing Detail'!C119</f>
        <v>10</v>
      </c>
      <c r="D26" s="161" t="str">
        <f>'Billing Detail'!B119</f>
        <v>Large Industrial</v>
      </c>
      <c r="F26" s="145"/>
      <c r="G26" s="145"/>
      <c r="H26" s="145"/>
    </row>
    <row r="27" spans="3:10" x14ac:dyDescent="0.25">
      <c r="D27" s="161"/>
      <c r="E27" s="2" t="str">
        <f>'Billing Detail'!D120</f>
        <v>Customer Charge</v>
      </c>
      <c r="F27" s="145">
        <f>'Billing Detail'!H120</f>
        <v>1142.46</v>
      </c>
      <c r="G27" s="145">
        <f>'Billing Detail'!L120</f>
        <v>960.23</v>
      </c>
      <c r="H27" s="145"/>
      <c r="I27" s="174"/>
      <c r="J27" s="5">
        <f t="shared" si="0"/>
        <v>-0.15950667857080336</v>
      </c>
    </row>
    <row r="28" spans="3:10" x14ac:dyDescent="0.25">
      <c r="D28" s="161"/>
      <c r="E28" s="2" t="str">
        <f>'Billing Detail'!D121</f>
        <v>Demand Charge per kW</v>
      </c>
      <c r="F28" s="145">
        <f>'Billing Detail'!H121</f>
        <v>7.89</v>
      </c>
      <c r="G28" s="145">
        <f>'Billing Detail'!L121</f>
        <v>6.14</v>
      </c>
      <c r="H28" s="145"/>
      <c r="I28" s="174"/>
      <c r="J28" s="5">
        <f t="shared" si="0"/>
        <v>-0.22179974651457546</v>
      </c>
    </row>
    <row r="29" spans="3:10" x14ac:dyDescent="0.25">
      <c r="D29" s="161"/>
      <c r="E29" s="2" t="str">
        <f>'Billing Detail'!D122</f>
        <v>Energy Charge per kWh</v>
      </c>
      <c r="F29" s="144">
        <f>'Billing Detail'!H122</f>
        <v>4.7432000000000002E-2</v>
      </c>
      <c r="G29" s="144">
        <f>'Billing Detail'!L122</f>
        <v>5.4147000000000001E-2</v>
      </c>
      <c r="H29" s="144"/>
      <c r="I29" s="174"/>
      <c r="J29" s="5">
        <f t="shared" si="0"/>
        <v>0.14157109124641587</v>
      </c>
    </row>
    <row r="30" spans="3:10" x14ac:dyDescent="0.25">
      <c r="C30" s="29">
        <f>'Billing Detail'!C132</f>
        <v>14</v>
      </c>
      <c r="D30" s="161" t="str">
        <f>'Billing Detail'!B132</f>
        <v>Large Power Schedule LPC2</v>
      </c>
      <c r="E30" s="108"/>
      <c r="F30" s="114"/>
      <c r="G30" s="114"/>
      <c r="H30" s="114"/>
    </row>
    <row r="31" spans="3:10" x14ac:dyDescent="0.25">
      <c r="D31" s="161"/>
      <c r="E31" s="2" t="str">
        <f>'Billing Detail'!D133</f>
        <v>Customer Charge</v>
      </c>
      <c r="F31" s="114">
        <f>'Billing Detail'!H133</f>
        <v>1288</v>
      </c>
      <c r="G31" s="114">
        <f>'Billing Detail'!L133</f>
        <v>1468.53</v>
      </c>
      <c r="H31" s="114"/>
      <c r="I31" s="174"/>
      <c r="J31" s="5">
        <f t="shared" si="0"/>
        <v>0.14016304347826081</v>
      </c>
    </row>
    <row r="32" spans="3:10" x14ac:dyDescent="0.25">
      <c r="D32" s="161"/>
      <c r="E32" s="2" t="str">
        <f>'Billing Detail'!D134</f>
        <v>Demand Charge per kW</v>
      </c>
      <c r="F32" s="114">
        <f>'Billing Detail'!H134</f>
        <v>7.77</v>
      </c>
      <c r="G32" s="114">
        <f>'Billing Detail'!L134</f>
        <v>7.6</v>
      </c>
      <c r="H32" s="114"/>
      <c r="I32" s="174"/>
      <c r="J32" s="5">
        <f t="shared" si="0"/>
        <v>-2.1879021879021909E-2</v>
      </c>
    </row>
    <row r="33" spans="3:10" x14ac:dyDescent="0.25">
      <c r="D33" s="161"/>
      <c r="E33" s="2" t="str">
        <f>'Billing Detail'!D135</f>
        <v>Energy Charge per kWh</v>
      </c>
      <c r="F33" s="144">
        <f>'Billing Detail'!H135</f>
        <v>5.1665999999999997E-2</v>
      </c>
      <c r="G33" s="144">
        <f>'Billing Detail'!L135</f>
        <v>5.4136999999999998E-2</v>
      </c>
      <c r="H33" s="144"/>
      <c r="J33" s="5">
        <f t="shared" si="0"/>
        <v>4.7826423566755816E-2</v>
      </c>
    </row>
    <row r="34" spans="3:10" x14ac:dyDescent="0.25">
      <c r="C34" s="29">
        <f>'Billing Detail'!C145</f>
        <v>15</v>
      </c>
      <c r="D34" s="161" t="str">
        <f>'Billing Detail'!B145</f>
        <v>Large Commercial Optional TOD</v>
      </c>
      <c r="F34" s="114"/>
      <c r="G34" s="114"/>
      <c r="H34" s="114"/>
    </row>
    <row r="35" spans="3:10" x14ac:dyDescent="0.25">
      <c r="D35" s="161"/>
      <c r="E35" s="2" t="str">
        <f>'Billing Detail'!D146</f>
        <v>Customer Charge</v>
      </c>
      <c r="F35" s="18">
        <f>'Billing Detail'!H146</f>
        <v>105</v>
      </c>
      <c r="G35" s="18">
        <f>'Billing Detail'!L146</f>
        <v>109.64</v>
      </c>
      <c r="H35" s="18"/>
      <c r="I35" s="18"/>
      <c r="J35" s="5">
        <f t="shared" si="0"/>
        <v>4.4190476190476113E-2</v>
      </c>
    </row>
    <row r="36" spans="3:10" x14ac:dyDescent="0.25">
      <c r="D36" s="161"/>
      <c r="E36" s="2" t="str">
        <f>'Billing Detail'!D147</f>
        <v>Demand Charge per kW</v>
      </c>
      <c r="F36" s="114">
        <f>'Billing Detail'!H147</f>
        <v>7.89</v>
      </c>
      <c r="G36" s="114">
        <f>'Billing Detail'!L147</f>
        <v>9.51</v>
      </c>
      <c r="H36" s="114"/>
      <c r="I36" s="174"/>
      <c r="J36" s="5">
        <f t="shared" si="0"/>
        <v>0.20532319391634979</v>
      </c>
    </row>
    <row r="37" spans="3:10" x14ac:dyDescent="0.25">
      <c r="D37" s="161"/>
      <c r="E37" s="2" t="str">
        <f>'Billing Detail'!D148</f>
        <v>Energy Charge per kWh</v>
      </c>
      <c r="F37" s="144">
        <f>'Billing Detail'!H148</f>
        <v>6.08E-2</v>
      </c>
      <c r="G37" s="144">
        <f>'Billing Detail'!L148</f>
        <v>5.5592999999999997E-2</v>
      </c>
      <c r="H37" s="144"/>
      <c r="I37" s="174"/>
      <c r="J37" s="5">
        <f t="shared" si="0"/>
        <v>-8.5641447368421053E-2</v>
      </c>
    </row>
    <row r="38" spans="3:10" x14ac:dyDescent="0.25">
      <c r="C38" s="29">
        <f>'Billing Detail'!C158</f>
        <v>36</v>
      </c>
      <c r="D38" s="161" t="str">
        <f>'Billing Detail'!B158</f>
        <v>Large Power Schedule LPE4</v>
      </c>
      <c r="F38" s="114"/>
      <c r="G38" s="114"/>
      <c r="H38" s="114"/>
    </row>
    <row r="39" spans="3:10" x14ac:dyDescent="0.25">
      <c r="D39" s="161"/>
      <c r="E39" s="2" t="str">
        <f>'Billing Detail'!D159</f>
        <v>Customer Charge</v>
      </c>
      <c r="F39" s="114">
        <f>'Billing Detail'!H159</f>
        <v>3215</v>
      </c>
      <c r="G39" s="114">
        <f>'Billing Detail'!L159</f>
        <v>2286.7800000000002</v>
      </c>
      <c r="H39" s="114"/>
      <c r="I39" s="174"/>
      <c r="J39" s="5">
        <f t="shared" si="0"/>
        <v>-0.28871539657853806</v>
      </c>
    </row>
    <row r="40" spans="3:10" x14ac:dyDescent="0.25">
      <c r="D40" s="161"/>
      <c r="E40" s="2" t="str">
        <f>'Billing Detail'!D160</f>
        <v>Demand Charge per kW</v>
      </c>
      <c r="F40" s="114">
        <f>'Billing Detail'!H160</f>
        <v>6.62</v>
      </c>
      <c r="G40" s="114">
        <f>'Billing Detail'!L160</f>
        <v>6.38</v>
      </c>
      <c r="H40" s="114"/>
      <c r="I40" s="174"/>
      <c r="J40" s="5">
        <f t="shared" si="0"/>
        <v>-3.6253776435045348E-2</v>
      </c>
    </row>
    <row r="41" spans="3:10" x14ac:dyDescent="0.25">
      <c r="D41" s="161"/>
      <c r="E41" s="2" t="str">
        <f>'Billing Detail'!D161</f>
        <v>Energy Charge - On Peak per kWh</v>
      </c>
      <c r="F41" s="144">
        <f>'Billing Detail'!H161</f>
        <v>5.79E-2</v>
      </c>
      <c r="G41" s="144">
        <f>'Billing Detail'!L161</f>
        <v>6.2758999999999995E-2</v>
      </c>
      <c r="H41" s="144"/>
      <c r="J41" s="5">
        <f t="shared" si="0"/>
        <v>8.3920552677029248E-2</v>
      </c>
    </row>
    <row r="42" spans="3:10" x14ac:dyDescent="0.25">
      <c r="D42" s="161"/>
      <c r="E42" s="2" t="str">
        <f>'Billing Detail'!D162</f>
        <v>Energy Charge - Off Peak per kWh</v>
      </c>
      <c r="F42" s="144">
        <f>'Billing Detail'!H162</f>
        <v>4.9473999999999997E-2</v>
      </c>
      <c r="G42" s="144">
        <f>'Billing Detail'!L162</f>
        <v>5.5019999999999999E-2</v>
      </c>
      <c r="H42" s="144"/>
      <c r="J42" s="5">
        <f t="shared" si="0"/>
        <v>0.11209928447265227</v>
      </c>
    </row>
    <row r="43" spans="3:10" x14ac:dyDescent="0.25">
      <c r="C43" s="29">
        <f>'Billing Detail'!C172</f>
        <v>50</v>
      </c>
      <c r="D43" s="161" t="str">
        <f>'Billing Detail'!B172</f>
        <v>TOD Three Phase - Schedule C</v>
      </c>
      <c r="F43" s="114"/>
      <c r="G43" s="114"/>
      <c r="H43" s="114"/>
    </row>
    <row r="44" spans="3:10" x14ac:dyDescent="0.25">
      <c r="D44" s="161"/>
      <c r="E44" s="2" t="str">
        <f>'Billing Detail'!D173</f>
        <v>Customer Charge Single Phase</v>
      </c>
      <c r="F44" s="114">
        <f>'Billing Detail'!H173</f>
        <v>21.32</v>
      </c>
      <c r="G44" s="114">
        <f>'Billing Detail'!L173</f>
        <v>22.561479502457772</v>
      </c>
      <c r="H44" s="114"/>
      <c r="J44" s="5">
        <f t="shared" si="0"/>
        <v>5.8230745893891767E-2</v>
      </c>
    </row>
    <row r="45" spans="3:10" x14ac:dyDescent="0.25">
      <c r="D45" s="161"/>
      <c r="E45" s="2" t="str">
        <f>'Billing Detail'!D174</f>
        <v>Customer Charge Three Phase</v>
      </c>
      <c r="F45" s="114">
        <f>'Billing Detail'!H174</f>
        <v>105</v>
      </c>
      <c r="G45" s="114">
        <f>'Billing Detail'!L174</f>
        <v>111.11</v>
      </c>
      <c r="H45" s="114"/>
      <c r="J45" s="5">
        <f t="shared" si="0"/>
        <v>5.8190476190476126E-2</v>
      </c>
    </row>
    <row r="46" spans="3:10" x14ac:dyDescent="0.25">
      <c r="D46" s="161"/>
      <c r="E46" s="2" t="str">
        <f>'Billing Detail'!D175</f>
        <v>Energy Charge - On Peak per kWh</v>
      </c>
      <c r="F46" s="144">
        <f>'Billing Detail'!H175</f>
        <v>0.11376</v>
      </c>
      <c r="G46" s="144">
        <f>'Billing Detail'!L175</f>
        <v>0.120713</v>
      </c>
      <c r="H46" s="144"/>
      <c r="J46" s="5">
        <f t="shared" si="0"/>
        <v>6.1119901547116662E-2</v>
      </c>
    </row>
    <row r="47" spans="3:10" x14ac:dyDescent="0.25">
      <c r="D47" s="161"/>
      <c r="E47" s="2" t="str">
        <f>'Billing Detail'!D176</f>
        <v>Energy Charge - Off Peak per kWh</v>
      </c>
      <c r="F47" s="144">
        <f>'Billing Detail'!H176</f>
        <v>5.5919999999999997E-2</v>
      </c>
      <c r="G47" s="144">
        <f>'Billing Detail'!L176</f>
        <v>8.9702000000000004E-2</v>
      </c>
      <c r="H47" s="144"/>
      <c r="I47" s="174"/>
      <c r="J47" s="5">
        <f t="shared" si="0"/>
        <v>0.60411301859799726</v>
      </c>
    </row>
    <row r="48" spans="3:10" x14ac:dyDescent="0.25">
      <c r="C48" s="29">
        <f>'Billing Detail'!C186</f>
        <v>6</v>
      </c>
      <c r="D48" s="161" t="str">
        <f>'Billing Detail'!B186</f>
        <v>Street Lighting</v>
      </c>
      <c r="F48" s="114"/>
      <c r="G48" s="114"/>
      <c r="H48" s="114"/>
    </row>
    <row r="49" spans="3:10" x14ac:dyDescent="0.25">
      <c r="D49" s="161"/>
      <c r="E49" s="2" t="str">
        <f>'Billing Detail'!D188</f>
        <v>Energy Charge per kWh</v>
      </c>
      <c r="F49" s="144">
        <f>'Billing Detail'!H188</f>
        <v>5.4760000000000003E-2</v>
      </c>
      <c r="G49" s="144">
        <f>'Billing Detail'!L188</f>
        <v>6.1505999999999998E-2</v>
      </c>
      <c r="H49" s="144"/>
      <c r="I49" s="174"/>
      <c r="J49" s="5">
        <f t="shared" si="0"/>
        <v>0.12319211102994876</v>
      </c>
    </row>
    <row r="50" spans="3:10" x14ac:dyDescent="0.25">
      <c r="C50" s="29">
        <f>'Billing Detail'!C198</f>
        <v>6</v>
      </c>
      <c r="D50" s="161" t="str">
        <f>'Billing Detail'!B198</f>
        <v>Lighting</v>
      </c>
      <c r="F50" s="114"/>
      <c r="G50" s="114"/>
      <c r="H50" s="114"/>
    </row>
    <row r="51" spans="3:10" x14ac:dyDescent="0.25">
      <c r="D51" s="161"/>
      <c r="E51" s="2" t="str">
        <f>'Billing Detail'!D199</f>
        <v>Mercury Vapor 175 Watt</v>
      </c>
      <c r="F51" s="114">
        <f>'Billing Detail'!H199</f>
        <v>9.44</v>
      </c>
      <c r="G51" s="114">
        <f>'Billing Detail'!L199</f>
        <v>9.82</v>
      </c>
      <c r="H51" s="114"/>
      <c r="J51" s="5">
        <f t="shared" si="0"/>
        <v>4.0254237288135597E-2</v>
      </c>
    </row>
    <row r="52" spans="3:10" x14ac:dyDescent="0.25">
      <c r="D52" s="2"/>
      <c r="E52" s="2" t="str">
        <f>'Billing Detail'!D200</f>
        <v>Mercury Vapor 175 Watt (shared)</v>
      </c>
      <c r="F52" s="114">
        <f>'Billing Detail'!H200</f>
        <v>3.15</v>
      </c>
      <c r="G52" s="114">
        <f>'Billing Detail'!L200</f>
        <v>3.28</v>
      </c>
      <c r="H52" s="114"/>
      <c r="J52" s="5">
        <f t="shared" si="0"/>
        <v>4.1269841269841345E-2</v>
      </c>
    </row>
    <row r="53" spans="3:10" x14ac:dyDescent="0.25">
      <c r="D53" s="2"/>
      <c r="E53" s="2" t="str">
        <f>'Billing Detail'!D201</f>
        <v>Mercury Vapor 250 Watt</v>
      </c>
      <c r="F53" s="114">
        <f>'Billing Detail'!H201</f>
        <v>10.73</v>
      </c>
      <c r="G53" s="114">
        <f>'Billing Detail'!L201</f>
        <v>11.16</v>
      </c>
      <c r="H53" s="114"/>
      <c r="J53" s="5">
        <f t="shared" si="0"/>
        <v>4.0074557315936676E-2</v>
      </c>
    </row>
    <row r="54" spans="3:10" x14ac:dyDescent="0.25">
      <c r="D54" s="2"/>
      <c r="E54" s="2" t="str">
        <f>'Billing Detail'!D202</f>
        <v>Mercury Vapor 400 Watt</v>
      </c>
      <c r="F54" s="114">
        <f>'Billing Detail'!H202</f>
        <v>16.3</v>
      </c>
      <c r="G54" s="114">
        <f>'Billing Detail'!L202</f>
        <v>16.95</v>
      </c>
      <c r="H54" s="114"/>
      <c r="J54" s="5">
        <f t="shared" si="0"/>
        <v>3.9877300613496924E-2</v>
      </c>
    </row>
    <row r="55" spans="3:10" x14ac:dyDescent="0.25">
      <c r="D55" s="2"/>
      <c r="E55" s="2" t="str">
        <f>'Billing Detail'!D203</f>
        <v>Mercury Vapor 1000 Watt</v>
      </c>
      <c r="F55" s="114">
        <f>'Billing Detail'!H203</f>
        <v>28.58</v>
      </c>
      <c r="G55" s="114">
        <f>'Billing Detail'!L203</f>
        <v>29.72</v>
      </c>
      <c r="H55" s="114"/>
      <c r="J55" s="5">
        <f t="shared" si="0"/>
        <v>3.9888033589922989E-2</v>
      </c>
    </row>
    <row r="56" spans="3:10" x14ac:dyDescent="0.25">
      <c r="D56" s="2"/>
      <c r="E56" s="2" t="str">
        <f>'Billing Detail'!D204</f>
        <v>Sodium Vapor 100 Watt</v>
      </c>
      <c r="F56" s="114">
        <f>'Billing Detail'!H204</f>
        <v>9.82</v>
      </c>
      <c r="G56" s="114">
        <f>'Billing Detail'!L204</f>
        <v>10.210000000000001</v>
      </c>
      <c r="H56" s="114"/>
      <c r="J56" s="5">
        <f t="shared" si="0"/>
        <v>3.9714867617107963E-2</v>
      </c>
    </row>
    <row r="57" spans="3:10" x14ac:dyDescent="0.25">
      <c r="D57" s="2"/>
      <c r="E57" s="2" t="str">
        <f>'Billing Detail'!D205</f>
        <v>Sodium Vapor 150 Watt</v>
      </c>
      <c r="F57" s="114">
        <f>'Billing Detail'!H205</f>
        <v>11.44</v>
      </c>
      <c r="G57" s="114">
        <f>'Billing Detail'!L205</f>
        <v>11.89</v>
      </c>
      <c r="H57" s="114"/>
      <c r="J57" s="5">
        <f t="shared" si="0"/>
        <v>3.9335664335664378E-2</v>
      </c>
    </row>
    <row r="58" spans="3:10" x14ac:dyDescent="0.25">
      <c r="D58" s="2"/>
      <c r="E58" s="2" t="str">
        <f>'Billing Detail'!D206</f>
        <v>Sodium Vapor 250 Watt</v>
      </c>
      <c r="F58" s="114">
        <f>'Billing Detail'!H206</f>
        <v>15.51</v>
      </c>
      <c r="G58" s="114">
        <f>'Billing Detail'!L206</f>
        <v>16.13</v>
      </c>
      <c r="H58" s="114"/>
      <c r="J58" s="5">
        <f t="shared" si="0"/>
        <v>3.9974210186976E-2</v>
      </c>
    </row>
    <row r="59" spans="3:10" x14ac:dyDescent="0.25">
      <c r="D59" s="2"/>
      <c r="E59" s="2" t="str">
        <f>'Billing Detail'!D207</f>
        <v>Sodium Vapor 400 Watt</v>
      </c>
      <c r="F59" s="114">
        <f>'Billing Detail'!H207</f>
        <v>19.93</v>
      </c>
      <c r="G59" s="114">
        <f>'Billing Detail'!L207</f>
        <v>20.72</v>
      </c>
      <c r="H59" s="114"/>
      <c r="J59" s="5">
        <f t="shared" si="0"/>
        <v>3.9638735574510697E-2</v>
      </c>
    </row>
    <row r="60" spans="3:10" x14ac:dyDescent="0.25">
      <c r="D60" s="2"/>
      <c r="E60" s="2" t="str">
        <f>'Billing Detail'!D208</f>
        <v>Sodium Vapor 1000 Watt</v>
      </c>
      <c r="F60" s="114">
        <f>'Billing Detail'!H208</f>
        <v>43.11</v>
      </c>
      <c r="G60" s="114">
        <f>'Billing Detail'!L208</f>
        <v>44.82</v>
      </c>
      <c r="H60" s="114"/>
      <c r="J60" s="5">
        <f t="shared" si="0"/>
        <v>3.9665970772442716E-2</v>
      </c>
    </row>
    <row r="61" spans="3:10" x14ac:dyDescent="0.25">
      <c r="D61" s="2"/>
      <c r="E61" s="2" t="str">
        <f>'Billing Detail'!D209</f>
        <v>LED Light 70 Watt</v>
      </c>
      <c r="F61" s="114">
        <f>'Billing Detail'!H209</f>
        <v>9.77</v>
      </c>
      <c r="G61" s="114">
        <f>'Billing Detail'!L209</f>
        <v>10.16</v>
      </c>
      <c r="H61" s="114"/>
      <c r="J61" s="5">
        <f t="shared" si="0"/>
        <v>3.9918116683725691E-2</v>
      </c>
    </row>
    <row r="62" spans="3:10" x14ac:dyDescent="0.25">
      <c r="D62" s="2"/>
      <c r="E62" s="2" t="str">
        <f>'Billing Detail'!D210</f>
        <v>LED Light 105 Watt</v>
      </c>
      <c r="F62" s="114">
        <f>'Billing Detail'!H210</f>
        <v>15</v>
      </c>
      <c r="G62" s="114">
        <f>'Billing Detail'!L210</f>
        <v>15.6</v>
      </c>
      <c r="H62" s="114"/>
      <c r="J62" s="5">
        <f t="shared" si="0"/>
        <v>4.0000000000000036E-2</v>
      </c>
    </row>
    <row r="63" spans="3:10" x14ac:dyDescent="0.25">
      <c r="D63" s="2"/>
      <c r="E63" s="2" t="str">
        <f>'Billing Detail'!D211</f>
        <v>LED Light 145 Watt</v>
      </c>
      <c r="F63" s="114">
        <f>'Billing Detail'!H211</f>
        <v>16.510000000000002</v>
      </c>
      <c r="G63" s="114">
        <f>'Billing Detail'!L211</f>
        <v>17.170000000000002</v>
      </c>
      <c r="H63" s="114"/>
      <c r="J63" s="5">
        <f t="shared" si="0"/>
        <v>3.9975772259236875E-2</v>
      </c>
    </row>
    <row r="64" spans="3:10" x14ac:dyDescent="0.25">
      <c r="D64" s="2"/>
      <c r="E64" s="2" t="str">
        <f>'Billing Detail'!D212</f>
        <v>LED Flood Light 199 Watt</v>
      </c>
      <c r="F64" s="114">
        <f>'Billing Detail'!H212</f>
        <v>21.18</v>
      </c>
      <c r="G64" s="114">
        <f>'Billing Detail'!L212</f>
        <v>22.02</v>
      </c>
      <c r="H64" s="114"/>
      <c r="J64" s="5">
        <f t="shared" ref="J64" si="1">G64/F64-1</f>
        <v>3.966005665722383E-2</v>
      </c>
    </row>
    <row r="65" spans="3:9" x14ac:dyDescent="0.25">
      <c r="F65" s="114"/>
      <c r="G65" s="114"/>
      <c r="H65" s="114"/>
    </row>
    <row r="66" spans="3:9" x14ac:dyDescent="0.25">
      <c r="F66" s="114"/>
      <c r="G66" s="114"/>
      <c r="H66" s="114"/>
    </row>
    <row r="67" spans="3:9" x14ac:dyDescent="0.25">
      <c r="F67" s="114"/>
      <c r="G67" s="114"/>
      <c r="H67" s="114"/>
    </row>
    <row r="68" spans="3:9" ht="41.4" customHeight="1" x14ac:dyDescent="0.25">
      <c r="C68" s="185" t="s">
        <v>92</v>
      </c>
      <c r="D68" s="185"/>
      <c r="E68" s="185"/>
      <c r="F68" s="185"/>
      <c r="G68" s="185"/>
      <c r="H68" s="178"/>
    </row>
    <row r="69" spans="3:9" x14ac:dyDescent="0.25">
      <c r="D69" s="2"/>
      <c r="F69" s="186" t="s">
        <v>93</v>
      </c>
      <c r="G69" s="186"/>
      <c r="H69" s="182"/>
    </row>
    <row r="70" spans="3:9" x14ac:dyDescent="0.25">
      <c r="C70" s="157" t="s">
        <v>94</v>
      </c>
      <c r="D70" s="146"/>
      <c r="E70" s="147"/>
      <c r="F70" s="148" t="s">
        <v>95</v>
      </c>
      <c r="G70" s="148" t="s">
        <v>96</v>
      </c>
      <c r="H70" s="183"/>
    </row>
    <row r="71" spans="3:9" x14ac:dyDescent="0.25">
      <c r="C71" s="158">
        <f>Summary!C8</f>
        <v>1</v>
      </c>
      <c r="D71" s="29" t="str">
        <f>Summary!B8</f>
        <v xml:space="preserve">Residential </v>
      </c>
      <c r="F71" s="149">
        <f>Summary!L8</f>
        <v>1192408.1461240011</v>
      </c>
      <c r="G71" s="150">
        <f>Summary!N8</f>
        <v>3.7801970863409674E-2</v>
      </c>
      <c r="H71" s="150"/>
    </row>
    <row r="72" spans="3:9" x14ac:dyDescent="0.25">
      <c r="C72" s="158">
        <f>Summary!C9</f>
        <v>2</v>
      </c>
      <c r="D72" s="29" t="str">
        <f>Summary!B9</f>
        <v>Residential Pay-As-You-Go</v>
      </c>
      <c r="F72" s="149">
        <f>Summary!L9</f>
        <v>0</v>
      </c>
      <c r="G72" s="150">
        <f>Summary!N9</f>
        <v>0</v>
      </c>
      <c r="H72" s="150"/>
      <c r="I72" s="1"/>
    </row>
    <row r="73" spans="3:9" x14ac:dyDescent="0.25">
      <c r="C73" s="158">
        <f>Summary!C10</f>
        <v>3</v>
      </c>
      <c r="D73" s="29" t="str">
        <f>Summary!B10</f>
        <v>Residential TOD</v>
      </c>
      <c r="F73" s="149">
        <f>Summary!L10</f>
        <v>0</v>
      </c>
      <c r="G73" s="150">
        <f>Summary!N10</f>
        <v>0</v>
      </c>
      <c r="H73" s="150"/>
      <c r="I73" s="1"/>
    </row>
    <row r="74" spans="3:9" x14ac:dyDescent="0.25">
      <c r="C74" s="158">
        <f>Summary!C11</f>
        <v>20</v>
      </c>
      <c r="D74" s="29" t="str">
        <f>Summary!B11</f>
        <v>Net Metering</v>
      </c>
      <c r="F74" s="149">
        <f>Summary!L11</f>
        <v>1087.4707119999966</v>
      </c>
      <c r="G74" s="150">
        <f>Summary!N11</f>
        <v>3.9355944087743268E-2</v>
      </c>
      <c r="H74" s="150"/>
      <c r="I74" s="1"/>
    </row>
    <row r="75" spans="3:9" x14ac:dyDescent="0.25">
      <c r="C75" s="158">
        <f>Summary!C12</f>
        <v>7</v>
      </c>
      <c r="D75" s="29" t="str">
        <f>Summary!B12</f>
        <v>Residential Off-Peak Mktg ETS</v>
      </c>
      <c r="F75" s="149">
        <f>Summary!L12</f>
        <v>1724.8521109999965</v>
      </c>
      <c r="G75" s="150">
        <f>Summary!N12</f>
        <v>6.134475987057661E-2</v>
      </c>
      <c r="H75" s="150"/>
      <c r="I75" s="1"/>
    </row>
    <row r="76" spans="3:9" x14ac:dyDescent="0.25">
      <c r="C76" s="158">
        <f>Summary!C13</f>
        <v>4</v>
      </c>
      <c r="D76" s="29" t="str">
        <f>Summary!B13</f>
        <v>Commercial &amp; Industrial &lt; 50 KW</v>
      </c>
      <c r="F76" s="149">
        <f>Summary!L13</f>
        <v>114931.97476499982</v>
      </c>
      <c r="G76" s="150">
        <f>Summary!N13</f>
        <v>3.752320217311788E-2</v>
      </c>
      <c r="H76" s="150"/>
      <c r="I76" s="1"/>
    </row>
    <row r="77" spans="3:9" x14ac:dyDescent="0.25">
      <c r="C77" s="158">
        <f>Summary!C14</f>
        <v>8</v>
      </c>
      <c r="D77" s="29" t="str">
        <f>Summary!B14</f>
        <v>Small Commercial ETS</v>
      </c>
      <c r="F77" s="149">
        <f>Summary!L14</f>
        <v>0</v>
      </c>
      <c r="G77" s="150">
        <f>Summary!N14</f>
        <v>0</v>
      </c>
      <c r="H77" s="150"/>
      <c r="I77" s="1"/>
    </row>
    <row r="78" spans="3:9" x14ac:dyDescent="0.25">
      <c r="C78" s="158">
        <f>Summary!C15</f>
        <v>5</v>
      </c>
      <c r="D78" s="29" t="str">
        <f>Summary!B15</f>
        <v>Commercial &amp; Industrial &gt; 50 KW</v>
      </c>
      <c r="F78" s="149">
        <f>Summary!L15</f>
        <v>191969.04337000038</v>
      </c>
      <c r="G78" s="150">
        <f>Summary!N15</f>
        <v>3.7989514101596122E-2</v>
      </c>
      <c r="H78" s="150"/>
      <c r="I78" s="1"/>
    </row>
    <row r="79" spans="3:9" x14ac:dyDescent="0.25">
      <c r="C79" s="158">
        <f>Summary!C16</f>
        <v>9</v>
      </c>
      <c r="D79" s="29" t="str">
        <f>Summary!B16</f>
        <v>Large Commercial &amp; Industrial</v>
      </c>
      <c r="F79" s="149">
        <f>Summary!L16</f>
        <v>0</v>
      </c>
      <c r="G79" s="150">
        <f>Summary!N16</f>
        <v>0</v>
      </c>
      <c r="H79" s="150"/>
      <c r="I79" s="1"/>
    </row>
    <row r="80" spans="3:9" x14ac:dyDescent="0.25">
      <c r="C80" s="158">
        <f>Summary!C17</f>
        <v>10</v>
      </c>
      <c r="D80" s="29" t="str">
        <f>Summary!B17</f>
        <v>Large Industrial</v>
      </c>
      <c r="F80" s="149">
        <f>Summary!L17</f>
        <v>154803.76799999969</v>
      </c>
      <c r="G80" s="150">
        <f>Summary!N17</f>
        <v>4.8456515822924991E-2</v>
      </c>
      <c r="H80" s="150"/>
      <c r="I80" s="1"/>
    </row>
    <row r="81" spans="3:9" x14ac:dyDescent="0.25">
      <c r="C81" s="158">
        <f>Summary!C18</f>
        <v>14</v>
      </c>
      <c r="D81" s="29" t="str">
        <f>Summary!B18</f>
        <v>Large Power Schedule LPC2</v>
      </c>
      <c r="F81" s="149">
        <f>Summary!L18</f>
        <v>18228.247200000027</v>
      </c>
      <c r="G81" s="150">
        <f>Summary!N18</f>
        <v>3.5036108206266563E-2</v>
      </c>
      <c r="H81" s="150"/>
      <c r="I81" s="1"/>
    </row>
    <row r="82" spans="3:9" x14ac:dyDescent="0.25">
      <c r="C82" s="158">
        <f>Summary!C19</f>
        <v>15</v>
      </c>
      <c r="D82" s="29" t="str">
        <f>Summary!B19</f>
        <v>Large Commercial Optional TOD</v>
      </c>
      <c r="F82" s="149">
        <f>Summary!L19</f>
        <v>3935.9720000000016</v>
      </c>
      <c r="G82" s="150">
        <f>Summary!N19</f>
        <v>3.7174219670554974E-2</v>
      </c>
      <c r="H82" s="150"/>
      <c r="I82" s="1"/>
    </row>
    <row r="83" spans="3:9" x14ac:dyDescent="0.25">
      <c r="C83" s="158">
        <f>Summary!C20</f>
        <v>36</v>
      </c>
      <c r="D83" s="29" t="str">
        <f>Summary!B20</f>
        <v>Large Power Schedule LPE4</v>
      </c>
      <c r="F83" s="149">
        <f>Summary!L20</f>
        <v>83741.140893999793</v>
      </c>
      <c r="G83" s="150">
        <f>Summary!N20</f>
        <v>5.7127359937856191E-2</v>
      </c>
      <c r="H83" s="150"/>
      <c r="I83" s="1"/>
    </row>
    <row r="84" spans="3:9" x14ac:dyDescent="0.25">
      <c r="C84" s="158">
        <f>Summary!C21</f>
        <v>50</v>
      </c>
      <c r="D84" s="29" t="str">
        <f>Summary!B21</f>
        <v>TOD Three Phase - Schedule C</v>
      </c>
      <c r="F84" s="149">
        <f>Summary!L21</f>
        <v>5003.8241019999987</v>
      </c>
      <c r="G84" s="150">
        <f>Summary!N21</f>
        <v>0.14392477504559298</v>
      </c>
      <c r="H84" s="150"/>
      <c r="I84" s="1"/>
    </row>
    <row r="85" spans="3:9" x14ac:dyDescent="0.25">
      <c r="C85" s="158">
        <f>Summary!C22</f>
        <v>6</v>
      </c>
      <c r="D85" s="29" t="str">
        <f>Summary!B22</f>
        <v>Street Lighting</v>
      </c>
      <c r="F85" s="149">
        <f>Summary!L22</f>
        <v>2489.8271720000012</v>
      </c>
      <c r="G85" s="150">
        <f>Summary!N22</f>
        <v>9.6816167081655968E-2</v>
      </c>
      <c r="H85" s="150"/>
      <c r="I85" s="1"/>
    </row>
    <row r="86" spans="3:9" x14ac:dyDescent="0.25">
      <c r="C86" s="158">
        <f>Summary!C23</f>
        <v>6</v>
      </c>
      <c r="D86" s="29" t="str">
        <f>Summary!B23</f>
        <v>Lighting</v>
      </c>
      <c r="F86" s="149">
        <f>Summary!L23</f>
        <v>37050.510000000009</v>
      </c>
      <c r="G86" s="150">
        <f>Summary!N23</f>
        <v>4.0030702099462044E-2</v>
      </c>
      <c r="H86" s="150"/>
      <c r="I86" s="1"/>
    </row>
    <row r="87" spans="3:9" x14ac:dyDescent="0.25">
      <c r="C87" s="165" t="s">
        <v>97</v>
      </c>
      <c r="D87" s="151"/>
      <c r="E87" s="151"/>
      <c r="F87" s="152">
        <f>Summary!L35</f>
        <v>1807374.7764500007</v>
      </c>
      <c r="G87" s="153">
        <f>Summary!N35</f>
        <v>3.7700195485018309E-2</v>
      </c>
      <c r="H87" s="155"/>
    </row>
    <row r="88" spans="3:9" x14ac:dyDescent="0.25">
      <c r="C88" s="158"/>
      <c r="D88" s="2"/>
      <c r="F88" s="154"/>
      <c r="G88" s="155"/>
      <c r="H88" s="155"/>
    </row>
    <row r="89" spans="3:9" x14ac:dyDescent="0.25">
      <c r="D89" s="2"/>
    </row>
    <row r="90" spans="3:9" ht="40.200000000000003" customHeight="1" x14ac:dyDescent="0.25">
      <c r="C90" s="185" t="s">
        <v>98</v>
      </c>
      <c r="D90" s="185"/>
      <c r="E90" s="185"/>
      <c r="F90" s="185"/>
      <c r="G90" s="185"/>
      <c r="H90" s="185"/>
      <c r="I90" s="185"/>
    </row>
    <row r="91" spans="3:9" x14ac:dyDescent="0.25">
      <c r="D91" s="2"/>
      <c r="E91" s="156" t="s">
        <v>18</v>
      </c>
      <c r="F91" s="186" t="s">
        <v>93</v>
      </c>
      <c r="G91" s="186"/>
      <c r="H91" s="182"/>
    </row>
    <row r="92" spans="3:9" x14ac:dyDescent="0.25">
      <c r="C92" s="157" t="s">
        <v>94</v>
      </c>
      <c r="D92" s="147"/>
      <c r="E92" s="157" t="s">
        <v>99</v>
      </c>
      <c r="F92" s="148" t="s">
        <v>95</v>
      </c>
      <c r="G92" s="148" t="s">
        <v>96</v>
      </c>
      <c r="H92" s="183"/>
    </row>
    <row r="93" spans="3:9" x14ac:dyDescent="0.25">
      <c r="C93" s="29">
        <f>Summary!C8</f>
        <v>1</v>
      </c>
      <c r="D93" s="158" t="str">
        <f>Summary!B8</f>
        <v xml:space="preserve">Residential </v>
      </c>
      <c r="E93" s="159">
        <f>'Billing Detail'!E17</f>
        <v>1102.343877361986</v>
      </c>
      <c r="F93" s="114">
        <f>'Billing Detail'!N17</f>
        <v>4.2480411054094134</v>
      </c>
      <c r="G93" s="5">
        <f>Summary!N8</f>
        <v>3.7801970863409674E-2</v>
      </c>
      <c r="H93" s="5"/>
    </row>
    <row r="94" spans="3:9" x14ac:dyDescent="0.25">
      <c r="C94" s="29">
        <f>Summary!C9</f>
        <v>2</v>
      </c>
      <c r="D94" s="158" t="str">
        <f>Summary!B9</f>
        <v>Residential Pay-As-You-Go</v>
      </c>
      <c r="E94" s="159">
        <v>0</v>
      </c>
      <c r="F94" s="114">
        <v>0</v>
      </c>
      <c r="G94" s="5">
        <f>Summary!N9</f>
        <v>0</v>
      </c>
      <c r="H94" s="5"/>
    </row>
    <row r="95" spans="3:9" x14ac:dyDescent="0.25">
      <c r="C95" s="29">
        <f>Summary!C10</f>
        <v>3</v>
      </c>
      <c r="D95" s="158" t="str">
        <f>Summary!B10</f>
        <v>Residential TOD</v>
      </c>
      <c r="E95" s="159">
        <f>'Billing Detail'!E43</f>
        <v>820.8</v>
      </c>
      <c r="F95" s="114">
        <f>'Billing Detail'!N43</f>
        <v>0</v>
      </c>
      <c r="G95" s="5">
        <f>Summary!N10</f>
        <v>0</v>
      </c>
      <c r="H95" s="5"/>
    </row>
    <row r="96" spans="3:9" x14ac:dyDescent="0.25">
      <c r="C96" s="29">
        <f>Summary!C11</f>
        <v>20</v>
      </c>
      <c r="D96" s="158" t="str">
        <f>Summary!B11</f>
        <v>Net Metering</v>
      </c>
      <c r="E96" s="159">
        <f>'Billing Detail'!E55</f>
        <v>1192.5991561181434</v>
      </c>
      <c r="F96" s="114">
        <f>'Billing Detail'!N55</f>
        <v>4.5884840168776293</v>
      </c>
      <c r="G96" s="5">
        <f>Summary!N11</f>
        <v>3.9355944087743268E-2</v>
      </c>
      <c r="H96" s="5"/>
    </row>
    <row r="97" spans="3:8" x14ac:dyDescent="0.25">
      <c r="C97" s="29">
        <f>Summary!C12</f>
        <v>7</v>
      </c>
      <c r="D97" s="158" t="str">
        <f>Summary!B12</f>
        <v>Residential Off-Peak Mktg ETS</v>
      </c>
      <c r="E97" s="159">
        <f>'Billing Detail'!E67</f>
        <v>327.72587968217937</v>
      </c>
      <c r="F97" s="114">
        <f>'Billing Detail'!N67</f>
        <v>0.97891720261066695</v>
      </c>
      <c r="G97" s="5">
        <f>Summary!N12</f>
        <v>6.134475987057661E-2</v>
      </c>
      <c r="H97" s="5"/>
    </row>
    <row r="98" spans="3:8" x14ac:dyDescent="0.25">
      <c r="C98" s="29">
        <f>Summary!C13</f>
        <v>4</v>
      </c>
      <c r="D98" s="158" t="str">
        <f>Summary!B13</f>
        <v>Commercial &amp; Industrial &lt; 50 KW</v>
      </c>
      <c r="E98" s="159">
        <f>'Billing Detail'!E79</f>
        <v>1485.5121589986145</v>
      </c>
      <c r="F98" s="114">
        <f>'Billing Detail'!N79</f>
        <v>5.4909930134728313</v>
      </c>
      <c r="G98" s="5">
        <f>Summary!N13</f>
        <v>3.752320217311788E-2</v>
      </c>
      <c r="H98" s="5"/>
    </row>
    <row r="99" spans="3:8" x14ac:dyDescent="0.25">
      <c r="C99" s="29">
        <f>Summary!C14</f>
        <v>8</v>
      </c>
      <c r="D99" s="158" t="str">
        <f>Summary!B14</f>
        <v>Small Commercial ETS</v>
      </c>
      <c r="E99" s="159">
        <v>0</v>
      </c>
      <c r="F99" s="114">
        <f>'Billing Detail'!N91</f>
        <v>0</v>
      </c>
      <c r="G99" s="5">
        <f>Summary!N14</f>
        <v>0</v>
      </c>
      <c r="H99" s="5"/>
    </row>
    <row r="100" spans="3:8" x14ac:dyDescent="0.25">
      <c r="C100" s="29">
        <f>Summary!C15</f>
        <v>5</v>
      </c>
      <c r="D100" s="158" t="str">
        <f>Summary!B15</f>
        <v>Commercial &amp; Industrial &gt; 50 KW</v>
      </c>
      <c r="E100" s="159">
        <f>'Billing Detail'!E104</f>
        <v>45088.882450331126</v>
      </c>
      <c r="F100" s="114">
        <f>'Billing Detail'!N104</f>
        <v>158.91477100165594</v>
      </c>
      <c r="G100" s="5">
        <f>Summary!N15</f>
        <v>3.7989514101596122E-2</v>
      </c>
      <c r="H100" s="5"/>
    </row>
    <row r="101" spans="3:8" x14ac:dyDescent="0.25">
      <c r="C101" s="29">
        <f>Summary!C16</f>
        <v>9</v>
      </c>
      <c r="D101" s="158" t="str">
        <f>Summary!B16</f>
        <v>Large Commercial &amp; Industrial</v>
      </c>
      <c r="E101" s="159">
        <f>'Billing Detail'!E117</f>
        <v>482850</v>
      </c>
      <c r="F101" s="114">
        <f>'Billing Detail'!N117</f>
        <v>0</v>
      </c>
      <c r="G101" s="5">
        <f>Summary!N16</f>
        <v>0</v>
      </c>
      <c r="H101" s="5"/>
    </row>
    <row r="102" spans="3:8" x14ac:dyDescent="0.25">
      <c r="C102" s="29">
        <f>Summary!C17</f>
        <v>10</v>
      </c>
      <c r="D102" s="158" t="str">
        <f>Summary!B17</f>
        <v>Large Industrial</v>
      </c>
      <c r="E102" s="160">
        <f>'Billing Detail'!E130</f>
        <v>4131600</v>
      </c>
      <c r="F102" s="114">
        <f>'Billing Detail'!N130</f>
        <v>12900.314000000013</v>
      </c>
      <c r="G102" s="5">
        <f>Summary!N17</f>
        <v>4.8456515822924991E-2</v>
      </c>
      <c r="H102" s="5"/>
    </row>
    <row r="103" spans="3:8" x14ac:dyDescent="0.25">
      <c r="C103" s="29">
        <f>Summary!C18</f>
        <v>14</v>
      </c>
      <c r="D103" s="158" t="str">
        <f>Summary!B18</f>
        <v>Large Power Schedule LPC2</v>
      </c>
      <c r="E103" s="159">
        <f>'Billing Detail'!E143</f>
        <v>622600</v>
      </c>
      <c r="F103" s="114">
        <f>'Billing Detail'!N143</f>
        <v>1519.0206000000035</v>
      </c>
      <c r="G103" s="5">
        <f>Summary!N18</f>
        <v>3.5036108206266563E-2</v>
      </c>
      <c r="H103" s="5"/>
    </row>
    <row r="104" spans="3:8" x14ac:dyDescent="0.25">
      <c r="C104" s="29">
        <f>Summary!C19</f>
        <v>15</v>
      </c>
      <c r="D104" s="158" t="str">
        <f>Summary!B19</f>
        <v>Large Commercial Optional TOD</v>
      </c>
      <c r="E104" s="159">
        <f>'Billing Detail'!E156</f>
        <v>18766.666666666668</v>
      </c>
      <c r="F104" s="114">
        <f>'Billing Detail'!N156</f>
        <v>81.999416666667003</v>
      </c>
      <c r="G104" s="5">
        <f>Summary!N19</f>
        <v>3.7174219670554974E-2</v>
      </c>
      <c r="H104" s="5"/>
    </row>
    <row r="105" spans="3:8" x14ac:dyDescent="0.25">
      <c r="C105" s="29">
        <f>Summary!C20</f>
        <v>36</v>
      </c>
      <c r="D105" s="158" t="str">
        <f>Summary!B20</f>
        <v>Large Power Schedule LPE4</v>
      </c>
      <c r="E105" s="159">
        <f>'Billing Detail'!E170</f>
        <v>1692871.6666666667</v>
      </c>
      <c r="F105" s="114">
        <f>'Billing Detail'!N170</f>
        <v>6978.4284078333148</v>
      </c>
      <c r="G105" s="5">
        <f>Summary!N20</f>
        <v>5.7127359937856191E-2</v>
      </c>
      <c r="H105" s="5"/>
    </row>
    <row r="106" spans="3:8" x14ac:dyDescent="0.25">
      <c r="C106" s="29">
        <f>Summary!C21</f>
        <v>50</v>
      </c>
      <c r="D106" s="158" t="str">
        <f>Summary!B21</f>
        <v>TOD Three Phase - Schedule C</v>
      </c>
      <c r="E106" s="159">
        <f>'Billing Detail'!E184</f>
        <v>4754.833333333333</v>
      </c>
      <c r="F106" s="114">
        <f>'Billing Detail'!O184</f>
        <v>0.14392477504559298</v>
      </c>
      <c r="G106" s="5">
        <f>Summary!N21</f>
        <v>0.14392477504559298</v>
      </c>
      <c r="H106" s="5"/>
    </row>
    <row r="107" spans="3:8" x14ac:dyDescent="0.25">
      <c r="C107" s="29">
        <f>Summary!C22</f>
        <v>6</v>
      </c>
      <c r="D107" s="158" t="str">
        <f>Summary!B22</f>
        <v>Street Lighting</v>
      </c>
      <c r="E107" s="180">
        <f>'Billing Detail'!E196</f>
        <v>369082</v>
      </c>
      <c r="F107" s="175" t="s">
        <v>100</v>
      </c>
      <c r="G107" s="5">
        <f>Summary!N22</f>
        <v>9.6816167081655968E-2</v>
      </c>
      <c r="H107" s="5"/>
    </row>
    <row r="108" spans="3:8" x14ac:dyDescent="0.25">
      <c r="C108" s="29">
        <f>Summary!C23</f>
        <v>6</v>
      </c>
      <c r="D108" s="158" t="str">
        <f>Summary!B23</f>
        <v>Lighting</v>
      </c>
      <c r="E108" s="164" t="s">
        <v>100</v>
      </c>
      <c r="F108" s="175" t="s">
        <v>100</v>
      </c>
      <c r="G108" s="5">
        <f>Summary!N23</f>
        <v>4.0030702099462044E-2</v>
      </c>
      <c r="H108" s="5"/>
    </row>
  </sheetData>
  <mergeCells count="4">
    <mergeCell ref="C68:G68"/>
    <mergeCell ref="F69:G69"/>
    <mergeCell ref="C90:I90"/>
    <mergeCell ref="F91:G91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0AFF8-2E9A-42F9-875C-73866E095AC3}">
  <dimension ref="A1:B12"/>
  <sheetViews>
    <sheetView workbookViewId="0">
      <selection activeCell="H28" sqref="H28"/>
    </sheetView>
  </sheetViews>
  <sheetFormatPr defaultRowHeight="13.2" x14ac:dyDescent="0.25"/>
  <cols>
    <col min="1" max="1" width="8.88671875" style="29"/>
    <col min="2" max="16384" width="8.88671875" style="2"/>
  </cols>
  <sheetData>
    <row r="1" spans="1:2" x14ac:dyDescent="0.25">
      <c r="A1" s="184" t="s">
        <v>104</v>
      </c>
    </row>
    <row r="3" spans="1:2" x14ac:dyDescent="0.25">
      <c r="A3" s="29">
        <v>1</v>
      </c>
      <c r="B3" s="2" t="s">
        <v>105</v>
      </c>
    </row>
    <row r="4" spans="1:2" x14ac:dyDescent="0.25">
      <c r="B4" s="2" t="s">
        <v>112</v>
      </c>
    </row>
    <row r="6" spans="1:2" x14ac:dyDescent="0.25">
      <c r="A6" s="29">
        <v>2</v>
      </c>
      <c r="B6" s="2" t="s">
        <v>106</v>
      </c>
    </row>
    <row r="7" spans="1:2" x14ac:dyDescent="0.25">
      <c r="B7" s="2" t="s">
        <v>107</v>
      </c>
    </row>
    <row r="8" spans="1:2" x14ac:dyDescent="0.25">
      <c r="B8" s="2" t="s">
        <v>108</v>
      </c>
    </row>
    <row r="10" spans="1:2" x14ac:dyDescent="0.25">
      <c r="A10" s="29">
        <v>3</v>
      </c>
      <c r="B10" s="2" t="s">
        <v>109</v>
      </c>
    </row>
    <row r="11" spans="1:2" x14ac:dyDescent="0.25">
      <c r="B11" s="2" t="s">
        <v>107</v>
      </c>
    </row>
    <row r="12" spans="1:2" x14ac:dyDescent="0.25">
      <c r="B12" s="2" t="s">
        <v>108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Billing Detail</vt:lpstr>
      <vt:lpstr>Notice Table</vt:lpstr>
      <vt:lpstr>Notes</vt:lpstr>
      <vt:lpstr>'Billing Detail'!Print_Area</vt:lpstr>
      <vt:lpstr>'Notice Table'!Print_Area</vt:lpstr>
      <vt:lpstr>Summary!Print_Area</vt:lpstr>
      <vt:lpstr>'Billing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2021-03-10T01:03:20Z</cp:lastPrinted>
  <dcterms:created xsi:type="dcterms:W3CDTF">2021-02-09T02:13:44Z</dcterms:created>
  <dcterms:modified xsi:type="dcterms:W3CDTF">2021-05-25T13:11:26Z</dcterms:modified>
</cp:coreProperties>
</file>