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Farmers\Analysis\"/>
    </mc:Choice>
  </mc:AlternateContent>
  <xr:revisionPtr revIDLastSave="0" documentId="13_ncr:1_{4B78C5E7-AE41-4418-927C-67841D3968AC}" xr6:coauthVersionLast="46" xr6:coauthVersionMax="46" xr10:uidLastSave="{00000000-0000-0000-0000-000000000000}"/>
  <bookViews>
    <workbookView xWindow="-108" yWindow="-108" windowWidth="23256" windowHeight="12576" activeTab="2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Detail'!$A$1:$R$282</definedName>
    <definedName name="_xlnm.Print_Area" localSheetId="2">'Notice Table'!$A$1:$G$125</definedName>
    <definedName name="_xlnm.Print_Area" localSheetId="0">Summary!$A$1:$O$37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1" i="1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N214" i="1"/>
  <c r="N213" i="1"/>
  <c r="N212" i="1"/>
  <c r="N211" i="1"/>
  <c r="N215" i="1" s="1"/>
  <c r="M214" i="1"/>
  <c r="M213" i="1"/>
  <c r="M212" i="1"/>
  <c r="M211" i="1"/>
  <c r="M215" i="1" s="1"/>
  <c r="I214" i="1"/>
  <c r="I213" i="1"/>
  <c r="I212" i="1"/>
  <c r="I211" i="1"/>
  <c r="I215" i="1" s="1"/>
  <c r="I216" i="1" s="1"/>
  <c r="I210" i="1"/>
  <c r="G214" i="1"/>
  <c r="G213" i="1"/>
  <c r="G212" i="1"/>
  <c r="G211" i="1"/>
  <c r="G210" i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H96" i="1"/>
  <c r="H95" i="1"/>
  <c r="F95" i="1"/>
  <c r="I177" i="1"/>
  <c r="I165" i="1"/>
  <c r="I151" i="1"/>
  <c r="I137" i="1"/>
  <c r="I124" i="1"/>
  <c r="I111" i="1"/>
  <c r="I98" i="1"/>
  <c r="I85" i="1"/>
  <c r="I72" i="1"/>
  <c r="I60" i="1"/>
  <c r="I48" i="1"/>
  <c r="I36" i="1"/>
  <c r="I24" i="1"/>
  <c r="E45" i="3" l="1"/>
  <c r="F45" i="3"/>
  <c r="E46" i="3"/>
  <c r="F46" i="3"/>
  <c r="E47" i="3"/>
  <c r="F47" i="3"/>
  <c r="F44" i="3"/>
  <c r="E44" i="3"/>
  <c r="I160" i="1"/>
  <c r="G160" i="1"/>
  <c r="O160" i="1" l="1"/>
  <c r="F125" i="3" l="1"/>
  <c r="E125" i="3"/>
  <c r="F124" i="3"/>
  <c r="E124" i="3"/>
  <c r="F123" i="3"/>
  <c r="E123" i="3"/>
  <c r="F122" i="3"/>
  <c r="E122" i="3"/>
  <c r="D121" i="3"/>
  <c r="C121" i="3"/>
  <c r="F120" i="3"/>
  <c r="E120" i="3"/>
  <c r="F119" i="3"/>
  <c r="E119" i="3"/>
  <c r="F118" i="3"/>
  <c r="E118" i="3"/>
  <c r="F117" i="3"/>
  <c r="E117" i="3"/>
  <c r="D116" i="3"/>
  <c r="C116" i="3"/>
  <c r="F115" i="3"/>
  <c r="E115" i="3"/>
  <c r="F114" i="3"/>
  <c r="E114" i="3"/>
  <c r="F113" i="3"/>
  <c r="E113" i="3"/>
  <c r="F112" i="3"/>
  <c r="E112" i="3"/>
  <c r="D111" i="3"/>
  <c r="C111" i="3"/>
  <c r="F110" i="3"/>
  <c r="E110" i="3"/>
  <c r="F109" i="3"/>
  <c r="E109" i="3"/>
  <c r="F108" i="3"/>
  <c r="E108" i="3"/>
  <c r="F107" i="3"/>
  <c r="E107" i="3"/>
  <c r="D106" i="3"/>
  <c r="C106" i="3"/>
  <c r="E103" i="3"/>
  <c r="F103" i="3"/>
  <c r="E104" i="3"/>
  <c r="F104" i="3"/>
  <c r="E105" i="3"/>
  <c r="F105" i="3"/>
  <c r="F102" i="3"/>
  <c r="E102" i="3"/>
  <c r="D101" i="3"/>
  <c r="C101" i="3"/>
  <c r="E98" i="3"/>
  <c r="F98" i="3"/>
  <c r="E99" i="3"/>
  <c r="F99" i="3"/>
  <c r="E100" i="3"/>
  <c r="F100" i="3"/>
  <c r="F97" i="3"/>
  <c r="E97" i="3"/>
  <c r="D96" i="3"/>
  <c r="C96" i="3"/>
  <c r="E93" i="3"/>
  <c r="F93" i="3"/>
  <c r="E94" i="3"/>
  <c r="F94" i="3"/>
  <c r="E95" i="3"/>
  <c r="F95" i="3"/>
  <c r="F92" i="3"/>
  <c r="E92" i="3"/>
  <c r="D91" i="3"/>
  <c r="C91" i="3"/>
  <c r="E88" i="3"/>
  <c r="F88" i="3"/>
  <c r="E89" i="3"/>
  <c r="F89" i="3"/>
  <c r="E90" i="3"/>
  <c r="F90" i="3"/>
  <c r="F87" i="3"/>
  <c r="E87" i="3"/>
  <c r="D86" i="3"/>
  <c r="C86" i="3"/>
  <c r="E83" i="3"/>
  <c r="F83" i="3"/>
  <c r="E84" i="3"/>
  <c r="F84" i="3"/>
  <c r="E85" i="3"/>
  <c r="F85" i="3"/>
  <c r="F82" i="3"/>
  <c r="E82" i="3"/>
  <c r="D81" i="3"/>
  <c r="C81" i="3"/>
  <c r="E79" i="3"/>
  <c r="F79" i="3"/>
  <c r="E80" i="3"/>
  <c r="F80" i="3"/>
  <c r="F78" i="3"/>
  <c r="E78" i="3"/>
  <c r="D77" i="3"/>
  <c r="C77" i="3"/>
  <c r="E75" i="3"/>
  <c r="F75" i="3"/>
  <c r="E76" i="3"/>
  <c r="F76" i="3"/>
  <c r="F74" i="3"/>
  <c r="E74" i="3"/>
  <c r="D73" i="3"/>
  <c r="C73" i="3"/>
  <c r="E71" i="3"/>
  <c r="F71" i="3"/>
  <c r="E72" i="3"/>
  <c r="F72" i="3"/>
  <c r="F70" i="3"/>
  <c r="E70" i="3"/>
  <c r="D69" i="3"/>
  <c r="C69" i="3"/>
  <c r="E67" i="3"/>
  <c r="F67" i="3"/>
  <c r="E68" i="3"/>
  <c r="F68" i="3"/>
  <c r="F66" i="3"/>
  <c r="E66" i="3"/>
  <c r="D65" i="3"/>
  <c r="C65" i="3"/>
  <c r="E117" i="1" l="1"/>
  <c r="E160" i="3" s="1"/>
  <c r="N78" i="1"/>
  <c r="F157" i="3" s="1"/>
  <c r="G12" i="1"/>
  <c r="G11" i="1"/>
  <c r="E9" i="1"/>
  <c r="E8" i="1"/>
  <c r="E183" i="1"/>
  <c r="E165" i="3" s="1"/>
  <c r="E171" i="1"/>
  <c r="E164" i="3" s="1"/>
  <c r="E157" i="1"/>
  <c r="E163" i="3" s="1"/>
  <c r="E143" i="1"/>
  <c r="E162" i="3" s="1"/>
  <c r="E130" i="1"/>
  <c r="E161" i="3" s="1"/>
  <c r="E104" i="1"/>
  <c r="E159" i="3" s="1"/>
  <c r="E91" i="1"/>
  <c r="E158" i="3" s="1"/>
  <c r="E66" i="1"/>
  <c r="E156" i="3" s="1"/>
  <c r="E54" i="1"/>
  <c r="E155" i="3" s="1"/>
  <c r="E42" i="1"/>
  <c r="E154" i="3" s="1"/>
  <c r="E30" i="1"/>
  <c r="E153" i="3" s="1"/>
  <c r="G157" i="3"/>
  <c r="F137" i="3"/>
  <c r="G137" i="3"/>
  <c r="I11" i="1" l="1"/>
  <c r="E17" i="1"/>
  <c r="E152" i="3" s="1"/>
  <c r="E52" i="3" l="1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F51" i="3"/>
  <c r="E51" i="3"/>
  <c r="C50" i="3"/>
  <c r="D50" i="3"/>
  <c r="F49" i="3"/>
  <c r="E49" i="3"/>
  <c r="C48" i="3"/>
  <c r="D48" i="3"/>
  <c r="C43" i="3"/>
  <c r="D43" i="3"/>
  <c r="E40" i="3"/>
  <c r="F40" i="3"/>
  <c r="E41" i="3"/>
  <c r="F41" i="3"/>
  <c r="E42" i="3"/>
  <c r="F42" i="3"/>
  <c r="F39" i="3"/>
  <c r="E39" i="3"/>
  <c r="C38" i="3"/>
  <c r="D38" i="3"/>
  <c r="E36" i="3"/>
  <c r="F36" i="3"/>
  <c r="E37" i="3"/>
  <c r="F37" i="3"/>
  <c r="F35" i="3"/>
  <c r="E35" i="3"/>
  <c r="C34" i="3"/>
  <c r="D34" i="3"/>
  <c r="E32" i="3"/>
  <c r="F32" i="3"/>
  <c r="E33" i="3"/>
  <c r="F33" i="3"/>
  <c r="F31" i="3"/>
  <c r="E31" i="3"/>
  <c r="C30" i="3"/>
  <c r="D30" i="3"/>
  <c r="E28" i="3"/>
  <c r="F28" i="3"/>
  <c r="E29" i="3"/>
  <c r="F29" i="3"/>
  <c r="F27" i="3"/>
  <c r="E27" i="3"/>
  <c r="C26" i="3"/>
  <c r="D26" i="3"/>
  <c r="E24" i="3"/>
  <c r="F24" i="3"/>
  <c r="E25" i="3"/>
  <c r="F25" i="3"/>
  <c r="F23" i="3"/>
  <c r="E23" i="3"/>
  <c r="C22" i="3"/>
  <c r="D22" i="3"/>
  <c r="F21" i="3"/>
  <c r="E21" i="3"/>
  <c r="C20" i="3"/>
  <c r="D20" i="3"/>
  <c r="E19" i="3"/>
  <c r="F19" i="3"/>
  <c r="F18" i="3"/>
  <c r="E18" i="3"/>
  <c r="C17" i="3"/>
  <c r="D17" i="3"/>
  <c r="F16" i="3"/>
  <c r="E16" i="3"/>
  <c r="C15" i="3"/>
  <c r="D15" i="3"/>
  <c r="E14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F175" i="1" l="1"/>
  <c r="F162" i="1"/>
  <c r="F149" i="1"/>
  <c r="F148" i="1"/>
  <c r="F135" i="1"/>
  <c r="F122" i="1"/>
  <c r="F109" i="1"/>
  <c r="F82" i="1"/>
  <c r="F96" i="1" s="1"/>
  <c r="F70" i="1"/>
  <c r="F58" i="1"/>
  <c r="F46" i="1"/>
  <c r="F22" i="1"/>
  <c r="F21" i="1"/>
  <c r="F9" i="1"/>
  <c r="I121" i="1"/>
  <c r="I122" i="1"/>
  <c r="I108" i="1"/>
  <c r="C16" i="2"/>
  <c r="C17" i="2"/>
  <c r="C18" i="2"/>
  <c r="C19" i="2"/>
  <c r="C20" i="2"/>
  <c r="C21" i="2"/>
  <c r="B21" i="2"/>
  <c r="B20" i="2"/>
  <c r="B19" i="2"/>
  <c r="B18" i="2"/>
  <c r="B17" i="2"/>
  <c r="B16" i="2"/>
  <c r="C163" i="3" l="1"/>
  <c r="C143" i="3"/>
  <c r="D161" i="3"/>
  <c r="D141" i="3"/>
  <c r="C162" i="3"/>
  <c r="C142" i="3"/>
  <c r="D162" i="3"/>
  <c r="D142" i="3"/>
  <c r="D163" i="3"/>
  <c r="D143" i="3"/>
  <c r="D160" i="3"/>
  <c r="D140" i="3"/>
  <c r="D164" i="3"/>
  <c r="D144" i="3"/>
  <c r="C160" i="3"/>
  <c r="C140" i="3"/>
  <c r="D165" i="3"/>
  <c r="D145" i="3"/>
  <c r="C145" i="3"/>
  <c r="C165" i="3"/>
  <c r="C141" i="3"/>
  <c r="C161" i="3"/>
  <c r="C144" i="3"/>
  <c r="C164" i="3"/>
  <c r="M177" i="1"/>
  <c r="M165" i="1"/>
  <c r="M151" i="1"/>
  <c r="M137" i="1"/>
  <c r="M124" i="1"/>
  <c r="N124" i="1" s="1"/>
  <c r="I147" i="1"/>
  <c r="G147" i="1"/>
  <c r="G121" i="1"/>
  <c r="H34" i="1"/>
  <c r="H33" i="1"/>
  <c r="F13" i="3" s="1"/>
  <c r="G181" i="1"/>
  <c r="I180" i="1"/>
  <c r="M180" i="1" s="1"/>
  <c r="I179" i="1"/>
  <c r="M179" i="1" s="1"/>
  <c r="N179" i="1" s="1"/>
  <c r="I178" i="1"/>
  <c r="M178" i="1" s="1"/>
  <c r="N178" i="1" s="1"/>
  <c r="I175" i="1"/>
  <c r="G175" i="1"/>
  <c r="I174" i="1"/>
  <c r="G174" i="1"/>
  <c r="G169" i="1"/>
  <c r="I168" i="1"/>
  <c r="M168" i="1" s="1"/>
  <c r="I167" i="1"/>
  <c r="M167" i="1" s="1"/>
  <c r="N167" i="1" s="1"/>
  <c r="I166" i="1"/>
  <c r="M166" i="1" s="1"/>
  <c r="N166" i="1" s="1"/>
  <c r="I163" i="1"/>
  <c r="J160" i="1" s="1"/>
  <c r="G163" i="1"/>
  <c r="I162" i="1"/>
  <c r="G162" i="1"/>
  <c r="I161" i="1"/>
  <c r="G161" i="1"/>
  <c r="G155" i="1"/>
  <c r="I154" i="1"/>
  <c r="M154" i="1" s="1"/>
  <c r="I153" i="1"/>
  <c r="M153" i="1" s="1"/>
  <c r="N153" i="1" s="1"/>
  <c r="I152" i="1"/>
  <c r="M152" i="1" s="1"/>
  <c r="N152" i="1" s="1"/>
  <c r="I149" i="1"/>
  <c r="G149" i="1"/>
  <c r="I148" i="1"/>
  <c r="G148" i="1"/>
  <c r="I146" i="1"/>
  <c r="G146" i="1"/>
  <c r="G141" i="1"/>
  <c r="I140" i="1"/>
  <c r="M140" i="1" s="1"/>
  <c r="I139" i="1"/>
  <c r="M139" i="1" s="1"/>
  <c r="N139" i="1" s="1"/>
  <c r="I138" i="1"/>
  <c r="M138" i="1" s="1"/>
  <c r="N138" i="1" s="1"/>
  <c r="I135" i="1"/>
  <c r="G135" i="1"/>
  <c r="I134" i="1"/>
  <c r="G134" i="1"/>
  <c r="I133" i="1"/>
  <c r="G133" i="1"/>
  <c r="G128" i="1"/>
  <c r="I127" i="1"/>
  <c r="M127" i="1" s="1"/>
  <c r="I126" i="1"/>
  <c r="M126" i="1" s="1"/>
  <c r="N126" i="1" s="1"/>
  <c r="I125" i="1"/>
  <c r="M125" i="1" s="1"/>
  <c r="N125" i="1" s="1"/>
  <c r="G122" i="1"/>
  <c r="I120" i="1"/>
  <c r="G120" i="1"/>
  <c r="H25" i="2"/>
  <c r="F34" i="1" l="1"/>
  <c r="F14" i="3"/>
  <c r="G123" i="1"/>
  <c r="D17" i="2" s="1"/>
  <c r="I150" i="1"/>
  <c r="G150" i="1"/>
  <c r="G176" i="1"/>
  <c r="G136" i="1"/>
  <c r="G164" i="1"/>
  <c r="I128" i="1"/>
  <c r="N177" i="1"/>
  <c r="M181" i="1"/>
  <c r="I123" i="1"/>
  <c r="N151" i="1"/>
  <c r="M155" i="1"/>
  <c r="I169" i="1"/>
  <c r="I176" i="1"/>
  <c r="M128" i="1"/>
  <c r="N137" i="1"/>
  <c r="M141" i="1"/>
  <c r="I136" i="1"/>
  <c r="N165" i="1"/>
  <c r="M169" i="1"/>
  <c r="I181" i="1"/>
  <c r="I141" i="1"/>
  <c r="I155" i="1"/>
  <c r="I164" i="1"/>
  <c r="A1" i="3"/>
  <c r="G182" i="1" l="1"/>
  <c r="D21" i="2"/>
  <c r="G156" i="1"/>
  <c r="G157" i="1" s="1"/>
  <c r="D19" i="2"/>
  <c r="J133" i="1"/>
  <c r="E18" i="2"/>
  <c r="G170" i="1"/>
  <c r="G171" i="1" s="1"/>
  <c r="D20" i="2"/>
  <c r="J148" i="1"/>
  <c r="E19" i="2"/>
  <c r="J162" i="1"/>
  <c r="E20" i="2"/>
  <c r="G142" i="1"/>
  <c r="G143" i="1" s="1"/>
  <c r="D18" i="2"/>
  <c r="G129" i="1"/>
  <c r="G130" i="1" s="1"/>
  <c r="J121" i="1"/>
  <c r="E17" i="2"/>
  <c r="J174" i="1"/>
  <c r="E21" i="2"/>
  <c r="J147" i="1"/>
  <c r="J146" i="1"/>
  <c r="J149" i="1"/>
  <c r="I156" i="1"/>
  <c r="I157" i="1" s="1"/>
  <c r="I129" i="1"/>
  <c r="I130" i="1" s="1"/>
  <c r="J161" i="1"/>
  <c r="N181" i="1"/>
  <c r="O181" i="1" s="1"/>
  <c r="J134" i="1"/>
  <c r="N128" i="1"/>
  <c r="J135" i="1"/>
  <c r="N155" i="1"/>
  <c r="O155" i="1" s="1"/>
  <c r="J175" i="1"/>
  <c r="I142" i="1"/>
  <c r="I143" i="1" s="1"/>
  <c r="I170" i="1"/>
  <c r="I171" i="1" s="1"/>
  <c r="J122" i="1"/>
  <c r="N169" i="1"/>
  <c r="O169" i="1" s="1"/>
  <c r="N141" i="1"/>
  <c r="O141" i="1" s="1"/>
  <c r="J120" i="1"/>
  <c r="I182" i="1"/>
  <c r="J163" i="1"/>
  <c r="L35" i="2"/>
  <c r="G115" i="1"/>
  <c r="I114" i="1"/>
  <c r="M114" i="1" s="1"/>
  <c r="I113" i="1"/>
  <c r="M113" i="1" s="1"/>
  <c r="N113" i="1" s="1"/>
  <c r="I112" i="1"/>
  <c r="M112" i="1" s="1"/>
  <c r="N112" i="1" s="1"/>
  <c r="M111" i="1"/>
  <c r="I109" i="1"/>
  <c r="G109" i="1"/>
  <c r="G108" i="1"/>
  <c r="I107" i="1"/>
  <c r="G107" i="1"/>
  <c r="G18" i="2" l="1"/>
  <c r="G21" i="2"/>
  <c r="G20" i="2"/>
  <c r="G19" i="2"/>
  <c r="G17" i="2"/>
  <c r="J164" i="1"/>
  <c r="J150" i="1"/>
  <c r="J176" i="1"/>
  <c r="J123" i="1"/>
  <c r="J136" i="1"/>
  <c r="G110" i="1"/>
  <c r="D16" i="2" s="1"/>
  <c r="I110" i="1"/>
  <c r="N111" i="1"/>
  <c r="M115" i="1"/>
  <c r="I115" i="1"/>
  <c r="E16" i="2" l="1"/>
  <c r="G116" i="1"/>
  <c r="G117" i="1" s="1"/>
  <c r="J109" i="1"/>
  <c r="J108" i="1"/>
  <c r="J107" i="1"/>
  <c r="I116" i="1"/>
  <c r="I117" i="1" s="1"/>
  <c r="N115" i="1"/>
  <c r="O115" i="1" s="1"/>
  <c r="G16" i="2" l="1"/>
  <c r="J110" i="1"/>
  <c r="G74" i="1" l="1"/>
  <c r="C12" i="2" l="1"/>
  <c r="B12" i="2"/>
  <c r="C10" i="2"/>
  <c r="I95" i="1"/>
  <c r="G95" i="1"/>
  <c r="I70" i="1"/>
  <c r="G70" i="1"/>
  <c r="I58" i="1"/>
  <c r="G58" i="1"/>
  <c r="C134" i="3" l="1"/>
  <c r="C154" i="3"/>
  <c r="D156" i="3"/>
  <c r="D136" i="3"/>
  <c r="C156" i="3"/>
  <c r="C136" i="3"/>
  <c r="I46" i="1"/>
  <c r="G46" i="1"/>
  <c r="G64" i="1" l="1"/>
  <c r="I63" i="1"/>
  <c r="M63" i="1" s="1"/>
  <c r="I62" i="1"/>
  <c r="M62" i="1" s="1"/>
  <c r="N62" i="1" s="1"/>
  <c r="I61" i="1"/>
  <c r="M61" i="1" s="1"/>
  <c r="N61" i="1" s="1"/>
  <c r="M60" i="1"/>
  <c r="I57" i="1"/>
  <c r="G57" i="1"/>
  <c r="I34" i="1"/>
  <c r="G34" i="1"/>
  <c r="I21" i="1"/>
  <c r="G21" i="1"/>
  <c r="I59" i="1" l="1"/>
  <c r="G59" i="1"/>
  <c r="N60" i="1"/>
  <c r="M64" i="1"/>
  <c r="I64" i="1"/>
  <c r="G65" i="1" l="1"/>
  <c r="G66" i="1" s="1"/>
  <c r="D12" i="2"/>
  <c r="E12" i="2"/>
  <c r="J58" i="1"/>
  <c r="I65" i="1"/>
  <c r="I66" i="1" s="1"/>
  <c r="J57" i="1"/>
  <c r="N64" i="1"/>
  <c r="O6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G12" i="2" l="1"/>
  <c r="J59" i="1"/>
  <c r="I51" i="1"/>
  <c r="M51" i="1" s="1"/>
  <c r="I50" i="1"/>
  <c r="M50" i="1" s="1"/>
  <c r="I49" i="1"/>
  <c r="M49" i="1" s="1"/>
  <c r="I101" i="1"/>
  <c r="M101" i="1" s="1"/>
  <c r="I99" i="1"/>
  <c r="M99" i="1" s="1"/>
  <c r="I88" i="1"/>
  <c r="M88" i="1" s="1"/>
  <c r="I87" i="1"/>
  <c r="I86" i="1"/>
  <c r="I75" i="1"/>
  <c r="M75" i="1" s="1"/>
  <c r="I74" i="1"/>
  <c r="I73" i="1"/>
  <c r="M73" i="1" s="1"/>
  <c r="I39" i="1"/>
  <c r="M39" i="1" s="1"/>
  <c r="I38" i="1"/>
  <c r="M38" i="1" s="1"/>
  <c r="I37" i="1"/>
  <c r="M37" i="1" s="1"/>
  <c r="I27" i="1"/>
  <c r="M27" i="1" s="1"/>
  <c r="I25" i="1"/>
  <c r="I14" i="1"/>
  <c r="I12" i="1"/>
  <c r="B31" i="2"/>
  <c r="E31" i="2" l="1"/>
  <c r="M13" i="1"/>
  <c r="M12" i="1"/>
  <c r="M87" i="1"/>
  <c r="M14" i="1"/>
  <c r="M86" i="1"/>
  <c r="M74" i="1"/>
  <c r="I40" i="1"/>
  <c r="M25" i="1"/>
  <c r="G28" i="1"/>
  <c r="G102" i="1"/>
  <c r="I26" i="1"/>
  <c r="I100" i="1"/>
  <c r="G15" i="1"/>
  <c r="G52" i="1"/>
  <c r="D31" i="2"/>
  <c r="G89" i="1"/>
  <c r="G76" i="1"/>
  <c r="G40" i="1"/>
  <c r="M26" i="1" l="1"/>
  <c r="J31" i="2"/>
  <c r="I89" i="1"/>
  <c r="I15" i="1"/>
  <c r="I52" i="1"/>
  <c r="I76" i="1"/>
  <c r="I102" i="1"/>
  <c r="M100" i="1"/>
  <c r="I28" i="1"/>
  <c r="I199" i="1"/>
  <c r="G199" i="1"/>
  <c r="I198" i="1"/>
  <c r="G198" i="1"/>
  <c r="I197" i="1"/>
  <c r="G197" i="1"/>
  <c r="I196" i="1"/>
  <c r="G19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E30" i="2" l="1"/>
  <c r="E29" i="2"/>
  <c r="D30" i="2"/>
  <c r="D29" i="2"/>
  <c r="C9" i="2"/>
  <c r="C13" i="2"/>
  <c r="C14" i="2"/>
  <c r="C15" i="2"/>
  <c r="C11" i="2"/>
  <c r="C22" i="2"/>
  <c r="B22" i="2"/>
  <c r="B11" i="2"/>
  <c r="B15" i="2"/>
  <c r="B14" i="2"/>
  <c r="B13" i="2"/>
  <c r="B10" i="2"/>
  <c r="B9" i="2"/>
  <c r="C8" i="2"/>
  <c r="B8" i="2"/>
  <c r="I83" i="1"/>
  <c r="G83" i="1"/>
  <c r="N74" i="1"/>
  <c r="N73" i="1"/>
  <c r="M72" i="1"/>
  <c r="N38" i="1"/>
  <c r="N37" i="1"/>
  <c r="M36" i="1"/>
  <c r="I33" i="1"/>
  <c r="G33" i="1"/>
  <c r="N25" i="1"/>
  <c r="M24" i="1"/>
  <c r="I22" i="1"/>
  <c r="G22" i="1"/>
  <c r="I20" i="1"/>
  <c r="G20" i="1"/>
  <c r="N87" i="1"/>
  <c r="N86" i="1"/>
  <c r="M85" i="1"/>
  <c r="I82" i="1"/>
  <c r="G82" i="1"/>
  <c r="I81" i="1"/>
  <c r="G81" i="1"/>
  <c r="N100" i="1"/>
  <c r="N99" i="1"/>
  <c r="M98" i="1"/>
  <c r="I96" i="1"/>
  <c r="G96" i="1"/>
  <c r="I94" i="1"/>
  <c r="G94" i="1"/>
  <c r="N50" i="1"/>
  <c r="N49" i="1"/>
  <c r="M48" i="1"/>
  <c r="I45" i="1"/>
  <c r="G45" i="1"/>
  <c r="D135" i="3" l="1"/>
  <c r="D155" i="3"/>
  <c r="D157" i="3"/>
  <c r="D137" i="3"/>
  <c r="D139" i="3"/>
  <c r="D159" i="3"/>
  <c r="C132" i="3"/>
  <c r="C152" i="3"/>
  <c r="D146" i="3"/>
  <c r="D166" i="3"/>
  <c r="D138" i="3"/>
  <c r="D158" i="3"/>
  <c r="C153" i="3"/>
  <c r="C133" i="3"/>
  <c r="C146" i="3"/>
  <c r="C166" i="3"/>
  <c r="C157" i="3"/>
  <c r="C137" i="3"/>
  <c r="D132" i="3"/>
  <c r="D152" i="3"/>
  <c r="D153" i="3"/>
  <c r="D133" i="3"/>
  <c r="C155" i="3"/>
  <c r="C135" i="3"/>
  <c r="C138" i="3"/>
  <c r="C158" i="3"/>
  <c r="D154" i="3"/>
  <c r="D134" i="3"/>
  <c r="C139" i="3"/>
  <c r="C159" i="3"/>
  <c r="N48" i="1"/>
  <c r="M52" i="1"/>
  <c r="N98" i="1"/>
  <c r="M102" i="1"/>
  <c r="N85" i="1"/>
  <c r="M89" i="1"/>
  <c r="N72" i="1"/>
  <c r="M76" i="1"/>
  <c r="N36" i="1"/>
  <c r="M40" i="1"/>
  <c r="N24" i="1"/>
  <c r="M28" i="1"/>
  <c r="N28" i="1" s="1"/>
  <c r="O28" i="1" s="1"/>
  <c r="G215" i="1"/>
  <c r="E28" i="2"/>
  <c r="E32" i="2" s="1"/>
  <c r="G35" i="1"/>
  <c r="D10" i="2" s="1"/>
  <c r="D28" i="2"/>
  <c r="D32" i="2" s="1"/>
  <c r="G71" i="1"/>
  <c r="I71" i="1"/>
  <c r="I35" i="1"/>
  <c r="G23" i="1"/>
  <c r="N26" i="1"/>
  <c r="I23" i="1"/>
  <c r="J22" i="1" s="1"/>
  <c r="G84" i="1"/>
  <c r="I47" i="1"/>
  <c r="G97" i="1"/>
  <c r="D15" i="2" s="1"/>
  <c r="I84" i="1"/>
  <c r="J81" i="1" s="1"/>
  <c r="I97" i="1"/>
  <c r="G47" i="1"/>
  <c r="G186" i="1"/>
  <c r="I186" i="1"/>
  <c r="G205" i="1"/>
  <c r="M203" i="1"/>
  <c r="M202" i="1"/>
  <c r="M201" i="1"/>
  <c r="B29" i="2"/>
  <c r="B30" i="2"/>
  <c r="B28" i="2"/>
  <c r="M11" i="1"/>
  <c r="I9" i="1"/>
  <c r="I8" i="1"/>
  <c r="G9" i="1"/>
  <c r="G8" i="1"/>
  <c r="A2" i="1"/>
  <c r="A1" i="1"/>
  <c r="A8" i="2"/>
  <c r="J70" i="1" l="1"/>
  <c r="O71" i="1"/>
  <c r="J82" i="1"/>
  <c r="M15" i="1"/>
  <c r="J83" i="1"/>
  <c r="N201" i="1"/>
  <c r="J95" i="1"/>
  <c r="E10" i="2"/>
  <c r="J34" i="1"/>
  <c r="N202" i="1"/>
  <c r="J96" i="1"/>
  <c r="N203" i="1"/>
  <c r="J30" i="2"/>
  <c r="J21" i="1"/>
  <c r="J46" i="1"/>
  <c r="J33" i="1"/>
  <c r="J94" i="1"/>
  <c r="J20" i="1"/>
  <c r="J45" i="1"/>
  <c r="G41" i="1"/>
  <c r="G42" i="1" s="1"/>
  <c r="N12" i="1"/>
  <c r="J29" i="2"/>
  <c r="N13" i="1"/>
  <c r="G77" i="1"/>
  <c r="D13" i="2"/>
  <c r="G29" i="1"/>
  <c r="G30" i="1" s="1"/>
  <c r="D9" i="2"/>
  <c r="I41" i="1"/>
  <c r="I42" i="1" s="1"/>
  <c r="G53" i="1"/>
  <c r="G54" i="1" s="1"/>
  <c r="D11" i="2"/>
  <c r="I53" i="1"/>
  <c r="I54" i="1" s="1"/>
  <c r="E11" i="2"/>
  <c r="I29" i="1"/>
  <c r="I30" i="1" s="1"/>
  <c r="E9" i="2"/>
  <c r="I90" i="1"/>
  <c r="I91" i="1" s="1"/>
  <c r="E14" i="2"/>
  <c r="I103" i="1"/>
  <c r="I104" i="1" s="1"/>
  <c r="E15" i="2"/>
  <c r="G103" i="1"/>
  <c r="G104" i="1" s="1"/>
  <c r="G90" i="1"/>
  <c r="G91" i="1" s="1"/>
  <c r="D14" i="2"/>
  <c r="I77" i="1"/>
  <c r="O77" i="1" s="1"/>
  <c r="E13" i="2"/>
  <c r="N40" i="1"/>
  <c r="O40" i="1" s="1"/>
  <c r="N76" i="1"/>
  <c r="O76" i="1" s="1"/>
  <c r="N89" i="1"/>
  <c r="O89" i="1" s="1"/>
  <c r="N102" i="1"/>
  <c r="O102" i="1" s="1"/>
  <c r="N52" i="1"/>
  <c r="O52" i="1" s="1"/>
  <c r="G10" i="1"/>
  <c r="I10" i="1"/>
  <c r="I205" i="1"/>
  <c r="I200" i="1"/>
  <c r="G200" i="1"/>
  <c r="N11" i="1"/>
  <c r="G216" i="1" l="1"/>
  <c r="G11" i="2"/>
  <c r="G13" i="2"/>
  <c r="G15" i="2"/>
  <c r="G10" i="2"/>
  <c r="G14" i="2"/>
  <c r="G9" i="2"/>
  <c r="D22" i="2"/>
  <c r="J47" i="1"/>
  <c r="J97" i="1"/>
  <c r="J35" i="1"/>
  <c r="J28" i="2"/>
  <c r="J32" i="2" s="1"/>
  <c r="J23" i="1"/>
  <c r="E22" i="2"/>
  <c r="J84" i="1"/>
  <c r="J193" i="1"/>
  <c r="J197" i="1"/>
  <c r="J194" i="1"/>
  <c r="J191" i="1"/>
  <c r="J192" i="1"/>
  <c r="J198" i="1"/>
  <c r="J195" i="1"/>
  <c r="J199" i="1"/>
  <c r="J196" i="1"/>
  <c r="J190" i="1"/>
  <c r="J188" i="1"/>
  <c r="J189" i="1"/>
  <c r="J187" i="1"/>
  <c r="J9" i="1"/>
  <c r="J8" i="1"/>
  <c r="J71" i="1"/>
  <c r="G206" i="1"/>
  <c r="E8" i="2"/>
  <c r="G16" i="1"/>
  <c r="D8" i="2"/>
  <c r="J186" i="1"/>
  <c r="I206" i="1"/>
  <c r="M205" i="1"/>
  <c r="I16" i="1"/>
  <c r="I17" i="1" s="1"/>
  <c r="N15" i="1"/>
  <c r="G22" i="2" l="1"/>
  <c r="G8" i="2"/>
  <c r="G23" i="2" s="1"/>
  <c r="D23" i="2"/>
  <c r="D25" i="2" s="1"/>
  <c r="D34" i="2" s="1"/>
  <c r="E23" i="2"/>
  <c r="G17" i="1"/>
  <c r="J200" i="1"/>
  <c r="N205" i="1"/>
  <c r="O205" i="1" s="1"/>
  <c r="J10" i="1"/>
  <c r="E25" i="2" l="1"/>
  <c r="F18" i="2"/>
  <c r="F17" i="2"/>
  <c r="F21" i="2"/>
  <c r="F16" i="2"/>
  <c r="F20" i="2"/>
  <c r="F19" i="2"/>
  <c r="G25" i="2"/>
  <c r="H18" i="2"/>
  <c r="H21" i="2"/>
  <c r="H16" i="2"/>
  <c r="H19" i="2"/>
  <c r="H17" i="2"/>
  <c r="H20" i="2"/>
  <c r="H22" i="2"/>
  <c r="H8" i="2"/>
  <c r="F12" i="2"/>
  <c r="H12" i="2"/>
  <c r="H15" i="2"/>
  <c r="H14" i="2"/>
  <c r="H10" i="2"/>
  <c r="H9" i="2"/>
  <c r="H11" i="2"/>
  <c r="H13" i="2"/>
  <c r="F8" i="2"/>
  <c r="F10" i="2"/>
  <c r="F22" i="2"/>
  <c r="F23" i="2"/>
  <c r="F25" i="2" s="1"/>
  <c r="F9" i="2"/>
  <c r="F15" i="2"/>
  <c r="F11" i="2"/>
  <c r="F14" i="2"/>
  <c r="F13" i="2"/>
  <c r="I17" i="2" l="1"/>
  <c r="K123" i="1" s="1"/>
  <c r="I19" i="2"/>
  <c r="K150" i="1" s="1"/>
  <c r="I20" i="2"/>
  <c r="I21" i="2"/>
  <c r="K176" i="1" s="1"/>
  <c r="I18" i="2"/>
  <c r="K136" i="1" s="1"/>
  <c r="I14" i="2"/>
  <c r="K84" i="1" s="1"/>
  <c r="I16" i="2"/>
  <c r="K110" i="1" s="1"/>
  <c r="S110" i="1" s="1"/>
  <c r="E34" i="2"/>
  <c r="I12" i="2"/>
  <c r="K59" i="1" s="1"/>
  <c r="I13" i="2"/>
  <c r="K71" i="1" s="1"/>
  <c r="K72" i="1" s="1"/>
  <c r="I15" i="2"/>
  <c r="K97" i="1" s="1"/>
  <c r="I8" i="2"/>
  <c r="K10" i="1" s="1"/>
  <c r="I9" i="2"/>
  <c r="K23" i="1" s="1"/>
  <c r="I22" i="2"/>
  <c r="K200" i="1" s="1"/>
  <c r="I11" i="2"/>
  <c r="K47" i="1" s="1"/>
  <c r="I10" i="2"/>
  <c r="K35" i="1" s="1"/>
  <c r="S123" i="1" l="1"/>
  <c r="L122" i="1" s="1"/>
  <c r="S176" i="1"/>
  <c r="S200" i="1"/>
  <c r="L197" i="1" s="1"/>
  <c r="S23" i="1"/>
  <c r="L20" i="1" s="1"/>
  <c r="G9" i="3" s="1"/>
  <c r="J9" i="3" s="1"/>
  <c r="K164" i="1"/>
  <c r="S10" i="1"/>
  <c r="L9" i="1" s="1"/>
  <c r="S97" i="1"/>
  <c r="S47" i="1"/>
  <c r="L46" i="1" s="1"/>
  <c r="G16" i="3" s="1"/>
  <c r="J16" i="3" s="1"/>
  <c r="S84" i="1"/>
  <c r="L83" i="1" s="1"/>
  <c r="S150" i="1"/>
  <c r="L149" i="1" s="1"/>
  <c r="G42" i="3" s="1"/>
  <c r="J42" i="3" s="1"/>
  <c r="S35" i="1"/>
  <c r="S59" i="1"/>
  <c r="L57" i="1" s="1"/>
  <c r="S136" i="1"/>
  <c r="L108" i="1"/>
  <c r="L107" i="1"/>
  <c r="G27" i="3" s="1"/>
  <c r="J27" i="3" s="1"/>
  <c r="L109" i="1"/>
  <c r="G29" i="3" s="1"/>
  <c r="J29" i="3" s="1"/>
  <c r="L120" i="1"/>
  <c r="G31" i="3" s="1"/>
  <c r="J31" i="3" s="1"/>
  <c r="L121" i="1"/>
  <c r="L224" i="1" s="1"/>
  <c r="I23" i="2"/>
  <c r="I25" i="2" s="1"/>
  <c r="G7" i="3" l="1"/>
  <c r="J7" i="3" s="1"/>
  <c r="G25" i="3"/>
  <c r="J25" i="3" s="1"/>
  <c r="L95" i="1"/>
  <c r="L260" i="1"/>
  <c r="G103" i="3" s="1"/>
  <c r="J103" i="3" s="1"/>
  <c r="L255" i="1"/>
  <c r="G98" i="3" s="1"/>
  <c r="J98" i="3" s="1"/>
  <c r="L250" i="1"/>
  <c r="G93" i="3" s="1"/>
  <c r="J93" i="3" s="1"/>
  <c r="L240" i="1"/>
  <c r="G83" i="3" s="1"/>
  <c r="J83" i="3" s="1"/>
  <c r="L228" i="1"/>
  <c r="G67" i="3"/>
  <c r="J67" i="3" s="1"/>
  <c r="L236" i="1"/>
  <c r="G79" i="3" s="1"/>
  <c r="J79" i="3" s="1"/>
  <c r="L232" i="1"/>
  <c r="G75" i="3" s="1"/>
  <c r="J75" i="3" s="1"/>
  <c r="G18" i="3"/>
  <c r="J18" i="3" s="1"/>
  <c r="L94" i="1"/>
  <c r="L191" i="1"/>
  <c r="M191" i="1" s="1"/>
  <c r="N191" i="1" s="1"/>
  <c r="O191" i="1" s="1"/>
  <c r="L194" i="1"/>
  <c r="G59" i="3" s="1"/>
  <c r="J59" i="3" s="1"/>
  <c r="L195" i="1"/>
  <c r="G60" i="3" s="1"/>
  <c r="J60" i="3" s="1"/>
  <c r="L146" i="1"/>
  <c r="G39" i="3" s="1"/>
  <c r="J39" i="3" s="1"/>
  <c r="L147" i="1"/>
  <c r="L8" i="1"/>
  <c r="L22" i="1"/>
  <c r="G11" i="3" s="1"/>
  <c r="J11" i="3" s="1"/>
  <c r="L21" i="1"/>
  <c r="G10" i="3" s="1"/>
  <c r="J10" i="3" s="1"/>
  <c r="L199" i="1"/>
  <c r="G64" i="3" s="1"/>
  <c r="J64" i="3" s="1"/>
  <c r="L148" i="1"/>
  <c r="G41" i="3" s="1"/>
  <c r="J41" i="3" s="1"/>
  <c r="L196" i="1"/>
  <c r="G61" i="3" s="1"/>
  <c r="J61" i="3" s="1"/>
  <c r="L190" i="1"/>
  <c r="G55" i="3" s="1"/>
  <c r="J55" i="3" s="1"/>
  <c r="L192" i="1"/>
  <c r="G57" i="3" s="1"/>
  <c r="J57" i="3" s="1"/>
  <c r="L189" i="1"/>
  <c r="G54" i="3" s="1"/>
  <c r="J54" i="3" s="1"/>
  <c r="L193" i="1"/>
  <c r="G58" i="3" s="1"/>
  <c r="J58" i="3" s="1"/>
  <c r="L186" i="1"/>
  <c r="G51" i="3" s="1"/>
  <c r="J51" i="3" s="1"/>
  <c r="L198" i="1"/>
  <c r="G63" i="3" s="1"/>
  <c r="J63" i="3" s="1"/>
  <c r="L187" i="1"/>
  <c r="G52" i="3" s="1"/>
  <c r="J52" i="3" s="1"/>
  <c r="L58" i="1"/>
  <c r="G19" i="3" s="1"/>
  <c r="J19" i="3" s="1"/>
  <c r="L188" i="1"/>
  <c r="G53" i="3" s="1"/>
  <c r="J53" i="3" s="1"/>
  <c r="L45" i="1"/>
  <c r="M45" i="1" s="1"/>
  <c r="N45" i="1" s="1"/>
  <c r="L174" i="1"/>
  <c r="L175" i="1"/>
  <c r="L81" i="1"/>
  <c r="G23" i="3" s="1"/>
  <c r="J23" i="3" s="1"/>
  <c r="L82" i="1"/>
  <c r="S164" i="1"/>
  <c r="L160" i="1" s="1"/>
  <c r="G44" i="3" s="1"/>
  <c r="T108" i="1"/>
  <c r="G28" i="3"/>
  <c r="J28" i="3" s="1"/>
  <c r="M122" i="1"/>
  <c r="G33" i="3"/>
  <c r="J33" i="3" s="1"/>
  <c r="M121" i="1"/>
  <c r="G32" i="3"/>
  <c r="J32" i="3" s="1"/>
  <c r="T197" i="1"/>
  <c r="G62" i="3"/>
  <c r="J62" i="3" s="1"/>
  <c r="L133" i="1"/>
  <c r="L135" i="1"/>
  <c r="G37" i="3" s="1"/>
  <c r="J37" i="3" s="1"/>
  <c r="L134" i="1"/>
  <c r="G36" i="3" s="1"/>
  <c r="J36" i="3" s="1"/>
  <c r="T149" i="1"/>
  <c r="M149" i="1"/>
  <c r="N149" i="1" s="1"/>
  <c r="O149" i="1" s="1"/>
  <c r="M109" i="1"/>
  <c r="N109" i="1" s="1"/>
  <c r="O109" i="1" s="1"/>
  <c r="T109" i="1"/>
  <c r="T107" i="1"/>
  <c r="M107" i="1"/>
  <c r="N107" i="1" s="1"/>
  <c r="M108" i="1"/>
  <c r="N108" i="1" s="1"/>
  <c r="O108" i="1" s="1"/>
  <c r="T121" i="1"/>
  <c r="T120" i="1"/>
  <c r="M120" i="1"/>
  <c r="T122" i="1"/>
  <c r="L34" i="1"/>
  <c r="G14" i="3" s="1"/>
  <c r="J14" i="3" s="1"/>
  <c r="M46" i="1"/>
  <c r="N46" i="1" s="1"/>
  <c r="O46" i="1" s="1"/>
  <c r="M197" i="1"/>
  <c r="N197" i="1" s="1"/>
  <c r="O197" i="1" s="1"/>
  <c r="M95" i="1"/>
  <c r="N95" i="1" s="1"/>
  <c r="O95" i="1" s="1"/>
  <c r="M9" i="1"/>
  <c r="N9" i="1" s="1"/>
  <c r="O9" i="1" s="1"/>
  <c r="T46" i="1"/>
  <c r="T20" i="1"/>
  <c r="T57" i="1"/>
  <c r="M57" i="1"/>
  <c r="N57" i="1" s="1"/>
  <c r="M20" i="1"/>
  <c r="N20" i="1" s="1"/>
  <c r="T9" i="1"/>
  <c r="M83" i="1"/>
  <c r="N83" i="1" s="1"/>
  <c r="O83" i="1" s="1"/>
  <c r="G6" i="3" l="1"/>
  <c r="J6" i="3" s="1"/>
  <c r="T199" i="1"/>
  <c r="M198" i="1"/>
  <c r="N198" i="1" s="1"/>
  <c r="O198" i="1" s="1"/>
  <c r="M199" i="1"/>
  <c r="N199" i="1" s="1"/>
  <c r="O199" i="1" s="1"/>
  <c r="G56" i="3"/>
  <c r="J56" i="3" s="1"/>
  <c r="T191" i="1"/>
  <c r="M194" i="1"/>
  <c r="N194" i="1" s="1"/>
  <c r="O194" i="1" s="1"/>
  <c r="G24" i="3"/>
  <c r="J24" i="3" s="1"/>
  <c r="L96" i="1"/>
  <c r="T195" i="1"/>
  <c r="M160" i="1"/>
  <c r="N160" i="1" s="1"/>
  <c r="T160" i="1"/>
  <c r="G71" i="3"/>
  <c r="J71" i="3" s="1"/>
  <c r="L245" i="1"/>
  <c r="G88" i="3" s="1"/>
  <c r="J88" i="3" s="1"/>
  <c r="G40" i="3"/>
  <c r="J40" i="3" s="1"/>
  <c r="L265" i="1"/>
  <c r="T194" i="1"/>
  <c r="M94" i="1"/>
  <c r="N94" i="1" s="1"/>
  <c r="T21" i="1"/>
  <c r="T188" i="1"/>
  <c r="T192" i="1"/>
  <c r="M8" i="1"/>
  <c r="N8" i="1" s="1"/>
  <c r="O8" i="1" s="1"/>
  <c r="L33" i="1"/>
  <c r="G13" i="3" s="1"/>
  <c r="J13" i="3" s="1"/>
  <c r="T94" i="1"/>
  <c r="M195" i="1"/>
  <c r="N195" i="1" s="1"/>
  <c r="O195" i="1" s="1"/>
  <c r="T95" i="1"/>
  <c r="M58" i="1"/>
  <c r="N58" i="1" s="1"/>
  <c r="O58" i="1" s="1"/>
  <c r="M188" i="1"/>
  <c r="N188" i="1" s="1"/>
  <c r="O188" i="1" s="1"/>
  <c r="M146" i="1"/>
  <c r="N146" i="1" s="1"/>
  <c r="M190" i="1"/>
  <c r="N190" i="1" s="1"/>
  <c r="O190" i="1" s="1"/>
  <c r="M22" i="1"/>
  <c r="N22" i="1" s="1"/>
  <c r="O22" i="1" s="1"/>
  <c r="M193" i="1"/>
  <c r="N193" i="1" s="1"/>
  <c r="O193" i="1" s="1"/>
  <c r="M21" i="1"/>
  <c r="N21" i="1" s="1"/>
  <c r="O21" i="1" s="1"/>
  <c r="T22" i="1"/>
  <c r="T193" i="1"/>
  <c r="T198" i="1"/>
  <c r="T190" i="1"/>
  <c r="T146" i="1"/>
  <c r="T148" i="1"/>
  <c r="M148" i="1"/>
  <c r="N148" i="1" s="1"/>
  <c r="O148" i="1" s="1"/>
  <c r="M192" i="1"/>
  <c r="N192" i="1" s="1"/>
  <c r="O192" i="1" s="1"/>
  <c r="T58" i="1"/>
  <c r="M196" i="1"/>
  <c r="N196" i="1" s="1"/>
  <c r="O196" i="1" s="1"/>
  <c r="T147" i="1"/>
  <c r="T196" i="1"/>
  <c r="T8" i="1"/>
  <c r="M147" i="1"/>
  <c r="N147" i="1" s="1"/>
  <c r="O147" i="1" s="1"/>
  <c r="O70" i="1"/>
  <c r="T189" i="1"/>
  <c r="M189" i="1"/>
  <c r="N189" i="1" s="1"/>
  <c r="O189" i="1" s="1"/>
  <c r="M186" i="1"/>
  <c r="N186" i="1" s="1"/>
  <c r="O186" i="1" s="1"/>
  <c r="T186" i="1"/>
  <c r="M187" i="1"/>
  <c r="N187" i="1" s="1"/>
  <c r="O187" i="1" s="1"/>
  <c r="T187" i="1"/>
  <c r="T81" i="1"/>
  <c r="M81" i="1"/>
  <c r="N81" i="1" s="1"/>
  <c r="O81" i="1" s="1"/>
  <c r="O45" i="1"/>
  <c r="N47" i="1"/>
  <c r="O107" i="1"/>
  <c r="N110" i="1"/>
  <c r="L163" i="1"/>
  <c r="G47" i="3" s="1"/>
  <c r="J47" i="3" s="1"/>
  <c r="L161" i="1"/>
  <c r="L162" i="1"/>
  <c r="G46" i="3" s="1"/>
  <c r="O20" i="1"/>
  <c r="O57" i="1"/>
  <c r="G49" i="3"/>
  <c r="J49" i="3" s="1"/>
  <c r="T175" i="1"/>
  <c r="M175" i="1"/>
  <c r="M174" i="1"/>
  <c r="T174" i="1"/>
  <c r="M133" i="1"/>
  <c r="N133" i="1" s="1"/>
  <c r="G35" i="3"/>
  <c r="J35" i="3" s="1"/>
  <c r="M110" i="1"/>
  <c r="P107" i="1" s="1"/>
  <c r="T34" i="1"/>
  <c r="M134" i="1"/>
  <c r="T134" i="1"/>
  <c r="T135" i="1"/>
  <c r="M135" i="1"/>
  <c r="M34" i="1"/>
  <c r="N122" i="1"/>
  <c r="O122" i="1" s="1"/>
  <c r="M123" i="1"/>
  <c r="P120" i="1" s="1"/>
  <c r="Q120" i="1" s="1"/>
  <c r="N120" i="1"/>
  <c r="N121" i="1"/>
  <c r="O121" i="1" s="1"/>
  <c r="M10" i="1"/>
  <c r="P8" i="1" s="1"/>
  <c r="M47" i="1"/>
  <c r="R47" i="1" s="1"/>
  <c r="T83" i="1"/>
  <c r="T82" i="1"/>
  <c r="M82" i="1"/>
  <c r="M96" i="1" l="1"/>
  <c r="T96" i="1"/>
  <c r="T161" i="1"/>
  <c r="G45" i="3"/>
  <c r="J45" i="3" s="1"/>
  <c r="N10" i="1"/>
  <c r="L270" i="1"/>
  <c r="G113" i="3" s="1"/>
  <c r="J113" i="3" s="1"/>
  <c r="L275" i="1"/>
  <c r="G118" i="3" s="1"/>
  <c r="J118" i="3" s="1"/>
  <c r="G108" i="3"/>
  <c r="J108" i="3" s="1"/>
  <c r="L280" i="1"/>
  <c r="G123" i="3" s="1"/>
  <c r="J123" i="3" s="1"/>
  <c r="M23" i="1"/>
  <c r="R23" i="1" s="1"/>
  <c r="M33" i="1"/>
  <c r="N33" i="1" s="1"/>
  <c r="O33" i="1" s="1"/>
  <c r="N23" i="1"/>
  <c r="O23" i="1" s="1"/>
  <c r="M59" i="1"/>
  <c r="J12" i="2" s="1"/>
  <c r="O12" i="2" s="1"/>
  <c r="N59" i="1"/>
  <c r="M150" i="1"/>
  <c r="P146" i="1" s="1"/>
  <c r="Q146" i="1" s="1"/>
  <c r="M200" i="1"/>
  <c r="P199" i="1" s="1"/>
  <c r="Q199" i="1" s="1"/>
  <c r="N200" i="1"/>
  <c r="O200" i="1" s="1"/>
  <c r="O120" i="1"/>
  <c r="N123" i="1"/>
  <c r="O133" i="1"/>
  <c r="N174" i="1"/>
  <c r="M176" i="1"/>
  <c r="P174" i="1" s="1"/>
  <c r="Q174" i="1" s="1"/>
  <c r="O94" i="1"/>
  <c r="O146" i="1"/>
  <c r="N150" i="1"/>
  <c r="T162" i="1"/>
  <c r="M162" i="1"/>
  <c r="N162" i="1" s="1"/>
  <c r="O162" i="1" s="1"/>
  <c r="N175" i="1"/>
  <c r="O175" i="1" s="1"/>
  <c r="M161" i="1"/>
  <c r="J44" i="3"/>
  <c r="J46" i="3"/>
  <c r="T163" i="1"/>
  <c r="M163" i="1"/>
  <c r="P160" i="1" s="1"/>
  <c r="Q160" i="1" s="1"/>
  <c r="M116" i="1"/>
  <c r="L16" i="2"/>
  <c r="R110" i="1"/>
  <c r="P109" i="1"/>
  <c r="Q109" i="1" s="1"/>
  <c r="P108" i="1"/>
  <c r="Q108" i="1" s="1"/>
  <c r="J16" i="2"/>
  <c r="O16" i="2" s="1"/>
  <c r="P46" i="1"/>
  <c r="Q46" i="1" s="1"/>
  <c r="M136" i="1"/>
  <c r="P133" i="1" s="1"/>
  <c r="N34" i="1"/>
  <c r="O34" i="1" s="1"/>
  <c r="N135" i="1"/>
  <c r="O135" i="1" s="1"/>
  <c r="N134" i="1"/>
  <c r="O134" i="1" s="1"/>
  <c r="P45" i="1"/>
  <c r="Q45" i="1" s="1"/>
  <c r="P121" i="1"/>
  <c r="Q121" i="1" s="1"/>
  <c r="M53" i="1"/>
  <c r="M54" i="1" s="1"/>
  <c r="N54" i="1" s="1"/>
  <c r="L11" i="2"/>
  <c r="J11" i="2"/>
  <c r="O11" i="2" s="1"/>
  <c r="R123" i="1"/>
  <c r="M129" i="1"/>
  <c r="J17" i="2"/>
  <c r="O17" i="2" s="1"/>
  <c r="P122" i="1"/>
  <c r="Q122" i="1" s="1"/>
  <c r="J8" i="2"/>
  <c r="O8" i="2" s="1"/>
  <c r="O13" i="2"/>
  <c r="O10" i="1"/>
  <c r="P9" i="1"/>
  <c r="Q9" i="1" s="1"/>
  <c r="M16" i="1"/>
  <c r="M17" i="1" s="1"/>
  <c r="N17" i="1" s="1"/>
  <c r="R10" i="1"/>
  <c r="N82" i="1"/>
  <c r="M84" i="1"/>
  <c r="O110" i="1"/>
  <c r="Q107" i="1"/>
  <c r="R59" i="1"/>
  <c r="Q8" i="1"/>
  <c r="P198" i="1" l="1"/>
  <c r="Q198" i="1" s="1"/>
  <c r="P194" i="1"/>
  <c r="Q194" i="1" s="1"/>
  <c r="N96" i="1"/>
  <c r="M97" i="1"/>
  <c r="J9" i="2"/>
  <c r="O9" i="2" s="1"/>
  <c r="M29" i="1"/>
  <c r="M30" i="1" s="1"/>
  <c r="N30" i="1" s="1"/>
  <c r="F153" i="3" s="1"/>
  <c r="P20" i="1"/>
  <c r="Q20" i="1" s="1"/>
  <c r="P193" i="1"/>
  <c r="Q193" i="1" s="1"/>
  <c r="P21" i="1"/>
  <c r="Q21" i="1" s="1"/>
  <c r="P22" i="1"/>
  <c r="Q22" i="1" s="1"/>
  <c r="P197" i="1"/>
  <c r="Q197" i="1" s="1"/>
  <c r="P58" i="1"/>
  <c r="Q58" i="1" s="1"/>
  <c r="P57" i="1"/>
  <c r="Q57" i="1" s="1"/>
  <c r="M35" i="1"/>
  <c r="P33" i="1" s="1"/>
  <c r="Q33" i="1" s="1"/>
  <c r="P188" i="1"/>
  <c r="Q188" i="1" s="1"/>
  <c r="P192" i="1"/>
  <c r="Q192" i="1" s="1"/>
  <c r="J22" i="2"/>
  <c r="L22" i="2" s="1"/>
  <c r="M22" i="2" s="1"/>
  <c r="P147" i="1"/>
  <c r="P195" i="1"/>
  <c r="Q195" i="1" s="1"/>
  <c r="P148" i="1"/>
  <c r="Q148" i="1" s="1"/>
  <c r="M156" i="1"/>
  <c r="M157" i="1" s="1"/>
  <c r="N157" i="1" s="1"/>
  <c r="P187" i="1"/>
  <c r="Q187" i="1" s="1"/>
  <c r="R200" i="1"/>
  <c r="P186" i="1"/>
  <c r="Q186" i="1" s="1"/>
  <c r="J19" i="2"/>
  <c r="O19" i="2" s="1"/>
  <c r="P189" i="1"/>
  <c r="Q189" i="1" s="1"/>
  <c r="P190" i="1"/>
  <c r="Q190" i="1" s="1"/>
  <c r="P196" i="1"/>
  <c r="Q196" i="1" s="1"/>
  <c r="M65" i="1"/>
  <c r="M66" i="1" s="1"/>
  <c r="N66" i="1" s="1"/>
  <c r="M206" i="1"/>
  <c r="N206" i="1" s="1"/>
  <c r="O206" i="1" s="1"/>
  <c r="N22" i="2" s="1"/>
  <c r="P191" i="1"/>
  <c r="Q191" i="1" s="1"/>
  <c r="P149" i="1"/>
  <c r="Q149" i="1" s="1"/>
  <c r="R150" i="1"/>
  <c r="O54" i="1"/>
  <c r="F155" i="3"/>
  <c r="O17" i="1"/>
  <c r="F152" i="3"/>
  <c r="N116" i="1"/>
  <c r="O116" i="1" s="1"/>
  <c r="N16" i="2" s="1"/>
  <c r="M117" i="1"/>
  <c r="N117" i="1" s="1"/>
  <c r="F160" i="3" s="1"/>
  <c r="P34" i="1"/>
  <c r="Q34" i="1" s="1"/>
  <c r="N35" i="1"/>
  <c r="O35" i="1" s="1"/>
  <c r="M11" i="2"/>
  <c r="F135" i="3"/>
  <c r="M16" i="2"/>
  <c r="F140" i="3"/>
  <c r="P175" i="1"/>
  <c r="Q175" i="1" s="1"/>
  <c r="N163" i="1"/>
  <c r="O163" i="1" s="1"/>
  <c r="J21" i="2"/>
  <c r="O21" i="2" s="1"/>
  <c r="R176" i="1"/>
  <c r="M182" i="1"/>
  <c r="N182" i="1" s="1"/>
  <c r="O174" i="1"/>
  <c r="N176" i="1"/>
  <c r="N136" i="1"/>
  <c r="O136" i="1" s="1"/>
  <c r="O82" i="1"/>
  <c r="N84" i="1"/>
  <c r="N161" i="1"/>
  <c r="M164" i="1"/>
  <c r="P161" i="1" s="1"/>
  <c r="M13" i="2"/>
  <c r="P110" i="1"/>
  <c r="Q110" i="1" s="1"/>
  <c r="O47" i="1"/>
  <c r="N53" i="1"/>
  <c r="P135" i="1"/>
  <c r="J18" i="2"/>
  <c r="O18" i="2" s="1"/>
  <c r="M142" i="1"/>
  <c r="N142" i="1" s="1"/>
  <c r="P134" i="1"/>
  <c r="R136" i="1"/>
  <c r="P47" i="1"/>
  <c r="Q47" i="1" s="1"/>
  <c r="O150" i="1"/>
  <c r="L19" i="2"/>
  <c r="P123" i="1"/>
  <c r="Q123" i="1" s="1"/>
  <c r="N129" i="1"/>
  <c r="M130" i="1"/>
  <c r="N130" i="1" s="1"/>
  <c r="O123" i="1"/>
  <c r="L17" i="2"/>
  <c r="N16" i="1"/>
  <c r="L8" i="2"/>
  <c r="P10" i="1"/>
  <c r="Q10" i="1" s="1"/>
  <c r="L9" i="2"/>
  <c r="R84" i="1"/>
  <c r="P81" i="1"/>
  <c r="P82" i="1"/>
  <c r="Q82" i="1" s="1"/>
  <c r="P83" i="1"/>
  <c r="Q83" i="1" s="1"/>
  <c r="J14" i="2"/>
  <c r="O14" i="2" s="1"/>
  <c r="M90" i="1"/>
  <c r="O59" i="1"/>
  <c r="L12" i="2"/>
  <c r="R35" i="1" l="1"/>
  <c r="M41" i="1"/>
  <c r="M42" i="1" s="1"/>
  <c r="N42" i="1" s="1"/>
  <c r="O30" i="1"/>
  <c r="P94" i="1"/>
  <c r="P96" i="1"/>
  <c r="Q96" i="1" s="1"/>
  <c r="J15" i="2"/>
  <c r="O15" i="2" s="1"/>
  <c r="R97" i="1"/>
  <c r="P95" i="1"/>
  <c r="Q95" i="1" s="1"/>
  <c r="M103" i="1"/>
  <c r="N29" i="1"/>
  <c r="O29" i="1" s="1"/>
  <c r="N9" i="2" s="1"/>
  <c r="O96" i="1"/>
  <c r="N97" i="1"/>
  <c r="J10" i="2"/>
  <c r="O10" i="2" s="1"/>
  <c r="P23" i="1"/>
  <c r="Q23" i="1" s="1"/>
  <c r="P59" i="1"/>
  <c r="Q59" i="1" s="1"/>
  <c r="F146" i="3"/>
  <c r="O22" i="2"/>
  <c r="N65" i="1"/>
  <c r="O65" i="1" s="1"/>
  <c r="N12" i="2" s="1"/>
  <c r="N156" i="1"/>
  <c r="P200" i="1"/>
  <c r="Q200" i="1" s="1"/>
  <c r="P35" i="1"/>
  <c r="Q35" i="1" s="1"/>
  <c r="P176" i="1"/>
  <c r="Q176" i="1" s="1"/>
  <c r="O157" i="1"/>
  <c r="F163" i="3"/>
  <c r="O130" i="1"/>
  <c r="F161" i="3"/>
  <c r="N90" i="1"/>
  <c r="M91" i="1"/>
  <c r="N91" i="1" s="1"/>
  <c r="F158" i="3" s="1"/>
  <c r="O42" i="1"/>
  <c r="F154" i="3"/>
  <c r="O66" i="1"/>
  <c r="F156" i="3"/>
  <c r="N41" i="1"/>
  <c r="O41" i="1" s="1"/>
  <c r="N10" i="2" s="1"/>
  <c r="L10" i="2"/>
  <c r="M10" i="2" s="1"/>
  <c r="O90" i="1"/>
  <c r="N14" i="2" s="1"/>
  <c r="M9" i="2"/>
  <c r="F133" i="3"/>
  <c r="O16" i="1"/>
  <c r="N8" i="2" s="1"/>
  <c r="M19" i="2"/>
  <c r="F143" i="3"/>
  <c r="O142" i="1"/>
  <c r="N18" i="2" s="1"/>
  <c r="M8" i="2"/>
  <c r="F132" i="3"/>
  <c r="M17" i="2"/>
  <c r="F141" i="3"/>
  <c r="O182" i="1"/>
  <c r="N21" i="2" s="1"/>
  <c r="M12" i="2"/>
  <c r="F136" i="3"/>
  <c r="O156" i="1"/>
  <c r="N19" i="2" s="1"/>
  <c r="O53" i="1"/>
  <c r="N11" i="2" s="1"/>
  <c r="G140" i="3"/>
  <c r="G160" i="3"/>
  <c r="O129" i="1"/>
  <c r="N17" i="2" s="1"/>
  <c r="G146" i="3"/>
  <c r="G166" i="3"/>
  <c r="L21" i="2"/>
  <c r="O176" i="1"/>
  <c r="Q161" i="1"/>
  <c r="P162" i="1"/>
  <c r="Q162" i="1" s="1"/>
  <c r="J20" i="2"/>
  <c r="O20" i="2" s="1"/>
  <c r="M170" i="1"/>
  <c r="R164" i="1"/>
  <c r="O161" i="1"/>
  <c r="N164" i="1"/>
  <c r="P163" i="1"/>
  <c r="Q163" i="1" s="1"/>
  <c r="M143" i="1"/>
  <c r="N143" i="1" s="1"/>
  <c r="L18" i="2"/>
  <c r="L14" i="2"/>
  <c r="O84" i="1"/>
  <c r="P84" i="1"/>
  <c r="Q84" i="1" s="1"/>
  <c r="Q81" i="1"/>
  <c r="L15" i="2" l="1"/>
  <c r="O97" i="1"/>
  <c r="Q94" i="1"/>
  <c r="P97" i="1"/>
  <c r="Q97" i="1" s="1"/>
  <c r="M104" i="1"/>
  <c r="N104" i="1" s="1"/>
  <c r="N103" i="1"/>
  <c r="O103" i="1" s="1"/>
  <c r="N15" i="2" s="1"/>
  <c r="G139" i="3" s="1"/>
  <c r="F134" i="3"/>
  <c r="O143" i="1"/>
  <c r="F162" i="3"/>
  <c r="G153" i="3"/>
  <c r="G133" i="3"/>
  <c r="G162" i="3"/>
  <c r="G142" i="3"/>
  <c r="G156" i="3"/>
  <c r="G136" i="3"/>
  <c r="M14" i="2"/>
  <c r="F138" i="3"/>
  <c r="G155" i="3"/>
  <c r="G135" i="3"/>
  <c r="G165" i="3"/>
  <c r="G145" i="3"/>
  <c r="G154" i="3"/>
  <c r="G134" i="3"/>
  <c r="M18" i="2"/>
  <c r="F142" i="3"/>
  <c r="G163" i="3"/>
  <c r="G143" i="3"/>
  <c r="G132" i="3"/>
  <c r="G152" i="3"/>
  <c r="M21" i="2"/>
  <c r="F145" i="3"/>
  <c r="G161" i="3"/>
  <c r="G141" i="3"/>
  <c r="G138" i="3"/>
  <c r="G158" i="3"/>
  <c r="M171" i="1"/>
  <c r="N171" i="1" s="1"/>
  <c r="O171" i="1" s="1"/>
  <c r="F164" i="3" s="1"/>
  <c r="N170" i="1"/>
  <c r="O164" i="1"/>
  <c r="L20" i="2"/>
  <c r="P164" i="1"/>
  <c r="Q164" i="1" s="1"/>
  <c r="G159" i="3" l="1"/>
  <c r="O104" i="1"/>
  <c r="F159" i="3"/>
  <c r="M15" i="2"/>
  <c r="F139" i="3"/>
  <c r="O170" i="1"/>
  <c r="N20" i="2" s="1"/>
  <c r="M20" i="2"/>
  <c r="F144" i="3"/>
  <c r="G164" i="3" l="1"/>
  <c r="G144" i="3"/>
  <c r="Q133" i="1" l="1"/>
  <c r="Q134" i="1"/>
  <c r="Q135" i="1"/>
  <c r="Q147" i="1"/>
  <c r="P150" i="1"/>
  <c r="Q150" i="1" s="1"/>
  <c r="J23" i="2" l="1"/>
  <c r="K19" i="2" s="1"/>
  <c r="P136" i="1"/>
  <c r="Q136" i="1" s="1"/>
  <c r="O23" i="2" l="1"/>
  <c r="O25" i="2" s="1"/>
  <c r="K18" i="2"/>
  <c r="K11" i="2"/>
  <c r="K9" i="2"/>
  <c r="K20" i="2"/>
  <c r="K22" i="2"/>
  <c r="K12" i="2"/>
  <c r="J25" i="2"/>
  <c r="J34" i="2" s="1"/>
  <c r="L34" i="2" s="1"/>
  <c r="K14" i="2"/>
  <c r="K23" i="2"/>
  <c r="K25" i="2" s="1"/>
  <c r="K13" i="2"/>
  <c r="K21" i="2"/>
  <c r="K10" i="2"/>
  <c r="K8" i="2"/>
  <c r="L23" i="2"/>
  <c r="L25" i="2" s="1"/>
  <c r="K16" i="2"/>
  <c r="K17" i="2"/>
  <c r="K15" i="2"/>
  <c r="M23" i="2" l="1"/>
  <c r="M25" i="2" s="1"/>
  <c r="L36" i="2"/>
  <c r="L37" i="2" s="1"/>
  <c r="N34" i="2"/>
  <c r="T260" i="1"/>
  <c r="T280" i="1"/>
  <c r="T236" i="1"/>
  <c r="T275" i="1"/>
  <c r="T224" i="1"/>
  <c r="T228" i="1"/>
  <c r="T250" i="1"/>
  <c r="T255" i="1"/>
  <c r="T232" i="1"/>
  <c r="T270" i="1"/>
  <c r="T265" i="1"/>
  <c r="T240" i="1"/>
  <c r="T245" i="1"/>
  <c r="L70" i="1" l="1"/>
  <c r="M70" i="1" s="1"/>
  <c r="M71" i="1" l="1"/>
  <c r="N70" i="1"/>
  <c r="N71" i="1" s="1"/>
  <c r="N210" i="1" s="1"/>
  <c r="T70" i="1"/>
  <c r="G21" i="3"/>
  <c r="J21" i="3" s="1"/>
  <c r="O210" i="1" l="1"/>
  <c r="N216" i="1"/>
  <c r="M77" i="1"/>
  <c r="N77" i="1" s="1"/>
  <c r="R71" i="1"/>
  <c r="M210" i="1"/>
  <c r="M216" i="1" s="1"/>
  <c r="P70" i="1"/>
  <c r="Q70" i="1" l="1"/>
  <c r="P71" i="1"/>
  <c r="Q71" i="1" s="1"/>
  <c r="O216" i="1"/>
  <c r="N218" i="1"/>
  <c r="S262" i="1"/>
  <c r="L262" i="1" s="1"/>
  <c r="S272" i="1"/>
  <c r="L272" i="1" s="1"/>
  <c r="S274" i="1"/>
  <c r="L274" i="1" s="1"/>
  <c r="S261" i="1"/>
  <c r="L261" i="1" s="1"/>
  <c r="S247" i="1"/>
  <c r="L247" i="1" s="1"/>
  <c r="S233" i="1"/>
  <c r="L233" i="1" s="1"/>
  <c r="S277" i="1"/>
  <c r="L277" i="1" s="1"/>
  <c r="S275" i="1"/>
  <c r="S245" i="1"/>
  <c r="S231" i="1"/>
  <c r="L231" i="1" s="1"/>
  <c r="S246" i="1"/>
  <c r="L246" i="1" s="1"/>
  <c r="S240" i="1"/>
  <c r="S244" i="1"/>
  <c r="L244" i="1" s="1"/>
  <c r="S271" i="1"/>
  <c r="L271" i="1" s="1"/>
  <c r="S242" i="1"/>
  <c r="L242" i="1" s="1"/>
  <c r="S269" i="1"/>
  <c r="L269" i="1" s="1"/>
  <c r="S228" i="1"/>
  <c r="S255" i="1"/>
  <c r="S257" i="1"/>
  <c r="L257" i="1" s="1"/>
  <c r="S239" i="1"/>
  <c r="L239" i="1" s="1"/>
  <c r="S279" i="1"/>
  <c r="L279" i="1" s="1"/>
  <c r="S265" i="1"/>
  <c r="S236" i="1"/>
  <c r="S256" i="1"/>
  <c r="L256" i="1" s="1"/>
  <c r="S266" i="1"/>
  <c r="L266" i="1" s="1"/>
  <c r="S223" i="1"/>
  <c r="L223" i="1" s="1"/>
  <c r="S270" i="1"/>
  <c r="S252" i="1"/>
  <c r="L252" i="1" s="1"/>
  <c r="S259" i="1"/>
  <c r="L259" i="1" s="1"/>
  <c r="S235" i="1"/>
  <c r="L235" i="1" s="1"/>
  <c r="S281" i="1"/>
  <c r="L281" i="1" s="1"/>
  <c r="S267" i="1"/>
  <c r="L267" i="1" s="1"/>
  <c r="S254" i="1"/>
  <c r="L254" i="1" s="1"/>
  <c r="S241" i="1"/>
  <c r="L241" i="1" s="1"/>
  <c r="S225" i="1"/>
  <c r="L225" i="1" s="1"/>
  <c r="S232" i="1"/>
  <c r="S250" i="1"/>
  <c r="S260" i="1"/>
  <c r="S276" i="1"/>
  <c r="L276" i="1" s="1"/>
  <c r="S280" i="1"/>
  <c r="S224" i="1"/>
  <c r="S251" i="1"/>
  <c r="L251" i="1" s="1"/>
  <c r="S264" i="1"/>
  <c r="L264" i="1" s="1"/>
  <c r="S229" i="1"/>
  <c r="L229" i="1" s="1"/>
  <c r="S249" i="1"/>
  <c r="L249" i="1" s="1"/>
  <c r="S282" i="1"/>
  <c r="L282" i="1" s="1"/>
  <c r="S237" i="1"/>
  <c r="L237" i="1" s="1"/>
  <c r="S227" i="1"/>
  <c r="L227" i="1" s="1"/>
  <c r="G95" i="3" l="1"/>
  <c r="J95" i="3" s="1"/>
  <c r="T252" i="1"/>
  <c r="T225" i="1"/>
  <c r="G68" i="3"/>
  <c r="J68" i="3" s="1"/>
  <c r="G100" i="3"/>
  <c r="J100" i="3" s="1"/>
  <c r="T257" i="1"/>
  <c r="T246" i="1"/>
  <c r="G89" i="3"/>
  <c r="J89" i="3" s="1"/>
  <c r="T274" i="1"/>
  <c r="G117" i="3"/>
  <c r="J117" i="3" s="1"/>
  <c r="T241" i="1"/>
  <c r="G84" i="3"/>
  <c r="J84" i="3" s="1"/>
  <c r="G66" i="3"/>
  <c r="J66" i="3" s="1"/>
  <c r="T223" i="1"/>
  <c r="G74" i="3"/>
  <c r="J74" i="3" s="1"/>
  <c r="T231" i="1"/>
  <c r="T272" i="1"/>
  <c r="G115" i="3"/>
  <c r="J115" i="3" s="1"/>
  <c r="G104" i="3"/>
  <c r="J104" i="3" s="1"/>
  <c r="T261" i="1"/>
  <c r="T266" i="1"/>
  <c r="G109" i="3"/>
  <c r="J109" i="3" s="1"/>
  <c r="T262" i="1"/>
  <c r="G105" i="3"/>
  <c r="J105" i="3" s="1"/>
  <c r="T267" i="1"/>
  <c r="G110" i="3"/>
  <c r="J110" i="3" s="1"/>
  <c r="T239" i="1"/>
  <c r="G82" i="3"/>
  <c r="J82" i="3" s="1"/>
  <c r="T254" i="1"/>
  <c r="G97" i="3"/>
  <c r="J97" i="3" s="1"/>
  <c r="G99" i="3"/>
  <c r="J99" i="3" s="1"/>
  <c r="T256" i="1"/>
  <c r="G119" i="3"/>
  <c r="J119" i="3" s="1"/>
  <c r="T276" i="1"/>
  <c r="T281" i="1"/>
  <c r="G124" i="3"/>
  <c r="J124" i="3" s="1"/>
  <c r="G85" i="3"/>
  <c r="J85" i="3" s="1"/>
  <c r="T242" i="1"/>
  <c r="T277" i="1"/>
  <c r="G120" i="3"/>
  <c r="J120" i="3" s="1"/>
  <c r="T229" i="1"/>
  <c r="G72" i="3"/>
  <c r="J72" i="3" s="1"/>
  <c r="T251" i="1"/>
  <c r="G94" i="3"/>
  <c r="J94" i="3" s="1"/>
  <c r="T227" i="1"/>
  <c r="G70" i="3"/>
  <c r="J70" i="3" s="1"/>
  <c r="T237" i="1"/>
  <c r="G80" i="3"/>
  <c r="J80" i="3" s="1"/>
  <c r="G78" i="3"/>
  <c r="J78" i="3" s="1"/>
  <c r="T235" i="1"/>
  <c r="T271" i="1"/>
  <c r="G114" i="3"/>
  <c r="J114" i="3" s="1"/>
  <c r="T233" i="1"/>
  <c r="G76" i="3"/>
  <c r="J76" i="3" s="1"/>
  <c r="T264" i="1"/>
  <c r="G107" i="3"/>
  <c r="J107" i="3" s="1"/>
  <c r="G112" i="3"/>
  <c r="J112" i="3" s="1"/>
  <c r="T269" i="1"/>
  <c r="T282" i="1"/>
  <c r="G125" i="3"/>
  <c r="J125" i="3" s="1"/>
  <c r="T249" i="1"/>
  <c r="G92" i="3"/>
  <c r="J92" i="3" s="1"/>
  <c r="G102" i="3"/>
  <c r="J102" i="3" s="1"/>
  <c r="T259" i="1"/>
  <c r="G122" i="3"/>
  <c r="J122" i="3" s="1"/>
  <c r="T279" i="1"/>
  <c r="T244" i="1"/>
  <c r="G87" i="3"/>
  <c r="J87" i="3" s="1"/>
  <c r="G90" i="3"/>
  <c r="J90" i="3" s="1"/>
  <c r="T247" i="1"/>
</calcChain>
</file>

<file path=xl/sharedStrings.xml><?xml version="1.0" encoding="utf-8"?>
<sst xmlns="http://schemas.openxmlformats.org/spreadsheetml/2006/main" count="349" uniqueCount="125">
  <si>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</si>
  <si>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</si>
  <si>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</si>
  <si>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</si>
  <si>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</si>
  <si>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</si>
  <si>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</si>
  <si>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</si>
  <si>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</si>
  <si>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</si>
  <si>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</si>
  <si>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</si>
  <si>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</si>
  <si>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</si>
  <si>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</si>
  <si>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</si>
  <si>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</si>
  <si>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</si>
  <si>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</si>
  <si>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</si>
  <si>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</si>
  <si>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</si>
  <si>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</si>
  <si>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</si>
  <si>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</si>
  <si>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</si>
  <si>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</si>
  <si>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</si>
  <si>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</si>
  <si>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</si>
  <si>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</si>
  <si>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</si>
  <si>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</si>
  <si>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</si>
  <si>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</si>
  <si>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</si>
  <si>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</si>
  <si>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</si>
  <si>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</si>
  <si>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</si>
  <si>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</si>
  <si>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</si>
  <si>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</si>
  <si>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</si>
  <si>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</si>
  <si>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SubTotal Base Rates</t>
  </si>
  <si>
    <t>Base %</t>
  </si>
  <si>
    <t>Total %</t>
  </si>
  <si>
    <t>Base Rate Increase</t>
  </si>
  <si>
    <t>Present</t>
  </si>
  <si>
    <t>Proposed</t>
  </si>
  <si>
    <t>Energy Charge per kWh</t>
  </si>
  <si>
    <t>Energy Charge - On Peak per kWh</t>
  </si>
  <si>
    <t>Energy Charge - Off Peak per kWh</t>
  </si>
  <si>
    <t>Demand Charge per kW</t>
  </si>
  <si>
    <t>&lt; Set to 50% B2</t>
  </si>
  <si>
    <t>&lt; Set to increase at same % as B2</t>
  </si>
  <si>
    <t>&lt; Set to match B2</t>
  </si>
  <si>
    <t>FARMERS RECC</t>
  </si>
  <si>
    <t xml:space="preserve">Residential </t>
  </si>
  <si>
    <t>Residential TOD</t>
  </si>
  <si>
    <t>Net Metering</t>
  </si>
  <si>
    <t>Residential Off-Peak Mktg ETS</t>
  </si>
  <si>
    <t>Commercial &amp; Industrial &lt; 50 KW</t>
  </si>
  <si>
    <t>Small Commercial ETS</t>
  </si>
  <si>
    <t>Commercial &amp; Industrial &gt; 50 KW</t>
  </si>
  <si>
    <t>Large Industrial</t>
  </si>
  <si>
    <t>Large Power Schedule LPC2</t>
  </si>
  <si>
    <t>Large Commercial Optional TOD</t>
  </si>
  <si>
    <t>Large Power Schedule LPE4</t>
  </si>
  <si>
    <t>TOD Three Phase - Schedule C</t>
  </si>
  <si>
    <t>Sodium Vapor 100 Watt</t>
  </si>
  <si>
    <t>Mercury Vapor 175 Watt</t>
  </si>
  <si>
    <t>Mercury Vapor 175 Watt (shared)</t>
  </si>
  <si>
    <t>Mercury Vapor 250 Watt</t>
  </si>
  <si>
    <t>Mercury Vapor 400 Watt</t>
  </si>
  <si>
    <t>Mercury Vapor 1000 Watt</t>
  </si>
  <si>
    <t>Sodium Vapor 150 Watt</t>
  </si>
  <si>
    <t>Sodium Vapor 250 Watt</t>
  </si>
  <si>
    <t>Sodium Vapor 400 Watt</t>
  </si>
  <si>
    <t>Sodium Vapor 1000 Watt</t>
  </si>
  <si>
    <t>LED Light 70 Watt</t>
  </si>
  <si>
    <t>LED Light 105 Watt</t>
  </si>
  <si>
    <t>LED Light 145 Watt</t>
  </si>
  <si>
    <t>LED Flood Light 199 Watt</t>
  </si>
  <si>
    <t>Street Lighting</t>
  </si>
  <si>
    <t>&lt; Rate Same as 1</t>
  </si>
  <si>
    <t>&lt; Rate Same as 2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</si>
  <si>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</si>
  <si>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</si>
  <si>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</si>
  <si>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</si>
  <si>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</si>
  <si>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</si>
  <si>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</si>
  <si>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</si>
  <si>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</si>
  <si>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</si>
  <si>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RATES WITH NO CURRENT MEMBERS</t>
  </si>
  <si>
    <t>Customer Charge Single Phase</t>
  </si>
  <si>
    <t>Customer Charge Three Phase</t>
  </si>
  <si>
    <t>Energy Charge On Peak per kWh</t>
  </si>
  <si>
    <t>Energy Charge Off Peak per kWh</t>
  </si>
  <si>
    <t>Large Power</t>
  </si>
  <si>
    <t>LPC-1</t>
  </si>
  <si>
    <t xml:space="preserve">Large Power </t>
  </si>
  <si>
    <t>LPC-3</t>
  </si>
  <si>
    <t>LPC-4</t>
  </si>
  <si>
    <t>LPC-5</t>
  </si>
  <si>
    <t>LPB-1</t>
  </si>
  <si>
    <t>Demand Charge Contract per kW</t>
  </si>
  <si>
    <t>Demand Charge Excess per kW</t>
  </si>
  <si>
    <t>LPB-2</t>
  </si>
  <si>
    <t>LPB-3</t>
  </si>
  <si>
    <t>LPB-4</t>
  </si>
  <si>
    <t>LPB-5</t>
  </si>
  <si>
    <t>LPE-1</t>
  </si>
  <si>
    <t>LPE-2</t>
  </si>
  <si>
    <t>LPE-3</t>
  </si>
  <si>
    <t>LPE-5</t>
  </si>
  <si>
    <t>Same as LPC2</t>
  </si>
  <si>
    <t>Same as LPE4</t>
  </si>
  <si>
    <t>Rate 5 w/ Primary Discount</t>
  </si>
  <si>
    <t>Large Commercial &amp; Industrial w/Pri Disc</t>
  </si>
  <si>
    <t>Present &amp;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</si>
</sst>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3" formatCode="_(&quot;$&quot;* #,##0.000000_);_(&quot;$&quot;* \(#,##0.000000\);_(&quot;$&quot;* &quot;-&quot;??_);_(@_)"/>
    <numFmt numFmtId="174" formatCode="&quot;$&quot;#,##0"/>
    <numFmt numFmtId="175" formatCode="0.00000"/>
    <numFmt numFmtId="176" formatCode="_(&quot;$&quot;* #,##0.000000_);_(&quot;$&quot;* \(#,##0.000000\);_(&quot;$&quot;* &quot;-&quot;???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165" fontId="3" fillId="0" borderId="5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4" fontId="3" fillId="0" borderId="5" xfId="2" applyFont="1" applyBorder="1" applyAlignment="1">
      <alignment vertical="center"/>
    </xf>
    <xf numFmtId="0" fontId="3" fillId="0" borderId="0" xfId="0" applyFont="1" applyFill="1"/>
    <xf numFmtId="169" fontId="3" fillId="0" borderId="0" xfId="3" applyNumberFormat="1" applyFont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3" fillId="0" borderId="6" xfId="0" applyFont="1" applyFill="1" applyBorder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7" fontId="3" fillId="0" borderId="0" xfId="1" applyNumberFormat="1" applyFont="1"/>
    <xf numFmtId="165" fontId="3" fillId="0" borderId="0" xfId="0" applyNumberFormat="1" applyFont="1" applyFill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0" fontId="3" fillId="2" borderId="0" xfId="0" applyFont="1" applyFill="1"/>
    <xf numFmtId="43" fontId="3" fillId="0" borderId="0" xfId="0" applyNumberFormat="1" applyFont="1"/>
    <xf numFmtId="170" fontId="5" fillId="0" borderId="0" xfId="1" applyNumberFormat="1" applyFont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0" fontId="3" fillId="0" borderId="0" xfId="1" applyNumberFormat="1" applyFont="1" applyAlignment="1">
      <alignment vertical="center"/>
    </xf>
    <xf numFmtId="0" fontId="2" fillId="0" borderId="4" xfId="0" applyFont="1" applyFill="1" applyBorder="1" applyAlignment="1">
      <alignment horizontal="center" wrapText="1"/>
    </xf>
    <xf numFmtId="173" fontId="3" fillId="0" borderId="0" xfId="2" applyNumberFormat="1" applyFont="1"/>
    <xf numFmtId="44" fontId="3" fillId="0" borderId="0" xfId="2" applyNumberFormat="1" applyFont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4" fontId="3" fillId="0" borderId="0" xfId="0" applyNumberFormat="1" applyFont="1"/>
    <xf numFmtId="10" fontId="3" fillId="0" borderId="0" xfId="3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43" fontId="3" fillId="0" borderId="0" xfId="1" applyFont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165" fontId="3" fillId="4" borderId="0" xfId="0" applyNumberFormat="1" applyFont="1" applyFill="1"/>
    <xf numFmtId="170" fontId="7" fillId="0" borderId="0" xfId="1" applyNumberFormat="1" applyFont="1" applyAlignment="1">
      <alignment vertical="center"/>
    </xf>
    <xf numFmtId="0" fontId="2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6" fontId="7" fillId="0" borderId="1" xfId="0" applyNumberFormat="1" applyFont="1" applyFill="1" applyBorder="1"/>
    <xf numFmtId="0" fontId="7" fillId="0" borderId="0" xfId="0" applyFont="1" applyFill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0" xfId="0" applyNumberFormat="1" applyFont="1" applyFill="1" applyAlignment="1"/>
    <xf numFmtId="165" fontId="7" fillId="0" borderId="0" xfId="2" applyNumberFormat="1" applyFont="1" applyFill="1"/>
    <xf numFmtId="43" fontId="7" fillId="0" borderId="0" xfId="1" applyFont="1" applyFill="1"/>
    <xf numFmtId="10" fontId="7" fillId="0" borderId="0" xfId="3" applyNumberFormat="1" applyFont="1" applyFill="1"/>
    <xf numFmtId="168" fontId="7" fillId="0" borderId="0" xfId="1" applyNumberFormat="1" applyFont="1" applyFill="1"/>
    <xf numFmtId="166" fontId="7" fillId="0" borderId="0" xfId="0" applyNumberFormat="1" applyFont="1" applyFill="1"/>
    <xf numFmtId="0" fontId="7" fillId="0" borderId="5" xfId="0" applyFont="1" applyFill="1" applyBorder="1" applyAlignment="1">
      <alignment vertical="center"/>
    </xf>
    <xf numFmtId="10" fontId="7" fillId="0" borderId="5" xfId="3" applyNumberFormat="1" applyFont="1" applyFill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65" fontId="7" fillId="0" borderId="0" xfId="0" applyNumberFormat="1" applyFont="1" applyFill="1"/>
    <xf numFmtId="165" fontId="7" fillId="0" borderId="5" xfId="2" applyNumberFormat="1" applyFont="1" applyFill="1" applyBorder="1"/>
    <xf numFmtId="0" fontId="7" fillId="0" borderId="5" xfId="0" applyFont="1" applyFill="1" applyBorder="1"/>
    <xf numFmtId="43" fontId="7" fillId="0" borderId="5" xfId="1" applyFont="1" applyFill="1" applyBorder="1"/>
    <xf numFmtId="165" fontId="7" fillId="0" borderId="3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vertical="center"/>
    </xf>
    <xf numFmtId="10" fontId="7" fillId="0" borderId="3" xfId="3" applyNumberFormat="1" applyFont="1" applyFill="1" applyBorder="1" applyAlignment="1">
      <alignment vertical="center"/>
    </xf>
    <xf numFmtId="44" fontId="7" fillId="0" borderId="0" xfId="0" applyNumberFormat="1" applyFont="1" applyFill="1"/>
    <xf numFmtId="0" fontId="7" fillId="0" borderId="6" xfId="0" applyFont="1" applyFill="1" applyBorder="1"/>
    <xf numFmtId="164" fontId="7" fillId="0" borderId="0" xfId="1" applyNumberFormat="1" applyFont="1" applyFill="1"/>
    <xf numFmtId="0" fontId="7" fillId="0" borderId="0" xfId="0" applyFont="1" applyFill="1" applyAlignment="1"/>
    <xf numFmtId="0" fontId="9" fillId="0" borderId="4" xfId="0" applyFont="1" applyFill="1" applyBorder="1" applyAlignment="1">
      <alignment horizontal="right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43" fontId="7" fillId="0" borderId="0" xfId="1" applyFont="1" applyFill="1" applyAlignment="1">
      <alignment horizontal="center"/>
    </xf>
    <xf numFmtId="164" fontId="7" fillId="0" borderId="0" xfId="0" applyNumberFormat="1" applyFont="1" applyFill="1"/>
    <xf numFmtId="165" fontId="7" fillId="0" borderId="5" xfId="0" applyNumberFormat="1" applyFont="1" applyFill="1" applyBorder="1" applyAlignment="1">
      <alignment vertical="center"/>
    </xf>
    <xf numFmtId="165" fontId="7" fillId="0" borderId="5" xfId="0" applyNumberFormat="1" applyFont="1" applyFill="1" applyBorder="1"/>
    <xf numFmtId="0" fontId="7" fillId="0" borderId="0" xfId="0" applyFont="1" applyFill="1" applyAlignment="1">
      <alignment horizontal="center"/>
    </xf>
    <xf numFmtId="175" fontId="7" fillId="0" borderId="0" xfId="0" applyNumberFormat="1" applyFont="1" applyFill="1"/>
    <xf numFmtId="176" fontId="3" fillId="0" borderId="0" xfId="0" applyNumberFormat="1" applyFont="1"/>
    <xf numFmtId="166" fontId="3" fillId="0" borderId="0" xfId="0" applyNumberFormat="1" applyFont="1"/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8"/>
  <sheetViews>
    <sheetView zoomScale="75" zoomScaleNormal="75" workbookViewId="0">
      <selection activeCell="P28" sqref="P28"/>
    </sheetView>
  </sheetViews>
  <sheetFormatPr defaultColWidth="8.88671875" defaultRowHeight="13.2" x14ac:dyDescent="0.25"/>
  <cols>
    <col min="1" max="1" width="5.6640625" style="2" customWidth="1"/>
    <col min="2" max="2" width="36.5546875" style="2" customWidth="1"/>
    <col min="3" max="3" width="5.88671875" style="20" bestFit="1" customWidth="1"/>
    <col min="4" max="4" width="14.2187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1" style="2" customWidth="1"/>
    <col min="12" max="12" width="11.6640625" style="2" bestFit="1" customWidth="1"/>
    <col min="13" max="13" width="7.6640625" style="2" bestFit="1" customWidth="1"/>
    <col min="14" max="14" width="7.77734375" style="2" bestFit="1" customWidth="1"/>
    <col min="15" max="15" width="10" style="2" bestFit="1" customWidth="1"/>
    <col min="16" max="16" width="36.77734375" style="2" customWidth="1"/>
    <col min="17" max="17" width="9" style="2" bestFit="1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58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K4" s="35" t="s">
        <v>39</v>
      </c>
      <c r="L4" s="125">
        <v>1802690</v>
      </c>
      <c r="M4" s="4"/>
    </row>
    <row r="5" spans="1:22" x14ac:dyDescent="0.25">
      <c r="M5" s="4"/>
      <c r="N5" s="4"/>
    </row>
    <row r="6" spans="1:22" s="12" customFormat="1" ht="31.95" customHeight="1" x14ac:dyDescent="0.25">
      <c r="A6" s="10" t="s">
        <v>1</v>
      </c>
      <c r="B6" s="10" t="s">
        <v>2</v>
      </c>
      <c r="C6" s="11" t="s">
        <v>11</v>
      </c>
      <c r="D6" s="42" t="s">
        <v>21</v>
      </c>
      <c r="E6" s="42" t="s">
        <v>3</v>
      </c>
      <c r="F6" s="42" t="s">
        <v>22</v>
      </c>
      <c r="G6" s="42" t="s">
        <v>34</v>
      </c>
      <c r="H6" s="42" t="s">
        <v>35</v>
      </c>
      <c r="I6" s="42" t="s">
        <v>36</v>
      </c>
      <c r="J6" s="42" t="s">
        <v>4</v>
      </c>
      <c r="K6" s="42" t="s">
        <v>24</v>
      </c>
      <c r="L6" s="42" t="s">
        <v>48</v>
      </c>
      <c r="M6" s="100" t="s">
        <v>46</v>
      </c>
      <c r="N6" s="100" t="s">
        <v>47</v>
      </c>
      <c r="O6" s="13" t="s">
        <v>38</v>
      </c>
      <c r="Q6" s="2"/>
      <c r="R6" s="2"/>
      <c r="S6" s="2"/>
      <c r="T6" s="2"/>
      <c r="U6" s="2"/>
      <c r="V6" s="2"/>
    </row>
    <row r="7" spans="1:22" s="61" customFormat="1" x14ac:dyDescent="0.25">
      <c r="A7" s="3">
        <v>1</v>
      </c>
      <c r="B7" s="57" t="s">
        <v>5</v>
      </c>
      <c r="C7" s="94"/>
      <c r="D7" s="57"/>
      <c r="E7" s="58"/>
      <c r="F7" s="59"/>
      <c r="G7" s="59"/>
      <c r="H7" s="12"/>
      <c r="I7" s="12"/>
      <c r="J7" s="58"/>
      <c r="K7" s="59"/>
      <c r="L7" s="58"/>
      <c r="M7" s="60"/>
      <c r="N7" s="60"/>
      <c r="Q7" s="2"/>
      <c r="R7" s="2"/>
      <c r="S7" s="2"/>
      <c r="T7" s="2"/>
      <c r="U7" s="2"/>
      <c r="V7" s="2"/>
    </row>
    <row r="8" spans="1:22" s="61" customFormat="1" x14ac:dyDescent="0.25">
      <c r="A8" s="3">
        <f>A7+1</f>
        <v>2</v>
      </c>
      <c r="B8" s="61" t="str">
        <f>'Billing Detail'!B7</f>
        <v xml:space="preserve">Residential </v>
      </c>
      <c r="C8" s="20">
        <f>'Billing Detail'!C7</f>
        <v>1</v>
      </c>
      <c r="D8" s="62">
        <f>'Billing Detail'!G10</f>
        <v>30629589.858412996</v>
      </c>
      <c r="E8" s="62">
        <f>'Billing Detail'!I10</f>
        <v>30137606.466382999</v>
      </c>
      <c r="F8" s="60">
        <f t="shared" ref="F8:F23" si="0">E8/E$23</f>
        <v>0.65721737680781067</v>
      </c>
      <c r="G8" s="127">
        <f>E8</f>
        <v>30137606.466382999</v>
      </c>
      <c r="H8" s="128">
        <f t="shared" ref="H8:H22" si="1">G8/G$23</f>
        <v>0.65721737680781067</v>
      </c>
      <c r="I8" s="129">
        <f t="shared" ref="I8:I22" si="2">ROUND(L$4*H8,2)</f>
        <v>1184759.19</v>
      </c>
      <c r="J8" s="129">
        <f>'Billing Detail'!M10</f>
        <v>31322369.577992998</v>
      </c>
      <c r="K8" s="128">
        <f t="shared" ref="K8:K23" si="3">J8/J$23</f>
        <v>0.65721882477235216</v>
      </c>
      <c r="L8" s="129">
        <f>'Billing Detail'!N10</f>
        <v>1184763.1116099986</v>
      </c>
      <c r="M8" s="128">
        <f>IF(E8=0,0,L8/E8)</f>
        <v>3.9311785192083615E-2</v>
      </c>
      <c r="N8" s="128">
        <f>'Billing Detail'!O16</f>
        <v>3.6366450705648722E-2</v>
      </c>
      <c r="O8" s="130">
        <f>J8-I8-E8</f>
        <v>3.9216099977493286</v>
      </c>
      <c r="Q8" s="2"/>
      <c r="R8" s="2"/>
      <c r="S8" s="2"/>
      <c r="T8" s="2"/>
      <c r="U8" s="2"/>
      <c r="V8" s="2"/>
    </row>
    <row r="9" spans="1:22" s="61" customFormat="1" x14ac:dyDescent="0.25">
      <c r="A9" s="3">
        <f t="shared" ref="A9:A37" si="4">A8+1</f>
        <v>3</v>
      </c>
      <c r="B9" s="61" t="str">
        <f>'Billing Detail'!B19</f>
        <v>Residential TOD</v>
      </c>
      <c r="C9" s="20">
        <f>'Billing Detail'!C19</f>
        <v>3</v>
      </c>
      <c r="D9" s="62">
        <f>'Billing Detail'!G23</f>
        <v>841.44818699999996</v>
      </c>
      <c r="E9" s="62">
        <f>'Billing Detail'!I23</f>
        <v>828.39746700000001</v>
      </c>
      <c r="F9" s="60">
        <f t="shared" si="0"/>
        <v>1.8065044774649494E-5</v>
      </c>
      <c r="G9" s="127">
        <f t="shared" ref="G9:G22" si="5">E9</f>
        <v>828.39746700000001</v>
      </c>
      <c r="H9" s="128">
        <f t="shared" si="1"/>
        <v>1.8065044774649494E-5</v>
      </c>
      <c r="I9" s="129">
        <f t="shared" si="2"/>
        <v>32.57</v>
      </c>
      <c r="J9" s="129">
        <f>'Billing Detail'!M23</f>
        <v>860.94210900000007</v>
      </c>
      <c r="K9" s="128">
        <f t="shared" si="3"/>
        <v>1.8064640980149822E-5</v>
      </c>
      <c r="L9" s="129">
        <f>'Billing Detail'!N23</f>
        <v>32.544642000000039</v>
      </c>
      <c r="M9" s="128">
        <f t="shared" ref="M9:M22" si="6">IF(E9=0,0,L9/E9)</f>
        <v>3.9286264500371822E-2</v>
      </c>
      <c r="N9" s="128">
        <f>'Billing Detail'!O29</f>
        <v>3.6745448265172266E-2</v>
      </c>
      <c r="O9" s="130">
        <f t="shared" ref="O9:O23" si="7">J9-I9-E9</f>
        <v>-2.5357999999982894E-2</v>
      </c>
      <c r="Q9" s="2"/>
      <c r="R9" s="2"/>
      <c r="S9" s="2"/>
      <c r="T9" s="2"/>
      <c r="U9" s="2"/>
      <c r="V9" s="2"/>
    </row>
    <row r="10" spans="1:22" s="61" customFormat="1" x14ac:dyDescent="0.25">
      <c r="A10" s="3">
        <f t="shared" si="4"/>
        <v>4</v>
      </c>
      <c r="B10" s="61" t="str">
        <f>'Billing Detail'!B32</f>
        <v>Net Metering</v>
      </c>
      <c r="C10" s="20">
        <f>'Billing Detail'!C32</f>
        <v>20</v>
      </c>
      <c r="D10" s="62">
        <f>'Billing Detail'!G35</f>
        <v>27707.240693999996</v>
      </c>
      <c r="E10" s="62">
        <f>'Billing Detail'!I35</f>
        <v>27257.833554000001</v>
      </c>
      <c r="F10" s="60">
        <f t="shared" si="0"/>
        <v>5.944175389577251E-4</v>
      </c>
      <c r="G10" s="127">
        <f t="shared" si="5"/>
        <v>27257.833554000001</v>
      </c>
      <c r="H10" s="128">
        <f t="shared" si="1"/>
        <v>5.944175389577251E-4</v>
      </c>
      <c r="I10" s="129">
        <f t="shared" si="2"/>
        <v>1071.55</v>
      </c>
      <c r="J10" s="129">
        <f>'Billing Detail'!M35</f>
        <v>28329.394734000001</v>
      </c>
      <c r="K10" s="128">
        <f t="shared" si="3"/>
        <v>5.9441899717168668E-4</v>
      </c>
      <c r="L10" s="129">
        <f>'Billing Detail'!N35</f>
        <v>1071.5611799999988</v>
      </c>
      <c r="M10" s="128">
        <f t="shared" si="6"/>
        <v>3.9312045026511311E-2</v>
      </c>
      <c r="N10" s="128">
        <f>'Billing Detail'!O41</f>
        <v>3.7558456021415408E-2</v>
      </c>
      <c r="O10" s="130">
        <f t="shared" si="7"/>
        <v>1.1180000001331791E-2</v>
      </c>
      <c r="Q10" s="2"/>
      <c r="R10" s="2"/>
      <c r="S10" s="2"/>
      <c r="T10" s="2"/>
      <c r="U10" s="2"/>
      <c r="V10" s="2"/>
    </row>
    <row r="11" spans="1:22" s="61" customFormat="1" x14ac:dyDescent="0.25">
      <c r="A11" s="3">
        <f t="shared" si="4"/>
        <v>5</v>
      </c>
      <c r="B11" s="61" t="str">
        <f>'Billing Detail'!B44</f>
        <v>Residential Off-Peak Mktg ETS</v>
      </c>
      <c r="C11" s="20">
        <f>'Billing Detail'!C44</f>
        <v>7</v>
      </c>
      <c r="D11" s="62">
        <f>'Billing Detail'!G47</f>
        <v>29321.330981000003</v>
      </c>
      <c r="E11" s="62">
        <f>'Billing Detail'!I47</f>
        <v>28403.180711000001</v>
      </c>
      <c r="F11" s="60">
        <f t="shared" si="0"/>
        <v>6.1939437495488604E-4</v>
      </c>
      <c r="G11" s="127">
        <f t="shared" si="5"/>
        <v>28403.180711000001</v>
      </c>
      <c r="H11" s="128">
        <f t="shared" si="1"/>
        <v>6.1939437495488604E-4</v>
      </c>
      <c r="I11" s="129">
        <f t="shared" si="2"/>
        <v>1116.58</v>
      </c>
      <c r="J11" s="129">
        <f>'Billing Detail'!M47</f>
        <v>29519.974813000001</v>
      </c>
      <c r="K11" s="128">
        <f t="shared" si="3"/>
        <v>6.1940023744373545E-4</v>
      </c>
      <c r="L11" s="129">
        <f>'Billing Detail'!N47</f>
        <v>1116.7941019999998</v>
      </c>
      <c r="M11" s="128">
        <f>IF(E11=0,0,L11/E11)</f>
        <v>3.9319332343912002E-2</v>
      </c>
      <c r="N11" s="128">
        <f>'Billing Detail'!O53</f>
        <v>3.7284072739860563E-2</v>
      </c>
      <c r="O11" s="130">
        <f>J11-I11-E11</f>
        <v>0.21410199999809265</v>
      </c>
      <c r="Q11" s="2"/>
      <c r="R11" s="2"/>
      <c r="S11" s="2"/>
      <c r="T11" s="2"/>
      <c r="U11" s="2"/>
      <c r="V11" s="2"/>
    </row>
    <row r="12" spans="1:22" s="61" customFormat="1" x14ac:dyDescent="0.25">
      <c r="A12" s="3">
        <f t="shared" si="4"/>
        <v>6</v>
      </c>
      <c r="B12" s="61" t="str">
        <f>'Billing Detail'!B56</f>
        <v>Commercial &amp; Industrial &lt; 50 KW</v>
      </c>
      <c r="C12" s="20">
        <f>'Billing Detail'!C56</f>
        <v>4</v>
      </c>
      <c r="D12" s="62">
        <f>'Billing Detail'!G59</f>
        <v>2982370.2640749998</v>
      </c>
      <c r="E12" s="62">
        <f>'Billing Detail'!I59</f>
        <v>2932931.9886250002</v>
      </c>
      <c r="F12" s="60">
        <f t="shared" si="0"/>
        <v>6.3959089454232246E-2</v>
      </c>
      <c r="G12" s="127">
        <f t="shared" si="5"/>
        <v>2932931.9886250002</v>
      </c>
      <c r="H12" s="128">
        <f t="shared" si="1"/>
        <v>6.3959089454232246E-2</v>
      </c>
      <c r="I12" s="129">
        <f t="shared" si="2"/>
        <v>115298.41</v>
      </c>
      <c r="J12" s="129">
        <f>'Billing Detail'!M59</f>
        <v>3048271.2223450001</v>
      </c>
      <c r="K12" s="128">
        <f t="shared" si="3"/>
        <v>6.3960078925335589E-2</v>
      </c>
      <c r="L12" s="129">
        <f>'Billing Detail'!N59</f>
        <v>115339.2337199999</v>
      </c>
      <c r="M12" s="128">
        <f t="shared" ref="M12" si="8">IF(E12=0,0,L12/E12)</f>
        <v>3.932557391965729E-2</v>
      </c>
      <c r="N12" s="128">
        <f>'Billing Detail'!O65</f>
        <v>3.6478585103791927E-2</v>
      </c>
      <c r="O12" s="130">
        <f t="shared" ref="O12" si="9">J12-I12-E12</f>
        <v>40.823719999752939</v>
      </c>
      <c r="Q12" s="2"/>
      <c r="R12" s="2"/>
      <c r="S12" s="2"/>
      <c r="T12" s="2"/>
      <c r="U12" s="2"/>
      <c r="V12" s="2"/>
    </row>
    <row r="13" spans="1:22" s="61" customFormat="1" x14ac:dyDescent="0.25">
      <c r="A13" s="3">
        <f t="shared" si="4"/>
        <v>7</v>
      </c>
      <c r="B13" s="61" t="str">
        <f>'Billing Detail'!B68</f>
        <v>Small Commercial ETS</v>
      </c>
      <c r="C13" s="20">
        <f>'Billing Detail'!C68</f>
        <v>8</v>
      </c>
      <c r="D13" s="62">
        <f>'Billing Detail'!G71</f>
        <v>0</v>
      </c>
      <c r="E13" s="62">
        <f>'Billing Detail'!I71</f>
        <v>0</v>
      </c>
      <c r="F13" s="60">
        <f t="shared" si="0"/>
        <v>0</v>
      </c>
      <c r="G13" s="127">
        <f t="shared" si="5"/>
        <v>0</v>
      </c>
      <c r="H13" s="128">
        <f t="shared" si="1"/>
        <v>0</v>
      </c>
      <c r="I13" s="129">
        <f t="shared" si="2"/>
        <v>0</v>
      </c>
      <c r="J13" s="129">
        <v>0</v>
      </c>
      <c r="K13" s="128">
        <f t="shared" si="3"/>
        <v>0</v>
      </c>
      <c r="L13" s="129">
        <v>0</v>
      </c>
      <c r="M13" s="128">
        <f t="shared" si="6"/>
        <v>0</v>
      </c>
      <c r="N13" s="128">
        <v>0</v>
      </c>
      <c r="O13" s="130">
        <f t="shared" si="7"/>
        <v>0</v>
      </c>
      <c r="Q13" s="2"/>
      <c r="R13" s="2"/>
      <c r="S13" s="2"/>
      <c r="T13" s="2"/>
      <c r="U13" s="2"/>
      <c r="V13" s="2"/>
    </row>
    <row r="14" spans="1:22" s="61" customFormat="1" x14ac:dyDescent="0.25">
      <c r="A14" s="3">
        <f t="shared" si="4"/>
        <v>8</v>
      </c>
      <c r="B14" s="61" t="str">
        <f>'Billing Detail'!B80</f>
        <v>Commercial &amp; Industrial &gt; 50 KW</v>
      </c>
      <c r="C14" s="20">
        <f>'Billing Detail'!C80</f>
        <v>5</v>
      </c>
      <c r="D14" s="62">
        <f>'Billing Detail'!G84</f>
        <v>4953645.76425</v>
      </c>
      <c r="E14" s="62">
        <f>'Billing Detail'!I84</f>
        <v>4867042.6459499998</v>
      </c>
      <c r="F14" s="60">
        <f t="shared" si="0"/>
        <v>0.10613666364483859</v>
      </c>
      <c r="G14" s="127">
        <f t="shared" si="5"/>
        <v>4867042.6459499998</v>
      </c>
      <c r="H14" s="128">
        <f t="shared" si="1"/>
        <v>0.10613666364483859</v>
      </c>
      <c r="I14" s="129">
        <f t="shared" si="2"/>
        <v>191331.5</v>
      </c>
      <c r="J14" s="129">
        <f>'Billing Detail'!M84</f>
        <v>5058350.2093293499</v>
      </c>
      <c r="K14" s="128">
        <f t="shared" si="3"/>
        <v>0.1061363819102039</v>
      </c>
      <c r="L14" s="129">
        <f>'Billing Detail'!N84</f>
        <v>191307.56337935032</v>
      </c>
      <c r="M14" s="128">
        <f t="shared" ref="M14:M15" si="10">IF(E14=0,0,L14/E14)</f>
        <v>3.9306736615209774E-2</v>
      </c>
      <c r="N14" s="128">
        <f>'Billing Detail'!O90</f>
        <v>3.6603956852185336E-2</v>
      </c>
      <c r="O14" s="130">
        <f t="shared" si="7"/>
        <v>-23.936620649881661</v>
      </c>
      <c r="Q14" s="2"/>
      <c r="R14" s="2"/>
      <c r="S14" s="2"/>
      <c r="T14" s="2"/>
      <c r="U14" s="2"/>
      <c r="V14" s="2"/>
    </row>
    <row r="15" spans="1:22" s="61" customFormat="1" x14ac:dyDescent="0.25">
      <c r="A15" s="3">
        <f t="shared" si="4"/>
        <v>9</v>
      </c>
      <c r="B15" s="61" t="str">
        <f>'Billing Detail'!B93</f>
        <v>Large Commercial &amp; Industrial w/Pri Disc</v>
      </c>
      <c r="C15" s="20">
        <f>'Billing Detail'!C93</f>
        <v>9</v>
      </c>
      <c r="D15" s="62">
        <f>'Billing Detail'!G97</f>
        <v>1710324.6894</v>
      </c>
      <c r="E15" s="62">
        <f>'Billing Detail'!I97</f>
        <v>1677158.6886</v>
      </c>
      <c r="F15" s="60">
        <f t="shared" si="0"/>
        <v>3.6574166400428439E-2</v>
      </c>
      <c r="G15" s="127">
        <f t="shared" si="5"/>
        <v>1677158.6886</v>
      </c>
      <c r="H15" s="128">
        <f t="shared" si="1"/>
        <v>3.6574166400428439E-2</v>
      </c>
      <c r="I15" s="129">
        <f t="shared" si="2"/>
        <v>65931.88</v>
      </c>
      <c r="J15" s="129">
        <f>'Billing Detail'!M97</f>
        <v>1743080.46038754</v>
      </c>
      <c r="K15" s="128">
        <f t="shared" si="3"/>
        <v>3.657403022485356E-2</v>
      </c>
      <c r="L15" s="129">
        <f>'Billing Detail'!N97</f>
        <v>65921.771787539954</v>
      </c>
      <c r="M15" s="128">
        <f t="shared" si="10"/>
        <v>3.930562577985261E-2</v>
      </c>
      <c r="N15" s="128">
        <f>'Billing Detail'!O103</f>
        <v>3.6856315565795779E-2</v>
      </c>
      <c r="O15" s="130">
        <f t="shared" si="7"/>
        <v>-10.10821245983243</v>
      </c>
      <c r="Q15" s="2"/>
      <c r="R15" s="2"/>
      <c r="S15" s="2"/>
      <c r="T15" s="2"/>
      <c r="U15" s="2"/>
      <c r="V15" s="2"/>
    </row>
    <row r="16" spans="1:22" s="61" customFormat="1" x14ac:dyDescent="0.25">
      <c r="A16" s="3">
        <f t="shared" si="4"/>
        <v>10</v>
      </c>
      <c r="B16" s="61" t="str">
        <f>'Billing Detail'!B106</f>
        <v>Large Industrial</v>
      </c>
      <c r="C16" s="20">
        <f>'Billing Detail'!C106</f>
        <v>10</v>
      </c>
      <c r="D16" s="62">
        <f>'Billing Detail'!G110</f>
        <v>3237391.1664000005</v>
      </c>
      <c r="E16" s="62">
        <f>'Billing Detail'!I110</f>
        <v>3158560.2384000001</v>
      </c>
      <c r="F16" s="60">
        <f t="shared" si="0"/>
        <v>6.8879414053210256E-2</v>
      </c>
      <c r="G16" s="127">
        <f t="shared" si="5"/>
        <v>3158560.2384000001</v>
      </c>
      <c r="H16" s="128">
        <f t="shared" si="1"/>
        <v>6.8879414053210256E-2</v>
      </c>
      <c r="I16" s="129">
        <f t="shared" si="2"/>
        <v>124168.23</v>
      </c>
      <c r="J16" s="129">
        <f>'Billing Detail'!M110</f>
        <v>3282729.7823999999</v>
      </c>
      <c r="K16" s="128">
        <f t="shared" si="3"/>
        <v>6.8879584740930977E-2</v>
      </c>
      <c r="L16" s="129">
        <f>'Billing Detail'!N110</f>
        <v>124169.5439999996</v>
      </c>
      <c r="M16" s="128">
        <f t="shared" ref="M16:M21" si="11">IF(E16=0,0,L16/E16)</f>
        <v>3.9312070889266595E-2</v>
      </c>
      <c r="N16" s="128">
        <f>'Billing Detail'!O116</f>
        <v>3.7039481548607853E-2</v>
      </c>
      <c r="O16" s="130">
        <f t="shared" ref="O16:O21" si="12">J16-I16-E16</f>
        <v>1.3139999997802079</v>
      </c>
      <c r="Q16" s="2"/>
      <c r="R16" s="2"/>
      <c r="S16" s="2"/>
      <c r="T16" s="2"/>
      <c r="U16" s="2"/>
      <c r="V16" s="2"/>
    </row>
    <row r="17" spans="1:22" s="61" customFormat="1" x14ac:dyDescent="0.25">
      <c r="A17" s="3">
        <f t="shared" si="4"/>
        <v>11</v>
      </c>
      <c r="B17" s="61" t="str">
        <f>'Billing Detail'!B119</f>
        <v>Large Power Schedule LPC2</v>
      </c>
      <c r="C17" s="20">
        <f>'Billing Detail'!C119</f>
        <v>14</v>
      </c>
      <c r="D17" s="62">
        <f>'Billing Detail'!G123</f>
        <v>523011.11519999994</v>
      </c>
      <c r="E17" s="62">
        <f>'Billing Detail'!I123</f>
        <v>511131.90719999996</v>
      </c>
      <c r="F17" s="60">
        <f t="shared" si="0"/>
        <v>1.1146365310313036E-2</v>
      </c>
      <c r="G17" s="127">
        <f t="shared" si="5"/>
        <v>511131.90719999996</v>
      </c>
      <c r="H17" s="128">
        <f t="shared" si="1"/>
        <v>1.1146365310313036E-2</v>
      </c>
      <c r="I17" s="129">
        <f t="shared" si="2"/>
        <v>20093.439999999999</v>
      </c>
      <c r="J17" s="129">
        <f>'Billing Detail'!M123</f>
        <v>531288.93839999998</v>
      </c>
      <c r="K17" s="128">
        <f t="shared" si="3"/>
        <v>1.114772274301771E-2</v>
      </c>
      <c r="L17" s="129">
        <f>'Billing Detail'!N123</f>
        <v>20157.031200000059</v>
      </c>
      <c r="M17" s="128">
        <f t="shared" si="11"/>
        <v>3.943606516451114E-2</v>
      </c>
      <c r="N17" s="128">
        <f>'Billing Detail'!O129</f>
        <v>3.7051409044762472E-2</v>
      </c>
      <c r="O17" s="130">
        <f t="shared" si="12"/>
        <v>63.591200000024401</v>
      </c>
      <c r="Q17" s="2"/>
      <c r="R17" s="2"/>
      <c r="S17" s="2"/>
      <c r="T17" s="2"/>
      <c r="U17" s="2"/>
      <c r="V17" s="2"/>
    </row>
    <row r="18" spans="1:22" s="61" customFormat="1" x14ac:dyDescent="0.25">
      <c r="A18" s="3">
        <f t="shared" si="4"/>
        <v>12</v>
      </c>
      <c r="B18" s="61" t="str">
        <f>'Billing Detail'!B132</f>
        <v>Large Commercial Optional TOD</v>
      </c>
      <c r="C18" s="20">
        <f>'Billing Detail'!C132</f>
        <v>15</v>
      </c>
      <c r="D18" s="62">
        <f>'Billing Detail'!G136</f>
        <v>102170.1292</v>
      </c>
      <c r="E18" s="62">
        <f>'Billing Detail'!I136</f>
        <v>100737.8572</v>
      </c>
      <c r="F18" s="60">
        <f t="shared" si="0"/>
        <v>2.196812488346547E-3</v>
      </c>
      <c r="G18" s="127">
        <f t="shared" si="5"/>
        <v>100737.8572</v>
      </c>
      <c r="H18" s="128">
        <f t="shared" si="1"/>
        <v>2.196812488346547E-3</v>
      </c>
      <c r="I18" s="129">
        <f t="shared" si="2"/>
        <v>3960.17</v>
      </c>
      <c r="J18" s="129">
        <f>'Billing Detail'!M136</f>
        <v>104697.128</v>
      </c>
      <c r="K18" s="128">
        <f t="shared" si="3"/>
        <v>2.1967981461257472E-3</v>
      </c>
      <c r="L18" s="129">
        <f>'Billing Detail'!N136</f>
        <v>3959.2708000000002</v>
      </c>
      <c r="M18" s="128">
        <f t="shared" si="11"/>
        <v>3.9302710123558203E-2</v>
      </c>
      <c r="N18" s="128">
        <f>'Billing Detail'!O142</f>
        <v>3.640922409174329E-2</v>
      </c>
      <c r="O18" s="130">
        <f t="shared" si="12"/>
        <v>-0.89919999999983702</v>
      </c>
      <c r="Q18" s="2"/>
      <c r="R18" s="2"/>
      <c r="S18" s="2"/>
      <c r="T18" s="2"/>
      <c r="U18" s="2"/>
      <c r="V18" s="2"/>
    </row>
    <row r="19" spans="1:22" s="61" customFormat="1" x14ac:dyDescent="0.25">
      <c r="A19" s="3">
        <f t="shared" si="4"/>
        <v>13</v>
      </c>
      <c r="B19" s="61" t="str">
        <f>'Billing Detail'!B145</f>
        <v>Large Power Schedule LPE4</v>
      </c>
      <c r="C19" s="20">
        <f>'Billing Detail'!C145</f>
        <v>36</v>
      </c>
      <c r="D19" s="62">
        <f>'Billing Detail'!G150</f>
        <v>1468218.733308</v>
      </c>
      <c r="E19" s="62">
        <f>'Billing Detail'!I150</f>
        <v>1435918.7419080001</v>
      </c>
      <c r="F19" s="60">
        <f t="shared" si="0"/>
        <v>3.1313394111725824E-2</v>
      </c>
      <c r="G19" s="127">
        <f t="shared" si="5"/>
        <v>1435918.7419080001</v>
      </c>
      <c r="H19" s="128">
        <f t="shared" si="1"/>
        <v>3.1313394111725824E-2</v>
      </c>
      <c r="I19" s="129">
        <f t="shared" si="2"/>
        <v>56448.34</v>
      </c>
      <c r="J19" s="129">
        <f>'Billing Detail'!M150</f>
        <v>1492355.293266</v>
      </c>
      <c r="K19" s="128">
        <f t="shared" si="3"/>
        <v>3.1313211777955312E-2</v>
      </c>
      <c r="L19" s="129">
        <f>'Billing Detail'!N150</f>
        <v>56436.551357999859</v>
      </c>
      <c r="M19" s="128">
        <f t="shared" si="11"/>
        <v>3.9303443649609922E-2</v>
      </c>
      <c r="N19" s="128">
        <f>'Billing Detail'!O156</f>
        <v>3.6875367562375465E-2</v>
      </c>
      <c r="O19" s="130">
        <f t="shared" si="12"/>
        <v>-11.78864200017415</v>
      </c>
      <c r="Q19" s="2"/>
      <c r="R19" s="2"/>
      <c r="S19" s="2"/>
      <c r="T19" s="2"/>
      <c r="U19" s="2"/>
      <c r="V19" s="2"/>
    </row>
    <row r="20" spans="1:22" s="61" customFormat="1" x14ac:dyDescent="0.25">
      <c r="A20" s="3">
        <f t="shared" si="4"/>
        <v>14</v>
      </c>
      <c r="B20" s="61" t="str">
        <f>'Billing Detail'!B159</f>
        <v>TOD Three Phase - Schedule C</v>
      </c>
      <c r="C20" s="20">
        <f>'Billing Detail'!C159</f>
        <v>50</v>
      </c>
      <c r="D20" s="62">
        <f>'Billing Detail'!G164</f>
        <v>797303.40370000002</v>
      </c>
      <c r="E20" s="62">
        <f>'Billing Detail'!I164</f>
        <v>33033.751680000001</v>
      </c>
      <c r="F20" s="60">
        <f t="shared" si="0"/>
        <v>7.2037424901234381E-4</v>
      </c>
      <c r="G20" s="127">
        <f t="shared" si="5"/>
        <v>33033.751680000001</v>
      </c>
      <c r="H20" s="128">
        <f t="shared" si="1"/>
        <v>7.2037424901234381E-4</v>
      </c>
      <c r="I20" s="129">
        <f t="shared" si="2"/>
        <v>1298.6099999999999</v>
      </c>
      <c r="J20" s="129">
        <f>'Billing Detail'!M164</f>
        <v>34332.451767999999</v>
      </c>
      <c r="K20" s="128">
        <f t="shared" si="3"/>
        <v>7.2037760573426647E-4</v>
      </c>
      <c r="L20" s="129">
        <f>'Billing Detail'!N164</f>
        <v>1298.7000879999978</v>
      </c>
      <c r="M20" s="128">
        <f t="shared" si="11"/>
        <v>3.9314338273792999E-2</v>
      </c>
      <c r="N20" s="128">
        <f>'Billing Detail'!O170</f>
        <v>3.64045008150293E-2</v>
      </c>
      <c r="O20" s="130">
        <f t="shared" si="12"/>
        <v>9.0087999997194856E-2</v>
      </c>
      <c r="Q20" s="2"/>
      <c r="R20" s="2"/>
      <c r="S20" s="2"/>
      <c r="T20" s="2"/>
      <c r="U20" s="2"/>
      <c r="V20" s="2"/>
    </row>
    <row r="21" spans="1:22" s="61" customFormat="1" x14ac:dyDescent="0.25">
      <c r="A21" s="3">
        <f t="shared" si="4"/>
        <v>15</v>
      </c>
      <c r="B21" s="61" t="str">
        <f>'Billing Detail'!B173</f>
        <v>Street Lighting</v>
      </c>
      <c r="C21" s="20">
        <f>'Billing Detail'!C173</f>
        <v>6</v>
      </c>
      <c r="D21" s="62">
        <f>'Billing Detail'!G176</f>
        <v>20797.770700000001</v>
      </c>
      <c r="E21" s="62">
        <f>'Billing Detail'!I176</f>
        <v>20210.930319999999</v>
      </c>
      <c r="F21" s="60">
        <f t="shared" si="0"/>
        <v>4.4074417862521176E-4</v>
      </c>
      <c r="G21" s="127">
        <f t="shared" si="5"/>
        <v>20210.930319999999</v>
      </c>
      <c r="H21" s="128">
        <f t="shared" si="1"/>
        <v>4.4074417862521176E-4</v>
      </c>
      <c r="I21" s="129">
        <f t="shared" si="2"/>
        <v>794.53</v>
      </c>
      <c r="J21" s="129">
        <f>'Billing Detail'!M176</f>
        <v>21005.563866</v>
      </c>
      <c r="K21" s="128">
        <f t="shared" si="3"/>
        <v>4.4074736948997102E-4</v>
      </c>
      <c r="L21" s="129">
        <f>'Billing Detail'!N176</f>
        <v>794.63354600000093</v>
      </c>
      <c r="M21" s="128">
        <f t="shared" si="11"/>
        <v>3.9317019722425177E-2</v>
      </c>
      <c r="N21" s="128">
        <f>'Billing Detail'!O182</f>
        <v>2.9550452137601439E-2</v>
      </c>
      <c r="O21" s="130">
        <f t="shared" si="12"/>
        <v>0.10354600000209757</v>
      </c>
      <c r="Q21" s="2"/>
      <c r="R21" s="2"/>
      <c r="S21" s="2"/>
      <c r="T21" s="2"/>
      <c r="U21" s="2"/>
      <c r="V21" s="2"/>
    </row>
    <row r="22" spans="1:22" s="61" customFormat="1" x14ac:dyDescent="0.25">
      <c r="A22" s="3">
        <f t="shared" si="4"/>
        <v>16</v>
      </c>
      <c r="B22" s="61" t="str">
        <f>'Billing Detail'!B185</f>
        <v>Lighting</v>
      </c>
      <c r="C22" s="20">
        <f>'Billing Detail'!C185</f>
        <v>6</v>
      </c>
      <c r="D22" s="62">
        <f>'Billing Detail'!G200</f>
        <v>933295.62000000011</v>
      </c>
      <c r="E22" s="62">
        <f>'Billing Detail'!I200</f>
        <v>925552.34</v>
      </c>
      <c r="F22" s="60">
        <f t="shared" si="0"/>
        <v>2.018372234276956E-2</v>
      </c>
      <c r="G22" s="127">
        <f t="shared" si="5"/>
        <v>925552.34</v>
      </c>
      <c r="H22" s="128">
        <f t="shared" si="1"/>
        <v>2.018372234276956E-2</v>
      </c>
      <c r="I22" s="129">
        <f t="shared" si="2"/>
        <v>36384.99</v>
      </c>
      <c r="J22" s="129">
        <f>'Billing Detail'!M200</f>
        <v>961774.99000000022</v>
      </c>
      <c r="K22" s="128">
        <f t="shared" si="3"/>
        <v>2.0180357908405184E-2</v>
      </c>
      <c r="L22" s="129">
        <f t="shared" ref="L22:L23" si="13">J22-E22</f>
        <v>36222.650000000256</v>
      </c>
      <c r="M22" s="128">
        <f t="shared" si="6"/>
        <v>3.9136252413342995E-2</v>
      </c>
      <c r="N22" s="128">
        <f>'Billing Detail'!O206</f>
        <v>3.9136252413342995E-2</v>
      </c>
      <c r="O22" s="130">
        <f t="shared" si="7"/>
        <v>-162.33999999973457</v>
      </c>
      <c r="Q22" s="2"/>
      <c r="R22" s="2"/>
      <c r="S22" s="2"/>
      <c r="T22" s="2"/>
      <c r="U22" s="2"/>
      <c r="V22" s="2"/>
    </row>
    <row r="23" spans="1:22" s="61" customFormat="1" ht="16.2" customHeight="1" x14ac:dyDescent="0.25">
      <c r="A23" s="3">
        <f t="shared" si="4"/>
        <v>17</v>
      </c>
      <c r="B23" s="64" t="s">
        <v>45</v>
      </c>
      <c r="C23" s="95"/>
      <c r="D23" s="65">
        <f>SUM(D8:D22)</f>
        <v>47415988.534508005</v>
      </c>
      <c r="E23" s="65">
        <f>SUM(E8:E22)</f>
        <v>45856374.967997998</v>
      </c>
      <c r="F23" s="66">
        <f t="shared" si="0"/>
        <v>1</v>
      </c>
      <c r="G23" s="65">
        <f>SUM(G8:G22)</f>
        <v>45856374.967997998</v>
      </c>
      <c r="H23" s="66">
        <v>1</v>
      </c>
      <c r="I23" s="65">
        <f>SUM(I8:I22)</f>
        <v>1802689.9900000002</v>
      </c>
      <c r="J23" s="65">
        <f>SUM(J8:J22)</f>
        <v>47658965.92941089</v>
      </c>
      <c r="K23" s="66">
        <f t="shared" si="3"/>
        <v>1</v>
      </c>
      <c r="L23" s="65">
        <f t="shared" si="13"/>
        <v>1802590.9614128917</v>
      </c>
      <c r="M23" s="66">
        <f t="shared" ref="M23" si="14">L23/E23</f>
        <v>3.9309495411943798E-2</v>
      </c>
      <c r="N23" s="66"/>
      <c r="O23" s="67">
        <f t="shared" si="7"/>
        <v>-99.028587110340595</v>
      </c>
      <c r="Q23" s="2"/>
      <c r="R23" s="2"/>
      <c r="S23" s="2"/>
      <c r="T23" s="2"/>
      <c r="U23" s="2"/>
      <c r="V23" s="2"/>
    </row>
    <row r="24" spans="1:22" s="61" customFormat="1" ht="16.2" customHeight="1" x14ac:dyDescent="0.25">
      <c r="A24" s="3">
        <f t="shared" si="4"/>
        <v>18</v>
      </c>
      <c r="B24" s="68"/>
      <c r="C24" s="96"/>
      <c r="D24" s="69"/>
      <c r="E24" s="69"/>
      <c r="F24" s="70"/>
      <c r="G24" s="69"/>
      <c r="H24" s="70"/>
      <c r="I24" s="69"/>
      <c r="J24" s="69"/>
      <c r="K24" s="70"/>
      <c r="L24" s="69"/>
      <c r="M24" s="70"/>
      <c r="N24" s="70"/>
      <c r="O24" s="71"/>
      <c r="Q24" s="2"/>
      <c r="R24" s="2"/>
      <c r="S24" s="2"/>
      <c r="T24" s="2"/>
      <c r="U24" s="2"/>
      <c r="V24" s="2"/>
    </row>
    <row r="25" spans="1:22" s="61" customFormat="1" ht="16.2" customHeight="1" x14ac:dyDescent="0.25">
      <c r="A25" s="3">
        <f t="shared" si="4"/>
        <v>19</v>
      </c>
      <c r="B25" s="72" t="s">
        <v>44</v>
      </c>
      <c r="C25" s="97"/>
      <c r="D25" s="73">
        <f>D23</f>
        <v>47415988.534508005</v>
      </c>
      <c r="E25" s="73">
        <f t="shared" ref="E25:O25" si="15">E23</f>
        <v>45856374.967997998</v>
      </c>
      <c r="F25" s="73">
        <f t="shared" si="15"/>
        <v>1</v>
      </c>
      <c r="G25" s="73">
        <f t="shared" si="15"/>
        <v>45856374.967997998</v>
      </c>
      <c r="H25" s="73">
        <f t="shared" si="15"/>
        <v>1</v>
      </c>
      <c r="I25" s="73">
        <f t="shared" si="15"/>
        <v>1802689.9900000002</v>
      </c>
      <c r="J25" s="73">
        <f t="shared" si="15"/>
        <v>47658965.92941089</v>
      </c>
      <c r="K25" s="73">
        <f t="shared" si="15"/>
        <v>1</v>
      </c>
      <c r="L25" s="73">
        <f t="shared" si="15"/>
        <v>1802590.9614128917</v>
      </c>
      <c r="M25" s="73">
        <f t="shared" si="15"/>
        <v>3.9309495411943798E-2</v>
      </c>
      <c r="N25" s="73"/>
      <c r="O25" s="73">
        <f t="shared" si="15"/>
        <v>-99.028587110340595</v>
      </c>
    </row>
    <row r="26" spans="1:22" s="61" customFormat="1" ht="12.6" customHeight="1" x14ac:dyDescent="0.25">
      <c r="A26" s="3">
        <f t="shared" si="4"/>
        <v>20</v>
      </c>
      <c r="C26" s="20"/>
      <c r="S26" s="62"/>
    </row>
    <row r="27" spans="1:22" s="61" customFormat="1" x14ac:dyDescent="0.25">
      <c r="A27" s="3">
        <f t="shared" si="4"/>
        <v>21</v>
      </c>
      <c r="B27" s="57" t="s">
        <v>7</v>
      </c>
      <c r="C27" s="94"/>
      <c r="D27" s="57"/>
    </row>
    <row r="28" spans="1:22" s="61" customFormat="1" x14ac:dyDescent="0.25">
      <c r="A28" s="3">
        <f t="shared" si="4"/>
        <v>22</v>
      </c>
      <c r="B28" s="61" t="str">
        <f>'Billing Detail'!D11</f>
        <v xml:space="preserve">    FAC</v>
      </c>
      <c r="C28" s="20"/>
      <c r="D28" s="62">
        <f>'Billing Detail'!G211</f>
        <v>-1996675.7800000003</v>
      </c>
      <c r="E28" s="62">
        <f>'Billing Detail'!I211</f>
        <v>-1204460.8532099999</v>
      </c>
      <c r="F28" s="74"/>
      <c r="G28" s="75"/>
      <c r="H28" s="75"/>
      <c r="I28" s="75"/>
      <c r="J28" s="62">
        <f>'Billing Detail'!M211</f>
        <v>-1204460.8532099999</v>
      </c>
      <c r="K28" s="76"/>
      <c r="L28" s="76"/>
      <c r="M28" s="75"/>
      <c r="N28" s="75"/>
    </row>
    <row r="29" spans="1:22" s="61" customFormat="1" x14ac:dyDescent="0.25">
      <c r="A29" s="3">
        <f t="shared" si="4"/>
        <v>23</v>
      </c>
      <c r="B29" s="61" t="str">
        <f>'Billing Detail'!D12</f>
        <v xml:space="preserve">    ES</v>
      </c>
      <c r="C29" s="20"/>
      <c r="D29" s="62">
        <f>'Billing Detail'!G212</f>
        <v>4637875.68</v>
      </c>
      <c r="E29" s="62">
        <f>'Billing Detail'!I212</f>
        <v>4635547.4099999992</v>
      </c>
      <c r="F29" s="75"/>
      <c r="G29" s="75"/>
      <c r="H29" s="75"/>
      <c r="I29" s="75"/>
      <c r="J29" s="62">
        <f>'Billing Detail'!M212</f>
        <v>4635547.4099999992</v>
      </c>
      <c r="K29" s="76"/>
      <c r="L29" s="76"/>
      <c r="M29" s="75"/>
      <c r="N29" s="75"/>
    </row>
    <row r="30" spans="1:22" s="61" customFormat="1" x14ac:dyDescent="0.25">
      <c r="A30" s="3">
        <f t="shared" si="4"/>
        <v>24</v>
      </c>
      <c r="B30" s="61" t="str">
        <f>'Billing Detail'!D13</f>
        <v xml:space="preserve">    Misc Adj</v>
      </c>
      <c r="C30" s="20"/>
      <c r="D30" s="62">
        <f>'Billing Detail'!G213</f>
        <v>50953</v>
      </c>
      <c r="E30" s="62">
        <f>'Billing Detail'!I213</f>
        <v>50953</v>
      </c>
      <c r="F30" s="75"/>
      <c r="G30" s="75"/>
      <c r="H30" s="75"/>
      <c r="I30" s="75"/>
      <c r="J30" s="62">
        <f>'Billing Detail'!M213</f>
        <v>50953</v>
      </c>
      <c r="K30" s="76"/>
      <c r="L30" s="76"/>
      <c r="M30" s="75"/>
      <c r="N30" s="75"/>
    </row>
    <row r="31" spans="1:22" s="61" customFormat="1" x14ac:dyDescent="0.25">
      <c r="A31" s="3">
        <f t="shared" si="4"/>
        <v>25</v>
      </c>
      <c r="B31" s="61" t="str">
        <f>'Billing Detail'!D14</f>
        <v xml:space="preserve">    Other</v>
      </c>
      <c r="C31" s="20"/>
      <c r="D31" s="62">
        <f>'Billing Detail'!G214</f>
        <v>0</v>
      </c>
      <c r="E31" s="62">
        <f>'Billing Detail'!I214</f>
        <v>0</v>
      </c>
      <c r="F31" s="75"/>
      <c r="G31" s="75"/>
      <c r="H31" s="75"/>
      <c r="I31" s="75"/>
      <c r="J31" s="62">
        <f>'Billing Detail'!M214</f>
        <v>0</v>
      </c>
      <c r="K31" s="76"/>
      <c r="L31" s="76"/>
      <c r="M31" s="75"/>
      <c r="N31" s="85"/>
    </row>
    <row r="32" spans="1:22" s="61" customFormat="1" x14ac:dyDescent="0.25">
      <c r="A32" s="3">
        <f t="shared" si="4"/>
        <v>26</v>
      </c>
      <c r="B32" s="64" t="s">
        <v>8</v>
      </c>
      <c r="C32" s="95"/>
      <c r="D32" s="65">
        <f>SUM(D28:D31)</f>
        <v>2692152.8999999994</v>
      </c>
      <c r="E32" s="65">
        <f>SUM(E28:E31)</f>
        <v>3482039.5567899994</v>
      </c>
      <c r="F32" s="77"/>
      <c r="G32" s="77"/>
      <c r="H32" s="77"/>
      <c r="I32" s="77"/>
      <c r="J32" s="65">
        <f>SUM(J28:J31)</f>
        <v>3482039.5567899994</v>
      </c>
      <c r="K32" s="78"/>
      <c r="L32" s="78"/>
      <c r="M32" s="77"/>
      <c r="N32" s="84"/>
    </row>
    <row r="33" spans="1:14" s="61" customFormat="1" x14ac:dyDescent="0.25">
      <c r="A33" s="3">
        <f t="shared" si="4"/>
        <v>27</v>
      </c>
      <c r="C33" s="20"/>
    </row>
    <row r="34" spans="1:14" s="61" customFormat="1" ht="18" customHeight="1" thickBot="1" x14ac:dyDescent="0.3">
      <c r="A34" s="3">
        <f t="shared" si="4"/>
        <v>28</v>
      </c>
      <c r="B34" s="79" t="s">
        <v>9</v>
      </c>
      <c r="C34" s="98"/>
      <c r="D34" s="80">
        <f>D25+D32</f>
        <v>50108141.434508003</v>
      </c>
      <c r="E34" s="80">
        <f>E25+E32</f>
        <v>49338414.524788</v>
      </c>
      <c r="F34" s="81"/>
      <c r="G34" s="81"/>
      <c r="H34" s="81"/>
      <c r="I34" s="81"/>
      <c r="J34" s="80">
        <f>J25+J32</f>
        <v>51141005.486200891</v>
      </c>
      <c r="K34" s="82"/>
      <c r="L34" s="81">
        <f t="shared" ref="L34" si="16">J34-E34</f>
        <v>1802590.9614128917</v>
      </c>
      <c r="M34" s="79"/>
      <c r="N34" s="83">
        <f>L34/E34</f>
        <v>3.6535242949634228E-2</v>
      </c>
    </row>
    <row r="35" spans="1:14" s="61" customFormat="1" ht="18" customHeight="1" thickTop="1" x14ac:dyDescent="0.25">
      <c r="A35" s="3">
        <f t="shared" si="4"/>
        <v>29</v>
      </c>
      <c r="B35" s="61" t="s">
        <v>10</v>
      </c>
      <c r="C35" s="20"/>
      <c r="D35" s="63"/>
      <c r="L35" s="69">
        <f>L4</f>
        <v>1802690</v>
      </c>
    </row>
    <row r="36" spans="1:14" s="61" customFormat="1" ht="15" customHeight="1" x14ac:dyDescent="0.25">
      <c r="A36" s="3">
        <f t="shared" si="4"/>
        <v>30</v>
      </c>
      <c r="B36" s="64" t="s">
        <v>40</v>
      </c>
      <c r="C36" s="95"/>
      <c r="D36" s="65"/>
      <c r="E36" s="64"/>
      <c r="F36" s="64"/>
      <c r="G36" s="64"/>
      <c r="H36" s="64"/>
      <c r="I36" s="64"/>
      <c r="J36" s="64"/>
      <c r="K36" s="64"/>
      <c r="L36" s="65">
        <f>L34-L35</f>
        <v>-99.038587108254433</v>
      </c>
    </row>
    <row r="37" spans="1:14" s="61" customFormat="1" ht="15" customHeight="1" x14ac:dyDescent="0.25">
      <c r="A37" s="3">
        <f t="shared" si="4"/>
        <v>31</v>
      </c>
      <c r="B37" s="61" t="s">
        <v>40</v>
      </c>
      <c r="C37" s="20"/>
      <c r="D37" s="60"/>
      <c r="L37" s="60">
        <f>L36/L35</f>
        <v>-5.4939333500632076E-5</v>
      </c>
    </row>
    <row r="38" spans="1:14" x14ac:dyDescent="0.25">
      <c r="A38" s="3"/>
    </row>
  </sheetData>
  <printOptions horizontalCentered="1"/>
  <pageMargins left="0.7" right="0.7" top="0.75" bottom="0.75" header="0.3" footer="0.3"/>
  <pageSetup scale="74" orientation="landscape" r:id="rId1"/>
  <headerFooter>
    <oddHeader>&amp;R&amp;"Arial,Bold"&amp;10Exhibit 3
Page &amp;P of &amp;N</oddHeader>
  </headerFooter>
  <ignoredErrors>
    <ignoredError sqref="J23 F23 J14:J15 J8 G8 J9:J10 G9:G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282"/>
  <sheetViews>
    <sheetView view="pageBreakPreview" zoomScale="75" zoomScaleNormal="75" zoomScaleSheetLayoutView="75" workbookViewId="0">
      <pane xSplit="4" ySplit="5" topLeftCell="H258" activePane="bottomRight" state="frozen"/>
      <selection activeCell="O4" sqref="O4"/>
      <selection pane="topRight" activeCell="O4" sqref="O4"/>
      <selection pane="bottomLeft" activeCell="O4" sqref="O4"/>
      <selection pane="bottomRight" activeCell="Q60" sqref="Q60"/>
    </sheetView>
  </sheetViews>
  <sheetFormatPr defaultColWidth="8.88671875" defaultRowHeight="13.2" x14ac:dyDescent="0.25"/>
  <cols>
    <col min="1" max="1" width="7.44140625" style="6" customWidth="1"/>
    <col min="2" max="2" width="28.88671875" style="2" customWidth="1"/>
    <col min="3" max="3" width="6.33203125" style="20" bestFit="1" customWidth="1"/>
    <col min="4" max="4" width="31.6640625" style="2" bestFit="1" customWidth="1"/>
    <col min="5" max="5" width="13.33203125" style="126" bestFit="1" customWidth="1"/>
    <col min="6" max="6" width="10" style="126" hidden="1" customWidth="1"/>
    <col min="7" max="7" width="12.6640625" style="126" hidden="1" customWidth="1"/>
    <col min="8" max="8" width="12.21875" style="126" customWidth="1"/>
    <col min="9" max="9" width="15.33203125" style="126" bestFit="1" customWidth="1"/>
    <col min="10" max="10" width="8.5546875" style="2" bestFit="1" customWidth="1"/>
    <col min="11" max="11" width="12.6640625" style="38" bestFit="1" customWidth="1"/>
    <col min="12" max="12" width="10" style="126" bestFit="1" customWidth="1"/>
    <col min="13" max="13" width="12.6640625" style="2" bestFit="1" customWidth="1"/>
    <col min="14" max="14" width="11.6640625" style="2" bestFit="1" customWidth="1"/>
    <col min="15" max="15" width="6.44140625" style="2" bestFit="1" customWidth="1"/>
    <col min="16" max="16" width="10" style="2" customWidth="1"/>
    <col min="17" max="17" width="9.44140625" style="2" bestFit="1" customWidth="1"/>
    <col min="18" max="18" width="10.109375" style="2" customWidth="1"/>
    <col min="19" max="19" width="8.88671875" style="2"/>
    <col min="20" max="20" width="14.109375" style="2" customWidth="1"/>
    <col min="21" max="21" width="8.88671875" style="2"/>
    <col min="22" max="22" width="9.33203125" style="2" bestFit="1" customWidth="1"/>
    <col min="23" max="23" width="15.33203125" style="2" customWidth="1"/>
    <col min="24" max="24" width="11.6640625" style="2" customWidth="1"/>
    <col min="25" max="16384" width="8.88671875" style="2"/>
  </cols>
  <sheetData>
    <row r="1" spans="1:20" x14ac:dyDescent="0.25">
      <c r="A1" s="51" t="str">
        <f>Summary!A1</f>
        <v>FARMERS RECC</v>
      </c>
      <c r="F1" s="132"/>
      <c r="G1" s="132"/>
    </row>
    <row r="2" spans="1:20" ht="14.4" customHeight="1" x14ac:dyDescent="0.25">
      <c r="A2" s="51" t="str">
        <f>Summary!A2</f>
        <v>Billing Analysis for Pass-Through Rate Increase</v>
      </c>
      <c r="F2" s="134"/>
      <c r="G2" s="134"/>
      <c r="H2" s="134"/>
      <c r="I2" s="150"/>
      <c r="P2" s="36"/>
      <c r="R2" s="38"/>
      <c r="S2" s="38"/>
      <c r="T2" s="38"/>
    </row>
    <row r="3" spans="1:20" x14ac:dyDescent="0.25">
      <c r="R3" s="38"/>
      <c r="S3" s="38"/>
      <c r="T3" s="38"/>
    </row>
    <row r="4" spans="1:20" x14ac:dyDescent="0.25">
      <c r="D4" s="38"/>
      <c r="J4" s="38"/>
      <c r="M4" s="38"/>
      <c r="N4" s="38"/>
      <c r="O4" s="38"/>
      <c r="P4" s="38"/>
      <c r="Q4" s="38"/>
      <c r="R4" s="38"/>
      <c r="S4" s="38"/>
      <c r="T4" s="38"/>
    </row>
    <row r="5" spans="1:20" ht="38.4" customHeight="1" x14ac:dyDescent="0.25">
      <c r="A5" s="22" t="s">
        <v>1</v>
      </c>
      <c r="B5" s="22" t="s">
        <v>12</v>
      </c>
      <c r="C5" s="11" t="s">
        <v>11</v>
      </c>
      <c r="D5" s="22" t="s">
        <v>13</v>
      </c>
      <c r="E5" s="151" t="s">
        <v>14</v>
      </c>
      <c r="F5" s="151" t="s">
        <v>20</v>
      </c>
      <c r="G5" s="151" t="s">
        <v>25</v>
      </c>
      <c r="H5" s="151" t="s">
        <v>26</v>
      </c>
      <c r="I5" s="151" t="s">
        <v>27</v>
      </c>
      <c r="J5" s="13" t="s">
        <v>88</v>
      </c>
      <c r="K5" s="42" t="s">
        <v>10</v>
      </c>
      <c r="L5" s="151" t="s">
        <v>23</v>
      </c>
      <c r="M5" s="13" t="s">
        <v>4</v>
      </c>
      <c r="N5" s="13" t="s">
        <v>15</v>
      </c>
      <c r="O5" s="11" t="s">
        <v>16</v>
      </c>
      <c r="P5" s="13" t="s">
        <v>24</v>
      </c>
      <c r="Q5" s="13" t="s">
        <v>28</v>
      </c>
      <c r="R5" s="13" t="s">
        <v>41</v>
      </c>
      <c r="T5" s="13" t="s">
        <v>37</v>
      </c>
    </row>
    <row r="6" spans="1:20" ht="30.6" customHeight="1" thickBot="1" x14ac:dyDescent="0.3">
      <c r="A6" s="52"/>
      <c r="B6" s="30"/>
      <c r="C6" s="31"/>
      <c r="D6" s="30"/>
      <c r="E6" s="152"/>
      <c r="F6" s="153"/>
      <c r="G6" s="153"/>
      <c r="H6" s="153"/>
      <c r="I6" s="153"/>
      <c r="J6" s="32"/>
      <c r="K6" s="43"/>
      <c r="L6" s="153"/>
      <c r="M6" s="32"/>
      <c r="N6" s="32"/>
      <c r="O6" s="31"/>
      <c r="P6" s="32"/>
      <c r="Q6" s="32"/>
      <c r="R6" s="32"/>
    </row>
    <row r="7" spans="1:20" x14ac:dyDescent="0.25">
      <c r="A7" s="53">
        <v>1</v>
      </c>
      <c r="B7" s="33" t="s">
        <v>59</v>
      </c>
      <c r="C7" s="34">
        <v>1</v>
      </c>
      <c r="D7" s="33"/>
      <c r="E7" s="148"/>
      <c r="F7" s="148"/>
      <c r="G7" s="148"/>
      <c r="H7" s="148"/>
      <c r="I7" s="148"/>
      <c r="J7" s="33"/>
      <c r="K7" s="44"/>
      <c r="L7" s="148"/>
      <c r="M7" s="33"/>
      <c r="N7" s="33"/>
      <c r="O7" s="33"/>
      <c r="P7" s="33"/>
      <c r="Q7" s="33"/>
      <c r="R7" s="33"/>
    </row>
    <row r="8" spans="1:20" x14ac:dyDescent="0.25">
      <c r="A8" s="53">
        <f>A7+1</f>
        <v>2</v>
      </c>
      <c r="C8" s="2"/>
      <c r="D8" s="2" t="s">
        <v>17</v>
      </c>
      <c r="E8" s="149">
        <f>264673+16023</f>
        <v>280696</v>
      </c>
      <c r="F8" s="132">
        <v>14</v>
      </c>
      <c r="G8" s="131">
        <f>F8*E8</f>
        <v>3929744</v>
      </c>
      <c r="H8" s="132">
        <v>14</v>
      </c>
      <c r="I8" s="131">
        <f>H8*E8</f>
        <v>3929744</v>
      </c>
      <c r="J8" s="133">
        <f>I8/I10</f>
        <v>0.1303933676479396</v>
      </c>
      <c r="K8" s="133"/>
      <c r="L8" s="132">
        <f>ROUND(H8*S10,2)</f>
        <v>14.55</v>
      </c>
      <c r="M8" s="131">
        <f>L8*E8</f>
        <v>4084126.8000000003</v>
      </c>
      <c r="N8" s="131">
        <f t="shared" ref="N8:N13" si="0">M8-I8</f>
        <v>154382.80000000028</v>
      </c>
      <c r="O8" s="133">
        <f>IF(I8=0,0,N8/I8)</f>
        <v>3.9285714285714354E-2</v>
      </c>
      <c r="P8" s="4">
        <f>M8/M10</f>
        <v>0.1303900967591384</v>
      </c>
      <c r="Q8" s="16">
        <f>P8-J8</f>
        <v>-3.2708888011989679E-6</v>
      </c>
      <c r="R8" s="16"/>
      <c r="T8" s="4">
        <f>L8/H8-1</f>
        <v>3.9285714285714368E-2</v>
      </c>
    </row>
    <row r="9" spans="1:20" x14ac:dyDescent="0.25">
      <c r="A9" s="53">
        <f t="shared" ref="A9:A72" si="1">A8+1</f>
        <v>3</v>
      </c>
      <c r="B9" s="17"/>
      <c r="D9" s="2" t="s">
        <v>51</v>
      </c>
      <c r="E9" s="149">
        <f>289039587+20383930</f>
        <v>309423517</v>
      </c>
      <c r="F9" s="134">
        <f>H9+0.00159</f>
        <v>8.6288999999999991E-2</v>
      </c>
      <c r="G9" s="131">
        <f t="shared" ref="G9" si="2">F9*E9</f>
        <v>26699845.858412996</v>
      </c>
      <c r="H9" s="134">
        <v>8.4698999999999997E-2</v>
      </c>
      <c r="I9" s="131">
        <f t="shared" ref="I9" si="3">H9*E9</f>
        <v>26207862.466382999</v>
      </c>
      <c r="J9" s="133">
        <f>I9/I10</f>
        <v>0.86960663235206037</v>
      </c>
      <c r="K9" s="133"/>
      <c r="L9" s="135">
        <f>ROUND(H9*S10,6)</f>
        <v>8.8028999999999996E-2</v>
      </c>
      <c r="M9" s="131">
        <f t="shared" ref="M9" si="4">L9*E9</f>
        <v>27238242.777992997</v>
      </c>
      <c r="N9" s="131">
        <f t="shared" si="0"/>
        <v>1030380.3116099983</v>
      </c>
      <c r="O9" s="133">
        <f t="shared" ref="O9" si="5">IF(I9=0,0,N9/I9)</f>
        <v>3.9315694400169951E-2</v>
      </c>
      <c r="P9" s="4">
        <f>M9/M10</f>
        <v>0.86960990324086163</v>
      </c>
      <c r="Q9" s="16">
        <f t="shared" ref="Q9:Q10" si="6">P9-J9</f>
        <v>3.270888801254479E-6</v>
      </c>
      <c r="R9" s="16"/>
      <c r="T9" s="4">
        <f>L9/H9-1</f>
        <v>3.931569440017002E-2</v>
      </c>
    </row>
    <row r="10" spans="1:20" s="6" customFormat="1" ht="20.399999999999999" customHeight="1" x14ac:dyDescent="0.3">
      <c r="A10" s="53">
        <f t="shared" si="1"/>
        <v>4</v>
      </c>
      <c r="C10" s="21"/>
      <c r="D10" s="23" t="s">
        <v>6</v>
      </c>
      <c r="E10" s="136"/>
      <c r="F10" s="136"/>
      <c r="G10" s="24">
        <f>SUM(G8:G9)</f>
        <v>30629589.858412996</v>
      </c>
      <c r="H10" s="136"/>
      <c r="I10" s="24">
        <f>SUM(I8:I9)</f>
        <v>30137606.466382999</v>
      </c>
      <c r="J10" s="137">
        <f>SUM(J8:J9)</f>
        <v>1</v>
      </c>
      <c r="K10" s="138">
        <f>I10+Summary!I8</f>
        <v>31322365.656383</v>
      </c>
      <c r="L10" s="136"/>
      <c r="M10" s="24">
        <f>SUM(M8:M9)</f>
        <v>31322369.577992998</v>
      </c>
      <c r="N10" s="24">
        <f>SUM(N8:N9)</f>
        <v>1184763.1116099986</v>
      </c>
      <c r="O10" s="137">
        <f t="shared" ref="O10" si="7">N10/I10</f>
        <v>3.9311785192083615E-2</v>
      </c>
      <c r="P10" s="25">
        <f>SUM(P8:P9)</f>
        <v>1</v>
      </c>
      <c r="Q10" s="26">
        <f t="shared" si="6"/>
        <v>0</v>
      </c>
      <c r="R10" s="37">
        <f>M10-K10</f>
        <v>3.9216099977493286</v>
      </c>
      <c r="S10" s="6">
        <f>K10/I10</f>
        <v>1.0393116550686115</v>
      </c>
    </row>
    <row r="11" spans="1:20" x14ac:dyDescent="0.25">
      <c r="A11" s="53">
        <f t="shared" si="1"/>
        <v>5</v>
      </c>
      <c r="D11" s="2" t="s">
        <v>29</v>
      </c>
      <c r="G11" s="131">
        <f>-1151018.73-85294</f>
        <v>-1236312.73</v>
      </c>
      <c r="I11" s="139">
        <f>G11+(0.00159*E9)</f>
        <v>-744329.33796999999</v>
      </c>
      <c r="J11" s="126"/>
      <c r="K11" s="139"/>
      <c r="M11" s="131">
        <f>I11</f>
        <v>-744329.33796999999</v>
      </c>
      <c r="N11" s="131">
        <f t="shared" si="0"/>
        <v>0</v>
      </c>
      <c r="O11" s="132">
        <v>0</v>
      </c>
      <c r="R11" s="39"/>
    </row>
    <row r="12" spans="1:20" x14ac:dyDescent="0.25">
      <c r="A12" s="53">
        <f t="shared" si="1"/>
        <v>6</v>
      </c>
      <c r="D12" s="2" t="s">
        <v>30</v>
      </c>
      <c r="G12" s="131">
        <f>2928754.05+205480</f>
        <v>3134234.05</v>
      </c>
      <c r="I12" s="139">
        <f>G12</f>
        <v>3134234.05</v>
      </c>
      <c r="J12" s="126"/>
      <c r="K12" s="126"/>
      <c r="M12" s="131">
        <f t="shared" ref="M12:M14" si="8">I12</f>
        <v>3134234.05</v>
      </c>
      <c r="N12" s="131">
        <f t="shared" si="0"/>
        <v>0</v>
      </c>
      <c r="O12" s="132">
        <v>0</v>
      </c>
    </row>
    <row r="13" spans="1:20" x14ac:dyDescent="0.25">
      <c r="A13" s="53">
        <f t="shared" si="1"/>
        <v>7</v>
      </c>
      <c r="D13" s="2" t="s">
        <v>32</v>
      </c>
      <c r="G13" s="131">
        <v>50953</v>
      </c>
      <c r="I13" s="139">
        <v>50953</v>
      </c>
      <c r="J13" s="126"/>
      <c r="K13" s="126"/>
      <c r="M13" s="131">
        <f t="shared" si="8"/>
        <v>50953</v>
      </c>
      <c r="N13" s="131">
        <f t="shared" si="0"/>
        <v>0</v>
      </c>
      <c r="O13" s="132">
        <v>0</v>
      </c>
    </row>
    <row r="14" spans="1:20" x14ac:dyDescent="0.25">
      <c r="A14" s="53">
        <f t="shared" si="1"/>
        <v>8</v>
      </c>
      <c r="D14" s="2" t="s">
        <v>42</v>
      </c>
      <c r="G14" s="131">
        <v>0</v>
      </c>
      <c r="I14" s="139">
        <f>G14</f>
        <v>0</v>
      </c>
      <c r="J14" s="126"/>
      <c r="K14" s="126"/>
      <c r="M14" s="131">
        <f t="shared" si="8"/>
        <v>0</v>
      </c>
      <c r="N14" s="131"/>
      <c r="O14" s="132">
        <v>0</v>
      </c>
    </row>
    <row r="15" spans="1:20" x14ac:dyDescent="0.25">
      <c r="A15" s="53">
        <f t="shared" si="1"/>
        <v>9</v>
      </c>
      <c r="D15" s="18" t="s">
        <v>8</v>
      </c>
      <c r="E15" s="141"/>
      <c r="F15" s="141"/>
      <c r="G15" s="140">
        <f>SUM(G11:G14)</f>
        <v>1948874.3199999998</v>
      </c>
      <c r="H15" s="141"/>
      <c r="I15" s="140">
        <f>SUM(I11:I14)</f>
        <v>2440857.7120300001</v>
      </c>
      <c r="J15" s="141"/>
      <c r="K15" s="141"/>
      <c r="L15" s="141"/>
      <c r="M15" s="140">
        <f>SUM(M11:M14)</f>
        <v>2440857.7120300001</v>
      </c>
      <c r="N15" s="140">
        <f>M15-I15</f>
        <v>0</v>
      </c>
      <c r="O15" s="142">
        <v>0</v>
      </c>
    </row>
    <row r="16" spans="1:20" s="6" customFormat="1" ht="26.4" customHeight="1" thickBot="1" x14ac:dyDescent="0.3">
      <c r="A16" s="53">
        <f t="shared" si="1"/>
        <v>10</v>
      </c>
      <c r="C16" s="21"/>
      <c r="D16" s="7" t="s">
        <v>19</v>
      </c>
      <c r="E16" s="144"/>
      <c r="F16" s="144"/>
      <c r="G16" s="143">
        <f>G10+G15</f>
        <v>32578464.178412996</v>
      </c>
      <c r="H16" s="144"/>
      <c r="I16" s="145">
        <f>I15+I10</f>
        <v>32578464.178413</v>
      </c>
      <c r="J16" s="144"/>
      <c r="K16" s="144"/>
      <c r="L16" s="144"/>
      <c r="M16" s="143">
        <f>M15+M10</f>
        <v>33763227.290022999</v>
      </c>
      <c r="N16" s="143">
        <f>M16-I16</f>
        <v>1184763.1116099991</v>
      </c>
      <c r="O16" s="146">
        <f>N16/I16</f>
        <v>3.6366450705648722E-2</v>
      </c>
      <c r="P16" s="2"/>
      <c r="Q16" s="2"/>
      <c r="R16" s="2"/>
    </row>
    <row r="17" spans="1:20" ht="13.8" thickTop="1" x14ac:dyDescent="0.25">
      <c r="A17" s="53">
        <f t="shared" si="1"/>
        <v>11</v>
      </c>
      <c r="D17" s="2" t="s">
        <v>18</v>
      </c>
      <c r="E17" s="132">
        <f>E9/E8</f>
        <v>1102.343877361986</v>
      </c>
      <c r="G17" s="147">
        <f>G16/E8</f>
        <v>116.06315793033387</v>
      </c>
      <c r="I17" s="147">
        <f>I16/E8</f>
        <v>116.06315793033389</v>
      </c>
      <c r="J17" s="126"/>
      <c r="K17" s="126"/>
      <c r="M17" s="147">
        <f>M16/E8</f>
        <v>120.28396304194929</v>
      </c>
      <c r="N17" s="147">
        <f>M17-I17</f>
        <v>4.2208051116154053</v>
      </c>
      <c r="O17" s="133">
        <f>N17/I17</f>
        <v>3.636645070564868E-2</v>
      </c>
    </row>
    <row r="18" spans="1:20" ht="13.8" thickBot="1" x14ac:dyDescent="0.3">
      <c r="A18" s="53">
        <f t="shared" si="1"/>
        <v>12</v>
      </c>
      <c r="J18" s="126"/>
      <c r="K18" s="126"/>
      <c r="M18" s="126"/>
      <c r="N18" s="126"/>
      <c r="O18" s="126"/>
    </row>
    <row r="19" spans="1:20" x14ac:dyDescent="0.25">
      <c r="A19" s="53">
        <f t="shared" si="1"/>
        <v>13</v>
      </c>
      <c r="B19" s="33" t="s">
        <v>60</v>
      </c>
      <c r="C19" s="34">
        <v>3</v>
      </c>
      <c r="D19" s="33"/>
      <c r="E19" s="148"/>
      <c r="F19" s="148"/>
      <c r="G19" s="148"/>
      <c r="H19" s="148"/>
      <c r="I19" s="148"/>
      <c r="J19" s="33"/>
      <c r="K19" s="44"/>
      <c r="L19" s="148"/>
      <c r="M19" s="33"/>
      <c r="N19" s="33"/>
      <c r="O19" s="33"/>
      <c r="P19" s="33"/>
      <c r="Q19" s="33"/>
      <c r="R19" s="33"/>
    </row>
    <row r="20" spans="1:20" x14ac:dyDescent="0.25">
      <c r="A20" s="53">
        <f t="shared" si="1"/>
        <v>14</v>
      </c>
      <c r="C20" s="2"/>
      <c r="D20" s="2" t="s">
        <v>17</v>
      </c>
      <c r="E20" s="149">
        <v>10</v>
      </c>
      <c r="F20" s="132">
        <v>19.649999999999999</v>
      </c>
      <c r="G20" s="131">
        <f>F20*E20</f>
        <v>196.5</v>
      </c>
      <c r="H20" s="132">
        <v>19.649999999999999</v>
      </c>
      <c r="I20" s="131">
        <f>H20*E20</f>
        <v>196.5</v>
      </c>
      <c r="J20" s="4">
        <f>I20/I23</f>
        <v>0.23720497445702596</v>
      </c>
      <c r="K20" s="45"/>
      <c r="L20" s="132">
        <f>ROUND(H20*S23,2)</f>
        <v>20.420000000000002</v>
      </c>
      <c r="M20" s="5">
        <f>L20*E20</f>
        <v>204.20000000000002</v>
      </c>
      <c r="N20" s="5">
        <f>M20-I20</f>
        <v>7.7000000000000171</v>
      </c>
      <c r="O20" s="4">
        <f>IF(I20=0,0,N20/I20)</f>
        <v>3.9185750636132402E-2</v>
      </c>
      <c r="P20" s="4">
        <f>M20/M$23</f>
        <v>0.23718203333924742</v>
      </c>
      <c r="Q20" s="16">
        <f>P20-J20</f>
        <v>-2.2941117778535469E-5</v>
      </c>
      <c r="R20" s="16"/>
      <c r="T20" s="4">
        <f>L20/H20-1</f>
        <v>3.9185750636132388E-2</v>
      </c>
    </row>
    <row r="21" spans="1:20" x14ac:dyDescent="0.25">
      <c r="A21" s="53">
        <f t="shared" si="1"/>
        <v>15</v>
      </c>
      <c r="D21" s="2" t="s">
        <v>52</v>
      </c>
      <c r="E21" s="149">
        <v>3883</v>
      </c>
      <c r="F21" s="134">
        <f>H21+0.00159</f>
        <v>0.10203899999999999</v>
      </c>
      <c r="G21" s="131">
        <f t="shared" ref="G21" si="9">F21*E21</f>
        <v>396.21743699999996</v>
      </c>
      <c r="H21" s="134">
        <v>0.100449</v>
      </c>
      <c r="I21" s="131">
        <f t="shared" ref="I21" si="10">H21*E21</f>
        <v>390.04346699999996</v>
      </c>
      <c r="J21" s="4">
        <f>I21/I23</f>
        <v>0.47084097011127141</v>
      </c>
      <c r="K21" s="45"/>
      <c r="L21" s="135">
        <f>ROUND(H21*S23,6)</f>
        <v>0.104398</v>
      </c>
      <c r="M21" s="5">
        <f t="shared" ref="M21" si="11">L21*E21</f>
        <v>405.37743399999999</v>
      </c>
      <c r="N21" s="5">
        <f t="shared" ref="N21" si="12">M21-I21</f>
        <v>15.33396700000003</v>
      </c>
      <c r="O21" s="4">
        <f t="shared" ref="O21" si="13">IF(I21=0,0,N21/I21)</f>
        <v>3.9313482463737899E-2</v>
      </c>
      <c r="P21" s="4">
        <f t="shared" ref="P21:P22" si="14">M21/M$23</f>
        <v>0.47085330100865114</v>
      </c>
      <c r="Q21" s="16">
        <f t="shared" ref="Q21" si="15">P21-J21</f>
        <v>1.2330897379730921E-5</v>
      </c>
      <c r="R21" s="16"/>
      <c r="T21" s="4">
        <f>L21/H21-1</f>
        <v>3.9313482463738003E-2</v>
      </c>
    </row>
    <row r="22" spans="1:20" x14ac:dyDescent="0.25">
      <c r="A22" s="53">
        <f t="shared" si="1"/>
        <v>16</v>
      </c>
      <c r="D22" s="2" t="s">
        <v>53</v>
      </c>
      <c r="E22" s="149">
        <v>4325</v>
      </c>
      <c r="F22" s="134">
        <f>H22+0.00159</f>
        <v>5.7509999999999999E-2</v>
      </c>
      <c r="G22" s="131">
        <f t="shared" ref="G22" si="16">F22*E22</f>
        <v>248.73075</v>
      </c>
      <c r="H22" s="134">
        <v>5.5919999999999997E-2</v>
      </c>
      <c r="I22" s="131">
        <f t="shared" ref="I22" si="17">H22*E22</f>
        <v>241.85399999999998</v>
      </c>
      <c r="J22" s="4">
        <f>I22/I23</f>
        <v>0.29195405543170255</v>
      </c>
      <c r="K22" s="45"/>
      <c r="L22" s="135">
        <f>ROUND(H22*S23,6)</f>
        <v>5.8118999999999997E-2</v>
      </c>
      <c r="M22" s="5">
        <f t="shared" ref="M22" si="18">L22*E22</f>
        <v>251.36467499999998</v>
      </c>
      <c r="N22" s="5">
        <f t="shared" ref="N22:N30" si="19">M22-I22</f>
        <v>9.510674999999992</v>
      </c>
      <c r="O22" s="4">
        <f t="shared" ref="O22" si="20">IF(I22=0,0,N22/I22)</f>
        <v>3.9324034334763919E-2</v>
      </c>
      <c r="P22" s="4">
        <f t="shared" si="14"/>
        <v>0.29196466565210133</v>
      </c>
      <c r="Q22" s="16">
        <f t="shared" ref="Q22:Q23" si="21">P22-J22</f>
        <v>1.0610220398776793E-5</v>
      </c>
      <c r="R22" s="16"/>
      <c r="T22" s="4">
        <f>L22/H22-1</f>
        <v>3.9324034334763835E-2</v>
      </c>
    </row>
    <row r="23" spans="1:20" s="6" customFormat="1" ht="20.399999999999999" customHeight="1" x14ac:dyDescent="0.3">
      <c r="A23" s="53">
        <f t="shared" si="1"/>
        <v>17</v>
      </c>
      <c r="C23" s="21"/>
      <c r="D23" s="23" t="s">
        <v>6</v>
      </c>
      <c r="E23" s="136"/>
      <c r="F23" s="136"/>
      <c r="G23" s="24">
        <f>SUM(G20:G22)</f>
        <v>841.44818699999996</v>
      </c>
      <c r="H23" s="136"/>
      <c r="I23" s="24">
        <f>SUM(I20:I22)</f>
        <v>828.39746700000001</v>
      </c>
      <c r="J23" s="25">
        <f>SUM(J20:J22)</f>
        <v>1</v>
      </c>
      <c r="K23" s="46">
        <f>I23+Summary!I9</f>
        <v>860.96746700000006</v>
      </c>
      <c r="L23" s="136"/>
      <c r="M23" s="24">
        <f>SUM(M20:M22)</f>
        <v>860.94210900000007</v>
      </c>
      <c r="N23" s="24">
        <f>SUM(N20:N22)</f>
        <v>32.544642000000039</v>
      </c>
      <c r="O23" s="25">
        <f t="shared" ref="O23" si="22">N23/I23</f>
        <v>3.9286264500371822E-2</v>
      </c>
      <c r="P23" s="25">
        <f>SUM(P20:P22)</f>
        <v>0.99999999999999989</v>
      </c>
      <c r="Q23" s="26">
        <f t="shared" si="21"/>
        <v>0</v>
      </c>
      <c r="R23" s="37">
        <f>M23-K23</f>
        <v>-2.5357999999982894E-2</v>
      </c>
      <c r="S23" s="6">
        <f>K23/I23</f>
        <v>1.0393168754100017</v>
      </c>
    </row>
    <row r="24" spans="1:20" x14ac:dyDescent="0.25">
      <c r="A24" s="53">
        <f t="shared" si="1"/>
        <v>18</v>
      </c>
      <c r="D24" s="2" t="s">
        <v>29</v>
      </c>
      <c r="G24" s="131">
        <v>-38.6</v>
      </c>
      <c r="I24" s="139">
        <f>G24+(0.00159*(E22+E21))</f>
        <v>-25.549280000000003</v>
      </c>
      <c r="K24" s="56"/>
      <c r="M24" s="5">
        <f>I24</f>
        <v>-25.549280000000003</v>
      </c>
      <c r="N24" s="5">
        <f t="shared" si="19"/>
        <v>0</v>
      </c>
      <c r="O24" s="17">
        <v>0</v>
      </c>
    </row>
    <row r="25" spans="1:20" x14ac:dyDescent="0.25">
      <c r="A25" s="53">
        <f t="shared" si="1"/>
        <v>19</v>
      </c>
      <c r="D25" s="2" t="s">
        <v>30</v>
      </c>
      <c r="G25" s="131">
        <v>82.83</v>
      </c>
      <c r="I25" s="139">
        <f t="shared" ref="I25:I27" si="23">G25</f>
        <v>82.83</v>
      </c>
      <c r="M25" s="5">
        <f t="shared" ref="M25:M27" si="24">I25</f>
        <v>82.83</v>
      </c>
      <c r="N25" s="5">
        <f t="shared" si="19"/>
        <v>0</v>
      </c>
      <c r="O25" s="17">
        <v>0</v>
      </c>
    </row>
    <row r="26" spans="1:20" x14ac:dyDescent="0.25">
      <c r="A26" s="53">
        <f t="shared" si="1"/>
        <v>20</v>
      </c>
      <c r="D26" s="2" t="s">
        <v>32</v>
      </c>
      <c r="G26" s="131">
        <v>0</v>
      </c>
      <c r="I26" s="139">
        <f t="shared" si="23"/>
        <v>0</v>
      </c>
      <c r="M26" s="5">
        <f t="shared" si="24"/>
        <v>0</v>
      </c>
      <c r="N26" s="5">
        <f t="shared" si="19"/>
        <v>0</v>
      </c>
      <c r="O26" s="17">
        <v>0</v>
      </c>
    </row>
    <row r="27" spans="1:20" x14ac:dyDescent="0.25">
      <c r="A27" s="53">
        <f t="shared" si="1"/>
        <v>21</v>
      </c>
      <c r="D27" s="2" t="s">
        <v>42</v>
      </c>
      <c r="G27" s="131">
        <v>0</v>
      </c>
      <c r="I27" s="139">
        <f t="shared" si="23"/>
        <v>0</v>
      </c>
      <c r="M27" s="5">
        <f t="shared" si="24"/>
        <v>0</v>
      </c>
      <c r="N27" s="5"/>
      <c r="O27" s="17"/>
    </row>
    <row r="28" spans="1:20" x14ac:dyDescent="0.25">
      <c r="A28" s="53">
        <f t="shared" si="1"/>
        <v>22</v>
      </c>
      <c r="D28" s="18" t="s">
        <v>8</v>
      </c>
      <c r="E28" s="141"/>
      <c r="F28" s="141"/>
      <c r="G28" s="140">
        <f>SUM(G24:G27)</f>
        <v>44.23</v>
      </c>
      <c r="H28" s="141"/>
      <c r="I28" s="140">
        <f>SUM(I24:I27)</f>
        <v>57.280719999999995</v>
      </c>
      <c r="J28" s="18"/>
      <c r="K28" s="47"/>
      <c r="L28" s="141"/>
      <c r="M28" s="19">
        <f>SUM(M24:M27)</f>
        <v>57.280719999999995</v>
      </c>
      <c r="N28" s="19">
        <f t="shared" si="19"/>
        <v>0</v>
      </c>
      <c r="O28" s="27">
        <f t="shared" ref="O28" si="25">N28-J28</f>
        <v>0</v>
      </c>
    </row>
    <row r="29" spans="1:20" s="6" customFormat="1" ht="26.4" customHeight="1" thickBot="1" x14ac:dyDescent="0.3">
      <c r="A29" s="53">
        <f t="shared" si="1"/>
        <v>23</v>
      </c>
      <c r="C29" s="21"/>
      <c r="D29" s="7" t="s">
        <v>19</v>
      </c>
      <c r="E29" s="144"/>
      <c r="F29" s="144"/>
      <c r="G29" s="143">
        <f>G23+G28</f>
        <v>885.67818699999998</v>
      </c>
      <c r="H29" s="144"/>
      <c r="I29" s="145">
        <f>I28+I23</f>
        <v>885.67818699999998</v>
      </c>
      <c r="J29" s="7"/>
      <c r="K29" s="48"/>
      <c r="L29" s="144"/>
      <c r="M29" s="8">
        <f>M28+M23</f>
        <v>918.22282900000005</v>
      </c>
      <c r="N29" s="8">
        <f t="shared" si="19"/>
        <v>32.544642000000067</v>
      </c>
      <c r="O29" s="9">
        <f>N29/I29</f>
        <v>3.6745448265172266E-2</v>
      </c>
      <c r="P29" s="2"/>
      <c r="Q29" s="2"/>
      <c r="R29" s="2"/>
    </row>
    <row r="30" spans="1:20" ht="13.8" thickTop="1" x14ac:dyDescent="0.25">
      <c r="A30" s="53">
        <f t="shared" si="1"/>
        <v>24</v>
      </c>
      <c r="D30" s="2" t="s">
        <v>18</v>
      </c>
      <c r="E30" s="132">
        <f>(E21+E22)/E20</f>
        <v>820.8</v>
      </c>
      <c r="G30" s="147">
        <f>G29/E20</f>
        <v>88.567818700000004</v>
      </c>
      <c r="I30" s="147">
        <f>I29/E20</f>
        <v>88.567818700000004</v>
      </c>
      <c r="M30" s="15">
        <f>M29/E20</f>
        <v>91.822282900000005</v>
      </c>
      <c r="N30" s="15">
        <f t="shared" si="19"/>
        <v>3.254464200000001</v>
      </c>
      <c r="O30" s="4">
        <f>N30/I30</f>
        <v>3.6745448265172197E-2</v>
      </c>
    </row>
    <row r="31" spans="1:20" ht="13.8" thickBot="1" x14ac:dyDescent="0.3">
      <c r="A31" s="53">
        <f t="shared" si="1"/>
        <v>25</v>
      </c>
    </row>
    <row r="32" spans="1:20" x14ac:dyDescent="0.25">
      <c r="A32" s="53">
        <f t="shared" si="1"/>
        <v>26</v>
      </c>
      <c r="B32" s="33" t="s">
        <v>61</v>
      </c>
      <c r="C32" s="34">
        <v>20</v>
      </c>
      <c r="D32" s="33"/>
      <c r="E32" s="148"/>
      <c r="F32" s="148"/>
      <c r="G32" s="148"/>
      <c r="H32" s="148"/>
      <c r="I32" s="148"/>
      <c r="J32" s="33"/>
      <c r="K32" s="44"/>
      <c r="L32" s="148"/>
      <c r="M32" s="33"/>
      <c r="N32" s="33"/>
      <c r="O32" s="33"/>
      <c r="P32" s="33"/>
      <c r="Q32" s="33"/>
      <c r="R32" s="33"/>
    </row>
    <row r="33" spans="1:23" x14ac:dyDescent="0.25">
      <c r="A33" s="53">
        <f t="shared" si="1"/>
        <v>27</v>
      </c>
      <c r="C33" s="2"/>
      <c r="D33" s="2" t="s">
        <v>17</v>
      </c>
      <c r="E33" s="149">
        <v>237</v>
      </c>
      <c r="F33" s="132">
        <v>14</v>
      </c>
      <c r="G33" s="131">
        <f>F33*E33</f>
        <v>3318</v>
      </c>
      <c r="H33" s="132">
        <f>H8</f>
        <v>14</v>
      </c>
      <c r="I33" s="131">
        <f>H33*E33</f>
        <v>3318</v>
      </c>
      <c r="J33" s="4">
        <f>I33/I35</f>
        <v>0.12172647519571833</v>
      </c>
      <c r="K33" s="133"/>
      <c r="L33" s="132">
        <f>L8</f>
        <v>14.55</v>
      </c>
      <c r="M33" s="5">
        <f>L33*E33</f>
        <v>3448.3500000000004</v>
      </c>
      <c r="N33" s="5">
        <f>M33-I33</f>
        <v>130.35000000000036</v>
      </c>
      <c r="O33" s="4">
        <f>IF(I33=0,0,N33/I33)</f>
        <v>3.9285714285714396E-2</v>
      </c>
      <c r="P33" s="4">
        <f>M33/M$35</f>
        <v>0.12172339128239139</v>
      </c>
      <c r="Q33" s="16">
        <f>P33-J33</f>
        <v>-3.0839133269427998E-6</v>
      </c>
      <c r="R33" s="16"/>
      <c r="W33" s="86" t="s">
        <v>86</v>
      </c>
    </row>
    <row r="34" spans="1:23" x14ac:dyDescent="0.25">
      <c r="A34" s="53">
        <f t="shared" si="1"/>
        <v>28</v>
      </c>
      <c r="D34" s="2" t="s">
        <v>51</v>
      </c>
      <c r="E34" s="149">
        <v>282646</v>
      </c>
      <c r="F34" s="134">
        <f>H34+0.00159</f>
        <v>8.6288999999999991E-2</v>
      </c>
      <c r="G34" s="131">
        <f t="shared" ref="G34" si="26">F34*E34</f>
        <v>24389.240693999996</v>
      </c>
      <c r="H34" s="134">
        <f>H9</f>
        <v>8.4698999999999997E-2</v>
      </c>
      <c r="I34" s="131">
        <f t="shared" ref="I34" si="27">H34*E34</f>
        <v>23939.833554000001</v>
      </c>
      <c r="J34" s="4">
        <f>I34/I35</f>
        <v>0.87827352480428167</v>
      </c>
      <c r="K34" s="133"/>
      <c r="L34" s="134">
        <f>L9</f>
        <v>8.8028999999999996E-2</v>
      </c>
      <c r="M34" s="5">
        <f t="shared" ref="M34" si="28">L34*E34</f>
        <v>24881.044733999999</v>
      </c>
      <c r="N34" s="5">
        <f t="shared" ref="N34" si="29">M34-I34</f>
        <v>941.21117999999842</v>
      </c>
      <c r="O34" s="4">
        <f t="shared" ref="O34" si="30">IF(I34=0,0,N34/I34)</f>
        <v>3.9315694400169944E-2</v>
      </c>
      <c r="P34" s="4">
        <f>M34/M$35</f>
        <v>0.8782766087176086</v>
      </c>
      <c r="Q34" s="16">
        <f t="shared" ref="Q34" si="31">P34-J34</f>
        <v>3.0839133269289221E-6</v>
      </c>
      <c r="R34" s="16"/>
      <c r="T34" s="4">
        <f>L34/H34-1</f>
        <v>3.931569440017002E-2</v>
      </c>
      <c r="W34" s="86" t="s">
        <v>87</v>
      </c>
    </row>
    <row r="35" spans="1:23" s="6" customFormat="1" ht="20.399999999999999" customHeight="1" x14ac:dyDescent="0.3">
      <c r="A35" s="53">
        <f t="shared" si="1"/>
        <v>29</v>
      </c>
      <c r="C35" s="21"/>
      <c r="D35" s="23" t="s">
        <v>6</v>
      </c>
      <c r="E35" s="136"/>
      <c r="F35" s="136"/>
      <c r="G35" s="24">
        <f>SUM(G33:G34)</f>
        <v>27707.240693999996</v>
      </c>
      <c r="H35" s="136"/>
      <c r="I35" s="24">
        <f>SUM(I33:I34)</f>
        <v>27257.833554000001</v>
      </c>
      <c r="J35" s="25">
        <f>SUM(J33:J34)</f>
        <v>1</v>
      </c>
      <c r="K35" s="46">
        <f>I35+Summary!I10</f>
        <v>28329.383554</v>
      </c>
      <c r="L35" s="136"/>
      <c r="M35" s="24">
        <f>SUM(M33:M34)</f>
        <v>28329.394734000001</v>
      </c>
      <c r="N35" s="24">
        <f>SUM(N33:N34)</f>
        <v>1071.5611799999988</v>
      </c>
      <c r="O35" s="25">
        <f t="shared" ref="O35" si="32">N35/I35</f>
        <v>3.9312045026511311E-2</v>
      </c>
      <c r="P35" s="25">
        <f>SUM(P33:P34)</f>
        <v>1</v>
      </c>
      <c r="Q35" s="26">
        <f t="shared" ref="Q35" si="33">P35-J35</f>
        <v>0</v>
      </c>
      <c r="R35" s="37">
        <f>M35-K35</f>
        <v>1.1180000001331791E-2</v>
      </c>
      <c r="S35" s="6">
        <f>K35/I35</f>
        <v>1.0393116348691898</v>
      </c>
    </row>
    <row r="36" spans="1:23" x14ac:dyDescent="0.25">
      <c r="A36" s="53">
        <f t="shared" si="1"/>
        <v>30</v>
      </c>
      <c r="D36" s="2" t="s">
        <v>29</v>
      </c>
      <c r="G36" s="131">
        <v>-366.79</v>
      </c>
      <c r="I36" s="139">
        <f>G36+(0.00159*E34)</f>
        <v>82.617140000000006</v>
      </c>
      <c r="K36" s="56"/>
      <c r="M36" s="5">
        <f>I36</f>
        <v>82.617140000000006</v>
      </c>
      <c r="N36" s="5">
        <f t="shared" ref="N36:N42" si="34">M36-I36</f>
        <v>0</v>
      </c>
      <c r="O36" s="17">
        <v>0</v>
      </c>
    </row>
    <row r="37" spans="1:23" x14ac:dyDescent="0.25">
      <c r="A37" s="53">
        <f t="shared" si="1"/>
        <v>31</v>
      </c>
      <c r="D37" s="2" t="s">
        <v>30</v>
      </c>
      <c r="G37" s="131">
        <v>1190.04</v>
      </c>
      <c r="I37" s="139">
        <f t="shared" ref="I37:I39" si="35">G37</f>
        <v>1190.04</v>
      </c>
      <c r="M37" s="5">
        <f t="shared" ref="M37:M39" si="36">I37</f>
        <v>1190.04</v>
      </c>
      <c r="N37" s="5">
        <f t="shared" si="34"/>
        <v>0</v>
      </c>
      <c r="O37" s="17">
        <v>0</v>
      </c>
    </row>
    <row r="38" spans="1:23" x14ac:dyDescent="0.25">
      <c r="A38" s="53">
        <f t="shared" si="1"/>
        <v>32</v>
      </c>
      <c r="D38" s="2" t="s">
        <v>32</v>
      </c>
      <c r="G38" s="131">
        <v>0</v>
      </c>
      <c r="I38" s="139">
        <f t="shared" si="35"/>
        <v>0</v>
      </c>
      <c r="M38" s="5">
        <f t="shared" si="36"/>
        <v>0</v>
      </c>
      <c r="N38" s="5">
        <f t="shared" si="34"/>
        <v>0</v>
      </c>
      <c r="O38" s="17">
        <v>0</v>
      </c>
    </row>
    <row r="39" spans="1:23" x14ac:dyDescent="0.25">
      <c r="A39" s="53">
        <f t="shared" si="1"/>
        <v>33</v>
      </c>
      <c r="D39" s="2" t="s">
        <v>42</v>
      </c>
      <c r="G39" s="131">
        <v>0</v>
      </c>
      <c r="I39" s="139">
        <f t="shared" si="35"/>
        <v>0</v>
      </c>
      <c r="M39" s="5">
        <f t="shared" si="36"/>
        <v>0</v>
      </c>
      <c r="N39" s="5"/>
      <c r="O39" s="17"/>
    </row>
    <row r="40" spans="1:23" x14ac:dyDescent="0.25">
      <c r="A40" s="53">
        <f t="shared" si="1"/>
        <v>34</v>
      </c>
      <c r="D40" s="18" t="s">
        <v>8</v>
      </c>
      <c r="E40" s="141"/>
      <c r="F40" s="141"/>
      <c r="G40" s="140">
        <f>SUM(G36:G39)</f>
        <v>823.25</v>
      </c>
      <c r="H40" s="141"/>
      <c r="I40" s="140">
        <f>SUM(I36:I39)</f>
        <v>1272.65714</v>
      </c>
      <c r="J40" s="18"/>
      <c r="K40" s="47"/>
      <c r="L40" s="141"/>
      <c r="M40" s="19">
        <f>SUM(M36:M39)</f>
        <v>1272.65714</v>
      </c>
      <c r="N40" s="19">
        <f t="shared" si="34"/>
        <v>0</v>
      </c>
      <c r="O40" s="27">
        <f t="shared" ref="O40" si="37">N40-J40</f>
        <v>0</v>
      </c>
    </row>
    <row r="41" spans="1:23" s="6" customFormat="1" ht="26.4" customHeight="1" thickBot="1" x14ac:dyDescent="0.3">
      <c r="A41" s="53">
        <f t="shared" si="1"/>
        <v>35</v>
      </c>
      <c r="C41" s="21"/>
      <c r="D41" s="7" t="s">
        <v>19</v>
      </c>
      <c r="E41" s="144"/>
      <c r="F41" s="144"/>
      <c r="G41" s="143">
        <f>G35+G40</f>
        <v>28530.490693999996</v>
      </c>
      <c r="H41" s="144"/>
      <c r="I41" s="145">
        <f>I40+I35</f>
        <v>28530.490694</v>
      </c>
      <c r="J41" s="7"/>
      <c r="K41" s="48"/>
      <c r="L41" s="144"/>
      <c r="M41" s="8">
        <f>M40+M35</f>
        <v>29602.051874000001</v>
      </c>
      <c r="N41" s="8">
        <f t="shared" si="34"/>
        <v>1071.5611800000006</v>
      </c>
      <c r="O41" s="9">
        <f>N41/I41</f>
        <v>3.7558456021415408E-2</v>
      </c>
      <c r="P41" s="2"/>
      <c r="Q41" s="2"/>
      <c r="R41" s="2"/>
    </row>
    <row r="42" spans="1:23" ht="13.8" thickTop="1" x14ac:dyDescent="0.25">
      <c r="A42" s="53">
        <f t="shared" si="1"/>
        <v>36</v>
      </c>
      <c r="D42" s="2" t="s">
        <v>18</v>
      </c>
      <c r="E42" s="132">
        <f>E34/E33</f>
        <v>1192.5991561181434</v>
      </c>
      <c r="G42" s="147">
        <f>G41/E33</f>
        <v>120.38181727426159</v>
      </c>
      <c r="I42" s="147">
        <f>I41/E33</f>
        <v>120.38181727426161</v>
      </c>
      <c r="M42" s="15">
        <f>M41/E33</f>
        <v>124.90317246413503</v>
      </c>
      <c r="N42" s="15">
        <f t="shared" si="34"/>
        <v>4.5213551898734181</v>
      </c>
      <c r="O42" s="4">
        <f>N42/I42</f>
        <v>3.7558456021415387E-2</v>
      </c>
    </row>
    <row r="43" spans="1:23" ht="13.8" thickBot="1" x14ac:dyDescent="0.3">
      <c r="A43" s="53">
        <f t="shared" si="1"/>
        <v>37</v>
      </c>
    </row>
    <row r="44" spans="1:23" x14ac:dyDescent="0.25">
      <c r="A44" s="53">
        <f t="shared" si="1"/>
        <v>38</v>
      </c>
      <c r="B44" s="33" t="s">
        <v>62</v>
      </c>
      <c r="C44" s="34">
        <v>7</v>
      </c>
      <c r="D44" s="33"/>
      <c r="E44" s="148"/>
      <c r="F44" s="148"/>
      <c r="G44" s="148"/>
      <c r="H44" s="148"/>
      <c r="I44" s="148"/>
      <c r="J44" s="33"/>
      <c r="K44" s="44"/>
      <c r="L44" s="148"/>
      <c r="M44" s="33"/>
      <c r="N44" s="33"/>
      <c r="O44" s="33"/>
      <c r="P44" s="33"/>
      <c r="Q44" s="33"/>
      <c r="R44" s="33"/>
    </row>
    <row r="45" spans="1:23" x14ac:dyDescent="0.25">
      <c r="A45" s="53">
        <f t="shared" si="1"/>
        <v>39</v>
      </c>
      <c r="C45" s="2"/>
      <c r="D45" s="2" t="s">
        <v>17</v>
      </c>
      <c r="E45" s="149">
        <v>1762</v>
      </c>
      <c r="F45" s="132">
        <v>0</v>
      </c>
      <c r="G45" s="131">
        <f>F45*E45</f>
        <v>0</v>
      </c>
      <c r="H45" s="132">
        <v>0</v>
      </c>
      <c r="I45" s="131">
        <f>H45*E45</f>
        <v>0</v>
      </c>
      <c r="J45" s="4">
        <f>I45/I47</f>
        <v>0</v>
      </c>
      <c r="K45" s="45"/>
      <c r="L45" s="132">
        <f>ROUND(H45*S47,2)</f>
        <v>0</v>
      </c>
      <c r="M45" s="5">
        <f>L45*E45</f>
        <v>0</v>
      </c>
      <c r="N45" s="5">
        <f>M45-I45</f>
        <v>0</v>
      </c>
      <c r="O45" s="4">
        <f>IF(I45=0,0,N45/I45)</f>
        <v>0</v>
      </c>
      <c r="P45" s="4">
        <f>M45/M$47</f>
        <v>0</v>
      </c>
      <c r="Q45" s="16">
        <f>P45-J45</f>
        <v>0</v>
      </c>
      <c r="R45" s="16"/>
      <c r="T45" s="4"/>
    </row>
    <row r="46" spans="1:23" x14ac:dyDescent="0.25">
      <c r="A46" s="53">
        <f t="shared" si="1"/>
        <v>40</v>
      </c>
      <c r="D46" s="2" t="s">
        <v>53</v>
      </c>
      <c r="E46" s="149">
        <v>577453</v>
      </c>
      <c r="F46" s="134">
        <f>H46+0.00159</f>
        <v>5.0777000000000003E-2</v>
      </c>
      <c r="G46" s="131">
        <f t="shared" ref="G46" si="38">F46*E46</f>
        <v>29321.330981000003</v>
      </c>
      <c r="H46" s="134">
        <v>4.9187000000000002E-2</v>
      </c>
      <c r="I46" s="131">
        <f t="shared" ref="I46" si="39">H46*E46</f>
        <v>28403.180711000001</v>
      </c>
      <c r="J46" s="4">
        <f>I46/I47</f>
        <v>1</v>
      </c>
      <c r="K46" s="45"/>
      <c r="L46" s="135">
        <f>ROUND(H46*S47,6)</f>
        <v>5.1121E-2</v>
      </c>
      <c r="M46" s="5">
        <f t="shared" ref="M46" si="40">L46*E46</f>
        <v>29519.974813000001</v>
      </c>
      <c r="N46" s="5">
        <f t="shared" ref="N46" si="41">M46-I46</f>
        <v>1116.7941019999998</v>
      </c>
      <c r="O46" s="4">
        <f t="shared" ref="O46" si="42">IF(I46=0,0,N46/I46)</f>
        <v>3.9319332343912002E-2</v>
      </c>
      <c r="P46" s="4">
        <f>M46/M$47</f>
        <v>1</v>
      </c>
      <c r="Q46" s="16">
        <f t="shared" ref="Q46" si="43">P46-J46</f>
        <v>0</v>
      </c>
      <c r="R46" s="16"/>
      <c r="T46" s="4">
        <f>L46/H46-1</f>
        <v>3.931933234391205E-2</v>
      </c>
    </row>
    <row r="47" spans="1:23" s="6" customFormat="1" ht="20.399999999999999" customHeight="1" x14ac:dyDescent="0.3">
      <c r="A47" s="53">
        <f t="shared" si="1"/>
        <v>41</v>
      </c>
      <c r="C47" s="21"/>
      <c r="D47" s="23" t="s">
        <v>6</v>
      </c>
      <c r="E47" s="136"/>
      <c r="F47" s="136"/>
      <c r="G47" s="24">
        <f>SUM(G45:G46)</f>
        <v>29321.330981000003</v>
      </c>
      <c r="H47" s="136"/>
      <c r="I47" s="24">
        <f>SUM(I45:I46)</f>
        <v>28403.180711000001</v>
      </c>
      <c r="J47" s="25">
        <f>SUM(J45:J46)</f>
        <v>1</v>
      </c>
      <c r="K47" s="46">
        <f>I47+Summary!I11</f>
        <v>29519.760711000003</v>
      </c>
      <c r="L47" s="136"/>
      <c r="M47" s="24">
        <f>SUM(M45:M46)</f>
        <v>29519.974813000001</v>
      </c>
      <c r="N47" s="24">
        <f>SUM(N45:N46)</f>
        <v>1116.7941019999998</v>
      </c>
      <c r="O47" s="25">
        <f t="shared" ref="O47" si="44">N47/I47</f>
        <v>3.9319332343912002E-2</v>
      </c>
      <c r="P47" s="25">
        <f>SUM(P45:P46)</f>
        <v>1</v>
      </c>
      <c r="Q47" s="26">
        <f t="shared" ref="Q47" si="45">P47-J47</f>
        <v>0</v>
      </c>
      <c r="R47" s="37">
        <f>M47-K47</f>
        <v>0.21410199999809265</v>
      </c>
      <c r="S47" s="6">
        <f>K47/I47</f>
        <v>1.039311794385323</v>
      </c>
    </row>
    <row r="48" spans="1:23" x14ac:dyDescent="0.25">
      <c r="A48" s="53">
        <f t="shared" si="1"/>
        <v>42</v>
      </c>
      <c r="D48" s="2" t="s">
        <v>29</v>
      </c>
      <c r="G48" s="131">
        <v>-2010.19</v>
      </c>
      <c r="I48" s="139">
        <f>G48+(0.00159*(E46))</f>
        <v>-1092.03973</v>
      </c>
      <c r="K48" s="56"/>
      <c r="M48" s="5">
        <f>I48</f>
        <v>-1092.03973</v>
      </c>
      <c r="N48" s="5">
        <f t="shared" ref="N48:N54" si="46">M48-I48</f>
        <v>0</v>
      </c>
      <c r="O48" s="17">
        <v>0</v>
      </c>
    </row>
    <row r="49" spans="1:20" x14ac:dyDescent="0.25">
      <c r="A49" s="53">
        <f t="shared" si="1"/>
        <v>43</v>
      </c>
      <c r="D49" s="2" t="s">
        <v>30</v>
      </c>
      <c r="G49" s="131">
        <v>2642.51</v>
      </c>
      <c r="I49" s="139">
        <f t="shared" ref="I49:I51" si="47">G49</f>
        <v>2642.51</v>
      </c>
      <c r="M49" s="5">
        <f t="shared" ref="M49:M51" si="48">I49</f>
        <v>2642.51</v>
      </c>
      <c r="N49" s="5">
        <f t="shared" si="46"/>
        <v>0</v>
      </c>
      <c r="O49" s="17">
        <v>0</v>
      </c>
    </row>
    <row r="50" spans="1:20" x14ac:dyDescent="0.25">
      <c r="A50" s="53">
        <f t="shared" si="1"/>
        <v>44</v>
      </c>
      <c r="D50" s="2" t="s">
        <v>32</v>
      </c>
      <c r="G50" s="131">
        <v>0</v>
      </c>
      <c r="I50" s="139">
        <f t="shared" si="47"/>
        <v>0</v>
      </c>
      <c r="M50" s="5">
        <f t="shared" si="48"/>
        <v>0</v>
      </c>
      <c r="N50" s="5">
        <f t="shared" si="46"/>
        <v>0</v>
      </c>
      <c r="O50" s="17">
        <v>0</v>
      </c>
    </row>
    <row r="51" spans="1:20" x14ac:dyDescent="0.25">
      <c r="A51" s="53">
        <f t="shared" si="1"/>
        <v>45</v>
      </c>
      <c r="D51" s="2" t="s">
        <v>42</v>
      </c>
      <c r="G51" s="131">
        <v>0</v>
      </c>
      <c r="I51" s="139">
        <f t="shared" si="47"/>
        <v>0</v>
      </c>
      <c r="M51" s="5">
        <f t="shared" si="48"/>
        <v>0</v>
      </c>
      <c r="N51" s="5"/>
      <c r="O51" s="17"/>
    </row>
    <row r="52" spans="1:20" x14ac:dyDescent="0.25">
      <c r="A52" s="53">
        <f t="shared" si="1"/>
        <v>46</v>
      </c>
      <c r="D52" s="18" t="s">
        <v>8</v>
      </c>
      <c r="E52" s="141"/>
      <c r="F52" s="141"/>
      <c r="G52" s="140">
        <f>SUM(G48:G51)</f>
        <v>632.32000000000016</v>
      </c>
      <c r="H52" s="141"/>
      <c r="I52" s="140">
        <f>SUM(I48:I51)</f>
        <v>1550.4702700000003</v>
      </c>
      <c r="J52" s="18"/>
      <c r="K52" s="47"/>
      <c r="L52" s="141"/>
      <c r="M52" s="19">
        <f>SUM(M48:M51)</f>
        <v>1550.4702700000003</v>
      </c>
      <c r="N52" s="19">
        <f t="shared" si="46"/>
        <v>0</v>
      </c>
      <c r="O52" s="27">
        <f t="shared" ref="O52" si="49">N52-J52</f>
        <v>0</v>
      </c>
    </row>
    <row r="53" spans="1:20" s="6" customFormat="1" ht="26.4" customHeight="1" thickBot="1" x14ac:dyDescent="0.3">
      <c r="A53" s="53">
        <f t="shared" si="1"/>
        <v>47</v>
      </c>
      <c r="C53" s="21"/>
      <c r="D53" s="7" t="s">
        <v>19</v>
      </c>
      <c r="E53" s="144"/>
      <c r="F53" s="144"/>
      <c r="G53" s="143">
        <f>G47+G52</f>
        <v>29953.650981000003</v>
      </c>
      <c r="H53" s="144"/>
      <c r="I53" s="145">
        <f>I52+I47</f>
        <v>29953.650981000003</v>
      </c>
      <c r="J53" s="7"/>
      <c r="K53" s="48"/>
      <c r="L53" s="144"/>
      <c r="M53" s="8">
        <f>M52+M47</f>
        <v>31070.445083000002</v>
      </c>
      <c r="N53" s="8">
        <f t="shared" si="46"/>
        <v>1116.7941019999998</v>
      </c>
      <c r="O53" s="9">
        <f>N53/I53</f>
        <v>3.7284072739860563E-2</v>
      </c>
      <c r="P53" s="2"/>
      <c r="Q53" s="2"/>
      <c r="R53" s="2"/>
    </row>
    <row r="54" spans="1:20" ht="13.8" thickTop="1" x14ac:dyDescent="0.25">
      <c r="A54" s="53">
        <f t="shared" si="1"/>
        <v>48</v>
      </c>
      <c r="D54" s="2" t="s">
        <v>18</v>
      </c>
      <c r="E54" s="132">
        <f>E46/E45</f>
        <v>327.72587968217937</v>
      </c>
      <c r="G54" s="147">
        <f>G53/E45</f>
        <v>16.999801918842227</v>
      </c>
      <c r="I54" s="147">
        <f>I53/E45</f>
        <v>16.999801918842227</v>
      </c>
      <c r="M54" s="15">
        <f>M53/E45</f>
        <v>17.633623770147562</v>
      </c>
      <c r="N54" s="15">
        <f t="shared" si="46"/>
        <v>0.63382185130533486</v>
      </c>
      <c r="O54" s="4">
        <f>N54/I54</f>
        <v>3.728407273986057E-2</v>
      </c>
    </row>
    <row r="55" spans="1:20" ht="13.8" thickBot="1" x14ac:dyDescent="0.3">
      <c r="A55" s="53">
        <f t="shared" si="1"/>
        <v>49</v>
      </c>
      <c r="B55" s="38"/>
      <c r="C55" s="41"/>
      <c r="D55" s="38"/>
      <c r="J55" s="38"/>
      <c r="M55" s="38"/>
      <c r="N55" s="38"/>
      <c r="O55" s="38"/>
      <c r="P55" s="38"/>
      <c r="Q55" s="38"/>
      <c r="R55" s="38"/>
    </row>
    <row r="56" spans="1:20" x14ac:dyDescent="0.25">
      <c r="A56" s="53">
        <f t="shared" si="1"/>
        <v>50</v>
      </c>
      <c r="B56" s="33" t="s">
        <v>63</v>
      </c>
      <c r="C56" s="34">
        <v>4</v>
      </c>
      <c r="D56" s="33"/>
      <c r="E56" s="148"/>
      <c r="F56" s="148"/>
      <c r="G56" s="148"/>
      <c r="H56" s="148"/>
      <c r="I56" s="148"/>
      <c r="J56" s="33"/>
      <c r="K56" s="44"/>
      <c r="L56" s="148"/>
      <c r="M56" s="33"/>
      <c r="N56" s="33"/>
      <c r="O56" s="33"/>
      <c r="P56" s="33"/>
      <c r="Q56" s="33"/>
      <c r="R56" s="33"/>
    </row>
    <row r="57" spans="1:20" x14ac:dyDescent="0.25">
      <c r="A57" s="53">
        <f t="shared" si="1"/>
        <v>51</v>
      </c>
      <c r="C57" s="2"/>
      <c r="D57" s="2" t="s">
        <v>17</v>
      </c>
      <c r="E57" s="149">
        <v>20931</v>
      </c>
      <c r="F57" s="126">
        <v>21.32</v>
      </c>
      <c r="G57" s="131">
        <f>F57*E57</f>
        <v>446248.92</v>
      </c>
      <c r="H57" s="132">
        <v>21.32</v>
      </c>
      <c r="I57" s="131">
        <f>H57*E57</f>
        <v>446248.92</v>
      </c>
      <c r="J57" s="4">
        <f>I57/I59</f>
        <v>0.15215113126752311</v>
      </c>
      <c r="K57" s="45"/>
      <c r="L57" s="132">
        <f>ROUND(H57*S59,2)</f>
        <v>22.16</v>
      </c>
      <c r="M57" s="5">
        <f>L57*E57</f>
        <v>463830.96</v>
      </c>
      <c r="N57" s="5">
        <f>M57-I57</f>
        <v>17582.040000000037</v>
      </c>
      <c r="O57" s="4">
        <f>IF(I57=0,0,N57/I57)</f>
        <v>3.9399624765478508E-2</v>
      </c>
      <c r="P57" s="4">
        <f>M57/M$59</f>
        <v>0.15216197187439909</v>
      </c>
      <c r="Q57" s="16">
        <f>P57-J57</f>
        <v>1.0840606875978098E-5</v>
      </c>
      <c r="R57" s="16"/>
      <c r="T57" s="4">
        <f>L57/H57-1</f>
        <v>3.9399624765478425E-2</v>
      </c>
    </row>
    <row r="58" spans="1:20" x14ac:dyDescent="0.25">
      <c r="A58" s="53">
        <f t="shared" si="1"/>
        <v>52</v>
      </c>
      <c r="D58" s="2" t="s">
        <v>51</v>
      </c>
      <c r="E58" s="149">
        <v>31093255</v>
      </c>
      <c r="F58" s="134">
        <f>H58+0.00159</f>
        <v>8.1564999999999999E-2</v>
      </c>
      <c r="G58" s="131">
        <f t="shared" ref="G58" si="50">F58*E58</f>
        <v>2536121.3440749999</v>
      </c>
      <c r="H58" s="134">
        <v>7.9975000000000004E-2</v>
      </c>
      <c r="I58" s="131">
        <f t="shared" ref="I58" si="51">H58*E58</f>
        <v>2486683.0686250003</v>
      </c>
      <c r="J58" s="4">
        <f>I58/I59</f>
        <v>0.84784886873247689</v>
      </c>
      <c r="K58" s="45"/>
      <c r="L58" s="135">
        <f>ROUND(H58*S59,6)</f>
        <v>8.3118999999999998E-2</v>
      </c>
      <c r="M58" s="5">
        <f t="shared" ref="M58" si="52">L58*E58</f>
        <v>2584440.2623450002</v>
      </c>
      <c r="N58" s="5">
        <f t="shared" ref="N58" si="53">M58-I58</f>
        <v>97757.193719999865</v>
      </c>
      <c r="O58" s="4">
        <f t="shared" ref="O58" si="54">IF(I58=0,0,N58/I58)</f>
        <v>3.9312285089090279E-2</v>
      </c>
      <c r="P58" s="4">
        <f>M58/M$59</f>
        <v>0.84783802812560094</v>
      </c>
      <c r="Q58" s="16">
        <f t="shared" ref="Q58" si="55">P58-J58</f>
        <v>-1.0840606875950343E-5</v>
      </c>
      <c r="R58" s="16"/>
      <c r="T58" s="4">
        <f>L58/H58-1</f>
        <v>3.9312285089090349E-2</v>
      </c>
    </row>
    <row r="59" spans="1:20" s="6" customFormat="1" ht="20.399999999999999" customHeight="1" x14ac:dyDescent="0.3">
      <c r="A59" s="53">
        <f t="shared" si="1"/>
        <v>53</v>
      </c>
      <c r="C59" s="21"/>
      <c r="D59" s="23" t="s">
        <v>6</v>
      </c>
      <c r="E59" s="136"/>
      <c r="F59" s="136"/>
      <c r="G59" s="24">
        <f>SUM(G57:G58)</f>
        <v>2982370.2640749998</v>
      </c>
      <c r="H59" s="136"/>
      <c r="I59" s="24">
        <f>SUM(I57:I58)</f>
        <v>2932931.9886250002</v>
      </c>
      <c r="J59" s="25">
        <f>SUM(J57:J58)</f>
        <v>1</v>
      </c>
      <c r="K59" s="46">
        <f>I59+Summary!I12</f>
        <v>3048230.3986250004</v>
      </c>
      <c r="L59" s="136"/>
      <c r="M59" s="24">
        <f>SUM(M57:M58)</f>
        <v>3048271.2223450001</v>
      </c>
      <c r="N59" s="24">
        <f>SUM(N57:N58)</f>
        <v>115339.2337199999</v>
      </c>
      <c r="O59" s="25">
        <f t="shared" ref="O59" si="56">N59/I59</f>
        <v>3.932557391965729E-2</v>
      </c>
      <c r="P59" s="25">
        <f>SUM(P57:P58)</f>
        <v>1</v>
      </c>
      <c r="Q59" s="26">
        <f t="shared" ref="Q59" si="57">P59-J59</f>
        <v>0</v>
      </c>
      <c r="R59" s="37">
        <f>M59-K59</f>
        <v>40.823719999752939</v>
      </c>
      <c r="S59" s="6">
        <f>K59/I59</f>
        <v>1.0393116548379473</v>
      </c>
    </row>
    <row r="60" spans="1:20" x14ac:dyDescent="0.25">
      <c r="A60" s="53">
        <f t="shared" si="1"/>
        <v>54</v>
      </c>
      <c r="D60" s="2" t="s">
        <v>29</v>
      </c>
      <c r="G60" s="131">
        <v>-126889.05</v>
      </c>
      <c r="I60" s="139">
        <f>G60+(0.00159*(E58))</f>
        <v>-77450.774550000002</v>
      </c>
      <c r="K60" s="56"/>
      <c r="M60" s="5">
        <f>I60</f>
        <v>-77450.774550000002</v>
      </c>
      <c r="N60" s="5">
        <f t="shared" ref="N60:N62" si="58">M60-I60</f>
        <v>0</v>
      </c>
      <c r="O60" s="17">
        <v>0</v>
      </c>
    </row>
    <row r="61" spans="1:20" x14ac:dyDescent="0.25">
      <c r="A61" s="53">
        <f t="shared" si="1"/>
        <v>55</v>
      </c>
      <c r="D61" s="2" t="s">
        <v>30</v>
      </c>
      <c r="G61" s="131">
        <v>306352.87</v>
      </c>
      <c r="I61" s="139">
        <f t="shared" ref="I61:I63" si="59">G61</f>
        <v>306352.87</v>
      </c>
      <c r="M61" s="5">
        <f t="shared" ref="M61:M63" si="60">I61</f>
        <v>306352.87</v>
      </c>
      <c r="N61" s="5">
        <f t="shared" si="58"/>
        <v>0</v>
      </c>
      <c r="O61" s="17">
        <v>0</v>
      </c>
    </row>
    <row r="62" spans="1:20" x14ac:dyDescent="0.25">
      <c r="A62" s="53">
        <f t="shared" si="1"/>
        <v>56</v>
      </c>
      <c r="D62" s="2" t="s">
        <v>32</v>
      </c>
      <c r="G62" s="131">
        <v>0</v>
      </c>
      <c r="I62" s="139">
        <f t="shared" si="59"/>
        <v>0</v>
      </c>
      <c r="M62" s="5">
        <f t="shared" si="60"/>
        <v>0</v>
      </c>
      <c r="N62" s="5">
        <f t="shared" si="58"/>
        <v>0</v>
      </c>
      <c r="O62" s="17">
        <v>0</v>
      </c>
    </row>
    <row r="63" spans="1:20" x14ac:dyDescent="0.25">
      <c r="A63" s="53">
        <f t="shared" si="1"/>
        <v>57</v>
      </c>
      <c r="D63" s="2" t="s">
        <v>42</v>
      </c>
      <c r="G63" s="131">
        <v>0</v>
      </c>
      <c r="I63" s="139">
        <f t="shared" si="59"/>
        <v>0</v>
      </c>
      <c r="M63" s="5">
        <f t="shared" si="60"/>
        <v>0</v>
      </c>
      <c r="N63" s="5"/>
      <c r="O63" s="17"/>
    </row>
    <row r="64" spans="1:20" x14ac:dyDescent="0.25">
      <c r="A64" s="53">
        <f t="shared" si="1"/>
        <v>58</v>
      </c>
      <c r="D64" s="18" t="s">
        <v>8</v>
      </c>
      <c r="E64" s="141"/>
      <c r="F64" s="141"/>
      <c r="G64" s="140">
        <f>SUM(G60:G63)</f>
        <v>179463.82</v>
      </c>
      <c r="H64" s="141"/>
      <c r="I64" s="140">
        <f>SUM(I60:I63)</f>
        <v>228902.09544999999</v>
      </c>
      <c r="J64" s="18"/>
      <c r="K64" s="47"/>
      <c r="L64" s="141"/>
      <c r="M64" s="19">
        <f>SUM(M60:M63)</f>
        <v>228902.09544999999</v>
      </c>
      <c r="N64" s="19">
        <f t="shared" ref="N64:N66" si="61">M64-I64</f>
        <v>0</v>
      </c>
      <c r="O64" s="27">
        <f t="shared" ref="O64" si="62">N64-J64</f>
        <v>0</v>
      </c>
    </row>
    <row r="65" spans="1:20" s="6" customFormat="1" ht="26.4" customHeight="1" thickBot="1" x14ac:dyDescent="0.3">
      <c r="A65" s="53">
        <f t="shared" si="1"/>
        <v>59</v>
      </c>
      <c r="C65" s="21"/>
      <c r="D65" s="7" t="s">
        <v>19</v>
      </c>
      <c r="E65" s="144"/>
      <c r="F65" s="144"/>
      <c r="G65" s="143">
        <f>G59+G64</f>
        <v>3161834.0840749997</v>
      </c>
      <c r="H65" s="144"/>
      <c r="I65" s="145">
        <f>I64+I59</f>
        <v>3161834.0840750001</v>
      </c>
      <c r="J65" s="7"/>
      <c r="K65" s="48"/>
      <c r="L65" s="144"/>
      <c r="M65" s="8">
        <f>M64+M59</f>
        <v>3277173.317795</v>
      </c>
      <c r="N65" s="8">
        <f t="shared" si="61"/>
        <v>115339.2337199999</v>
      </c>
      <c r="O65" s="9">
        <f>N65/I65</f>
        <v>3.6478585103791927E-2</v>
      </c>
      <c r="P65" s="2"/>
      <c r="Q65" s="2"/>
      <c r="R65" s="2"/>
    </row>
    <row r="66" spans="1:20" ht="13.8" thickTop="1" x14ac:dyDescent="0.25">
      <c r="A66" s="53">
        <f t="shared" si="1"/>
        <v>60</v>
      </c>
      <c r="D66" s="2" t="s">
        <v>18</v>
      </c>
      <c r="E66" s="132">
        <f>E58/E57</f>
        <v>1485.5121589986145</v>
      </c>
      <c r="G66" s="147">
        <f>G65/E57</f>
        <v>151.05986737733502</v>
      </c>
      <c r="I66" s="147">
        <f>I65/E57</f>
        <v>151.05986737733505</v>
      </c>
      <c r="M66" s="15">
        <f>M65/E57</f>
        <v>156.57031760522671</v>
      </c>
      <c r="N66" s="15">
        <f t="shared" si="61"/>
        <v>5.5104502278916527</v>
      </c>
      <c r="O66" s="4">
        <f>N66/I66</f>
        <v>3.6478585103792024E-2</v>
      </c>
    </row>
    <row r="67" spans="1:20" ht="13.8" thickBot="1" x14ac:dyDescent="0.3">
      <c r="A67" s="53">
        <f t="shared" si="1"/>
        <v>61</v>
      </c>
    </row>
    <row r="68" spans="1:20" x14ac:dyDescent="0.25">
      <c r="A68" s="53">
        <f t="shared" si="1"/>
        <v>62</v>
      </c>
      <c r="B68" s="33" t="s">
        <v>64</v>
      </c>
      <c r="C68" s="34">
        <v>8</v>
      </c>
      <c r="D68" s="33"/>
      <c r="E68" s="148"/>
      <c r="F68" s="148"/>
      <c r="G68" s="148"/>
      <c r="H68" s="148"/>
      <c r="I68" s="148"/>
      <c r="J68" s="33"/>
      <c r="K68" s="44"/>
      <c r="L68" s="148"/>
      <c r="M68" s="33"/>
      <c r="N68" s="33"/>
      <c r="O68" s="33"/>
      <c r="P68" s="33"/>
      <c r="Q68" s="33"/>
      <c r="R68" s="33"/>
    </row>
    <row r="69" spans="1:20" x14ac:dyDescent="0.25">
      <c r="A69" s="53">
        <f t="shared" si="1"/>
        <v>63</v>
      </c>
      <c r="C69" s="2"/>
      <c r="D69" s="2" t="s">
        <v>17</v>
      </c>
      <c r="E69" s="149"/>
      <c r="G69" s="131"/>
      <c r="H69" s="132"/>
      <c r="I69" s="131"/>
      <c r="J69" s="4"/>
      <c r="K69" s="45"/>
      <c r="L69" s="135"/>
      <c r="M69" s="5"/>
      <c r="N69" s="5"/>
      <c r="O69" s="4"/>
      <c r="P69" s="4"/>
      <c r="Q69" s="16"/>
      <c r="R69" s="16"/>
      <c r="T69" s="4"/>
    </row>
    <row r="70" spans="1:20" x14ac:dyDescent="0.25">
      <c r="A70" s="53">
        <f t="shared" si="1"/>
        <v>64</v>
      </c>
      <c r="D70" s="2" t="s">
        <v>51</v>
      </c>
      <c r="E70" s="149">
        <v>0</v>
      </c>
      <c r="F70" s="134">
        <f>H70+0.00159</f>
        <v>4.7943E-2</v>
      </c>
      <c r="G70" s="131">
        <f t="shared" ref="G70" si="63">F70*E70</f>
        <v>0</v>
      </c>
      <c r="H70" s="134">
        <v>4.6352999999999998E-2</v>
      </c>
      <c r="I70" s="131">
        <f t="shared" ref="I70" si="64">H70*E70</f>
        <v>0</v>
      </c>
      <c r="J70" s="4">
        <f>IF(I71=0,0,I70/I71)</f>
        <v>0</v>
      </c>
      <c r="K70" s="45"/>
      <c r="L70" s="135">
        <f>ROUND(H70*S71,6)</f>
        <v>4.8175000000000003E-2</v>
      </c>
      <c r="M70" s="5">
        <f t="shared" ref="M70" si="65">L70*E70</f>
        <v>0</v>
      </c>
      <c r="N70" s="5">
        <f t="shared" ref="N70" si="66">M70-I70</f>
        <v>0</v>
      </c>
      <c r="O70" s="4">
        <f t="shared" ref="O70" si="67">IF(I70=0,0,N70/I70)</f>
        <v>0</v>
      </c>
      <c r="P70" s="4">
        <f>IF(M71=0,0,M70/M71)</f>
        <v>0</v>
      </c>
      <c r="Q70" s="16">
        <f t="shared" ref="Q70" si="68">P70-J70</f>
        <v>0</v>
      </c>
      <c r="R70" s="16"/>
      <c r="T70" s="4">
        <f>L70/H70-1</f>
        <v>3.9307056716933131E-2</v>
      </c>
    </row>
    <row r="71" spans="1:20" s="6" customFormat="1" ht="20.399999999999999" customHeight="1" x14ac:dyDescent="0.3">
      <c r="A71" s="53">
        <f t="shared" si="1"/>
        <v>65</v>
      </c>
      <c r="C71" s="21"/>
      <c r="D71" s="23" t="s">
        <v>6</v>
      </c>
      <c r="E71" s="136"/>
      <c r="F71" s="136"/>
      <c r="G71" s="24">
        <f>SUM(G69:G70)</f>
        <v>0</v>
      </c>
      <c r="H71" s="136"/>
      <c r="I71" s="24">
        <f>SUM(I69:I70)</f>
        <v>0</v>
      </c>
      <c r="J71" s="25">
        <f>SUM(J69:J70)</f>
        <v>0</v>
      </c>
      <c r="K71" s="46">
        <f>I71+Summary!I13</f>
        <v>0</v>
      </c>
      <c r="L71" s="136"/>
      <c r="M71" s="24">
        <f>SUM(M69:M70)</f>
        <v>0</v>
      </c>
      <c r="N71" s="24">
        <f>SUM(N69:N70)</f>
        <v>0</v>
      </c>
      <c r="O71" s="25">
        <f>IF(I71=0,0,N71/I71)</f>
        <v>0</v>
      </c>
      <c r="P71" s="25">
        <f>SUM(P69:P70)</f>
        <v>0</v>
      </c>
      <c r="Q71" s="26">
        <f t="shared" ref="Q71" si="69">P71-J71</f>
        <v>0</v>
      </c>
      <c r="R71" s="37">
        <f>M71-K71</f>
        <v>0</v>
      </c>
      <c r="S71" s="88">
        <f>1+Summary!M23</f>
        <v>1.0393094954119437</v>
      </c>
    </row>
    <row r="72" spans="1:20" x14ac:dyDescent="0.25">
      <c r="A72" s="53">
        <f t="shared" si="1"/>
        <v>66</v>
      </c>
      <c r="D72" s="2" t="s">
        <v>29</v>
      </c>
      <c r="G72" s="131">
        <v>0</v>
      </c>
      <c r="I72" s="139">
        <f>G72+(0.00159*(E70))</f>
        <v>0</v>
      </c>
      <c r="K72" s="56">
        <f>K71-I71</f>
        <v>0</v>
      </c>
      <c r="M72" s="5">
        <f>I72</f>
        <v>0</v>
      </c>
      <c r="N72" s="5">
        <f t="shared" ref="N72:N77" si="70">M72-I72</f>
        <v>0</v>
      </c>
      <c r="O72" s="17">
        <v>0</v>
      </c>
    </row>
    <row r="73" spans="1:20" x14ac:dyDescent="0.25">
      <c r="A73" s="53">
        <f t="shared" ref="A73:A136" si="71">A72+1</f>
        <v>67</v>
      </c>
      <c r="D73" s="2" t="s">
        <v>30</v>
      </c>
      <c r="G73" s="131">
        <v>0</v>
      </c>
      <c r="I73" s="139">
        <f t="shared" ref="I73:I75" si="72">G73</f>
        <v>0</v>
      </c>
      <c r="M73" s="5">
        <f t="shared" ref="M73:M75" si="73">I73</f>
        <v>0</v>
      </c>
      <c r="N73" s="5">
        <f t="shared" si="70"/>
        <v>0</v>
      </c>
      <c r="O73" s="17">
        <v>0</v>
      </c>
    </row>
    <row r="74" spans="1:20" x14ac:dyDescent="0.25">
      <c r="A74" s="53">
        <f t="shared" si="71"/>
        <v>68</v>
      </c>
      <c r="D74" s="2" t="s">
        <v>32</v>
      </c>
      <c r="F74" s="132"/>
      <c r="G74" s="131">
        <f>F74*E74</f>
        <v>0</v>
      </c>
      <c r="I74" s="139">
        <f t="shared" si="72"/>
        <v>0</v>
      </c>
      <c r="M74" s="5">
        <f t="shared" si="73"/>
        <v>0</v>
      </c>
      <c r="N74" s="5">
        <f t="shared" si="70"/>
        <v>0</v>
      </c>
      <c r="O74" s="17">
        <v>0</v>
      </c>
    </row>
    <row r="75" spans="1:20" x14ac:dyDescent="0.25">
      <c r="A75" s="53">
        <f t="shared" si="71"/>
        <v>69</v>
      </c>
      <c r="D75" s="2" t="s">
        <v>42</v>
      </c>
      <c r="G75" s="131">
        <v>0</v>
      </c>
      <c r="I75" s="139">
        <f t="shared" si="72"/>
        <v>0</v>
      </c>
      <c r="M75" s="5">
        <f t="shared" si="73"/>
        <v>0</v>
      </c>
      <c r="N75" s="5"/>
      <c r="O75" s="17"/>
    </row>
    <row r="76" spans="1:20" x14ac:dyDescent="0.25">
      <c r="A76" s="53">
        <f t="shared" si="71"/>
        <v>70</v>
      </c>
      <c r="D76" s="18" t="s">
        <v>8</v>
      </c>
      <c r="E76" s="141"/>
      <c r="F76" s="141"/>
      <c r="G76" s="140">
        <f>SUM(G72:G75)</f>
        <v>0</v>
      </c>
      <c r="H76" s="141"/>
      <c r="I76" s="140">
        <f>SUM(I72:I75)</f>
        <v>0</v>
      </c>
      <c r="J76" s="18"/>
      <c r="K76" s="47"/>
      <c r="L76" s="141"/>
      <c r="M76" s="19">
        <f>SUM(M72:M75)</f>
        <v>0</v>
      </c>
      <c r="N76" s="19">
        <f t="shared" si="70"/>
        <v>0</v>
      </c>
      <c r="O76" s="27">
        <f t="shared" ref="O76" si="74">N76-J76</f>
        <v>0</v>
      </c>
    </row>
    <row r="77" spans="1:20" s="6" customFormat="1" ht="26.4" customHeight="1" thickBot="1" x14ac:dyDescent="0.3">
      <c r="A77" s="53">
        <f t="shared" si="71"/>
        <v>71</v>
      </c>
      <c r="C77" s="21"/>
      <c r="D77" s="7" t="s">
        <v>19</v>
      </c>
      <c r="E77" s="144"/>
      <c r="F77" s="144"/>
      <c r="G77" s="143">
        <f>G71+G76</f>
        <v>0</v>
      </c>
      <c r="H77" s="144"/>
      <c r="I77" s="145">
        <f>I76+I71</f>
        <v>0</v>
      </c>
      <c r="J77" s="7"/>
      <c r="K77" s="48"/>
      <c r="L77" s="144"/>
      <c r="M77" s="8">
        <f>M76+M71</f>
        <v>0</v>
      </c>
      <c r="N77" s="8">
        <f t="shared" si="70"/>
        <v>0</v>
      </c>
      <c r="O77" s="9">
        <f>IF(I77=0,0,N77/I77)</f>
        <v>0</v>
      </c>
      <c r="P77" s="2"/>
      <c r="Q77" s="2"/>
      <c r="R77" s="2"/>
    </row>
    <row r="78" spans="1:20" ht="13.8" thickTop="1" x14ac:dyDescent="0.25">
      <c r="A78" s="53">
        <f t="shared" si="71"/>
        <v>72</v>
      </c>
      <c r="D78" s="2" t="s">
        <v>18</v>
      </c>
      <c r="E78" s="126" t="s">
        <v>96</v>
      </c>
      <c r="G78" s="147"/>
      <c r="I78" s="147"/>
      <c r="M78" s="15"/>
      <c r="N78" s="15">
        <f>M78-I78</f>
        <v>0</v>
      </c>
      <c r="O78" s="4"/>
    </row>
    <row r="79" spans="1:20" ht="13.8" thickBot="1" x14ac:dyDescent="0.3">
      <c r="A79" s="53">
        <f t="shared" si="71"/>
        <v>73</v>
      </c>
    </row>
    <row r="80" spans="1:20" x14ac:dyDescent="0.25">
      <c r="A80" s="53">
        <f t="shared" si="71"/>
        <v>74</v>
      </c>
      <c r="B80" s="33" t="s">
        <v>65</v>
      </c>
      <c r="C80" s="34">
        <v>5</v>
      </c>
      <c r="D80" s="33"/>
      <c r="E80" s="148"/>
      <c r="F80" s="148"/>
      <c r="G80" s="148"/>
      <c r="H80" s="148"/>
      <c r="I80" s="148"/>
      <c r="J80" s="33"/>
      <c r="K80" s="44"/>
      <c r="L80" s="148"/>
      <c r="M80" s="33"/>
      <c r="N80" s="33"/>
      <c r="O80" s="33"/>
      <c r="P80" s="33"/>
      <c r="Q80" s="33"/>
      <c r="R80" s="33"/>
    </row>
    <row r="81" spans="1:23" x14ac:dyDescent="0.25">
      <c r="A81" s="53">
        <f t="shared" si="71"/>
        <v>75</v>
      </c>
      <c r="C81" s="2"/>
      <c r="D81" s="2" t="s">
        <v>17</v>
      </c>
      <c r="E81" s="149">
        <v>1208</v>
      </c>
      <c r="F81" s="132">
        <v>105</v>
      </c>
      <c r="G81" s="131">
        <f>F81*E81</f>
        <v>126840</v>
      </c>
      <c r="H81" s="132">
        <v>105</v>
      </c>
      <c r="I81" s="131">
        <f>H81*E81</f>
        <v>126840</v>
      </c>
      <c r="J81" s="4">
        <f>IF(I84=0,0,I81/I84)</f>
        <v>2.6061000329542429E-2</v>
      </c>
      <c r="K81" s="45"/>
      <c r="L81" s="132">
        <f>ROUND(H81*S84,2)</f>
        <v>109.13</v>
      </c>
      <c r="M81" s="5">
        <f>L81*E81</f>
        <v>131829.04</v>
      </c>
      <c r="N81" s="5">
        <f>M81-I81</f>
        <v>4989.0400000000081</v>
      </c>
      <c r="O81" s="4">
        <f>IF(I81=0,0,N81/I81)</f>
        <v>3.9333333333333401E-2</v>
      </c>
      <c r="P81" s="4">
        <f>IF(M$84=0,0,M81/M$84)</f>
        <v>2.6061667252073928E-2</v>
      </c>
      <c r="Q81" s="16">
        <f>P81-J81</f>
        <v>6.6692253149897018E-7</v>
      </c>
      <c r="R81" s="16"/>
      <c r="T81" s="4">
        <f t="shared" ref="T81:T83" si="75">L81/H81-1</f>
        <v>3.933333333333322E-2</v>
      </c>
      <c r="W81" s="86" t="s">
        <v>55</v>
      </c>
    </row>
    <row r="82" spans="1:23" x14ac:dyDescent="0.25">
      <c r="A82" s="53">
        <f t="shared" si="71"/>
        <v>76</v>
      </c>
      <c r="D82" s="2" t="s">
        <v>51</v>
      </c>
      <c r="E82" s="149">
        <v>54467370</v>
      </c>
      <c r="F82" s="134">
        <f>H82+0.00159</f>
        <v>6.2475000000000003E-2</v>
      </c>
      <c r="G82" s="131">
        <f t="shared" ref="G82" si="76">F82*E82</f>
        <v>3402848.9407500001</v>
      </c>
      <c r="H82" s="134">
        <v>6.0885000000000002E-2</v>
      </c>
      <c r="I82" s="131">
        <f t="shared" ref="I82" si="77">H82*E82</f>
        <v>3316245.8224499999</v>
      </c>
      <c r="J82" s="4">
        <f>IF(I85=0,0,I82/I$84)</f>
        <v>0.68136773471864676</v>
      </c>
      <c r="K82" s="45"/>
      <c r="L82" s="135">
        <f>ROUND(H82*S84,6)</f>
        <v>6.3278000000000001E-2</v>
      </c>
      <c r="M82" s="5">
        <f t="shared" ref="M82" si="78">L82*E82</f>
        <v>3446586.2388599999</v>
      </c>
      <c r="N82" s="5">
        <f t="shared" ref="N82:N90" si="79">M82-I82</f>
        <v>130340.41641000006</v>
      </c>
      <c r="O82" s="4">
        <f t="shared" ref="O82" si="80">IF(I82=0,0,N82/I82)</f>
        <v>3.9303605157263714E-2</v>
      </c>
      <c r="P82" s="4">
        <f>IF(M$84=0,0,M82/M$84)</f>
        <v>0.68136568174012568</v>
      </c>
      <c r="Q82" s="16">
        <f t="shared" ref="Q82:Q84" si="81">P82-J82</f>
        <v>-2.052978521072113E-6</v>
      </c>
      <c r="R82" s="16"/>
      <c r="T82" s="4">
        <f t="shared" si="75"/>
        <v>3.9303605157263721E-2</v>
      </c>
      <c r="W82" s="86" t="s">
        <v>56</v>
      </c>
    </row>
    <row r="83" spans="1:23" x14ac:dyDescent="0.25">
      <c r="A83" s="53">
        <f t="shared" si="71"/>
        <v>77</v>
      </c>
      <c r="D83" s="2" t="s">
        <v>54</v>
      </c>
      <c r="E83" s="149">
        <v>180476.15</v>
      </c>
      <c r="F83" s="132">
        <v>7.89</v>
      </c>
      <c r="G83" s="131">
        <f t="shared" ref="G83" si="82">F83*E83</f>
        <v>1423956.8234999999</v>
      </c>
      <c r="H83" s="132">
        <v>7.89</v>
      </c>
      <c r="I83" s="131">
        <f t="shared" ref="I83" si="83">H83*E83</f>
        <v>1423956.8234999999</v>
      </c>
      <c r="J83" s="4">
        <f>IF(I86=0,0,I83/I$84)</f>
        <v>0.29257126495181085</v>
      </c>
      <c r="K83" s="45"/>
      <c r="L83" s="132">
        <f>ROUND(H83*S84,6)</f>
        <v>8.2001690000000007</v>
      </c>
      <c r="M83" s="5">
        <f t="shared" ref="M83" si="84">L83*E83</f>
        <v>1479934.9304693502</v>
      </c>
      <c r="N83" s="5">
        <f t="shared" ref="N83" si="85">M83-I83</f>
        <v>55978.10696935025</v>
      </c>
      <c r="O83" s="4">
        <f t="shared" ref="O83" si="86">IF(I83=0,0,N83/I83)</f>
        <v>3.9311660329531227E-2</v>
      </c>
      <c r="P83" s="4">
        <f>IF(M$84=0,0,M83/M$84)</f>
        <v>0.29257265100780044</v>
      </c>
      <c r="Q83" s="16">
        <f t="shared" ref="Q83" si="87">P83-J83</f>
        <v>1.3860559895939595E-6</v>
      </c>
      <c r="R83" s="16"/>
      <c r="T83" s="4">
        <f t="shared" si="75"/>
        <v>3.9311660329531151E-2</v>
      </c>
      <c r="W83" s="86" t="s">
        <v>57</v>
      </c>
    </row>
    <row r="84" spans="1:23" s="6" customFormat="1" ht="20.399999999999999" customHeight="1" x14ac:dyDescent="0.3">
      <c r="A84" s="53">
        <f t="shared" si="71"/>
        <v>78</v>
      </c>
      <c r="C84" s="21"/>
      <c r="D84" s="23" t="s">
        <v>6</v>
      </c>
      <c r="E84" s="136"/>
      <c r="F84" s="136"/>
      <c r="G84" s="24">
        <f>SUM(G81:G83)</f>
        <v>4953645.76425</v>
      </c>
      <c r="H84" s="136"/>
      <c r="I84" s="24">
        <f>SUM(I81:I83)</f>
        <v>4867042.6459499998</v>
      </c>
      <c r="J84" s="25">
        <f>SUM(J81:J83)</f>
        <v>1</v>
      </c>
      <c r="K84" s="46">
        <f>I84+Summary!I14</f>
        <v>5058374.1459499998</v>
      </c>
      <c r="L84" s="136"/>
      <c r="M84" s="24">
        <f>SUM(M81:M83)</f>
        <v>5058350.2093293499</v>
      </c>
      <c r="N84" s="24">
        <f>SUM(N81:N83)</f>
        <v>191307.56337935032</v>
      </c>
      <c r="O84" s="25">
        <f>IF(I84=0,0,N84/I84)</f>
        <v>3.9306736615209774E-2</v>
      </c>
      <c r="P84" s="25">
        <f>SUM(P81:P83)</f>
        <v>1</v>
      </c>
      <c r="Q84" s="26">
        <f t="shared" si="81"/>
        <v>0</v>
      </c>
      <c r="R84" s="37">
        <f>M84-K84</f>
        <v>-23.936620649881661</v>
      </c>
      <c r="S84" s="6">
        <f>IF(I84=0,0,K84/I84)</f>
        <v>1.0393116547189518</v>
      </c>
    </row>
    <row r="85" spans="1:23" x14ac:dyDescent="0.25">
      <c r="A85" s="53">
        <f t="shared" si="71"/>
        <v>79</v>
      </c>
      <c r="D85" s="2" t="s">
        <v>29</v>
      </c>
      <c r="G85" s="131">
        <v>-222558.74</v>
      </c>
      <c r="I85" s="139">
        <f>G85+(0.00159*(E82))</f>
        <v>-135955.62169999999</v>
      </c>
      <c r="K85" s="56"/>
      <c r="M85" s="5">
        <f>I85</f>
        <v>-135955.62169999999</v>
      </c>
      <c r="N85" s="5">
        <f t="shared" si="79"/>
        <v>0</v>
      </c>
      <c r="O85" s="17">
        <v>0</v>
      </c>
    </row>
    <row r="86" spans="1:23" x14ac:dyDescent="0.25">
      <c r="A86" s="53">
        <f t="shared" si="71"/>
        <v>80</v>
      </c>
      <c r="D86" s="2" t="s">
        <v>30</v>
      </c>
      <c r="G86" s="131">
        <v>495330.55</v>
      </c>
      <c r="I86" s="139">
        <f t="shared" ref="I86:I88" si="88">G86</f>
        <v>495330.55</v>
      </c>
      <c r="M86" s="5">
        <f t="shared" ref="M86:M88" si="89">I86</f>
        <v>495330.55</v>
      </c>
      <c r="N86" s="5">
        <f t="shared" si="79"/>
        <v>0</v>
      </c>
      <c r="O86" s="17">
        <v>0</v>
      </c>
    </row>
    <row r="87" spans="1:23" x14ac:dyDescent="0.25">
      <c r="A87" s="53">
        <f t="shared" si="71"/>
        <v>81</v>
      </c>
      <c r="D87" s="2" t="s">
        <v>32</v>
      </c>
      <c r="G87" s="131">
        <v>0</v>
      </c>
      <c r="I87" s="139">
        <f t="shared" si="88"/>
        <v>0</v>
      </c>
      <c r="M87" s="5">
        <f t="shared" si="89"/>
        <v>0</v>
      </c>
      <c r="N87" s="5">
        <f t="shared" si="79"/>
        <v>0</v>
      </c>
      <c r="O87" s="17">
        <v>0</v>
      </c>
    </row>
    <row r="88" spans="1:23" x14ac:dyDescent="0.25">
      <c r="A88" s="53">
        <f t="shared" si="71"/>
        <v>82</v>
      </c>
      <c r="D88" s="2" t="s">
        <v>42</v>
      </c>
      <c r="G88" s="131">
        <v>0</v>
      </c>
      <c r="I88" s="139">
        <f t="shared" si="88"/>
        <v>0</v>
      </c>
      <c r="M88" s="5">
        <f t="shared" si="89"/>
        <v>0</v>
      </c>
      <c r="N88" s="5"/>
      <c r="O88" s="17"/>
    </row>
    <row r="89" spans="1:23" x14ac:dyDescent="0.25">
      <c r="A89" s="53">
        <f t="shared" si="71"/>
        <v>83</v>
      </c>
      <c r="D89" s="18" t="s">
        <v>8</v>
      </c>
      <c r="E89" s="141"/>
      <c r="F89" s="141"/>
      <c r="G89" s="140">
        <f>SUM(G85:G88)</f>
        <v>272771.81</v>
      </c>
      <c r="H89" s="141"/>
      <c r="I89" s="140">
        <f>SUM(I85:I88)</f>
        <v>359374.92830000003</v>
      </c>
      <c r="J89" s="18"/>
      <c r="K89" s="47"/>
      <c r="L89" s="141"/>
      <c r="M89" s="19">
        <f>SUM(M85:M88)</f>
        <v>359374.92830000003</v>
      </c>
      <c r="N89" s="19">
        <f t="shared" si="79"/>
        <v>0</v>
      </c>
      <c r="O89" s="27">
        <f t="shared" ref="O89" si="90">N89-J89</f>
        <v>0</v>
      </c>
    </row>
    <row r="90" spans="1:23" s="6" customFormat="1" ht="26.4" customHeight="1" thickBot="1" x14ac:dyDescent="0.3">
      <c r="A90" s="53">
        <f t="shared" si="71"/>
        <v>84</v>
      </c>
      <c r="C90" s="21"/>
      <c r="D90" s="7" t="s">
        <v>19</v>
      </c>
      <c r="E90" s="144"/>
      <c r="F90" s="144"/>
      <c r="G90" s="143">
        <f>G84+G89</f>
        <v>5226417.5742499996</v>
      </c>
      <c r="H90" s="144"/>
      <c r="I90" s="145">
        <f>I89+I84</f>
        <v>5226417.5742499996</v>
      </c>
      <c r="J90" s="7"/>
      <c r="K90" s="48"/>
      <c r="L90" s="144"/>
      <c r="M90" s="8">
        <f>M89+M84</f>
        <v>5417725.1376293497</v>
      </c>
      <c r="N90" s="8">
        <f t="shared" si="79"/>
        <v>191307.56337935012</v>
      </c>
      <c r="O90" s="9">
        <f>IF(I90=0,0,N90/I90)</f>
        <v>3.6603956852185336E-2</v>
      </c>
      <c r="P90" s="2"/>
      <c r="Q90" s="2"/>
      <c r="R90" s="2"/>
    </row>
    <row r="91" spans="1:23" ht="13.8" thickTop="1" x14ac:dyDescent="0.25">
      <c r="A91" s="53">
        <f t="shared" si="71"/>
        <v>85</v>
      </c>
      <c r="D91" s="20"/>
      <c r="E91" s="154">
        <f>E82/E81</f>
        <v>45088.882450331126</v>
      </c>
      <c r="F91" s="154"/>
      <c r="G91" s="154">
        <f>G90/E81</f>
        <v>4326.5046144453636</v>
      </c>
      <c r="H91" s="154"/>
      <c r="I91" s="154">
        <f>I90/E81</f>
        <v>4326.5046144453636</v>
      </c>
      <c r="J91" s="114"/>
      <c r="K91" s="114"/>
      <c r="L91" s="154"/>
      <c r="M91" s="114">
        <f>M90/E81</f>
        <v>4484.8718026733031</v>
      </c>
      <c r="N91" s="114">
        <f>M91-I91</f>
        <v>158.36718822793955</v>
      </c>
      <c r="O91" s="20"/>
      <c r="P91" s="20"/>
      <c r="Q91" s="20"/>
    </row>
    <row r="92" spans="1:23" ht="13.8" thickBot="1" x14ac:dyDescent="0.3">
      <c r="A92" s="53">
        <f t="shared" si="71"/>
        <v>86</v>
      </c>
    </row>
    <row r="93" spans="1:23" x14ac:dyDescent="0.25">
      <c r="A93" s="53">
        <f t="shared" si="71"/>
        <v>87</v>
      </c>
      <c r="B93" s="33" t="s">
        <v>123</v>
      </c>
      <c r="C93" s="34">
        <v>9</v>
      </c>
      <c r="D93" s="33"/>
      <c r="E93" s="148"/>
      <c r="F93" s="148"/>
      <c r="G93" s="148"/>
      <c r="H93" s="148"/>
      <c r="I93" s="148"/>
      <c r="J93" s="33"/>
      <c r="K93" s="44"/>
      <c r="L93" s="148"/>
      <c r="M93" s="33"/>
      <c r="N93" s="33"/>
      <c r="O93" s="33"/>
      <c r="P93" s="33"/>
      <c r="Q93" s="33"/>
      <c r="R93" s="33"/>
    </row>
    <row r="94" spans="1:23" x14ac:dyDescent="0.25">
      <c r="A94" s="53">
        <f t="shared" si="71"/>
        <v>88</v>
      </c>
      <c r="B94" s="2" t="s">
        <v>122</v>
      </c>
      <c r="C94" s="2"/>
      <c r="D94" s="2" t="s">
        <v>17</v>
      </c>
      <c r="E94" s="149">
        <v>48</v>
      </c>
      <c r="F94" s="132">
        <v>105</v>
      </c>
      <c r="G94" s="131">
        <f>F94*E94</f>
        <v>5040</v>
      </c>
      <c r="H94" s="132">
        <v>105</v>
      </c>
      <c r="I94" s="131">
        <f>H94*E94</f>
        <v>5040</v>
      </c>
      <c r="J94" s="4">
        <f>I94/I97</f>
        <v>3.0050823659430316E-3</v>
      </c>
      <c r="K94" s="45"/>
      <c r="L94" s="132">
        <f>ROUND(H94*S97,2)</f>
        <v>109.13</v>
      </c>
      <c r="M94" s="5">
        <f>L94*E94</f>
        <v>5238.24</v>
      </c>
      <c r="N94" s="5">
        <f>M94-I94</f>
        <v>198.23999999999978</v>
      </c>
      <c r="O94" s="4">
        <f>IF(I94=0,0,N94/I94)</f>
        <v>3.933333333333329E-2</v>
      </c>
      <c r="P94" s="4">
        <f>M94/M$97</f>
        <v>3.0051624804717154E-3</v>
      </c>
      <c r="Q94" s="16">
        <f>P94-J94</f>
        <v>8.0114528683804254E-8</v>
      </c>
      <c r="R94" s="16"/>
      <c r="T94" s="4">
        <f t="shared" ref="T94:T96" si="91">L94/H94-1</f>
        <v>3.933333333333322E-2</v>
      </c>
    </row>
    <row r="95" spans="1:23" x14ac:dyDescent="0.25">
      <c r="A95" s="53">
        <f t="shared" si="71"/>
        <v>89</v>
      </c>
      <c r="D95" s="2" t="s">
        <v>54</v>
      </c>
      <c r="E95" s="149">
        <v>56627.4</v>
      </c>
      <c r="F95" s="132">
        <f>0.9*F83</f>
        <v>7.101</v>
      </c>
      <c r="G95" s="131">
        <f t="shared" ref="G95" si="92">F95*E95</f>
        <v>402111.16740000003</v>
      </c>
      <c r="H95" s="132">
        <f>0.9*H83</f>
        <v>7.101</v>
      </c>
      <c r="I95" s="131">
        <f t="shared" ref="I95" si="93">H95*E95</f>
        <v>402111.16740000003</v>
      </c>
      <c r="J95" s="4">
        <f>I95/I97</f>
        <v>0.23975737664732272</v>
      </c>
      <c r="K95" s="45"/>
      <c r="L95" s="132">
        <f>0.9*L83</f>
        <v>7.380152100000001</v>
      </c>
      <c r="M95" s="5">
        <f t="shared" ref="M95" si="94">L95*E95</f>
        <v>417918.82502754009</v>
      </c>
      <c r="N95" s="5">
        <f t="shared" ref="N95" si="95">M95-I95</f>
        <v>15807.657627540058</v>
      </c>
      <c r="O95" s="4">
        <f t="shared" ref="O95" si="96">IF(I95=0,0,N95/I95)</f>
        <v>3.9311660329531192E-2</v>
      </c>
      <c r="P95" s="4">
        <f>M95/M$97</f>
        <v>0.23975876875736646</v>
      </c>
      <c r="Q95" s="16">
        <f t="shared" ref="Q95" si="97">P95-J95</f>
        <v>1.3921100437408462E-6</v>
      </c>
      <c r="R95" s="16"/>
      <c r="T95" s="4">
        <f t="shared" ref="T95" si="98">L95/H95-1</f>
        <v>3.9311660329531151E-2</v>
      </c>
    </row>
    <row r="96" spans="1:23" x14ac:dyDescent="0.25">
      <c r="A96" s="53">
        <f t="shared" si="71"/>
        <v>90</v>
      </c>
      <c r="B96" s="87"/>
      <c r="D96" s="2" t="s">
        <v>51</v>
      </c>
      <c r="E96" s="149">
        <v>23176800</v>
      </c>
      <c r="F96" s="134">
        <f>0.9*F82</f>
        <v>5.6227500000000007E-2</v>
      </c>
      <c r="G96" s="131">
        <f t="shared" ref="G96" si="99">F96*E96</f>
        <v>1303173.5220000001</v>
      </c>
      <c r="H96" s="134">
        <f>0.9*H82</f>
        <v>5.4796500000000005E-2</v>
      </c>
      <c r="I96" s="131">
        <f t="shared" ref="I96" si="100">H96*E96</f>
        <v>1270007.5212000001</v>
      </c>
      <c r="J96" s="4">
        <f>I96/I97</f>
        <v>0.75723754098673435</v>
      </c>
      <c r="K96" s="45"/>
      <c r="L96" s="134">
        <f>0.9*L82</f>
        <v>5.6950199999999999E-2</v>
      </c>
      <c r="M96" s="5">
        <f t="shared" ref="M96" si="101">L96*E96</f>
        <v>1319923.39536</v>
      </c>
      <c r="N96" s="5">
        <f t="shared" ref="N96:N104" si="102">M96-I96</f>
        <v>49915.87415999989</v>
      </c>
      <c r="O96" s="4">
        <f t="shared" ref="O96" si="103">IF(I96=0,0,N96/I96)</f>
        <v>3.9303605157263603E-2</v>
      </c>
      <c r="P96" s="4">
        <f>M96/M$97</f>
        <v>0.75723606876216187</v>
      </c>
      <c r="Q96" s="16">
        <f t="shared" ref="Q96:Q97" si="104">P96-J96</f>
        <v>-1.4722245724740901E-6</v>
      </c>
      <c r="R96" s="16"/>
      <c r="T96" s="4">
        <f t="shared" si="91"/>
        <v>3.9303605157263499E-2</v>
      </c>
    </row>
    <row r="97" spans="1:25" s="6" customFormat="1" ht="20.399999999999999" customHeight="1" x14ac:dyDescent="0.3">
      <c r="A97" s="53">
        <f t="shared" si="71"/>
        <v>91</v>
      </c>
      <c r="C97" s="21"/>
      <c r="D97" s="23" t="s">
        <v>6</v>
      </c>
      <c r="E97" s="136"/>
      <c r="F97" s="136"/>
      <c r="G97" s="24">
        <f>SUM(G94:G96)</f>
        <v>1710324.6894</v>
      </c>
      <c r="H97" s="136"/>
      <c r="I97" s="24">
        <f>SUM(I94:I96)</f>
        <v>1677158.6886</v>
      </c>
      <c r="J97" s="25">
        <f>SUM(J94:J96)</f>
        <v>1</v>
      </c>
      <c r="K97" s="46">
        <f>I97+Summary!I15</f>
        <v>1743090.5685999999</v>
      </c>
      <c r="L97" s="136"/>
      <c r="M97" s="24">
        <f>SUM(M94:M96)</f>
        <v>1743080.46038754</v>
      </c>
      <c r="N97" s="24">
        <f>SUM(N94:N96)</f>
        <v>65921.771787539954</v>
      </c>
      <c r="O97" s="25">
        <f t="shared" ref="O97" si="105">N97/I97</f>
        <v>3.930562577985261E-2</v>
      </c>
      <c r="P97" s="25">
        <f>SUM(P94:P96)</f>
        <v>1</v>
      </c>
      <c r="Q97" s="26">
        <f t="shared" si="104"/>
        <v>0</v>
      </c>
      <c r="R97" s="37">
        <f>M97-K97</f>
        <v>-10.10821245983243</v>
      </c>
      <c r="S97" s="6">
        <f>K97/I97</f>
        <v>1.039311652766165</v>
      </c>
    </row>
    <row r="98" spans="1:25" x14ac:dyDescent="0.25">
      <c r="A98" s="53">
        <f t="shared" si="71"/>
        <v>92</v>
      </c>
      <c r="D98" s="2" t="s">
        <v>29</v>
      </c>
      <c r="G98" s="131">
        <v>-92775.039999999994</v>
      </c>
      <c r="I98" s="139">
        <f>G98+(0.00159*E96)</f>
        <v>-55923.927999999993</v>
      </c>
      <c r="K98" s="56"/>
      <c r="M98" s="5">
        <f>I98</f>
        <v>-55923.927999999993</v>
      </c>
      <c r="N98" s="5">
        <f t="shared" si="102"/>
        <v>0</v>
      </c>
      <c r="O98" s="17">
        <v>0</v>
      </c>
    </row>
    <row r="99" spans="1:25" x14ac:dyDescent="0.25">
      <c r="A99" s="53">
        <f t="shared" si="71"/>
        <v>93</v>
      </c>
      <c r="D99" s="2" t="s">
        <v>30</v>
      </c>
      <c r="G99" s="131">
        <v>167380.59</v>
      </c>
      <c r="I99" s="139">
        <f t="shared" ref="I99:I101" si="106">G99</f>
        <v>167380.59</v>
      </c>
      <c r="M99" s="5">
        <f t="shared" ref="M99:M101" si="107">I99</f>
        <v>167380.59</v>
      </c>
      <c r="N99" s="5">
        <f t="shared" si="102"/>
        <v>0</v>
      </c>
      <c r="O99" s="17">
        <v>0</v>
      </c>
    </row>
    <row r="100" spans="1:25" x14ac:dyDescent="0.25">
      <c r="A100" s="53">
        <f t="shared" si="71"/>
        <v>94</v>
      </c>
      <c r="D100" s="2" t="s">
        <v>32</v>
      </c>
      <c r="G100" s="131">
        <v>0</v>
      </c>
      <c r="I100" s="139">
        <f t="shared" si="106"/>
        <v>0</v>
      </c>
      <c r="M100" s="5">
        <f t="shared" si="107"/>
        <v>0</v>
      </c>
      <c r="N100" s="5">
        <f t="shared" si="102"/>
        <v>0</v>
      </c>
      <c r="O100" s="17">
        <v>0</v>
      </c>
    </row>
    <row r="101" spans="1:25" x14ac:dyDescent="0.25">
      <c r="A101" s="53">
        <f t="shared" si="71"/>
        <v>95</v>
      </c>
      <c r="D101" s="2" t="s">
        <v>42</v>
      </c>
      <c r="G101" s="131">
        <v>0</v>
      </c>
      <c r="I101" s="139">
        <f t="shared" si="106"/>
        <v>0</v>
      </c>
      <c r="M101" s="5">
        <f t="shared" si="107"/>
        <v>0</v>
      </c>
      <c r="N101" s="5"/>
      <c r="O101" s="17"/>
    </row>
    <row r="102" spans="1:25" x14ac:dyDescent="0.25">
      <c r="A102" s="53">
        <f t="shared" si="71"/>
        <v>96</v>
      </c>
      <c r="D102" s="18" t="s">
        <v>8</v>
      </c>
      <c r="E102" s="141"/>
      <c r="F102" s="141"/>
      <c r="G102" s="140">
        <f>SUM(G98:G101)</f>
        <v>74605.55</v>
      </c>
      <c r="H102" s="141"/>
      <c r="I102" s="140">
        <f>SUM(I98:I101)</f>
        <v>111456.66200000001</v>
      </c>
      <c r="J102" s="18"/>
      <c r="K102" s="47"/>
      <c r="L102" s="141"/>
      <c r="M102" s="19">
        <f>SUM(M98:M101)</f>
        <v>111456.66200000001</v>
      </c>
      <c r="N102" s="19">
        <f t="shared" si="102"/>
        <v>0</v>
      </c>
      <c r="O102" s="27">
        <f t="shared" ref="O102" si="108">N102-J102</f>
        <v>0</v>
      </c>
    </row>
    <row r="103" spans="1:25" s="6" customFormat="1" ht="26.4" customHeight="1" thickBot="1" x14ac:dyDescent="0.3">
      <c r="A103" s="53">
        <f t="shared" si="71"/>
        <v>97</v>
      </c>
      <c r="C103" s="21"/>
      <c r="D103" s="7" t="s">
        <v>19</v>
      </c>
      <c r="E103" s="144"/>
      <c r="F103" s="144"/>
      <c r="G103" s="143">
        <f>G97+G102</f>
        <v>1784930.2394000001</v>
      </c>
      <c r="H103" s="144"/>
      <c r="I103" s="145">
        <f>I102+I97</f>
        <v>1788615.3506</v>
      </c>
      <c r="J103" s="7"/>
      <c r="K103" s="48"/>
      <c r="L103" s="144"/>
      <c r="M103" s="8">
        <f>M102+M97</f>
        <v>1854537.1223875401</v>
      </c>
      <c r="N103" s="8">
        <f t="shared" si="102"/>
        <v>65921.771787540056</v>
      </c>
      <c r="O103" s="9">
        <f>N103/I103</f>
        <v>3.6856315565795779E-2</v>
      </c>
      <c r="P103" s="2"/>
      <c r="Q103" s="2"/>
      <c r="R103" s="2"/>
    </row>
    <row r="104" spans="1:25" ht="13.8" thickTop="1" x14ac:dyDescent="0.25">
      <c r="A104" s="53">
        <f t="shared" si="71"/>
        <v>98</v>
      </c>
      <c r="D104" s="2" t="s">
        <v>18</v>
      </c>
      <c r="E104" s="132">
        <f>E96/E94</f>
        <v>482850</v>
      </c>
      <c r="G104" s="147">
        <f>G103/E94</f>
        <v>37186.046654166668</v>
      </c>
      <c r="I104" s="147">
        <f>I103/E94</f>
        <v>37262.819804166669</v>
      </c>
      <c r="M104" s="15">
        <f>M103/E94</f>
        <v>38636.19004974042</v>
      </c>
      <c r="N104" s="15">
        <f t="shared" si="102"/>
        <v>1373.3702455737512</v>
      </c>
      <c r="O104" s="4">
        <f>N104/I104</f>
        <v>3.6856315565795779E-2</v>
      </c>
    </row>
    <row r="105" spans="1:25" ht="13.8" thickBot="1" x14ac:dyDescent="0.3">
      <c r="A105" s="53">
        <f t="shared" si="71"/>
        <v>99</v>
      </c>
    </row>
    <row r="106" spans="1:25" x14ac:dyDescent="0.25">
      <c r="A106" s="53">
        <f t="shared" si="71"/>
        <v>100</v>
      </c>
      <c r="B106" s="33" t="s">
        <v>66</v>
      </c>
      <c r="C106" s="34">
        <v>10</v>
      </c>
      <c r="D106" s="33"/>
      <c r="E106" s="148"/>
      <c r="F106" s="148"/>
      <c r="G106" s="148"/>
      <c r="H106" s="148"/>
      <c r="I106" s="148"/>
      <c r="J106" s="33"/>
      <c r="K106" s="44"/>
      <c r="L106" s="148"/>
      <c r="M106" s="33"/>
      <c r="N106" s="33"/>
      <c r="O106" s="33"/>
      <c r="P106" s="33"/>
      <c r="Q106" s="33"/>
      <c r="R106" s="33"/>
      <c r="X106" s="6"/>
      <c r="Y106" s="6"/>
    </row>
    <row r="107" spans="1:25" x14ac:dyDescent="0.25">
      <c r="A107" s="53">
        <f t="shared" si="71"/>
        <v>101</v>
      </c>
      <c r="C107" s="2"/>
      <c r="D107" s="2" t="s">
        <v>17</v>
      </c>
      <c r="E107" s="149">
        <v>12</v>
      </c>
      <c r="F107" s="132">
        <v>1142.46</v>
      </c>
      <c r="G107" s="131">
        <f>F107*E107</f>
        <v>13709.52</v>
      </c>
      <c r="H107" s="132">
        <v>1142.46</v>
      </c>
      <c r="I107" s="131">
        <f>H107*E107</f>
        <v>13709.52</v>
      </c>
      <c r="J107" s="4">
        <f>I107/I110</f>
        <v>4.3404332877136111E-3</v>
      </c>
      <c r="K107" s="45"/>
      <c r="L107" s="132">
        <f>ROUND(H107*S110,2)</f>
        <v>1187.3699999999999</v>
      </c>
      <c r="M107" s="5">
        <f>L107*E107</f>
        <v>14248.439999999999</v>
      </c>
      <c r="N107" s="5">
        <f>M107-I107</f>
        <v>538.91999999999825</v>
      </c>
      <c r="O107" s="4">
        <f>IF(I107=0,0,N107/I107)</f>
        <v>3.9309910193792215E-2</v>
      </c>
      <c r="P107" s="4">
        <f>M107/M$110</f>
        <v>4.3404242640961389E-3</v>
      </c>
      <c r="Q107" s="16">
        <f>P107-J107</f>
        <v>-9.0236174721605722E-9</v>
      </c>
      <c r="R107" s="16"/>
      <c r="T107" s="4">
        <f t="shared" ref="T107:T109" si="109">L107/H107-1</f>
        <v>3.9309910193792152E-2</v>
      </c>
      <c r="V107" s="55"/>
      <c r="X107" s="6"/>
      <c r="Y107" s="6"/>
    </row>
    <row r="108" spans="1:25" x14ac:dyDescent="0.25">
      <c r="A108" s="53">
        <f t="shared" si="71"/>
        <v>102</v>
      </c>
      <c r="D108" s="2" t="s">
        <v>54</v>
      </c>
      <c r="E108" s="149">
        <v>100533.6</v>
      </c>
      <c r="F108" s="132">
        <v>7.89</v>
      </c>
      <c r="G108" s="131">
        <f t="shared" ref="G108:G109" si="110">F108*E108</f>
        <v>793210.10400000005</v>
      </c>
      <c r="H108" s="132">
        <v>7.89</v>
      </c>
      <c r="I108" s="131">
        <f>H108*E108</f>
        <v>793210.10400000005</v>
      </c>
      <c r="J108" s="45">
        <f>I108/I110</f>
        <v>0.25113027586322317</v>
      </c>
      <c r="K108" s="45"/>
      <c r="L108" s="132">
        <f>ROUND(H108*S110,2)</f>
        <v>8.1999999999999993</v>
      </c>
      <c r="M108" s="5">
        <f t="shared" ref="M108:M109" si="111">L108*E108</f>
        <v>824375.52</v>
      </c>
      <c r="N108" s="5">
        <f t="shared" ref="N108:N113" si="112">M108-I108</f>
        <v>31165.415999999968</v>
      </c>
      <c r="O108" s="4">
        <f t="shared" ref="O108:O109" si="113">IF(I108=0,0,N108/I108)</f>
        <v>3.9290240811153315E-2</v>
      </c>
      <c r="P108" s="4">
        <f>M108/M$110</f>
        <v>0.25112500103413937</v>
      </c>
      <c r="Q108" s="16">
        <f t="shared" ref="Q108:Q110" si="114">P108-J108</f>
        <v>-5.2748290838011691E-6</v>
      </c>
      <c r="R108" s="16"/>
      <c r="T108" s="4">
        <f t="shared" si="109"/>
        <v>3.9290240811153287E-2</v>
      </c>
      <c r="X108" s="6"/>
      <c r="Y108" s="6"/>
    </row>
    <row r="109" spans="1:25" x14ac:dyDescent="0.25">
      <c r="A109" s="53">
        <f t="shared" si="71"/>
        <v>103</v>
      </c>
      <c r="D109" s="2" t="s">
        <v>51</v>
      </c>
      <c r="E109" s="149">
        <v>49579200</v>
      </c>
      <c r="F109" s="134">
        <f>H109+0.00159</f>
        <v>4.9022000000000003E-2</v>
      </c>
      <c r="G109" s="131">
        <f t="shared" si="110"/>
        <v>2430471.5424000002</v>
      </c>
      <c r="H109" s="134">
        <v>4.7432000000000002E-2</v>
      </c>
      <c r="I109" s="131">
        <f t="shared" ref="I109" si="115">H109*E109</f>
        <v>2351640.6144000003</v>
      </c>
      <c r="J109" s="4">
        <f>I109/I110</f>
        <v>0.74452929084906327</v>
      </c>
      <c r="K109" s="45"/>
      <c r="L109" s="135">
        <f>ROUND(H109*S110,6)</f>
        <v>4.9297000000000001E-2</v>
      </c>
      <c r="M109" s="5">
        <f t="shared" si="111"/>
        <v>2444105.8223999999</v>
      </c>
      <c r="N109" s="5">
        <f t="shared" si="112"/>
        <v>92465.207999999635</v>
      </c>
      <c r="O109" s="4">
        <f t="shared" si="113"/>
        <v>3.9319446786979094E-2</v>
      </c>
      <c r="P109" s="4">
        <f>M109/M$110</f>
        <v>0.74453457470176454</v>
      </c>
      <c r="Q109" s="16">
        <f t="shared" si="114"/>
        <v>5.2838527012655234E-6</v>
      </c>
      <c r="R109" s="16"/>
      <c r="T109" s="4">
        <f t="shared" si="109"/>
        <v>3.9319446786979295E-2</v>
      </c>
      <c r="X109" s="6"/>
      <c r="Y109" s="6"/>
    </row>
    <row r="110" spans="1:25" s="6" customFormat="1" ht="20.399999999999999" customHeight="1" x14ac:dyDescent="0.3">
      <c r="A110" s="53">
        <f t="shared" si="71"/>
        <v>104</v>
      </c>
      <c r="C110" s="21"/>
      <c r="D110" s="23" t="s">
        <v>6</v>
      </c>
      <c r="E110" s="136"/>
      <c r="F110" s="136"/>
      <c r="G110" s="24">
        <f>SUM(G107:G109)</f>
        <v>3237391.1664000005</v>
      </c>
      <c r="H110" s="136"/>
      <c r="I110" s="24">
        <f>SUM(I107:I109)</f>
        <v>3158560.2384000001</v>
      </c>
      <c r="J110" s="25">
        <f>SUM(J107:J109)</f>
        <v>1</v>
      </c>
      <c r="K110" s="46">
        <f>I110+Summary!I16</f>
        <v>3282728.4684000001</v>
      </c>
      <c r="L110" s="136"/>
      <c r="M110" s="24">
        <f>SUM(M107:M109)</f>
        <v>3282729.7823999999</v>
      </c>
      <c r="N110" s="24">
        <f>SUM(N107:N109)</f>
        <v>124169.5439999996</v>
      </c>
      <c r="O110" s="25">
        <f t="shared" ref="O110" si="116">N110/I110</f>
        <v>3.9312070889266595E-2</v>
      </c>
      <c r="P110" s="25">
        <f>SUM(P107:P109)</f>
        <v>1</v>
      </c>
      <c r="Q110" s="26">
        <f t="shared" si="114"/>
        <v>0</v>
      </c>
      <c r="R110" s="37">
        <f>M110-K110</f>
        <v>1.3139999997802079</v>
      </c>
      <c r="S110" s="99">
        <f>K110/I110</f>
        <v>1.0393116548769381</v>
      </c>
    </row>
    <row r="111" spans="1:25" x14ac:dyDescent="0.25">
      <c r="A111" s="53">
        <f t="shared" si="71"/>
        <v>105</v>
      </c>
      <c r="D111" s="2" t="s">
        <v>29</v>
      </c>
      <c r="G111" s="131">
        <v>-197793.17</v>
      </c>
      <c r="I111" s="139">
        <f>G111+(0.00159*E109)</f>
        <v>-118962.24200000001</v>
      </c>
      <c r="K111" s="56"/>
      <c r="M111" s="5">
        <f>I111</f>
        <v>-118962.24200000001</v>
      </c>
      <c r="N111" s="5">
        <f t="shared" si="112"/>
        <v>0</v>
      </c>
      <c r="O111" s="17">
        <v>0</v>
      </c>
      <c r="X111" s="6"/>
      <c r="Y111" s="6"/>
    </row>
    <row r="112" spans="1:25" x14ac:dyDescent="0.25">
      <c r="A112" s="53">
        <f t="shared" si="71"/>
        <v>106</v>
      </c>
      <c r="D112" s="2" t="s">
        <v>30</v>
      </c>
      <c r="G112" s="131">
        <v>312758.43</v>
      </c>
      <c r="I112" s="139">
        <f t="shared" ref="I112:I114" si="117">G112</f>
        <v>312758.43</v>
      </c>
      <c r="M112" s="5">
        <f t="shared" ref="M112:M114" si="118">I112</f>
        <v>312758.43</v>
      </c>
      <c r="N112" s="5">
        <f t="shared" si="112"/>
        <v>0</v>
      </c>
      <c r="O112" s="17">
        <v>0</v>
      </c>
      <c r="X112" s="6"/>
      <c r="Y112" s="6"/>
    </row>
    <row r="113" spans="1:25" x14ac:dyDescent="0.25">
      <c r="A113" s="53">
        <f t="shared" si="71"/>
        <v>107</v>
      </c>
      <c r="D113" s="2" t="s">
        <v>32</v>
      </c>
      <c r="G113" s="131">
        <v>0</v>
      </c>
      <c r="I113" s="139">
        <f t="shared" si="117"/>
        <v>0</v>
      </c>
      <c r="M113" s="5">
        <f t="shared" si="118"/>
        <v>0</v>
      </c>
      <c r="N113" s="5">
        <f t="shared" si="112"/>
        <v>0</v>
      </c>
      <c r="O113" s="17">
        <v>0</v>
      </c>
    </row>
    <row r="114" spans="1:25" x14ac:dyDescent="0.25">
      <c r="A114" s="53">
        <f t="shared" si="71"/>
        <v>108</v>
      </c>
      <c r="D114" s="2" t="s">
        <v>42</v>
      </c>
      <c r="G114" s="131">
        <v>0</v>
      </c>
      <c r="I114" s="139">
        <f t="shared" si="117"/>
        <v>0</v>
      </c>
      <c r="M114" s="5">
        <f t="shared" si="118"/>
        <v>0</v>
      </c>
      <c r="N114" s="5"/>
      <c r="O114" s="17"/>
    </row>
    <row r="115" spans="1:25" x14ac:dyDescent="0.25">
      <c r="A115" s="53">
        <f t="shared" si="71"/>
        <v>109</v>
      </c>
      <c r="D115" s="18" t="s">
        <v>8</v>
      </c>
      <c r="E115" s="141"/>
      <c r="F115" s="141"/>
      <c r="G115" s="140">
        <f>SUM(G111:G114)</f>
        <v>114965.25999999998</v>
      </c>
      <c r="H115" s="141"/>
      <c r="I115" s="140">
        <f>SUM(I111:I114)</f>
        <v>193796.18799999997</v>
      </c>
      <c r="J115" s="18"/>
      <c r="K115" s="47"/>
      <c r="L115" s="141"/>
      <c r="M115" s="19">
        <f>SUM(M111:M114)</f>
        <v>193796.18799999997</v>
      </c>
      <c r="N115" s="19">
        <f t="shared" ref="N115:N116" si="119">M115-I115</f>
        <v>0</v>
      </c>
      <c r="O115" s="27">
        <f t="shared" ref="O115" si="120">N115-J115</f>
        <v>0</v>
      </c>
    </row>
    <row r="116" spans="1:25" s="6" customFormat="1" ht="26.4" customHeight="1" thickBot="1" x14ac:dyDescent="0.3">
      <c r="A116" s="53">
        <f t="shared" si="71"/>
        <v>110</v>
      </c>
      <c r="C116" s="21"/>
      <c r="D116" s="7" t="s">
        <v>19</v>
      </c>
      <c r="E116" s="144"/>
      <c r="F116" s="144"/>
      <c r="G116" s="143">
        <f>G110+G115</f>
        <v>3352356.4264000002</v>
      </c>
      <c r="H116" s="144"/>
      <c r="I116" s="145">
        <f>I115+I110</f>
        <v>3352356.4264000002</v>
      </c>
      <c r="J116" s="7"/>
      <c r="K116" s="48"/>
      <c r="L116" s="144"/>
      <c r="M116" s="8">
        <f>M115+M110</f>
        <v>3476525.9704</v>
      </c>
      <c r="N116" s="8">
        <f t="shared" si="119"/>
        <v>124169.54399999976</v>
      </c>
      <c r="O116" s="9">
        <f>N116/I116</f>
        <v>3.7039481548607853E-2</v>
      </c>
      <c r="P116" s="2"/>
      <c r="Q116" s="2"/>
      <c r="R116" s="2"/>
    </row>
    <row r="117" spans="1:25" ht="13.8" thickTop="1" x14ac:dyDescent="0.25">
      <c r="A117" s="53">
        <f t="shared" si="71"/>
        <v>111</v>
      </c>
      <c r="E117" s="154">
        <f>E108/E107</f>
        <v>8377.8000000000011</v>
      </c>
      <c r="F117" s="154"/>
      <c r="G117" s="154">
        <f>G116/E107</f>
        <v>279363.03553333337</v>
      </c>
      <c r="H117" s="154"/>
      <c r="I117" s="154">
        <f>I116/E107</f>
        <v>279363.03553333337</v>
      </c>
      <c r="J117" s="114"/>
      <c r="K117" s="114"/>
      <c r="L117" s="154"/>
      <c r="M117" s="114">
        <f>M116/E107</f>
        <v>289710.49753333331</v>
      </c>
      <c r="N117" s="114">
        <f>M117-I117</f>
        <v>10347.461999999941</v>
      </c>
      <c r="O117" s="4"/>
    </row>
    <row r="118" spans="1:25" ht="13.8" thickBot="1" x14ac:dyDescent="0.3">
      <c r="A118" s="53">
        <f t="shared" si="71"/>
        <v>112</v>
      </c>
    </row>
    <row r="119" spans="1:25" x14ac:dyDescent="0.25">
      <c r="A119" s="53">
        <f t="shared" si="71"/>
        <v>113</v>
      </c>
      <c r="B119" s="33" t="s">
        <v>67</v>
      </c>
      <c r="C119" s="34">
        <v>14</v>
      </c>
      <c r="D119" s="33"/>
      <c r="E119" s="148"/>
      <c r="F119" s="148"/>
      <c r="G119" s="148"/>
      <c r="H119" s="148"/>
      <c r="I119" s="148"/>
      <c r="J119" s="33"/>
      <c r="K119" s="44"/>
      <c r="L119" s="148"/>
      <c r="M119" s="33"/>
      <c r="N119" s="33"/>
      <c r="O119" s="33"/>
      <c r="P119" s="33"/>
      <c r="Q119" s="33"/>
      <c r="R119" s="33"/>
    </row>
    <row r="120" spans="1:25" x14ac:dyDescent="0.25">
      <c r="A120" s="53">
        <f t="shared" si="71"/>
        <v>114</v>
      </c>
      <c r="C120" s="2"/>
      <c r="D120" s="2" t="s">
        <v>17</v>
      </c>
      <c r="E120" s="149">
        <v>12</v>
      </c>
      <c r="F120" s="132">
        <v>1288</v>
      </c>
      <c r="G120" s="131">
        <f>F120*E120</f>
        <v>15456</v>
      </c>
      <c r="H120" s="132">
        <v>1288</v>
      </c>
      <c r="I120" s="131">
        <f>H120*E120</f>
        <v>15456</v>
      </c>
      <c r="J120" s="4">
        <f>I120/I123</f>
        <v>3.023876964494069E-2</v>
      </c>
      <c r="K120" s="45"/>
      <c r="L120" s="132">
        <f>ROUND(H120*S123,2)</f>
        <v>1338.63</v>
      </c>
      <c r="M120" s="5">
        <f>L120*E120</f>
        <v>16063.560000000001</v>
      </c>
      <c r="N120" s="5">
        <f t="shared" ref="N120:N126" si="121">M120-I120</f>
        <v>607.56000000000131</v>
      </c>
      <c r="O120" s="4">
        <f>IF(I120=0,0,N120/I120)</f>
        <v>3.9309006211180206E-2</v>
      </c>
      <c r="P120" s="4">
        <f>M120/M123</f>
        <v>3.0235073307522869E-2</v>
      </c>
      <c r="Q120" s="16">
        <f>P120-J120</f>
        <v>-3.6963374178203279E-6</v>
      </c>
      <c r="R120" s="16"/>
      <c r="T120" s="4">
        <f>L120/H120-1</f>
        <v>3.9309006211180275E-2</v>
      </c>
    </row>
    <row r="121" spans="1:25" x14ac:dyDescent="0.25">
      <c r="A121" s="53">
        <f t="shared" si="71"/>
        <v>115</v>
      </c>
      <c r="D121" s="2" t="s">
        <v>54</v>
      </c>
      <c r="E121" s="149">
        <v>14114.4</v>
      </c>
      <c r="F121" s="132">
        <v>7.77</v>
      </c>
      <c r="G121" s="131">
        <f t="shared" ref="G121" si="122">F121*E121</f>
        <v>109668.88799999999</v>
      </c>
      <c r="H121" s="132">
        <v>7.77</v>
      </c>
      <c r="I121" s="131">
        <f t="shared" ref="I121:I122" si="123">H121*E121</f>
        <v>109668.88799999999</v>
      </c>
      <c r="J121" s="45">
        <f>I121/I123</f>
        <v>0.21456083342707039</v>
      </c>
      <c r="K121" s="45"/>
      <c r="L121" s="132">
        <f>ROUND(H121*S123,2)</f>
        <v>8.08</v>
      </c>
      <c r="M121" s="5">
        <f t="shared" ref="M121:M122" si="124">L121*E121</f>
        <v>114044.352</v>
      </c>
      <c r="N121" s="5">
        <f t="shared" si="121"/>
        <v>4375.4640000000072</v>
      </c>
      <c r="O121" s="4">
        <f t="shared" ref="O121" si="125">IF(I121=0,0,N121/I121)</f>
        <v>3.9897039897039965E-2</v>
      </c>
      <c r="P121" s="4">
        <f>M121/M123</f>
        <v>0.21465598802687214</v>
      </c>
      <c r="Q121" s="16">
        <f t="shared" ref="Q121" si="126">P121-J121</f>
        <v>9.5154599801750006E-5</v>
      </c>
      <c r="R121" s="16"/>
      <c r="T121" s="4">
        <f t="shared" ref="T121" si="127">L121/H121-1</f>
        <v>3.9897039897039965E-2</v>
      </c>
      <c r="X121" s="6"/>
      <c r="Y121" s="6"/>
    </row>
    <row r="122" spans="1:25" x14ac:dyDescent="0.25">
      <c r="A122" s="53">
        <f t="shared" si="71"/>
        <v>116</v>
      </c>
      <c r="B122" s="17"/>
      <c r="D122" s="2" t="s">
        <v>51</v>
      </c>
      <c r="E122" s="149">
        <v>7471200</v>
      </c>
      <c r="F122" s="134">
        <f>H122+0.00159</f>
        <v>5.3255999999999998E-2</v>
      </c>
      <c r="G122" s="131">
        <f t="shared" ref="G122" si="128">F122*E122</f>
        <v>397886.22719999996</v>
      </c>
      <c r="H122" s="134">
        <v>5.1665999999999997E-2</v>
      </c>
      <c r="I122" s="131">
        <f t="shared" si="123"/>
        <v>386007.01919999998</v>
      </c>
      <c r="J122" s="4">
        <f>I122/I123</f>
        <v>0.7552003969279889</v>
      </c>
      <c r="K122" s="45"/>
      <c r="L122" s="135">
        <f>ROUND(H122*S123,6)</f>
        <v>5.3697000000000002E-2</v>
      </c>
      <c r="M122" s="5">
        <f t="shared" si="124"/>
        <v>401181.02640000003</v>
      </c>
      <c r="N122" s="5">
        <f t="shared" si="121"/>
        <v>15174.007200000051</v>
      </c>
      <c r="O122" s="4">
        <f t="shared" ref="O122" si="129">IF(I122=0,0,N122/I122)</f>
        <v>3.9310184647543975E-2</v>
      </c>
      <c r="P122" s="4">
        <f>M122/M123</f>
        <v>0.75510893866560513</v>
      </c>
      <c r="Q122" s="16">
        <f t="shared" ref="Q122:Q123" si="130">P122-J122</f>
        <v>-9.1458262383770084E-5</v>
      </c>
      <c r="R122" s="16"/>
      <c r="T122" s="4">
        <f>L122/H122-1</f>
        <v>3.9310184647543878E-2</v>
      </c>
    </row>
    <row r="123" spans="1:25" s="6" customFormat="1" ht="20.399999999999999" customHeight="1" x14ac:dyDescent="0.3">
      <c r="A123" s="53">
        <f t="shared" si="71"/>
        <v>117</v>
      </c>
      <c r="C123" s="21"/>
      <c r="D123" s="23" t="s">
        <v>6</v>
      </c>
      <c r="E123" s="136"/>
      <c r="F123" s="136"/>
      <c r="G123" s="24">
        <f>SUM(G120:G122)</f>
        <v>523011.11519999994</v>
      </c>
      <c r="H123" s="136"/>
      <c r="I123" s="24">
        <f>SUM(I120:I122)</f>
        <v>511131.90719999996</v>
      </c>
      <c r="J123" s="25">
        <f>SUM(J120:J122)</f>
        <v>1</v>
      </c>
      <c r="K123" s="46">
        <f>I123+Summary!I17</f>
        <v>531225.34719999996</v>
      </c>
      <c r="L123" s="136"/>
      <c r="M123" s="24">
        <f>SUM(M120:M122)</f>
        <v>531288.93839999998</v>
      </c>
      <c r="N123" s="24">
        <f>SUM(N120:N122)</f>
        <v>20157.031200000059</v>
      </c>
      <c r="O123" s="25">
        <f t="shared" ref="O123" si="131">N123/I123</f>
        <v>3.943606516451114E-2</v>
      </c>
      <c r="P123" s="25">
        <f>SUM(P120:P122)</f>
        <v>1.0000000000000002</v>
      </c>
      <c r="Q123" s="26">
        <f t="shared" si="130"/>
        <v>0</v>
      </c>
      <c r="R123" s="37">
        <f>M123-K123</f>
        <v>63.591200000024401</v>
      </c>
      <c r="S123" s="99">
        <f>K123/I123</f>
        <v>1.0393116526613895</v>
      </c>
    </row>
    <row r="124" spans="1:25" x14ac:dyDescent="0.25">
      <c r="A124" s="53">
        <f t="shared" si="71"/>
        <v>118</v>
      </c>
      <c r="D124" s="2" t="s">
        <v>29</v>
      </c>
      <c r="G124" s="131">
        <v>-29868.04</v>
      </c>
      <c r="I124" s="139">
        <f>G124+(0.00159*E122)</f>
        <v>-17988.832000000002</v>
      </c>
      <c r="K124" s="56"/>
      <c r="M124" s="5">
        <f>I124</f>
        <v>-17988.832000000002</v>
      </c>
      <c r="N124" s="5">
        <f t="shared" si="121"/>
        <v>0</v>
      </c>
      <c r="O124" s="17">
        <v>0</v>
      </c>
      <c r="R124" s="39"/>
    </row>
    <row r="125" spans="1:25" x14ac:dyDescent="0.25">
      <c r="A125" s="53">
        <f t="shared" si="71"/>
        <v>119</v>
      </c>
      <c r="D125" s="2" t="s">
        <v>30</v>
      </c>
      <c r="G125" s="131">
        <v>50885.66</v>
      </c>
      <c r="I125" s="139">
        <f>G125</f>
        <v>50885.66</v>
      </c>
      <c r="M125" s="5">
        <f t="shared" ref="M125:M127" si="132">I125</f>
        <v>50885.66</v>
      </c>
      <c r="N125" s="5">
        <f t="shared" si="121"/>
        <v>0</v>
      </c>
      <c r="O125" s="17">
        <v>0</v>
      </c>
    </row>
    <row r="126" spans="1:25" x14ac:dyDescent="0.25">
      <c r="A126" s="53">
        <f t="shared" si="71"/>
        <v>120</v>
      </c>
      <c r="D126" s="2" t="s">
        <v>43</v>
      </c>
      <c r="G126" s="131">
        <v>0</v>
      </c>
      <c r="I126" s="139">
        <f>G126</f>
        <v>0</v>
      </c>
      <c r="M126" s="5">
        <f t="shared" si="132"/>
        <v>0</v>
      </c>
      <c r="N126" s="5">
        <f t="shared" si="121"/>
        <v>0</v>
      </c>
      <c r="O126" s="17">
        <v>0</v>
      </c>
    </row>
    <row r="127" spans="1:25" x14ac:dyDescent="0.25">
      <c r="A127" s="53">
        <f t="shared" si="71"/>
        <v>121</v>
      </c>
      <c r="D127" s="2" t="s">
        <v>42</v>
      </c>
      <c r="G127" s="131">
        <v>0</v>
      </c>
      <c r="I127" s="139">
        <f>G127</f>
        <v>0</v>
      </c>
      <c r="M127" s="5">
        <f t="shared" si="132"/>
        <v>0</v>
      </c>
      <c r="N127" s="5"/>
      <c r="O127" s="17">
        <v>0</v>
      </c>
    </row>
    <row r="128" spans="1:25" x14ac:dyDescent="0.25">
      <c r="A128" s="53">
        <f t="shared" si="71"/>
        <v>122</v>
      </c>
      <c r="D128" s="18" t="s">
        <v>8</v>
      </c>
      <c r="E128" s="141"/>
      <c r="F128" s="141"/>
      <c r="G128" s="140">
        <f>SUM(G124:G127)</f>
        <v>21017.620000000003</v>
      </c>
      <c r="H128" s="141"/>
      <c r="I128" s="140">
        <f>SUM(I124:I127)</f>
        <v>32896.828000000001</v>
      </c>
      <c r="J128" s="18"/>
      <c r="K128" s="47"/>
      <c r="L128" s="141"/>
      <c r="M128" s="19">
        <f>SUM(M124:M127)</f>
        <v>32896.828000000001</v>
      </c>
      <c r="N128" s="19">
        <f>M128-I128</f>
        <v>0</v>
      </c>
      <c r="O128" s="27">
        <v>0</v>
      </c>
    </row>
    <row r="129" spans="1:20" s="6" customFormat="1" ht="26.4" customHeight="1" thickBot="1" x14ac:dyDescent="0.3">
      <c r="A129" s="53">
        <f t="shared" si="71"/>
        <v>123</v>
      </c>
      <c r="C129" s="21"/>
      <c r="D129" s="7" t="s">
        <v>19</v>
      </c>
      <c r="E129" s="144"/>
      <c r="F129" s="144"/>
      <c r="G129" s="143">
        <f>G123+G128</f>
        <v>544028.7352</v>
      </c>
      <c r="H129" s="144"/>
      <c r="I129" s="145">
        <f>I128+I123</f>
        <v>544028.7352</v>
      </c>
      <c r="J129" s="7"/>
      <c r="K129" s="48"/>
      <c r="L129" s="144"/>
      <c r="M129" s="8">
        <f>M128+M123</f>
        <v>564185.76639999996</v>
      </c>
      <c r="N129" s="8">
        <f>M129-I129</f>
        <v>20157.031199999969</v>
      </c>
      <c r="O129" s="9">
        <f>N129/I129</f>
        <v>3.7051409044762472E-2</v>
      </c>
      <c r="P129" s="2"/>
      <c r="Q129" s="2"/>
      <c r="R129" s="2"/>
    </row>
    <row r="130" spans="1:20" ht="13.8" thickTop="1" x14ac:dyDescent="0.25">
      <c r="A130" s="53">
        <f t="shared" si="71"/>
        <v>124</v>
      </c>
      <c r="D130" s="2" t="s">
        <v>18</v>
      </c>
      <c r="E130" s="132">
        <f>E122/E120</f>
        <v>622600</v>
      </c>
      <c r="G130" s="147">
        <f>G129/E120</f>
        <v>45335.727933333335</v>
      </c>
      <c r="I130" s="147">
        <f>I129/E120</f>
        <v>45335.727933333335</v>
      </c>
      <c r="M130" s="15">
        <f>M129/E120</f>
        <v>47015.480533333328</v>
      </c>
      <c r="N130" s="15">
        <f>M130-I130</f>
        <v>1679.7525999999925</v>
      </c>
      <c r="O130" s="4">
        <f>N130/I130</f>
        <v>3.7051409044762368E-2</v>
      </c>
    </row>
    <row r="131" spans="1:20" ht="13.8" thickBot="1" x14ac:dyDescent="0.3">
      <c r="A131" s="53">
        <f t="shared" si="71"/>
        <v>125</v>
      </c>
    </row>
    <row r="132" spans="1:20" x14ac:dyDescent="0.25">
      <c r="A132" s="53">
        <f t="shared" si="71"/>
        <v>126</v>
      </c>
      <c r="B132" s="33" t="s">
        <v>68</v>
      </c>
      <c r="C132" s="34">
        <v>15</v>
      </c>
      <c r="D132" s="33"/>
      <c r="E132" s="148"/>
      <c r="F132" s="148"/>
      <c r="G132" s="148"/>
      <c r="H132" s="148"/>
      <c r="I132" s="148"/>
      <c r="J132" s="33"/>
      <c r="K132" s="44"/>
      <c r="L132" s="148"/>
      <c r="M132" s="33"/>
      <c r="N132" s="33"/>
      <c r="O132" s="33"/>
      <c r="P132" s="33"/>
      <c r="Q132" s="33"/>
      <c r="R132" s="33"/>
    </row>
    <row r="133" spans="1:20" x14ac:dyDescent="0.25">
      <c r="A133" s="53">
        <f t="shared" si="71"/>
        <v>127</v>
      </c>
      <c r="C133" s="2"/>
      <c r="D133" s="2" t="s">
        <v>17</v>
      </c>
      <c r="E133" s="149">
        <v>48</v>
      </c>
      <c r="F133" s="132">
        <v>105</v>
      </c>
      <c r="G133" s="131">
        <f>F133*E133</f>
        <v>5040</v>
      </c>
      <c r="H133" s="132">
        <v>105</v>
      </c>
      <c r="I133" s="131">
        <f>H133*E133</f>
        <v>5040</v>
      </c>
      <c r="J133" s="4">
        <f>I133/I136</f>
        <v>5.003084381667789E-2</v>
      </c>
      <c r="K133" s="45"/>
      <c r="L133" s="132">
        <f>ROUND(H133*S136,2)</f>
        <v>109.13</v>
      </c>
      <c r="M133" s="5">
        <f>L133*E133</f>
        <v>5238.24</v>
      </c>
      <c r="N133" s="5">
        <f>M133-I133</f>
        <v>198.23999999999978</v>
      </c>
      <c r="O133" s="4">
        <f>IF(I133=0,0,N133/I133)</f>
        <v>3.933333333333329E-2</v>
      </c>
      <c r="P133" s="4">
        <f>M133/M136</f>
        <v>5.0032317982972752E-2</v>
      </c>
      <c r="Q133" s="16">
        <f>P133-J133</f>
        <v>1.4741662948611345E-6</v>
      </c>
      <c r="R133" s="16"/>
    </row>
    <row r="134" spans="1:20" x14ac:dyDescent="0.25">
      <c r="A134" s="53">
        <f t="shared" si="71"/>
        <v>128</v>
      </c>
      <c r="D134" s="2" t="s">
        <v>54</v>
      </c>
      <c r="E134" s="149">
        <v>5187.4799999999996</v>
      </c>
      <c r="F134" s="132">
        <v>7.89</v>
      </c>
      <c r="G134" s="131">
        <f t="shared" ref="G134:G135" si="133">F134*E134</f>
        <v>40929.217199999992</v>
      </c>
      <c r="H134" s="132">
        <v>7.89</v>
      </c>
      <c r="I134" s="131">
        <f t="shared" ref="I134:I135" si="134">H134*E134</f>
        <v>40929.217199999992</v>
      </c>
      <c r="J134" s="4">
        <f>I134/I136</f>
        <v>0.40629430025239799</v>
      </c>
      <c r="K134" s="45"/>
      <c r="L134" s="132">
        <f>ROUND(H134*S136,2)</f>
        <v>8.1999999999999993</v>
      </c>
      <c r="M134" s="5">
        <f t="shared" ref="M134:M135" si="135">L134*E134</f>
        <v>42537.335999999996</v>
      </c>
      <c r="N134" s="5">
        <f t="shared" ref="N134:N139" si="136">M134-I134</f>
        <v>1608.1188000000038</v>
      </c>
      <c r="O134" s="4">
        <f t="shared" ref="O134:O135" si="137">IF(I134=0,0,N134/I134)</f>
        <v>3.9290240811153461E-2</v>
      </c>
      <c r="P134" s="4">
        <f>M134/M136</f>
        <v>0.40628942562779752</v>
      </c>
      <c r="Q134" s="16">
        <f t="shared" ref="Q134:Q136" si="138">P134-J134</f>
        <v>-4.8746246004705007E-6</v>
      </c>
      <c r="R134" s="16"/>
      <c r="T134" s="4">
        <f>L134/H134-1</f>
        <v>3.9290240811153287E-2</v>
      </c>
    </row>
    <row r="135" spans="1:20" x14ac:dyDescent="0.25">
      <c r="A135" s="53">
        <f t="shared" si="71"/>
        <v>129</v>
      </c>
      <c r="D135" s="2" t="s">
        <v>51</v>
      </c>
      <c r="E135" s="149">
        <v>900800</v>
      </c>
      <c r="F135" s="134">
        <f>H135+0.00159</f>
        <v>6.2390000000000001E-2</v>
      </c>
      <c r="G135" s="131">
        <f t="shared" si="133"/>
        <v>56200.912000000004</v>
      </c>
      <c r="H135" s="134">
        <v>6.08E-2</v>
      </c>
      <c r="I135" s="131">
        <f t="shared" si="134"/>
        <v>54768.639999999999</v>
      </c>
      <c r="J135" s="4">
        <f>I135/I136</f>
        <v>0.54367485593092402</v>
      </c>
      <c r="K135" s="45"/>
      <c r="L135" s="135">
        <f>ROUND(H135*S136,6)</f>
        <v>6.3189999999999996E-2</v>
      </c>
      <c r="M135" s="5">
        <f t="shared" si="135"/>
        <v>56921.551999999996</v>
      </c>
      <c r="N135" s="5">
        <f t="shared" si="136"/>
        <v>2152.9119999999966</v>
      </c>
      <c r="O135" s="4">
        <f t="shared" si="137"/>
        <v>3.9309210526315731E-2</v>
      </c>
      <c r="P135" s="4">
        <f>M135/M136</f>
        <v>0.54367825638922973</v>
      </c>
      <c r="Q135" s="16">
        <f t="shared" si="138"/>
        <v>3.4004583057134496E-6</v>
      </c>
      <c r="R135" s="16"/>
      <c r="T135" s="4">
        <f>L135/H135-1</f>
        <v>3.9309210526315752E-2</v>
      </c>
    </row>
    <row r="136" spans="1:20" s="6" customFormat="1" ht="20.399999999999999" customHeight="1" x14ac:dyDescent="0.3">
      <c r="A136" s="53">
        <f t="shared" si="71"/>
        <v>130</v>
      </c>
      <c r="C136" s="21"/>
      <c r="D136" s="23" t="s">
        <v>6</v>
      </c>
      <c r="E136" s="136"/>
      <c r="F136" s="136"/>
      <c r="G136" s="24">
        <f>SUM(G133:G135)</f>
        <v>102170.1292</v>
      </c>
      <c r="H136" s="136"/>
      <c r="I136" s="24">
        <f>SUM(I133:I135)</f>
        <v>100737.8572</v>
      </c>
      <c r="J136" s="25">
        <f>SUM(J133:J135)</f>
        <v>0.99999999999999989</v>
      </c>
      <c r="K136" s="46">
        <f>I136+Summary!I18</f>
        <v>104698.0272</v>
      </c>
      <c r="L136" s="136"/>
      <c r="M136" s="24">
        <f>SUM(M133:M135)</f>
        <v>104697.128</v>
      </c>
      <c r="N136" s="24">
        <f>SUM(N133:N135)</f>
        <v>3959.2708000000002</v>
      </c>
      <c r="O136" s="25">
        <f t="shared" ref="O136" si="139">N136/I136</f>
        <v>3.9302710123558203E-2</v>
      </c>
      <c r="P136" s="25">
        <f>SUM(P133:P135)</f>
        <v>1</v>
      </c>
      <c r="Q136" s="26">
        <f t="shared" si="138"/>
        <v>0</v>
      </c>
      <c r="R136" s="37">
        <f>M136-K136</f>
        <v>-0.89919999999983702</v>
      </c>
      <c r="S136" s="99">
        <f>K136/I136</f>
        <v>1.0393116362614074</v>
      </c>
    </row>
    <row r="137" spans="1:20" x14ac:dyDescent="0.25">
      <c r="A137" s="53">
        <f t="shared" ref="A137:A200" si="140">A136+1</f>
        <v>131</v>
      </c>
      <c r="D137" s="2" t="s">
        <v>29</v>
      </c>
      <c r="G137" s="131">
        <v>-3320.68</v>
      </c>
      <c r="I137" s="139">
        <f>G137+(0.00159*(E135))</f>
        <v>-1888.4079999999999</v>
      </c>
      <c r="K137" s="56"/>
      <c r="M137" s="5">
        <f>I137</f>
        <v>-1888.4079999999999</v>
      </c>
      <c r="N137" s="5">
        <f t="shared" si="136"/>
        <v>0</v>
      </c>
      <c r="O137" s="17">
        <v>0</v>
      </c>
    </row>
    <row r="138" spans="1:20" x14ac:dyDescent="0.25">
      <c r="A138" s="53">
        <f t="shared" si="140"/>
        <v>132</v>
      </c>
      <c r="D138" s="2" t="s">
        <v>30</v>
      </c>
      <c r="G138" s="131">
        <v>9894.17</v>
      </c>
      <c r="I138" s="139">
        <f t="shared" ref="I138:I140" si="141">G138</f>
        <v>9894.17</v>
      </c>
      <c r="M138" s="5">
        <f t="shared" ref="M138:M140" si="142">I138</f>
        <v>9894.17</v>
      </c>
      <c r="N138" s="5">
        <f t="shared" si="136"/>
        <v>0</v>
      </c>
      <c r="O138" s="17">
        <v>0</v>
      </c>
    </row>
    <row r="139" spans="1:20" x14ac:dyDescent="0.25">
      <c r="A139" s="53">
        <f t="shared" si="140"/>
        <v>133</v>
      </c>
      <c r="D139" s="2" t="s">
        <v>32</v>
      </c>
      <c r="G139" s="131">
        <v>0</v>
      </c>
      <c r="I139" s="139">
        <f t="shared" si="141"/>
        <v>0</v>
      </c>
      <c r="M139" s="5">
        <f t="shared" si="142"/>
        <v>0</v>
      </c>
      <c r="N139" s="5">
        <f t="shared" si="136"/>
        <v>0</v>
      </c>
      <c r="O139" s="17">
        <v>0</v>
      </c>
    </row>
    <row r="140" spans="1:20" x14ac:dyDescent="0.25">
      <c r="A140" s="53">
        <f t="shared" si="140"/>
        <v>134</v>
      </c>
      <c r="D140" s="2" t="s">
        <v>42</v>
      </c>
      <c r="G140" s="131">
        <v>0</v>
      </c>
      <c r="I140" s="139">
        <f t="shared" si="141"/>
        <v>0</v>
      </c>
      <c r="M140" s="5">
        <f t="shared" si="142"/>
        <v>0</v>
      </c>
      <c r="N140" s="5"/>
      <c r="O140" s="17"/>
    </row>
    <row r="141" spans="1:20" x14ac:dyDescent="0.25">
      <c r="A141" s="53">
        <f t="shared" si="140"/>
        <v>135</v>
      </c>
      <c r="D141" s="18" t="s">
        <v>8</v>
      </c>
      <c r="E141" s="141"/>
      <c r="F141" s="141"/>
      <c r="G141" s="140">
        <f>SUM(G137:G140)</f>
        <v>6573.49</v>
      </c>
      <c r="H141" s="141"/>
      <c r="I141" s="140">
        <f>SUM(I137:I140)</f>
        <v>8005.7620000000006</v>
      </c>
      <c r="J141" s="18"/>
      <c r="K141" s="47"/>
      <c r="L141" s="141"/>
      <c r="M141" s="19">
        <f>SUM(M137:M140)</f>
        <v>8005.7620000000006</v>
      </c>
      <c r="N141" s="19">
        <f t="shared" ref="N141:N143" si="143">M141-I141</f>
        <v>0</v>
      </c>
      <c r="O141" s="27">
        <f t="shared" ref="O141" si="144">N141-J141</f>
        <v>0</v>
      </c>
    </row>
    <row r="142" spans="1:20" s="6" customFormat="1" ht="26.4" customHeight="1" thickBot="1" x14ac:dyDescent="0.3">
      <c r="A142" s="53">
        <f t="shared" si="140"/>
        <v>136</v>
      </c>
      <c r="C142" s="21"/>
      <c r="D142" s="7" t="s">
        <v>19</v>
      </c>
      <c r="E142" s="144"/>
      <c r="F142" s="144"/>
      <c r="G142" s="143">
        <f>G136+G141</f>
        <v>108743.6192</v>
      </c>
      <c r="H142" s="144"/>
      <c r="I142" s="145">
        <f>I141+I136</f>
        <v>108743.6192</v>
      </c>
      <c r="J142" s="7"/>
      <c r="K142" s="48"/>
      <c r="L142" s="144"/>
      <c r="M142" s="8">
        <f>M141+M136</f>
        <v>112702.89</v>
      </c>
      <c r="N142" s="8">
        <f t="shared" si="143"/>
        <v>3959.2707999999984</v>
      </c>
      <c r="O142" s="9">
        <f>N142/I142</f>
        <v>3.640922409174329E-2</v>
      </c>
      <c r="P142" s="2"/>
      <c r="Q142" s="2"/>
      <c r="R142" s="2"/>
    </row>
    <row r="143" spans="1:20" ht="13.8" thickTop="1" x14ac:dyDescent="0.25">
      <c r="A143" s="53">
        <f t="shared" si="140"/>
        <v>137</v>
      </c>
      <c r="D143" s="2" t="s">
        <v>18</v>
      </c>
      <c r="E143" s="132">
        <f>E135/E133</f>
        <v>18766.666666666668</v>
      </c>
      <c r="G143" s="147">
        <f>G142/E133</f>
        <v>2265.4920666666667</v>
      </c>
      <c r="I143" s="147">
        <f>I142/E133</f>
        <v>2265.4920666666667</v>
      </c>
      <c r="M143" s="15">
        <f>M142/E133</f>
        <v>2347.9768749999998</v>
      </c>
      <c r="N143" s="15">
        <f t="shared" si="143"/>
        <v>82.484808333333149</v>
      </c>
      <c r="O143" s="4">
        <f>N143/I143</f>
        <v>3.6409224091743228E-2</v>
      </c>
    </row>
    <row r="144" spans="1:20" ht="13.8" thickBot="1" x14ac:dyDescent="0.3">
      <c r="A144" s="53">
        <f t="shared" si="140"/>
        <v>138</v>
      </c>
    </row>
    <row r="145" spans="1:20" x14ac:dyDescent="0.25">
      <c r="A145" s="53">
        <f t="shared" si="140"/>
        <v>139</v>
      </c>
      <c r="B145" s="33" t="s">
        <v>69</v>
      </c>
      <c r="C145" s="34">
        <v>36</v>
      </c>
      <c r="D145" s="33"/>
      <c r="E145" s="148"/>
      <c r="F145" s="148"/>
      <c r="G145" s="148"/>
      <c r="H145" s="148"/>
      <c r="I145" s="148"/>
      <c r="J145" s="33"/>
      <c r="K145" s="44"/>
      <c r="L145" s="148"/>
      <c r="M145" s="33"/>
      <c r="N145" s="33"/>
      <c r="O145" s="33"/>
      <c r="P145" s="33"/>
      <c r="Q145" s="33"/>
      <c r="R145" s="33"/>
    </row>
    <row r="146" spans="1:20" x14ac:dyDescent="0.25">
      <c r="A146" s="53">
        <f t="shared" si="140"/>
        <v>140</v>
      </c>
      <c r="C146" s="2"/>
      <c r="D146" s="2" t="s">
        <v>17</v>
      </c>
      <c r="E146" s="149">
        <v>12</v>
      </c>
      <c r="F146" s="132">
        <v>3215</v>
      </c>
      <c r="G146" s="131">
        <f>F146*E146</f>
        <v>38580</v>
      </c>
      <c r="H146" s="132">
        <v>3215</v>
      </c>
      <c r="I146" s="131">
        <f>H146*E146</f>
        <v>38580</v>
      </c>
      <c r="J146" s="4">
        <f>I146/I150</f>
        <v>2.6867815617989781E-2</v>
      </c>
      <c r="K146" s="45"/>
      <c r="L146" s="132">
        <f>ROUND(H146*S150,2)</f>
        <v>3341.39</v>
      </c>
      <c r="M146" s="5">
        <f>L146*E146</f>
        <v>40096.68</v>
      </c>
      <c r="N146" s="5">
        <f>M146-I146</f>
        <v>1516.6800000000003</v>
      </c>
      <c r="O146" s="4">
        <f>IF(I146=0,0,N146/I146)</f>
        <v>3.9312597200622093E-2</v>
      </c>
      <c r="P146" s="4">
        <f>M146/M150</f>
        <v>2.6868052253326981E-2</v>
      </c>
      <c r="Q146" s="16">
        <f>P146-J146</f>
        <v>2.3663533720019725E-7</v>
      </c>
      <c r="R146" s="16"/>
      <c r="T146" s="4">
        <f>L146/H146-1</f>
        <v>3.9312597200622079E-2</v>
      </c>
    </row>
    <row r="147" spans="1:20" x14ac:dyDescent="0.25">
      <c r="A147" s="53">
        <f t="shared" si="140"/>
        <v>141</v>
      </c>
      <c r="D147" s="2" t="s">
        <v>54</v>
      </c>
      <c r="E147" s="149">
        <v>47377.4</v>
      </c>
      <c r="F147" s="132">
        <v>6.62</v>
      </c>
      <c r="G147" s="131">
        <f t="shared" ref="G147" si="145">F147*E147</f>
        <v>313638.38800000004</v>
      </c>
      <c r="H147" s="132">
        <v>6.62</v>
      </c>
      <c r="I147" s="131">
        <f t="shared" ref="I147" si="146">H147*E147</f>
        <v>313638.38800000004</v>
      </c>
      <c r="J147" s="4">
        <f>I147/I150</f>
        <v>0.21842349350719387</v>
      </c>
      <c r="K147" s="45"/>
      <c r="L147" s="132">
        <f>ROUND(H147*S150,2)</f>
        <v>6.88</v>
      </c>
      <c r="M147" s="5">
        <f t="shared" ref="M147" si="147">L147*E147</f>
        <v>325956.51199999999</v>
      </c>
      <c r="N147" s="5">
        <f t="shared" ref="N147" si="148">M147-I147</f>
        <v>12318.123999999953</v>
      </c>
      <c r="O147" s="4">
        <f t="shared" ref="O147" si="149">IF(I147=0,0,N147/I147)</f>
        <v>3.927492447129894E-2</v>
      </c>
      <c r="P147" s="4">
        <f>M147/M150</f>
        <v>0.2184174998211374</v>
      </c>
      <c r="Q147" s="16">
        <f t="shared" ref="Q147" si="150">P147-J147</f>
        <v>-5.9936860564713257E-6</v>
      </c>
      <c r="R147" s="16"/>
      <c r="T147" s="4">
        <f>L147/H147-1</f>
        <v>3.92749244712991E-2</v>
      </c>
    </row>
    <row r="148" spans="1:20" x14ac:dyDescent="0.25">
      <c r="A148" s="53">
        <f t="shared" si="140"/>
        <v>142</v>
      </c>
      <c r="D148" s="2" t="s">
        <v>52</v>
      </c>
      <c r="E148" s="149">
        <v>9335718</v>
      </c>
      <c r="F148" s="134">
        <f>H148+0.00159</f>
        <v>5.9490000000000001E-2</v>
      </c>
      <c r="G148" s="131">
        <f t="shared" ref="G148:G149" si="151">F148*E148</f>
        <v>555381.86381999997</v>
      </c>
      <c r="H148" s="134">
        <v>5.79E-2</v>
      </c>
      <c r="I148" s="131">
        <f t="shared" ref="I148:I149" si="152">H148*E148</f>
        <v>540538.07220000005</v>
      </c>
      <c r="J148" s="4">
        <f>I148/I150</f>
        <v>0.37644057175669382</v>
      </c>
      <c r="K148" s="45"/>
      <c r="L148" s="135">
        <f>ROUND(H148*S150,6)</f>
        <v>6.0176E-2</v>
      </c>
      <c r="M148" s="5">
        <f t="shared" ref="M148:M149" si="153">L148*E148</f>
        <v>561786.16636799998</v>
      </c>
      <c r="N148" s="5">
        <f t="shared" ref="N148:N153" si="154">M148-I148</f>
        <v>21248.094167999923</v>
      </c>
      <c r="O148" s="4">
        <f t="shared" ref="O148:O149" si="155">IF(I148=0,0,N148/I148)</f>
        <v>3.9309153713298642E-2</v>
      </c>
      <c r="P148" s="4">
        <f>M148/M150</f>
        <v>0.37644263996848787</v>
      </c>
      <c r="Q148" s="16">
        <f t="shared" ref="Q148:Q150" si="156">P148-J148</f>
        <v>2.0682117940484801E-6</v>
      </c>
      <c r="R148" s="16"/>
      <c r="T148" s="4">
        <f>L148/H148-1</f>
        <v>3.9309153713298794E-2</v>
      </c>
    </row>
    <row r="149" spans="1:20" x14ac:dyDescent="0.25">
      <c r="A149" s="53">
        <f t="shared" si="140"/>
        <v>143</v>
      </c>
      <c r="D149" s="2" t="s">
        <v>53</v>
      </c>
      <c r="E149" s="149">
        <v>10978742</v>
      </c>
      <c r="F149" s="134">
        <f>H149+0.00159</f>
        <v>5.1063999999999998E-2</v>
      </c>
      <c r="G149" s="131">
        <f t="shared" si="151"/>
        <v>560618.48148800002</v>
      </c>
      <c r="H149" s="134">
        <v>4.9473999999999997E-2</v>
      </c>
      <c r="I149" s="131">
        <f t="shared" si="152"/>
        <v>543162.28170799999</v>
      </c>
      <c r="J149" s="4">
        <f>I149/I150</f>
        <v>0.37826811911812253</v>
      </c>
      <c r="K149" s="45"/>
      <c r="L149" s="135">
        <f>ROUND(H149*S150,6)</f>
        <v>5.1418999999999999E-2</v>
      </c>
      <c r="M149" s="5">
        <f t="shared" si="153"/>
        <v>564515.93489799998</v>
      </c>
      <c r="N149" s="5">
        <f t="shared" si="154"/>
        <v>21353.653189999983</v>
      </c>
      <c r="O149" s="4">
        <f t="shared" si="155"/>
        <v>3.9313578849496676E-2</v>
      </c>
      <c r="P149" s="4">
        <f>M149/M150</f>
        <v>0.37827180795704773</v>
      </c>
      <c r="Q149" s="16">
        <f t="shared" si="156"/>
        <v>3.6888389252087705E-6</v>
      </c>
      <c r="R149" s="16"/>
      <c r="T149" s="4">
        <f>L149/H149-1</f>
        <v>3.9313578849496711E-2</v>
      </c>
    </row>
    <row r="150" spans="1:20" s="6" customFormat="1" ht="20.399999999999999" customHeight="1" x14ac:dyDescent="0.3">
      <c r="A150" s="53">
        <f t="shared" si="140"/>
        <v>144</v>
      </c>
      <c r="C150" s="21"/>
      <c r="D150" s="23" t="s">
        <v>6</v>
      </c>
      <c r="E150" s="136"/>
      <c r="F150" s="136"/>
      <c r="G150" s="24">
        <f>SUM(G146:G149)</f>
        <v>1468218.733308</v>
      </c>
      <c r="H150" s="136"/>
      <c r="I150" s="24">
        <f>SUM(I146:I149)</f>
        <v>1435918.7419080001</v>
      </c>
      <c r="J150" s="25">
        <f>SUM(J146:J149)</f>
        <v>1</v>
      </c>
      <c r="K150" s="46">
        <f>I150+Summary!I19</f>
        <v>1492367.0819080002</v>
      </c>
      <c r="L150" s="136"/>
      <c r="M150" s="24">
        <f>SUM(M146:M149)</f>
        <v>1492355.293266</v>
      </c>
      <c r="N150" s="24">
        <f>SUM(N146:N149)</f>
        <v>56436.551357999859</v>
      </c>
      <c r="O150" s="25">
        <f t="shared" ref="O150" si="157">N150/I150</f>
        <v>3.9303443649609922E-2</v>
      </c>
      <c r="P150" s="25">
        <f>SUM(P146:P149)</f>
        <v>1</v>
      </c>
      <c r="Q150" s="26">
        <f t="shared" si="156"/>
        <v>0</v>
      </c>
      <c r="R150" s="37">
        <f>M150-K150</f>
        <v>-11.78864200017415</v>
      </c>
      <c r="S150" s="99">
        <f>K150/I150</f>
        <v>1.039311653474899</v>
      </c>
    </row>
    <row r="151" spans="1:20" x14ac:dyDescent="0.25">
      <c r="A151" s="53">
        <f t="shared" si="140"/>
        <v>145</v>
      </c>
      <c r="D151" s="2" t="s">
        <v>29</v>
      </c>
      <c r="G151" s="131">
        <v>-81559.839999999997</v>
      </c>
      <c r="I151" s="139">
        <f>G151+(0.00159*(E149+E148))</f>
        <v>-49259.848599999998</v>
      </c>
      <c r="K151" s="56"/>
      <c r="M151" s="5">
        <f>I151</f>
        <v>-49259.848599999998</v>
      </c>
      <c r="N151" s="5">
        <f t="shared" si="154"/>
        <v>0</v>
      </c>
      <c r="O151" s="17">
        <v>0</v>
      </c>
    </row>
    <row r="152" spans="1:20" x14ac:dyDescent="0.25">
      <c r="A152" s="53">
        <f t="shared" si="140"/>
        <v>146</v>
      </c>
      <c r="D152" s="2" t="s">
        <v>30</v>
      </c>
      <c r="G152" s="131">
        <v>143808.6</v>
      </c>
      <c r="I152" s="139">
        <f t="shared" ref="I152:I154" si="158">G152</f>
        <v>143808.6</v>
      </c>
      <c r="M152" s="5">
        <f t="shared" ref="M152:M154" si="159">I152</f>
        <v>143808.6</v>
      </c>
      <c r="N152" s="5">
        <f t="shared" si="154"/>
        <v>0</v>
      </c>
      <c r="O152" s="17">
        <v>0</v>
      </c>
    </row>
    <row r="153" spans="1:20" x14ac:dyDescent="0.25">
      <c r="A153" s="53">
        <f t="shared" si="140"/>
        <v>147</v>
      </c>
      <c r="D153" s="2" t="s">
        <v>32</v>
      </c>
      <c r="G153" s="131">
        <v>0</v>
      </c>
      <c r="I153" s="139">
        <f t="shared" si="158"/>
        <v>0</v>
      </c>
      <c r="M153" s="5">
        <f t="shared" si="159"/>
        <v>0</v>
      </c>
      <c r="N153" s="5">
        <f t="shared" si="154"/>
        <v>0</v>
      </c>
      <c r="O153" s="17">
        <v>0</v>
      </c>
    </row>
    <row r="154" spans="1:20" x14ac:dyDescent="0.25">
      <c r="A154" s="53">
        <f t="shared" si="140"/>
        <v>148</v>
      </c>
      <c r="D154" s="2" t="s">
        <v>42</v>
      </c>
      <c r="G154" s="131">
        <v>0</v>
      </c>
      <c r="I154" s="139">
        <f t="shared" si="158"/>
        <v>0</v>
      </c>
      <c r="M154" s="5">
        <f t="shared" si="159"/>
        <v>0</v>
      </c>
      <c r="N154" s="5"/>
      <c r="O154" s="17"/>
    </row>
    <row r="155" spans="1:20" x14ac:dyDescent="0.25">
      <c r="A155" s="53">
        <f t="shared" si="140"/>
        <v>149</v>
      </c>
      <c r="D155" s="18" t="s">
        <v>8</v>
      </c>
      <c r="E155" s="141"/>
      <c r="F155" s="141"/>
      <c r="G155" s="140">
        <f>SUM(G151:G154)</f>
        <v>62248.760000000009</v>
      </c>
      <c r="H155" s="141"/>
      <c r="I155" s="140">
        <f>SUM(I151:I154)</f>
        <v>94548.751400000008</v>
      </c>
      <c r="J155" s="18"/>
      <c r="K155" s="47"/>
      <c r="L155" s="141"/>
      <c r="M155" s="19">
        <f>SUM(M151:M154)</f>
        <v>94548.751400000008</v>
      </c>
      <c r="N155" s="19">
        <f t="shared" ref="N155:N157" si="160">M155-I155</f>
        <v>0</v>
      </c>
      <c r="O155" s="27">
        <f t="shared" ref="O155" si="161">N155-J155</f>
        <v>0</v>
      </c>
    </row>
    <row r="156" spans="1:20" s="6" customFormat="1" ht="26.4" customHeight="1" thickBot="1" x14ac:dyDescent="0.3">
      <c r="A156" s="53">
        <f t="shared" si="140"/>
        <v>150</v>
      </c>
      <c r="C156" s="21"/>
      <c r="D156" s="7" t="s">
        <v>19</v>
      </c>
      <c r="E156" s="144"/>
      <c r="F156" s="144"/>
      <c r="G156" s="143">
        <f>G150+G155</f>
        <v>1530467.493308</v>
      </c>
      <c r="H156" s="144"/>
      <c r="I156" s="145">
        <f>I155+I150</f>
        <v>1530467.493308</v>
      </c>
      <c r="J156" s="7"/>
      <c r="K156" s="48"/>
      <c r="L156" s="144"/>
      <c r="M156" s="8">
        <f>M155+M150</f>
        <v>1586904.0446659999</v>
      </c>
      <c r="N156" s="8">
        <f t="shared" si="160"/>
        <v>56436.55135799991</v>
      </c>
      <c r="O156" s="9">
        <f>N156/I156</f>
        <v>3.6875367562375465E-2</v>
      </c>
      <c r="P156" s="2"/>
      <c r="Q156" s="2"/>
      <c r="R156" s="2"/>
    </row>
    <row r="157" spans="1:20" ht="13.8" thickTop="1" x14ac:dyDescent="0.25">
      <c r="A157" s="53">
        <f t="shared" si="140"/>
        <v>151</v>
      </c>
      <c r="D157" s="2" t="s">
        <v>18</v>
      </c>
      <c r="E157" s="132">
        <f>(E148+E149)/E146</f>
        <v>1692871.6666666667</v>
      </c>
      <c r="G157" s="147">
        <f>G156/E146</f>
        <v>127538.95777566667</v>
      </c>
      <c r="I157" s="147">
        <f>I156/E146</f>
        <v>127538.95777566667</v>
      </c>
      <c r="M157" s="15">
        <f>M156/E146</f>
        <v>132242.00372216667</v>
      </c>
      <c r="N157" s="15">
        <f t="shared" si="160"/>
        <v>4703.0459465000022</v>
      </c>
      <c r="O157" s="4">
        <f>N157/I157</f>
        <v>3.6875367562375541E-2</v>
      </c>
    </row>
    <row r="158" spans="1:20" ht="13.8" thickBot="1" x14ac:dyDescent="0.3">
      <c r="A158" s="53">
        <f t="shared" si="140"/>
        <v>152</v>
      </c>
    </row>
    <row r="159" spans="1:20" x14ac:dyDescent="0.25">
      <c r="A159" s="53">
        <f t="shared" si="140"/>
        <v>153</v>
      </c>
      <c r="B159" s="33" t="s">
        <v>70</v>
      </c>
      <c r="C159" s="34">
        <v>50</v>
      </c>
      <c r="D159" s="33"/>
      <c r="E159" s="148"/>
      <c r="F159" s="148"/>
      <c r="G159" s="148"/>
      <c r="H159" s="148"/>
      <c r="I159" s="148"/>
      <c r="J159" s="33"/>
      <c r="K159" s="44"/>
      <c r="L159" s="148"/>
      <c r="M159" s="33"/>
      <c r="N159" s="33"/>
      <c r="O159" s="33"/>
      <c r="P159" s="33"/>
      <c r="Q159" s="33"/>
      <c r="R159" s="33"/>
    </row>
    <row r="160" spans="1:20" x14ac:dyDescent="0.25">
      <c r="A160" s="53">
        <f t="shared" si="140"/>
        <v>154</v>
      </c>
      <c r="C160" s="2"/>
      <c r="D160" s="2" t="s">
        <v>99</v>
      </c>
      <c r="E160" s="149">
        <v>0</v>
      </c>
      <c r="F160" s="132">
        <v>21.32</v>
      </c>
      <c r="G160" s="131">
        <f>F160*E160</f>
        <v>0</v>
      </c>
      <c r="H160" s="132">
        <v>21.32</v>
      </c>
      <c r="I160" s="131">
        <f>H160*E160</f>
        <v>0</v>
      </c>
      <c r="J160" s="4">
        <f>I160/I163</f>
        <v>0</v>
      </c>
      <c r="K160" s="45"/>
      <c r="L160" s="132">
        <f>H160*S164</f>
        <v>22.15812354915662</v>
      </c>
      <c r="M160" s="5">
        <f>L160*E160</f>
        <v>0</v>
      </c>
      <c r="N160" s="5">
        <f>M160-I160</f>
        <v>0</v>
      </c>
      <c r="O160" s="4">
        <f>IF(I160=0,0,N160/I160)</f>
        <v>0</v>
      </c>
      <c r="P160" s="4">
        <f>M160/M163</f>
        <v>0</v>
      </c>
      <c r="Q160" s="16">
        <f>P160-J160</f>
        <v>0</v>
      </c>
      <c r="R160" s="16"/>
      <c r="T160" s="4">
        <f t="shared" ref="T160:T161" si="162">L160/H160-1</f>
        <v>3.9311611123668877E-2</v>
      </c>
    </row>
    <row r="161" spans="1:20" x14ac:dyDescent="0.25">
      <c r="A161" s="53">
        <f t="shared" si="140"/>
        <v>155</v>
      </c>
      <c r="C161" s="2"/>
      <c r="D161" s="2" t="s">
        <v>100</v>
      </c>
      <c r="E161" s="149">
        <v>60</v>
      </c>
      <c r="F161" s="132">
        <v>105</v>
      </c>
      <c r="G161" s="131">
        <f>F161*E161</f>
        <v>6300</v>
      </c>
      <c r="H161" s="132">
        <v>105</v>
      </c>
      <c r="I161" s="131">
        <f>H161*E161</f>
        <v>6300</v>
      </c>
      <c r="J161" s="4">
        <f>I161/I164</f>
        <v>0.19071403275742005</v>
      </c>
      <c r="K161" s="45"/>
      <c r="L161" s="132">
        <f>ROUND(H161*S164,2)</f>
        <v>109.13</v>
      </c>
      <c r="M161" s="5">
        <f>L161*E161</f>
        <v>6547.7999999999993</v>
      </c>
      <c r="N161" s="5">
        <f>M161-I161</f>
        <v>247.79999999999927</v>
      </c>
      <c r="O161" s="4">
        <f>IF(I161=0,0,N161/I161)</f>
        <v>3.933333333333322E-2</v>
      </c>
      <c r="P161" s="4">
        <f>M161/M164</f>
        <v>0.190717518348135</v>
      </c>
      <c r="Q161" s="16">
        <f>P161-J161</f>
        <v>3.4855907149466958E-6</v>
      </c>
      <c r="R161" s="16"/>
      <c r="T161" s="4">
        <f t="shared" si="162"/>
        <v>3.933333333333322E-2</v>
      </c>
    </row>
    <row r="162" spans="1:20" x14ac:dyDescent="0.25">
      <c r="A162" s="53">
        <f t="shared" si="140"/>
        <v>156</v>
      </c>
      <c r="D162" s="2" t="s">
        <v>52</v>
      </c>
      <c r="E162" s="149">
        <v>186382</v>
      </c>
      <c r="F162" s="134">
        <f>H162+0.00159</f>
        <v>0.11534999999999999</v>
      </c>
      <c r="G162" s="131">
        <f t="shared" ref="G162:G163" si="163">F162*E162</f>
        <v>21499.163699999997</v>
      </c>
      <c r="H162" s="134">
        <v>0.11376</v>
      </c>
      <c r="I162" s="131">
        <f t="shared" ref="I162:I163" si="164">H162*E162</f>
        <v>21202.816320000002</v>
      </c>
      <c r="J162" s="4">
        <f>I162/I164</f>
        <v>0.64185311209556206</v>
      </c>
      <c r="K162" s="45"/>
      <c r="L162" s="135">
        <f>ROUND(H162*S164,6)</f>
        <v>0.118232</v>
      </c>
      <c r="M162" s="5">
        <f t="shared" ref="M162:M163" si="165">L162*E162</f>
        <v>22036.316623999999</v>
      </c>
      <c r="N162" s="5">
        <f t="shared" ref="N162:N167" si="166">M162-I162</f>
        <v>833.50030399999741</v>
      </c>
      <c r="O162" s="4">
        <f t="shared" ref="O162:O163" si="167">IF(I162=0,0,N162/I162)</f>
        <v>3.9310829817158804E-2</v>
      </c>
      <c r="P162" s="4">
        <f>M162/M164</f>
        <v>0.6418509453653185</v>
      </c>
      <c r="Q162" s="16">
        <f t="shared" ref="Q162:Q164" si="168">P162-J162</f>
        <v>-2.1667302435579572E-6</v>
      </c>
      <c r="R162" s="16"/>
      <c r="T162" s="4">
        <f>L162/H162-1</f>
        <v>3.9310829817158943E-2</v>
      </c>
    </row>
    <row r="163" spans="1:20" x14ac:dyDescent="0.25">
      <c r="A163" s="53">
        <f t="shared" si="140"/>
        <v>157</v>
      </c>
      <c r="D163" s="2" t="s">
        <v>53</v>
      </c>
      <c r="E163" s="149">
        <v>98908</v>
      </c>
      <c r="F163" s="132">
        <v>7.78</v>
      </c>
      <c r="G163" s="131">
        <f t="shared" si="163"/>
        <v>769504.24</v>
      </c>
      <c r="H163" s="134">
        <v>5.5919999999999997E-2</v>
      </c>
      <c r="I163" s="131">
        <f t="shared" si="164"/>
        <v>5530.9353599999995</v>
      </c>
      <c r="J163" s="4">
        <f>I163/I164</f>
        <v>0.16743285514701789</v>
      </c>
      <c r="K163" s="45"/>
      <c r="L163" s="135">
        <f>ROUND(H163*S164,6)</f>
        <v>5.8118000000000003E-2</v>
      </c>
      <c r="M163" s="5">
        <f t="shared" si="165"/>
        <v>5748.3351440000006</v>
      </c>
      <c r="N163" s="5">
        <f t="shared" si="166"/>
        <v>217.39978400000109</v>
      </c>
      <c r="O163" s="4">
        <f t="shared" si="167"/>
        <v>3.9306151645207642E-2</v>
      </c>
      <c r="P163" s="4">
        <f>M163/M164</f>
        <v>0.16743153628654653</v>
      </c>
      <c r="Q163" s="16">
        <f t="shared" si="168"/>
        <v>-1.3188604713609831E-6</v>
      </c>
      <c r="R163" s="16"/>
      <c r="T163" s="4">
        <f>L163/H163-1</f>
        <v>3.9306151645207565E-2</v>
      </c>
    </row>
    <row r="164" spans="1:20" s="6" customFormat="1" ht="20.399999999999999" customHeight="1" x14ac:dyDescent="0.3">
      <c r="A164" s="53">
        <f t="shared" si="140"/>
        <v>158</v>
      </c>
      <c r="C164" s="21"/>
      <c r="D164" s="23" t="s">
        <v>6</v>
      </c>
      <c r="E164" s="136"/>
      <c r="F164" s="136"/>
      <c r="G164" s="24">
        <f>SUM(G161:G163)</f>
        <v>797303.40370000002</v>
      </c>
      <c r="H164" s="136"/>
      <c r="I164" s="24">
        <f>SUM(I161:I163)</f>
        <v>33033.751680000001</v>
      </c>
      <c r="J164" s="25">
        <f>SUM(J161:J163)</f>
        <v>1</v>
      </c>
      <c r="K164" s="46">
        <f>I164+Summary!I20</f>
        <v>34332.361680000002</v>
      </c>
      <c r="L164" s="136"/>
      <c r="M164" s="24">
        <f>SUM(M161:M163)</f>
        <v>34332.451767999999</v>
      </c>
      <c r="N164" s="24">
        <f>SUM(N161:N163)</f>
        <v>1298.7000879999978</v>
      </c>
      <c r="O164" s="25">
        <f t="shared" ref="O164" si="169">N164/I164</f>
        <v>3.9314338273792999E-2</v>
      </c>
      <c r="P164" s="25">
        <f>SUM(P161:P163)</f>
        <v>1</v>
      </c>
      <c r="Q164" s="26">
        <f t="shared" si="168"/>
        <v>0</v>
      </c>
      <c r="R164" s="37">
        <f>M164-K164</f>
        <v>9.0087999997194856E-2</v>
      </c>
      <c r="S164" s="99">
        <f>K164/I164</f>
        <v>1.0393116111236689</v>
      </c>
    </row>
    <row r="165" spans="1:20" x14ac:dyDescent="0.25">
      <c r="A165" s="53">
        <f t="shared" si="140"/>
        <v>159</v>
      </c>
      <c r="D165" s="2" t="s">
        <v>29</v>
      </c>
      <c r="G165" s="131">
        <v>-1214.07</v>
      </c>
      <c r="I165" s="139">
        <f>G165+(0.00159*(E162+E163))</f>
        <v>-760.45889999999986</v>
      </c>
      <c r="K165" s="56"/>
      <c r="M165" s="5">
        <f>I165</f>
        <v>-760.45889999999986</v>
      </c>
      <c r="N165" s="5">
        <f t="shared" si="166"/>
        <v>0</v>
      </c>
      <c r="O165" s="17">
        <v>0</v>
      </c>
    </row>
    <row r="166" spans="1:20" x14ac:dyDescent="0.25">
      <c r="A166" s="53">
        <f t="shared" si="140"/>
        <v>160</v>
      </c>
      <c r="D166" s="2" t="s">
        <v>30</v>
      </c>
      <c r="G166" s="131">
        <v>3400.87</v>
      </c>
      <c r="I166" s="139">
        <f t="shared" ref="I166:I168" si="170">G166</f>
        <v>3400.87</v>
      </c>
      <c r="M166" s="5">
        <f t="shared" ref="M166:M168" si="171">I166</f>
        <v>3400.87</v>
      </c>
      <c r="N166" s="5">
        <f t="shared" si="166"/>
        <v>0</v>
      </c>
      <c r="O166" s="17">
        <v>0</v>
      </c>
    </row>
    <row r="167" spans="1:20" x14ac:dyDescent="0.25">
      <c r="A167" s="53">
        <f t="shared" si="140"/>
        <v>161</v>
      </c>
      <c r="D167" s="2" t="s">
        <v>32</v>
      </c>
      <c r="G167" s="131">
        <v>0</v>
      </c>
      <c r="I167" s="139">
        <f t="shared" si="170"/>
        <v>0</v>
      </c>
      <c r="M167" s="5">
        <f t="shared" si="171"/>
        <v>0</v>
      </c>
      <c r="N167" s="5">
        <f t="shared" si="166"/>
        <v>0</v>
      </c>
      <c r="O167" s="17">
        <v>0</v>
      </c>
    </row>
    <row r="168" spans="1:20" x14ac:dyDescent="0.25">
      <c r="A168" s="53">
        <f t="shared" si="140"/>
        <v>162</v>
      </c>
      <c r="D168" s="2" t="s">
        <v>42</v>
      </c>
      <c r="G168" s="131">
        <v>0</v>
      </c>
      <c r="I168" s="139">
        <f t="shared" si="170"/>
        <v>0</v>
      </c>
      <c r="M168" s="5">
        <f t="shared" si="171"/>
        <v>0</v>
      </c>
      <c r="N168" s="5"/>
      <c r="O168" s="17"/>
    </row>
    <row r="169" spans="1:20" x14ac:dyDescent="0.25">
      <c r="A169" s="53">
        <f t="shared" si="140"/>
        <v>163</v>
      </c>
      <c r="D169" s="18" t="s">
        <v>8</v>
      </c>
      <c r="E169" s="141"/>
      <c r="F169" s="141"/>
      <c r="G169" s="140">
        <f>SUM(G165:G168)</f>
        <v>2186.8000000000002</v>
      </c>
      <c r="H169" s="141"/>
      <c r="I169" s="140">
        <f>SUM(I165:I168)</f>
        <v>2640.4111000000003</v>
      </c>
      <c r="J169" s="18"/>
      <c r="K169" s="47"/>
      <c r="L169" s="141"/>
      <c r="M169" s="19">
        <f>SUM(M165:M168)</f>
        <v>2640.4111000000003</v>
      </c>
      <c r="N169" s="19">
        <f t="shared" ref="N169:N171" si="172">M169-I169</f>
        <v>0</v>
      </c>
      <c r="O169" s="27">
        <f t="shared" ref="O169" si="173">N169-J169</f>
        <v>0</v>
      </c>
    </row>
    <row r="170" spans="1:20" s="6" customFormat="1" ht="26.4" customHeight="1" thickBot="1" x14ac:dyDescent="0.3">
      <c r="A170" s="53">
        <f t="shared" si="140"/>
        <v>164</v>
      </c>
      <c r="C170" s="21"/>
      <c r="D170" s="7" t="s">
        <v>19</v>
      </c>
      <c r="E170" s="144"/>
      <c r="F170" s="144"/>
      <c r="G170" s="143">
        <f>G164+G169</f>
        <v>799490.20370000007</v>
      </c>
      <c r="H170" s="144"/>
      <c r="I170" s="145">
        <f>I169+I164</f>
        <v>35674.162779999999</v>
      </c>
      <c r="J170" s="7"/>
      <c r="K170" s="48"/>
      <c r="L170" s="144"/>
      <c r="M170" s="8">
        <f>M169+M164</f>
        <v>36972.862867999997</v>
      </c>
      <c r="N170" s="8">
        <f t="shared" si="172"/>
        <v>1298.7000879999978</v>
      </c>
      <c r="O170" s="9">
        <f>N170/I170</f>
        <v>3.64045008150293E-2</v>
      </c>
      <c r="P170" s="2"/>
      <c r="Q170" s="2"/>
      <c r="R170" s="2"/>
    </row>
    <row r="171" spans="1:20" ht="13.8" thickTop="1" x14ac:dyDescent="0.25">
      <c r="A171" s="53">
        <f t="shared" si="140"/>
        <v>165</v>
      </c>
      <c r="D171" s="2" t="s">
        <v>18</v>
      </c>
      <c r="E171" s="132">
        <f>(E162+E163)/E161</f>
        <v>4754.833333333333</v>
      </c>
      <c r="G171" s="147">
        <f>G170/E161</f>
        <v>13324.836728333334</v>
      </c>
      <c r="I171" s="147">
        <f>I170/E161</f>
        <v>594.56937966666669</v>
      </c>
      <c r="M171" s="15">
        <f>M170/E161</f>
        <v>616.21438113333329</v>
      </c>
      <c r="N171" s="15">
        <f t="shared" si="172"/>
        <v>21.645001466666599</v>
      </c>
      <c r="O171" s="4">
        <f>N171/I171</f>
        <v>3.6404500815029245E-2</v>
      </c>
    </row>
    <row r="172" spans="1:20" ht="13.8" thickBot="1" x14ac:dyDescent="0.3">
      <c r="A172" s="53">
        <f t="shared" si="140"/>
        <v>166</v>
      </c>
    </row>
    <row r="173" spans="1:20" x14ac:dyDescent="0.25">
      <c r="A173" s="53">
        <f t="shared" si="140"/>
        <v>167</v>
      </c>
      <c r="B173" s="33" t="s">
        <v>85</v>
      </c>
      <c r="C173" s="34">
        <v>6</v>
      </c>
      <c r="D173" s="33"/>
      <c r="E173" s="148"/>
      <c r="F173" s="148"/>
      <c r="G173" s="148"/>
      <c r="H173" s="148"/>
      <c r="I173" s="148"/>
      <c r="J173" s="33"/>
      <c r="K173" s="44"/>
      <c r="L173" s="148"/>
      <c r="M173" s="33"/>
      <c r="N173" s="33"/>
      <c r="O173" s="33"/>
      <c r="P173" s="33"/>
      <c r="Q173" s="33"/>
      <c r="R173" s="33"/>
    </row>
    <row r="174" spans="1:20" x14ac:dyDescent="0.25">
      <c r="A174" s="53">
        <f t="shared" si="140"/>
        <v>168</v>
      </c>
      <c r="C174" s="2"/>
      <c r="D174" s="2" t="s">
        <v>17</v>
      </c>
      <c r="E174" s="149"/>
      <c r="F174" s="132">
        <v>0</v>
      </c>
      <c r="G174" s="131">
        <f>F174*E174</f>
        <v>0</v>
      </c>
      <c r="H174" s="132">
        <v>0</v>
      </c>
      <c r="I174" s="131">
        <f>H174*E174</f>
        <v>0</v>
      </c>
      <c r="J174" s="4">
        <f>I174/I176</f>
        <v>0</v>
      </c>
      <c r="K174" s="45"/>
      <c r="L174" s="132">
        <f>ROUND(H174*S176,2)</f>
        <v>0</v>
      </c>
      <c r="M174" s="5">
        <f>L174*E174</f>
        <v>0</v>
      </c>
      <c r="N174" s="5">
        <f>M174-I174</f>
        <v>0</v>
      </c>
      <c r="O174" s="4">
        <f>IF(I174=0,0,N174/I174)</f>
        <v>0</v>
      </c>
      <c r="P174" s="4">
        <f>M174/M176</f>
        <v>0</v>
      </c>
      <c r="Q174" s="16">
        <f>P174-J174</f>
        <v>0</v>
      </c>
      <c r="R174" s="16"/>
      <c r="T174" s="4" t="e">
        <f>L174/H174-1</f>
        <v>#DIV/0!</v>
      </c>
    </row>
    <row r="175" spans="1:20" x14ac:dyDescent="0.25">
      <c r="A175" s="53">
        <f t="shared" si="140"/>
        <v>169</v>
      </c>
      <c r="D175" s="2" t="s">
        <v>51</v>
      </c>
      <c r="E175" s="149">
        <v>369082</v>
      </c>
      <c r="F175" s="134">
        <f>H175+0.00159</f>
        <v>5.6350000000000004E-2</v>
      </c>
      <c r="G175" s="131">
        <f t="shared" ref="G175" si="174">F175*E175</f>
        <v>20797.770700000001</v>
      </c>
      <c r="H175" s="134">
        <v>5.4760000000000003E-2</v>
      </c>
      <c r="I175" s="131">
        <f t="shared" ref="I175" si="175">H175*E175</f>
        <v>20210.930319999999</v>
      </c>
      <c r="J175" s="4">
        <f>I175/I176</f>
        <v>1</v>
      </c>
      <c r="K175" s="45"/>
      <c r="L175" s="135">
        <f>ROUND(H175*S176,6)</f>
        <v>5.6912999999999998E-2</v>
      </c>
      <c r="M175" s="5">
        <f t="shared" ref="M175" si="176">L175*E175</f>
        <v>21005.563866</v>
      </c>
      <c r="N175" s="5">
        <f t="shared" ref="N175:N179" si="177">M175-I175</f>
        <v>794.63354600000093</v>
      </c>
      <c r="O175" s="4">
        <f t="shared" ref="O175" si="178">IF(I175=0,0,N175/I175)</f>
        <v>3.9317019722425177E-2</v>
      </c>
      <c r="P175" s="4">
        <f>M175/M176</f>
        <v>1</v>
      </c>
      <c r="Q175" s="16">
        <f t="shared" ref="Q175:Q176" si="179">P175-J175</f>
        <v>0</v>
      </c>
      <c r="R175" s="16"/>
      <c r="T175" s="4">
        <f>L175/H175-1</f>
        <v>3.9317019722425073E-2</v>
      </c>
    </row>
    <row r="176" spans="1:20" s="6" customFormat="1" ht="20.399999999999999" customHeight="1" x14ac:dyDescent="0.3">
      <c r="A176" s="53">
        <f t="shared" si="140"/>
        <v>170</v>
      </c>
      <c r="C176" s="21"/>
      <c r="D176" s="23" t="s">
        <v>6</v>
      </c>
      <c r="E176" s="136"/>
      <c r="F176" s="136"/>
      <c r="G176" s="24">
        <f>SUM(G174:G175)</f>
        <v>20797.770700000001</v>
      </c>
      <c r="H176" s="136"/>
      <c r="I176" s="24">
        <f>SUM(I174:I175)</f>
        <v>20210.930319999999</v>
      </c>
      <c r="J176" s="25">
        <f>SUM(J174:J175)</f>
        <v>1</v>
      </c>
      <c r="K176" s="46">
        <f>I176+Summary!I21</f>
        <v>21005.460319999998</v>
      </c>
      <c r="L176" s="136"/>
      <c r="M176" s="24">
        <f>SUM(M174:M175)</f>
        <v>21005.563866</v>
      </c>
      <c r="N176" s="24">
        <f>SUM(N174:N175)</f>
        <v>794.63354600000093</v>
      </c>
      <c r="O176" s="25">
        <f t="shared" ref="O176" si="180">N176/I176</f>
        <v>3.9317019722425177E-2</v>
      </c>
      <c r="P176" s="25">
        <f>SUM(P174:P175)</f>
        <v>1</v>
      </c>
      <c r="Q176" s="26">
        <f t="shared" si="179"/>
        <v>0</v>
      </c>
      <c r="R176" s="37">
        <f>M176-K176</f>
        <v>0.10354600000209757</v>
      </c>
      <c r="S176" s="99">
        <f>K176/I176</f>
        <v>1.0393118964550465</v>
      </c>
    </row>
    <row r="177" spans="1:20" x14ac:dyDescent="0.25">
      <c r="A177" s="53">
        <f t="shared" si="140"/>
        <v>171</v>
      </c>
      <c r="D177" s="2" t="s">
        <v>29</v>
      </c>
      <c r="G177" s="131">
        <v>-1493.27</v>
      </c>
      <c r="I177" s="139">
        <f>G177+(0.00159*(E175))</f>
        <v>-906.42962</v>
      </c>
      <c r="K177" s="56"/>
      <c r="M177" s="5">
        <f>I177</f>
        <v>-906.42962</v>
      </c>
      <c r="N177" s="5">
        <f t="shared" si="177"/>
        <v>0</v>
      </c>
      <c r="O177" s="17">
        <v>0</v>
      </c>
    </row>
    <row r="178" spans="1:20" x14ac:dyDescent="0.25">
      <c r="A178" s="53">
        <f t="shared" si="140"/>
        <v>172</v>
      </c>
      <c r="D178" s="2" t="s">
        <v>30</v>
      </c>
      <c r="G178" s="131">
        <v>7586.24</v>
      </c>
      <c r="I178" s="139">
        <f t="shared" ref="I178:I180" si="181">G178</f>
        <v>7586.24</v>
      </c>
      <c r="M178" s="5">
        <f t="shared" ref="M178:M180" si="182">I178</f>
        <v>7586.24</v>
      </c>
      <c r="N178" s="5">
        <f t="shared" si="177"/>
        <v>0</v>
      </c>
      <c r="O178" s="17">
        <v>0</v>
      </c>
    </row>
    <row r="179" spans="1:20" x14ac:dyDescent="0.25">
      <c r="A179" s="53">
        <f t="shared" si="140"/>
        <v>173</v>
      </c>
      <c r="D179" s="2" t="s">
        <v>32</v>
      </c>
      <c r="G179" s="131">
        <v>0</v>
      </c>
      <c r="I179" s="139">
        <f t="shared" si="181"/>
        <v>0</v>
      </c>
      <c r="M179" s="5">
        <f t="shared" si="182"/>
        <v>0</v>
      </c>
      <c r="N179" s="5">
        <f t="shared" si="177"/>
        <v>0</v>
      </c>
      <c r="O179" s="17">
        <v>0</v>
      </c>
    </row>
    <row r="180" spans="1:20" x14ac:dyDescent="0.25">
      <c r="A180" s="53">
        <f t="shared" si="140"/>
        <v>174</v>
      </c>
      <c r="D180" s="2" t="s">
        <v>42</v>
      </c>
      <c r="G180" s="131">
        <v>0</v>
      </c>
      <c r="I180" s="139">
        <f t="shared" si="181"/>
        <v>0</v>
      </c>
      <c r="M180" s="5">
        <f t="shared" si="182"/>
        <v>0</v>
      </c>
      <c r="N180" s="5"/>
      <c r="O180" s="17"/>
    </row>
    <row r="181" spans="1:20" x14ac:dyDescent="0.25">
      <c r="A181" s="53">
        <f t="shared" si="140"/>
        <v>175</v>
      </c>
      <c r="D181" s="18" t="s">
        <v>8</v>
      </c>
      <c r="E181" s="141"/>
      <c r="F181" s="141"/>
      <c r="G181" s="140">
        <f>SUM(G177:G180)</f>
        <v>6092.9699999999993</v>
      </c>
      <c r="H181" s="141"/>
      <c r="I181" s="140">
        <f>SUM(I177:I180)</f>
        <v>6679.8103799999999</v>
      </c>
      <c r="J181" s="18"/>
      <c r="K181" s="47"/>
      <c r="L181" s="141"/>
      <c r="M181" s="19">
        <f>SUM(M177:M180)</f>
        <v>6679.8103799999999</v>
      </c>
      <c r="N181" s="19">
        <f t="shared" ref="N181:N182" si="183">M181-I181</f>
        <v>0</v>
      </c>
      <c r="O181" s="27">
        <f t="shared" ref="O181" si="184">N181-J181</f>
        <v>0</v>
      </c>
    </row>
    <row r="182" spans="1:20" s="6" customFormat="1" ht="26.4" customHeight="1" thickBot="1" x14ac:dyDescent="0.3">
      <c r="A182" s="53">
        <f t="shared" si="140"/>
        <v>176</v>
      </c>
      <c r="C182" s="21"/>
      <c r="D182" s="7" t="s">
        <v>19</v>
      </c>
      <c r="E182" s="144"/>
      <c r="F182" s="144"/>
      <c r="G182" s="143">
        <f>G176+G181</f>
        <v>26890.740700000002</v>
      </c>
      <c r="H182" s="144"/>
      <c r="I182" s="145">
        <f>I181+I176</f>
        <v>26890.740699999998</v>
      </c>
      <c r="J182" s="7"/>
      <c r="K182" s="48"/>
      <c r="L182" s="144"/>
      <c r="M182" s="8">
        <f>M181+M176</f>
        <v>27685.374245999999</v>
      </c>
      <c r="N182" s="8">
        <f t="shared" si="183"/>
        <v>794.63354600000093</v>
      </c>
      <c r="O182" s="9">
        <f>N182/I182</f>
        <v>2.9550452137601439E-2</v>
      </c>
      <c r="P182" s="2"/>
      <c r="Q182" s="2"/>
      <c r="R182" s="2"/>
    </row>
    <row r="183" spans="1:20" ht="13.8" thickTop="1" x14ac:dyDescent="0.25">
      <c r="A183" s="53">
        <f t="shared" si="140"/>
        <v>177</v>
      </c>
      <c r="E183" s="155">
        <f>E175</f>
        <v>369082</v>
      </c>
      <c r="G183" s="147"/>
      <c r="I183" s="147"/>
      <c r="M183" s="15"/>
      <c r="N183" s="15"/>
      <c r="O183" s="4"/>
    </row>
    <row r="184" spans="1:20" ht="13.8" thickBot="1" x14ac:dyDescent="0.3">
      <c r="A184" s="53">
        <f t="shared" si="140"/>
        <v>178</v>
      </c>
      <c r="B184" s="38"/>
      <c r="C184" s="41"/>
      <c r="D184" s="38"/>
      <c r="J184" s="38"/>
      <c r="M184" s="38"/>
      <c r="N184" s="38"/>
      <c r="O184" s="38"/>
      <c r="P184" s="38"/>
      <c r="Q184" s="38"/>
      <c r="R184" s="38"/>
    </row>
    <row r="185" spans="1:20" x14ac:dyDescent="0.25">
      <c r="A185" s="53">
        <f t="shared" si="140"/>
        <v>179</v>
      </c>
      <c r="B185" s="33" t="s">
        <v>33</v>
      </c>
      <c r="C185" s="34">
        <v>6</v>
      </c>
      <c r="D185" s="33"/>
      <c r="E185" s="148"/>
      <c r="F185" s="148"/>
      <c r="G185" s="148"/>
      <c r="H185" s="148"/>
      <c r="I185" s="148"/>
      <c r="J185" s="33"/>
      <c r="K185" s="44"/>
      <c r="L185" s="148"/>
      <c r="M185" s="33"/>
      <c r="N185" s="33"/>
      <c r="O185" s="33"/>
      <c r="P185" s="33"/>
      <c r="Q185" s="33"/>
      <c r="R185" s="33"/>
    </row>
    <row r="186" spans="1:20" x14ac:dyDescent="0.25">
      <c r="A186" s="53">
        <f t="shared" si="140"/>
        <v>180</v>
      </c>
      <c r="B186" s="50"/>
      <c r="C186" s="40"/>
      <c r="D186" s="2" t="s">
        <v>72</v>
      </c>
      <c r="E186" s="149">
        <v>43665</v>
      </c>
      <c r="F186" s="132">
        <v>9.5500000000000007</v>
      </c>
      <c r="G186" s="131">
        <f t="shared" ref="G186" si="185">F186*E186</f>
        <v>417000.75000000006</v>
      </c>
      <c r="H186" s="132">
        <v>9.44</v>
      </c>
      <c r="I186" s="131">
        <f t="shared" ref="I186" si="186">H186*E186</f>
        <v>412197.6</v>
      </c>
      <c r="J186" s="4">
        <f t="shared" ref="J186:J199" si="187">I186/I$200</f>
        <v>0.44535309586057553</v>
      </c>
      <c r="K186" s="45"/>
      <c r="L186" s="132">
        <f t="shared" ref="L186:L199" si="188">ROUND(H186*S$200,2)</f>
        <v>9.81</v>
      </c>
      <c r="M186" s="5">
        <f t="shared" ref="M186" si="189">L186*E186</f>
        <v>428353.65</v>
      </c>
      <c r="N186" s="5">
        <f t="shared" ref="N186" si="190">M186-I186</f>
        <v>16156.050000000047</v>
      </c>
      <c r="O186" s="4">
        <f t="shared" ref="O186" si="191">IF(I186=0,0,N186/I186)</f>
        <v>3.9194915254237406E-2</v>
      </c>
      <c r="P186" s="4">
        <f t="shared" ref="P186:P199" si="192">M186/M$200</f>
        <v>0.44537823758548756</v>
      </c>
      <c r="Q186" s="16">
        <f t="shared" ref="Q186" si="193">P186-J186</f>
        <v>2.5141724912025598E-5</v>
      </c>
      <c r="R186" s="16"/>
      <c r="T186" s="4">
        <f>L186/H186-1</f>
        <v>3.9194915254237461E-2</v>
      </c>
    </row>
    <row r="187" spans="1:20" x14ac:dyDescent="0.25">
      <c r="A187" s="53">
        <f t="shared" si="140"/>
        <v>181</v>
      </c>
      <c r="B187" s="50"/>
      <c r="C187" s="40"/>
      <c r="D187" s="2" t="s">
        <v>73</v>
      </c>
      <c r="E187" s="149">
        <v>0</v>
      </c>
      <c r="F187" s="132">
        <v>3.26</v>
      </c>
      <c r="G187" s="131">
        <f t="shared" ref="G187:G190" si="194">F187*E187</f>
        <v>0</v>
      </c>
      <c r="H187" s="132">
        <v>3.15</v>
      </c>
      <c r="I187" s="131">
        <f t="shared" ref="I187:I190" si="195">H187*E187</f>
        <v>0</v>
      </c>
      <c r="J187" s="4">
        <f t="shared" si="187"/>
        <v>0</v>
      </c>
      <c r="K187" s="45"/>
      <c r="L187" s="132">
        <f t="shared" si="188"/>
        <v>3.27</v>
      </c>
      <c r="M187" s="5">
        <f t="shared" ref="M187:M190" si="196">L187*E187</f>
        <v>0</v>
      </c>
      <c r="N187" s="5">
        <f t="shared" ref="N187:N190" si="197">M187-I187</f>
        <v>0</v>
      </c>
      <c r="O187" s="4">
        <f t="shared" ref="O187:O190" si="198">IF(I187=0,0,N187/I187)</f>
        <v>0</v>
      </c>
      <c r="P187" s="4">
        <f t="shared" si="192"/>
        <v>0</v>
      </c>
      <c r="Q187" s="16">
        <f t="shared" ref="Q187:Q190" si="199">P187-J187</f>
        <v>0</v>
      </c>
      <c r="R187" s="16"/>
      <c r="T187" s="4">
        <f t="shared" ref="T187:T199" si="200">L187/H187-1</f>
        <v>3.8095238095238182E-2</v>
      </c>
    </row>
    <row r="188" spans="1:20" x14ac:dyDescent="0.25">
      <c r="A188" s="53">
        <f t="shared" si="140"/>
        <v>182</v>
      </c>
      <c r="B188" s="50"/>
      <c r="C188" s="40"/>
      <c r="D188" s="2" t="s">
        <v>74</v>
      </c>
      <c r="E188" s="149">
        <v>388</v>
      </c>
      <c r="F188" s="132">
        <v>10.89</v>
      </c>
      <c r="G188" s="131">
        <f t="shared" si="194"/>
        <v>4225.3200000000006</v>
      </c>
      <c r="H188" s="132">
        <v>10.73</v>
      </c>
      <c r="I188" s="131">
        <f t="shared" si="195"/>
        <v>4163.24</v>
      </c>
      <c r="J188" s="4">
        <f t="shared" si="187"/>
        <v>4.4981140666772012E-3</v>
      </c>
      <c r="K188" s="45"/>
      <c r="L188" s="132">
        <f t="shared" si="188"/>
        <v>11.15</v>
      </c>
      <c r="M188" s="5">
        <f t="shared" si="196"/>
        <v>4326.2</v>
      </c>
      <c r="N188" s="5">
        <f t="shared" si="197"/>
        <v>162.96000000000004</v>
      </c>
      <c r="O188" s="4">
        <f t="shared" si="198"/>
        <v>3.9142590866728812E-2</v>
      </c>
      <c r="P188" s="4">
        <f t="shared" si="192"/>
        <v>4.4981415039706939E-3</v>
      </c>
      <c r="Q188" s="16">
        <f t="shared" si="199"/>
        <v>2.7437293492749149E-8</v>
      </c>
      <c r="R188" s="16"/>
      <c r="T188" s="4">
        <f t="shared" si="200"/>
        <v>3.9142590866728888E-2</v>
      </c>
    </row>
    <row r="189" spans="1:20" x14ac:dyDescent="0.25">
      <c r="A189" s="53">
        <f t="shared" si="140"/>
        <v>183</v>
      </c>
      <c r="B189" s="50"/>
      <c r="C189" s="40"/>
      <c r="D189" s="2" t="s">
        <v>75</v>
      </c>
      <c r="E189" s="149">
        <v>423</v>
      </c>
      <c r="F189" s="132">
        <v>16.55</v>
      </c>
      <c r="G189" s="131">
        <f t="shared" si="194"/>
        <v>7000.6500000000005</v>
      </c>
      <c r="H189" s="132">
        <v>16.3</v>
      </c>
      <c r="I189" s="131">
        <f t="shared" si="195"/>
        <v>6894.9000000000005</v>
      </c>
      <c r="J189" s="4">
        <f t="shared" si="187"/>
        <v>7.4494976696833819E-3</v>
      </c>
      <c r="K189" s="45"/>
      <c r="L189" s="132">
        <f t="shared" si="188"/>
        <v>16.940000000000001</v>
      </c>
      <c r="M189" s="5">
        <f t="shared" si="196"/>
        <v>7165.6200000000008</v>
      </c>
      <c r="N189" s="5">
        <f t="shared" si="197"/>
        <v>270.72000000000025</v>
      </c>
      <c r="O189" s="4">
        <f t="shared" si="198"/>
        <v>3.9263803680981632E-2</v>
      </c>
      <c r="P189" s="4">
        <f t="shared" si="192"/>
        <v>7.4504120761135608E-3</v>
      </c>
      <c r="Q189" s="16">
        <f t="shared" si="199"/>
        <v>9.1440643017887124E-7</v>
      </c>
      <c r="R189" s="16"/>
      <c r="T189" s="4">
        <f t="shared" si="200"/>
        <v>3.926380368098159E-2</v>
      </c>
    </row>
    <row r="190" spans="1:20" x14ac:dyDescent="0.25">
      <c r="A190" s="53">
        <f t="shared" si="140"/>
        <v>184</v>
      </c>
      <c r="B190" s="50"/>
      <c r="C190" s="40"/>
      <c r="D190" s="2" t="s">
        <v>76</v>
      </c>
      <c r="E190" s="149">
        <v>0</v>
      </c>
      <c r="F190" s="132">
        <v>29.18</v>
      </c>
      <c r="G190" s="131">
        <f t="shared" si="194"/>
        <v>0</v>
      </c>
      <c r="H190" s="132">
        <v>28.58</v>
      </c>
      <c r="I190" s="131">
        <f t="shared" si="195"/>
        <v>0</v>
      </c>
      <c r="J190" s="4">
        <f t="shared" si="187"/>
        <v>0</v>
      </c>
      <c r="K190" s="45"/>
      <c r="L190" s="132">
        <f t="shared" si="188"/>
        <v>29.7</v>
      </c>
      <c r="M190" s="5">
        <f t="shared" si="196"/>
        <v>0</v>
      </c>
      <c r="N190" s="5">
        <f t="shared" si="197"/>
        <v>0</v>
      </c>
      <c r="O190" s="4">
        <f t="shared" si="198"/>
        <v>0</v>
      </c>
      <c r="P190" s="4">
        <f t="shared" si="192"/>
        <v>0</v>
      </c>
      <c r="Q190" s="16">
        <f t="shared" si="199"/>
        <v>0</v>
      </c>
      <c r="R190" s="16"/>
      <c r="T190" s="4">
        <f t="shared" si="200"/>
        <v>3.9188243526941946E-2</v>
      </c>
    </row>
    <row r="191" spans="1:20" x14ac:dyDescent="0.25">
      <c r="A191" s="53">
        <f t="shared" si="140"/>
        <v>185</v>
      </c>
      <c r="B191" s="50"/>
      <c r="C191" s="40"/>
      <c r="D191" s="2" t="s">
        <v>71</v>
      </c>
      <c r="E191" s="149">
        <v>8818</v>
      </c>
      <c r="F191" s="132">
        <v>9.89</v>
      </c>
      <c r="G191" s="131">
        <f t="shared" ref="G191:G199" si="201">F191*E191</f>
        <v>87210.02</v>
      </c>
      <c r="H191" s="132">
        <v>9.82</v>
      </c>
      <c r="I191" s="131">
        <f t="shared" ref="I191:I199" si="202">H191*E191</f>
        <v>86592.760000000009</v>
      </c>
      <c r="J191" s="4">
        <f t="shared" si="187"/>
        <v>9.3557928879527241E-2</v>
      </c>
      <c r="K191" s="45"/>
      <c r="L191" s="132">
        <f t="shared" si="188"/>
        <v>10.210000000000001</v>
      </c>
      <c r="M191" s="5">
        <f t="shared" ref="M191:M199" si="203">L191*E191</f>
        <v>90031.780000000013</v>
      </c>
      <c r="N191" s="5">
        <f t="shared" ref="N191:N199" si="204">M191-I191</f>
        <v>3439.0200000000041</v>
      </c>
      <c r="O191" s="4">
        <f t="shared" ref="O191:O199" si="205">IF(I191=0,0,N191/I191)</f>
        <v>3.9714867617107984E-2</v>
      </c>
      <c r="P191" s="4">
        <f t="shared" si="192"/>
        <v>9.3610024107613765E-2</v>
      </c>
      <c r="Q191" s="16">
        <f t="shared" ref="Q191:Q199" si="206">P191-J191</f>
        <v>5.2095228086523893E-5</v>
      </c>
      <c r="R191" s="16"/>
      <c r="T191" s="4">
        <f t="shared" si="200"/>
        <v>3.9714867617107963E-2</v>
      </c>
    </row>
    <row r="192" spans="1:20" x14ac:dyDescent="0.25">
      <c r="A192" s="53">
        <f t="shared" si="140"/>
        <v>186</v>
      </c>
      <c r="B192" s="50"/>
      <c r="C192" s="40"/>
      <c r="D192" s="2" t="s">
        <v>77</v>
      </c>
      <c r="E192" s="149">
        <v>126</v>
      </c>
      <c r="F192" s="132">
        <v>11.54</v>
      </c>
      <c r="G192" s="131">
        <f t="shared" si="201"/>
        <v>1454.04</v>
      </c>
      <c r="H192" s="132">
        <v>11.44</v>
      </c>
      <c r="I192" s="131">
        <f t="shared" si="202"/>
        <v>1441.4399999999998</v>
      </c>
      <c r="J192" s="4">
        <f t="shared" si="187"/>
        <v>1.5573835619063963E-3</v>
      </c>
      <c r="K192" s="45"/>
      <c r="L192" s="132">
        <f t="shared" si="188"/>
        <v>11.89</v>
      </c>
      <c r="M192" s="5">
        <f t="shared" si="203"/>
        <v>1498.14</v>
      </c>
      <c r="N192" s="5">
        <f t="shared" si="204"/>
        <v>56.700000000000273</v>
      </c>
      <c r="O192" s="4">
        <f t="shared" si="205"/>
        <v>3.933566433566453E-2</v>
      </c>
      <c r="P192" s="4">
        <f t="shared" si="192"/>
        <v>1.5576824263230215E-3</v>
      </c>
      <c r="Q192" s="16">
        <f t="shared" si="206"/>
        <v>2.9886441662522328E-7</v>
      </c>
      <c r="R192" s="16"/>
      <c r="T192" s="4">
        <f t="shared" si="200"/>
        <v>3.9335664335664378E-2</v>
      </c>
    </row>
    <row r="193" spans="1:25" x14ac:dyDescent="0.25">
      <c r="A193" s="53">
        <f t="shared" si="140"/>
        <v>187</v>
      </c>
      <c r="B193" s="50"/>
      <c r="C193" s="40"/>
      <c r="D193" s="2" t="s">
        <v>78</v>
      </c>
      <c r="E193" s="149">
        <v>342</v>
      </c>
      <c r="F193" s="132">
        <v>15.68</v>
      </c>
      <c r="G193" s="131">
        <f t="shared" si="201"/>
        <v>5362.5599999999995</v>
      </c>
      <c r="H193" s="132">
        <v>15.51</v>
      </c>
      <c r="I193" s="131">
        <f t="shared" si="202"/>
        <v>5304.42</v>
      </c>
      <c r="J193" s="4">
        <f t="shared" si="187"/>
        <v>5.731085937290159E-3</v>
      </c>
      <c r="K193" s="45"/>
      <c r="L193" s="132">
        <f t="shared" si="188"/>
        <v>16.12</v>
      </c>
      <c r="M193" s="5">
        <f t="shared" si="203"/>
        <v>5513.04</v>
      </c>
      <c r="N193" s="5">
        <f t="shared" si="204"/>
        <v>208.61999999999989</v>
      </c>
      <c r="O193" s="4">
        <f t="shared" si="205"/>
        <v>3.9329464861379733E-2</v>
      </c>
      <c r="P193" s="4">
        <f t="shared" si="192"/>
        <v>5.7321515503329932E-3</v>
      </c>
      <c r="Q193" s="16">
        <f t="shared" si="206"/>
        <v>1.0656130428341251E-6</v>
      </c>
      <c r="R193" s="16"/>
      <c r="T193" s="4">
        <f t="shared" si="200"/>
        <v>3.9329464861379781E-2</v>
      </c>
    </row>
    <row r="194" spans="1:25" x14ac:dyDescent="0.25">
      <c r="A194" s="53">
        <f t="shared" si="140"/>
        <v>188</v>
      </c>
      <c r="B194" s="50"/>
      <c r="C194" s="40"/>
      <c r="D194" s="2" t="s">
        <v>79</v>
      </c>
      <c r="E194" s="149">
        <v>2024</v>
      </c>
      <c r="F194" s="132">
        <v>20.190000000000001</v>
      </c>
      <c r="G194" s="131">
        <f t="shared" si="201"/>
        <v>40864.560000000005</v>
      </c>
      <c r="H194" s="132">
        <v>19.93</v>
      </c>
      <c r="I194" s="131">
        <f t="shared" si="202"/>
        <v>40338.32</v>
      </c>
      <c r="J194" s="4">
        <f t="shared" si="187"/>
        <v>4.3582970142995912E-2</v>
      </c>
      <c r="K194" s="45"/>
      <c r="L194" s="132">
        <f t="shared" si="188"/>
        <v>20.71</v>
      </c>
      <c r="M194" s="5">
        <f t="shared" si="203"/>
        <v>41917.040000000001</v>
      </c>
      <c r="N194" s="5">
        <f t="shared" si="204"/>
        <v>1578.7200000000012</v>
      </c>
      <c r="O194" s="4">
        <f t="shared" si="205"/>
        <v>3.9136979427998021E-2</v>
      </c>
      <c r="P194" s="4">
        <f t="shared" si="192"/>
        <v>4.3583000635106964E-2</v>
      </c>
      <c r="Q194" s="16">
        <f t="shared" si="206"/>
        <v>3.0492111051383386E-8</v>
      </c>
      <c r="R194" s="16"/>
      <c r="T194" s="4">
        <f t="shared" si="200"/>
        <v>3.9136979427998098E-2</v>
      </c>
    </row>
    <row r="195" spans="1:25" x14ac:dyDescent="0.25">
      <c r="A195" s="53">
        <f t="shared" si="140"/>
        <v>189</v>
      </c>
      <c r="B195" s="50"/>
      <c r="C195" s="40"/>
      <c r="D195" s="2" t="s">
        <v>80</v>
      </c>
      <c r="E195" s="149">
        <v>0</v>
      </c>
      <c r="F195" s="132">
        <v>43.72</v>
      </c>
      <c r="G195" s="131">
        <f t="shared" si="201"/>
        <v>0</v>
      </c>
      <c r="H195" s="132">
        <v>43.11</v>
      </c>
      <c r="I195" s="131">
        <f t="shared" si="202"/>
        <v>0</v>
      </c>
      <c r="J195" s="4">
        <f t="shared" si="187"/>
        <v>0</v>
      </c>
      <c r="K195" s="45"/>
      <c r="L195" s="132">
        <f t="shared" si="188"/>
        <v>44.8</v>
      </c>
      <c r="M195" s="5">
        <f t="shared" si="203"/>
        <v>0</v>
      </c>
      <c r="N195" s="5">
        <f t="shared" si="204"/>
        <v>0</v>
      </c>
      <c r="O195" s="4">
        <f t="shared" si="205"/>
        <v>0</v>
      </c>
      <c r="P195" s="4">
        <f t="shared" si="192"/>
        <v>0</v>
      </c>
      <c r="Q195" s="16">
        <f t="shared" si="206"/>
        <v>0</v>
      </c>
      <c r="R195" s="16"/>
      <c r="T195" s="4">
        <f t="shared" si="200"/>
        <v>3.9202041289723821E-2</v>
      </c>
    </row>
    <row r="196" spans="1:25" x14ac:dyDescent="0.25">
      <c r="A196" s="53">
        <f t="shared" si="140"/>
        <v>190</v>
      </c>
      <c r="B196" s="50"/>
      <c r="C196" s="40"/>
      <c r="D196" s="2" t="s">
        <v>81</v>
      </c>
      <c r="E196" s="149">
        <v>34038</v>
      </c>
      <c r="F196" s="132">
        <v>9.81</v>
      </c>
      <c r="G196" s="131">
        <f t="shared" si="201"/>
        <v>333912.78000000003</v>
      </c>
      <c r="H196" s="132">
        <v>9.77</v>
      </c>
      <c r="I196" s="131">
        <f t="shared" si="202"/>
        <v>332551.26</v>
      </c>
      <c r="J196" s="4">
        <f t="shared" si="187"/>
        <v>0.35930032870966544</v>
      </c>
      <c r="K196" s="45"/>
      <c r="L196" s="132">
        <f t="shared" si="188"/>
        <v>10.15</v>
      </c>
      <c r="M196" s="5">
        <f t="shared" si="203"/>
        <v>345485.7</v>
      </c>
      <c r="N196" s="5">
        <f t="shared" si="204"/>
        <v>12934.440000000002</v>
      </c>
      <c r="O196" s="4">
        <f t="shared" si="205"/>
        <v>3.8894575230296831E-2</v>
      </c>
      <c r="P196" s="4">
        <f t="shared" si="192"/>
        <v>0.359216764411809</v>
      </c>
      <c r="Q196" s="16">
        <f t="shared" si="206"/>
        <v>-8.3564297856442149E-5</v>
      </c>
      <c r="R196" s="16"/>
      <c r="T196" s="4">
        <f t="shared" si="200"/>
        <v>3.8894575230296935E-2</v>
      </c>
    </row>
    <row r="197" spans="1:25" x14ac:dyDescent="0.25">
      <c r="A197" s="53">
        <f t="shared" si="140"/>
        <v>191</v>
      </c>
      <c r="B197" s="50"/>
      <c r="C197" s="40"/>
      <c r="D197" s="2" t="s">
        <v>82</v>
      </c>
      <c r="E197" s="149">
        <v>442</v>
      </c>
      <c r="F197" s="132">
        <v>15.07</v>
      </c>
      <c r="G197" s="131">
        <f t="shared" si="201"/>
        <v>6660.9400000000005</v>
      </c>
      <c r="H197" s="132">
        <v>15</v>
      </c>
      <c r="I197" s="131">
        <f t="shared" si="202"/>
        <v>6630</v>
      </c>
      <c r="J197" s="4">
        <f t="shared" si="187"/>
        <v>7.1632901927512821E-3</v>
      </c>
      <c r="K197" s="45"/>
      <c r="L197" s="132">
        <f t="shared" si="188"/>
        <v>15.59</v>
      </c>
      <c r="M197" s="5">
        <f t="shared" si="203"/>
        <v>6890.78</v>
      </c>
      <c r="N197" s="5">
        <f t="shared" si="204"/>
        <v>260.77999999999975</v>
      </c>
      <c r="O197" s="4">
        <f t="shared" si="205"/>
        <v>3.9333333333333297E-2</v>
      </c>
      <c r="P197" s="4">
        <f t="shared" si="192"/>
        <v>7.1646487709147002E-3</v>
      </c>
      <c r="Q197" s="16">
        <f t="shared" si="206"/>
        <v>1.3585781634180977E-6</v>
      </c>
      <c r="R197" s="16"/>
      <c r="T197" s="4">
        <f t="shared" si="200"/>
        <v>3.933333333333322E-2</v>
      </c>
    </row>
    <row r="198" spans="1:25" x14ac:dyDescent="0.25">
      <c r="A198" s="53">
        <f t="shared" si="140"/>
        <v>192</v>
      </c>
      <c r="B198" s="50"/>
      <c r="C198" s="40"/>
      <c r="D198" s="2" t="s">
        <v>83</v>
      </c>
      <c r="E198" s="149">
        <v>336</v>
      </c>
      <c r="F198" s="132">
        <v>16.600000000000001</v>
      </c>
      <c r="G198" s="131">
        <f t="shared" si="201"/>
        <v>5577.6</v>
      </c>
      <c r="H198" s="132">
        <v>16.510000000000002</v>
      </c>
      <c r="I198" s="131">
        <f t="shared" si="202"/>
        <v>5547.3600000000006</v>
      </c>
      <c r="J198" s="4">
        <f t="shared" si="187"/>
        <v>5.9935670412761318E-3</v>
      </c>
      <c r="K198" s="45"/>
      <c r="L198" s="132">
        <f t="shared" si="188"/>
        <v>17.16</v>
      </c>
      <c r="M198" s="5">
        <f t="shared" si="203"/>
        <v>5765.76</v>
      </c>
      <c r="N198" s="5">
        <f t="shared" si="204"/>
        <v>218.39999999999964</v>
      </c>
      <c r="O198" s="4">
        <f t="shared" si="205"/>
        <v>3.937007874015741E-2</v>
      </c>
      <c r="P198" s="4">
        <f t="shared" si="192"/>
        <v>5.9949157130817039E-3</v>
      </c>
      <c r="Q198" s="16">
        <f t="shared" si="206"/>
        <v>1.3486718055720839E-6</v>
      </c>
      <c r="R198" s="16"/>
      <c r="T198" s="4">
        <f t="shared" si="200"/>
        <v>3.937007874015741E-2</v>
      </c>
    </row>
    <row r="199" spans="1:25" x14ac:dyDescent="0.25">
      <c r="A199" s="53">
        <f t="shared" si="140"/>
        <v>193</v>
      </c>
      <c r="B199" s="50"/>
      <c r="C199" s="40"/>
      <c r="D199" s="2" t="s">
        <v>84</v>
      </c>
      <c r="E199" s="149">
        <v>1128</v>
      </c>
      <c r="F199" s="132">
        <v>21.3</v>
      </c>
      <c r="G199" s="131">
        <f t="shared" si="201"/>
        <v>24026.400000000001</v>
      </c>
      <c r="H199" s="132">
        <v>21.18</v>
      </c>
      <c r="I199" s="131">
        <f t="shared" si="202"/>
        <v>23891.040000000001</v>
      </c>
      <c r="J199" s="4">
        <f t="shared" si="187"/>
        <v>2.5812737937651372E-2</v>
      </c>
      <c r="K199" s="45"/>
      <c r="L199" s="132">
        <f t="shared" si="188"/>
        <v>22.01</v>
      </c>
      <c r="M199" s="5">
        <f t="shared" si="203"/>
        <v>24827.280000000002</v>
      </c>
      <c r="N199" s="5">
        <f t="shared" si="204"/>
        <v>936.2400000000016</v>
      </c>
      <c r="O199" s="4">
        <f t="shared" si="205"/>
        <v>3.9187913125590244E-2</v>
      </c>
      <c r="P199" s="4">
        <f t="shared" si="192"/>
        <v>2.5814021219245881E-2</v>
      </c>
      <c r="Q199" s="16">
        <f t="shared" si="206"/>
        <v>1.2832815945093556E-6</v>
      </c>
      <c r="R199" s="16"/>
      <c r="T199" s="4">
        <f t="shared" si="200"/>
        <v>3.9187913125590335E-2</v>
      </c>
    </row>
    <row r="200" spans="1:25" s="6" customFormat="1" ht="24.6" customHeight="1" x14ac:dyDescent="0.3">
      <c r="A200" s="53">
        <f t="shared" si="140"/>
        <v>194</v>
      </c>
      <c r="C200" s="21"/>
      <c r="D200" s="23" t="s">
        <v>6</v>
      </c>
      <c r="E200" s="136"/>
      <c r="F200" s="136"/>
      <c r="G200" s="24">
        <f>SUM(G186:G199)</f>
        <v>933295.62000000011</v>
      </c>
      <c r="H200" s="136"/>
      <c r="I200" s="24">
        <f>SUM(I186:I199)</f>
        <v>925552.34</v>
      </c>
      <c r="J200" s="25">
        <f>SUM(J186:J199)</f>
        <v>1.0000000000000002</v>
      </c>
      <c r="K200" s="46">
        <f>I200+Summary!I22</f>
        <v>961937.33</v>
      </c>
      <c r="L200" s="136"/>
      <c r="M200" s="24">
        <f>SUM(M186:M199)</f>
        <v>961774.99000000022</v>
      </c>
      <c r="N200" s="24">
        <f>SUM(N186:N199)</f>
        <v>36222.650000000052</v>
      </c>
      <c r="O200" s="25">
        <f t="shared" ref="O200" si="207">N200/I200</f>
        <v>3.9136252413342773E-2</v>
      </c>
      <c r="P200" s="25">
        <f>SUM(P186:P199)</f>
        <v>1</v>
      </c>
      <c r="Q200" s="26">
        <f t="shared" ref="Q200" si="208">P200-J200</f>
        <v>0</v>
      </c>
      <c r="R200" s="37">
        <f>M200-K200</f>
        <v>-162.33999999973457</v>
      </c>
      <c r="S200" s="6">
        <f>K200/I200</f>
        <v>1.0393116503816522</v>
      </c>
    </row>
    <row r="201" spans="1:25" x14ac:dyDescent="0.25">
      <c r="A201" s="53">
        <f t="shared" ref="A201:A264" si="209">A200+1</f>
        <v>195</v>
      </c>
      <c r="D201" s="2" t="s">
        <v>29</v>
      </c>
      <c r="G201" s="131">
        <v>-475.57</v>
      </c>
      <c r="I201" s="139">
        <v>0</v>
      </c>
      <c r="K201" s="56"/>
      <c r="M201" s="5">
        <f>I201</f>
        <v>0</v>
      </c>
      <c r="N201" s="5">
        <f>M201-I201</f>
        <v>0</v>
      </c>
      <c r="O201" s="17">
        <v>0</v>
      </c>
    </row>
    <row r="202" spans="1:25" x14ac:dyDescent="0.25">
      <c r="A202" s="53">
        <f t="shared" si="209"/>
        <v>196</v>
      </c>
      <c r="D202" s="2" t="s">
        <v>30</v>
      </c>
      <c r="G202" s="131">
        <v>2328.27</v>
      </c>
      <c r="I202" s="139">
        <v>0</v>
      </c>
      <c r="M202" s="5">
        <f t="shared" ref="M202:M203" si="210">I202</f>
        <v>0</v>
      </c>
      <c r="N202" s="5">
        <f>M202-I202</f>
        <v>0</v>
      </c>
      <c r="O202" s="17">
        <v>0</v>
      </c>
    </row>
    <row r="203" spans="1:25" x14ac:dyDescent="0.25">
      <c r="A203" s="53">
        <f t="shared" si="209"/>
        <v>197</v>
      </c>
      <c r="D203" s="2" t="s">
        <v>32</v>
      </c>
      <c r="G203" s="131">
        <v>0</v>
      </c>
      <c r="I203" s="139">
        <v>0</v>
      </c>
      <c r="M203" s="5">
        <f t="shared" si="210"/>
        <v>0</v>
      </c>
      <c r="N203" s="5">
        <f>M203-I203</f>
        <v>0</v>
      </c>
      <c r="O203" s="17">
        <v>0</v>
      </c>
    </row>
    <row r="204" spans="1:25" x14ac:dyDescent="0.25">
      <c r="A204" s="53">
        <f t="shared" si="209"/>
        <v>198</v>
      </c>
      <c r="D204" s="2" t="s">
        <v>42</v>
      </c>
      <c r="G204" s="131"/>
      <c r="I204" s="139"/>
      <c r="M204" s="5"/>
      <c r="N204" s="5"/>
      <c r="O204" s="17"/>
    </row>
    <row r="205" spans="1:25" x14ac:dyDescent="0.25">
      <c r="A205" s="53">
        <f t="shared" si="209"/>
        <v>199</v>
      </c>
      <c r="D205" s="18" t="s">
        <v>8</v>
      </c>
      <c r="E205" s="141"/>
      <c r="F205" s="141"/>
      <c r="G205" s="140">
        <f>SUM(G201:G203)</f>
        <v>1852.7</v>
      </c>
      <c r="H205" s="141"/>
      <c r="I205" s="140">
        <f>SUM(I201:I203)</f>
        <v>0</v>
      </c>
      <c r="J205" s="18"/>
      <c r="K205" s="47"/>
      <c r="L205" s="141"/>
      <c r="M205" s="19">
        <f>SUM(M201:M203)</f>
        <v>0</v>
      </c>
      <c r="N205" s="19">
        <f>M205-I205</f>
        <v>0</v>
      </c>
      <c r="O205" s="27">
        <f>N205-J205</f>
        <v>0</v>
      </c>
    </row>
    <row r="206" spans="1:25" s="6" customFormat="1" ht="26.4" customHeight="1" thickBot="1" x14ac:dyDescent="0.3">
      <c r="A206" s="53">
        <f t="shared" si="209"/>
        <v>200</v>
      </c>
      <c r="C206" s="21"/>
      <c r="D206" s="7" t="s">
        <v>19</v>
      </c>
      <c r="E206" s="144"/>
      <c r="F206" s="144"/>
      <c r="G206" s="143">
        <f>G200+G205</f>
        <v>935148.32000000007</v>
      </c>
      <c r="H206" s="144"/>
      <c r="I206" s="145">
        <f>I205+I200</f>
        <v>925552.34</v>
      </c>
      <c r="J206" s="7"/>
      <c r="K206" s="48"/>
      <c r="L206" s="144"/>
      <c r="M206" s="8">
        <f>M205+M200</f>
        <v>961774.99000000022</v>
      </c>
      <c r="N206" s="8">
        <f>M206-I206</f>
        <v>36222.650000000256</v>
      </c>
      <c r="O206" s="9">
        <f>N206/I206</f>
        <v>3.9136252413342995E-2</v>
      </c>
      <c r="P206" s="2"/>
      <c r="Q206" s="2"/>
      <c r="R206" s="2"/>
    </row>
    <row r="207" spans="1:25" ht="13.8" thickTop="1" x14ac:dyDescent="0.25">
      <c r="A207" s="53">
        <f t="shared" si="209"/>
        <v>201</v>
      </c>
      <c r="G207" s="147"/>
      <c r="I207" s="147"/>
      <c r="M207" s="15"/>
      <c r="N207" s="15"/>
      <c r="O207" s="4"/>
      <c r="X207" s="6"/>
      <c r="Y207" s="6"/>
    </row>
    <row r="208" spans="1:25" x14ac:dyDescent="0.25">
      <c r="A208" s="53">
        <f t="shared" si="209"/>
        <v>202</v>
      </c>
      <c r="B208" s="28"/>
      <c r="C208" s="29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</row>
    <row r="209" spans="1:23" x14ac:dyDescent="0.25">
      <c r="A209" s="53">
        <f t="shared" si="209"/>
        <v>203</v>
      </c>
    </row>
    <row r="210" spans="1:23" s="6" customFormat="1" ht="19.95" customHeight="1" x14ac:dyDescent="0.3">
      <c r="A210" s="53">
        <f t="shared" si="209"/>
        <v>204</v>
      </c>
      <c r="B210" s="6" t="s">
        <v>31</v>
      </c>
      <c r="C210" s="54"/>
      <c r="D210" s="23" t="s">
        <v>6</v>
      </c>
      <c r="E210" s="136"/>
      <c r="F210" s="136"/>
      <c r="G210" s="156">
        <f>G10+G23+G35+G71+G84+G97+G47+G200+G59+G110+G123+G136+G150+G164+G176</f>
        <v>47415988.534508005</v>
      </c>
      <c r="H210" s="156"/>
      <c r="I210" s="156">
        <f>I10+I23+I35+I71+I84+I97+I47+I200+I59+I110+I123+I136+I150+I164+I176</f>
        <v>45856374.967997991</v>
      </c>
      <c r="J210" s="23"/>
      <c r="K210" s="49"/>
      <c r="L210" s="136"/>
      <c r="M210" s="156">
        <f t="shared" ref="M210:N214" si="211">M10+M23+M35+M71+M84+M97+M47+M200+M59+M110+M123+M136+M150+M164+M176</f>
        <v>47658965.92941089</v>
      </c>
      <c r="N210" s="156">
        <f t="shared" si="211"/>
        <v>1802590.9614128887</v>
      </c>
      <c r="O210" s="25">
        <f>N210/I210</f>
        <v>3.9309495411943736E-2</v>
      </c>
    </row>
    <row r="211" spans="1:23" x14ac:dyDescent="0.25">
      <c r="A211" s="53">
        <f t="shared" si="209"/>
        <v>205</v>
      </c>
      <c r="C211" s="41"/>
      <c r="D211" s="2" t="s">
        <v>29</v>
      </c>
      <c r="G211" s="139">
        <f>G11+G24+G36+G72+G85+G98+G48+G201+G60+G111+G124+G137+G151+G165+G177</f>
        <v>-1996675.7800000003</v>
      </c>
      <c r="H211" s="139"/>
      <c r="I211" s="139">
        <f>I11+I24+I36+I72+I85+I98+I48+I201+I60+I111+I124+I137+I151+I165+I177</f>
        <v>-1204460.8532099999</v>
      </c>
      <c r="M211" s="139">
        <f t="shared" si="211"/>
        <v>-1204460.8532099999</v>
      </c>
      <c r="N211" s="139">
        <f t="shared" si="211"/>
        <v>0</v>
      </c>
    </row>
    <row r="212" spans="1:23" x14ac:dyDescent="0.25">
      <c r="A212" s="53">
        <f t="shared" si="209"/>
        <v>206</v>
      </c>
      <c r="C212" s="41"/>
      <c r="D212" s="2" t="s">
        <v>30</v>
      </c>
      <c r="G212" s="139">
        <f>G12+G25+G37+G73+G86+G99+G49+G202+G61+G112+G125+G138+G152+G166+G178</f>
        <v>4637875.68</v>
      </c>
      <c r="H212" s="139"/>
      <c r="I212" s="139">
        <f>I12+I25+I37+I73+I86+I99+I49+I202+I61+I112+I125+I138+I152+I166+I178</f>
        <v>4635547.4099999992</v>
      </c>
      <c r="M212" s="139">
        <f t="shared" si="211"/>
        <v>4635547.4099999992</v>
      </c>
      <c r="N212" s="139">
        <f t="shared" si="211"/>
        <v>0</v>
      </c>
    </row>
    <row r="213" spans="1:23" x14ac:dyDescent="0.25">
      <c r="A213" s="53">
        <f t="shared" si="209"/>
        <v>207</v>
      </c>
      <c r="C213" s="41"/>
      <c r="D213" s="2" t="s">
        <v>32</v>
      </c>
      <c r="G213" s="139">
        <f>G13+G26+G38+G74+G87+G100+G50+G203+G62+G113+G126+G139+G153+G167+G179</f>
        <v>50953</v>
      </c>
      <c r="H213" s="139"/>
      <c r="I213" s="139">
        <f>I13+I26+I38+I74+I87+I100+I50+I203+I62+I113+I126+I139+I153+I167+I179</f>
        <v>50953</v>
      </c>
      <c r="M213" s="139">
        <f t="shared" si="211"/>
        <v>50953</v>
      </c>
      <c r="N213" s="139">
        <f t="shared" si="211"/>
        <v>0</v>
      </c>
    </row>
    <row r="214" spans="1:23" x14ac:dyDescent="0.25">
      <c r="A214" s="53">
        <f t="shared" si="209"/>
        <v>208</v>
      </c>
      <c r="C214" s="41"/>
      <c r="D214" s="2" t="s">
        <v>42</v>
      </c>
      <c r="G214" s="139">
        <f>G14+G27+G39+G75+G88+G101+G51+G204+G63+G114+G127+G140+G154+G168+G180</f>
        <v>0</v>
      </c>
      <c r="I214" s="139">
        <f>I14+I27+I39+I75+I88+I101+I51+I204+I63+I114+I127+I140+I154+I168+I180</f>
        <v>0</v>
      </c>
      <c r="M214" s="139">
        <f t="shared" si="211"/>
        <v>0</v>
      </c>
      <c r="N214" s="139">
        <f t="shared" si="211"/>
        <v>0</v>
      </c>
      <c r="O214" s="17"/>
    </row>
    <row r="215" spans="1:23" x14ac:dyDescent="0.25">
      <c r="A215" s="53">
        <f t="shared" si="209"/>
        <v>209</v>
      </c>
      <c r="C215" s="41"/>
      <c r="D215" s="18" t="s">
        <v>8</v>
      </c>
      <c r="E215" s="141"/>
      <c r="F215" s="141"/>
      <c r="G215" s="157">
        <f>SUM(G211:G214)</f>
        <v>2692152.8999999994</v>
      </c>
      <c r="H215" s="157"/>
      <c r="I215" s="157">
        <f>SUM(I211:I214)</f>
        <v>3482039.5567899994</v>
      </c>
      <c r="J215" s="18"/>
      <c r="K215" s="47"/>
      <c r="L215" s="141"/>
      <c r="M215" s="157">
        <f>SUM(M211:M214)</f>
        <v>3482039.5567899994</v>
      </c>
      <c r="N215" s="157">
        <f>SUM(N211:N214)</f>
        <v>0</v>
      </c>
      <c r="O215" s="18"/>
    </row>
    <row r="216" spans="1:23" s="6" customFormat="1" ht="21" customHeight="1" thickBot="1" x14ac:dyDescent="0.35">
      <c r="A216" s="53">
        <f t="shared" si="209"/>
        <v>210</v>
      </c>
      <c r="C216" s="54"/>
      <c r="D216" s="7" t="s">
        <v>19</v>
      </c>
      <c r="E216" s="144"/>
      <c r="F216" s="144"/>
      <c r="G216" s="145">
        <f>G215+G210</f>
        <v>50108141.434508003</v>
      </c>
      <c r="H216" s="145"/>
      <c r="I216" s="145">
        <f>I215+I210</f>
        <v>49338414.524787992</v>
      </c>
      <c r="J216" s="7"/>
      <c r="K216" s="48"/>
      <c r="L216" s="144"/>
      <c r="M216" s="145">
        <f>M215+M210</f>
        <v>51141005.486200891</v>
      </c>
      <c r="N216" s="145">
        <f>N215+N210</f>
        <v>1802590.9614128887</v>
      </c>
      <c r="O216" s="9">
        <f>N216/I216</f>
        <v>3.6535242949634172E-2</v>
      </c>
    </row>
    <row r="217" spans="1:23" ht="13.8" thickTop="1" x14ac:dyDescent="0.25">
      <c r="A217" s="53">
        <f t="shared" si="209"/>
        <v>211</v>
      </c>
      <c r="C217" s="41"/>
    </row>
    <row r="218" spans="1:23" x14ac:dyDescent="0.25">
      <c r="A218" s="53">
        <f t="shared" si="209"/>
        <v>212</v>
      </c>
      <c r="D218" s="2" t="s">
        <v>40</v>
      </c>
      <c r="N218" s="14">
        <f>N216-Summary!L4</f>
        <v>-99.038587111281231</v>
      </c>
    </row>
    <row r="219" spans="1:23" x14ac:dyDescent="0.25">
      <c r="A219" s="53">
        <f t="shared" si="209"/>
        <v>213</v>
      </c>
      <c r="N219" s="14"/>
    </row>
    <row r="220" spans="1:23" x14ac:dyDescent="0.25">
      <c r="A220" s="53">
        <f t="shared" si="209"/>
        <v>214</v>
      </c>
      <c r="B220" s="1" t="s">
        <v>98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118"/>
      <c r="O220" s="28"/>
      <c r="P220" s="28"/>
      <c r="Q220" s="28"/>
      <c r="R220" s="28"/>
    </row>
    <row r="221" spans="1:23" ht="13.8" thickBot="1" x14ac:dyDescent="0.3">
      <c r="A221" s="53">
        <f t="shared" si="209"/>
        <v>215</v>
      </c>
      <c r="D221" s="20"/>
      <c r="E221" s="158"/>
      <c r="F221" s="158"/>
      <c r="G221" s="158"/>
      <c r="K221" s="2"/>
    </row>
    <row r="222" spans="1:23" x14ac:dyDescent="0.25">
      <c r="A222" s="53">
        <f t="shared" si="209"/>
        <v>216</v>
      </c>
      <c r="B222" s="33" t="s">
        <v>103</v>
      </c>
      <c r="C222" s="34" t="s">
        <v>104</v>
      </c>
      <c r="D222" s="33"/>
      <c r="E222" s="148"/>
      <c r="F222" s="148"/>
      <c r="G222" s="148"/>
      <c r="H222" s="148"/>
      <c r="I222" s="148"/>
      <c r="J222" s="33"/>
      <c r="K222" s="33"/>
      <c r="L222" s="148"/>
      <c r="M222" s="33"/>
      <c r="N222" s="33"/>
      <c r="O222" s="33"/>
      <c r="P222" s="33"/>
      <c r="Q222" s="33"/>
      <c r="R222" s="33"/>
    </row>
    <row r="223" spans="1:23" ht="12.6" customHeight="1" x14ac:dyDescent="0.25">
      <c r="A223" s="53">
        <f t="shared" si="209"/>
        <v>217</v>
      </c>
      <c r="D223" s="2" t="s">
        <v>17</v>
      </c>
      <c r="E223" s="149"/>
      <c r="F223" s="132"/>
      <c r="G223" s="131"/>
      <c r="H223" s="132">
        <v>1016</v>
      </c>
      <c r="I223" s="131"/>
      <c r="J223" s="4"/>
      <c r="K223" s="45"/>
      <c r="L223" s="132">
        <f>H223*S223</f>
        <v>1055.9384473385348</v>
      </c>
      <c r="M223" s="5"/>
      <c r="N223" s="5"/>
      <c r="O223" s="4"/>
      <c r="P223" s="4"/>
      <c r="Q223" s="16"/>
      <c r="R223" s="16"/>
      <c r="S223" s="119">
        <f>1+$O$210</f>
        <v>1.0393094954119437</v>
      </c>
      <c r="T223" s="4">
        <f t="shared" ref="T223:T225" si="212">L223/H223-1</f>
        <v>3.9309495411943729E-2</v>
      </c>
    </row>
    <row r="224" spans="1:23" x14ac:dyDescent="0.25">
      <c r="A224" s="53">
        <f t="shared" si="209"/>
        <v>218</v>
      </c>
      <c r="D224" s="2" t="s">
        <v>54</v>
      </c>
      <c r="E224" s="149"/>
      <c r="F224" s="159"/>
      <c r="G224" s="131"/>
      <c r="H224" s="132">
        <v>7.77</v>
      </c>
      <c r="I224" s="131"/>
      <c r="J224" s="4"/>
      <c r="K224" s="45"/>
      <c r="L224" s="132">
        <f>L121</f>
        <v>8.08</v>
      </c>
      <c r="M224" s="5"/>
      <c r="N224" s="5"/>
      <c r="O224" s="4"/>
      <c r="P224" s="4"/>
      <c r="Q224" s="16"/>
      <c r="R224" s="16"/>
      <c r="S224" s="119">
        <f t="shared" ref="S224:S225" si="213">1+$O$210</f>
        <v>1.0393094954119437</v>
      </c>
      <c r="T224" s="4">
        <f t="shared" si="212"/>
        <v>3.9897039897039965E-2</v>
      </c>
      <c r="W224" s="2" t="s">
        <v>120</v>
      </c>
    </row>
    <row r="225" spans="1:23" ht="13.8" thickBot="1" x14ac:dyDescent="0.3">
      <c r="A225" s="53">
        <f t="shared" si="209"/>
        <v>219</v>
      </c>
      <c r="D225" s="2" t="s">
        <v>51</v>
      </c>
      <c r="E225" s="149"/>
      <c r="F225" s="159"/>
      <c r="G225" s="131"/>
      <c r="H225" s="135">
        <v>5.3661E-2</v>
      </c>
      <c r="I225" s="131"/>
      <c r="J225" s="4"/>
      <c r="K225" s="45"/>
      <c r="L225" s="135">
        <f>H225*S225</f>
        <v>5.5770386833300316E-2</v>
      </c>
      <c r="M225" s="5"/>
      <c r="N225" s="5"/>
      <c r="O225" s="4"/>
      <c r="P225" s="4"/>
      <c r="Q225" s="16"/>
      <c r="R225" s="16"/>
      <c r="S225" s="119">
        <f t="shared" si="213"/>
        <v>1.0393094954119437</v>
      </c>
      <c r="T225" s="4">
        <f t="shared" si="212"/>
        <v>3.9309495411943729E-2</v>
      </c>
    </row>
    <row r="226" spans="1:23" x14ac:dyDescent="0.25">
      <c r="A226" s="53">
        <f t="shared" si="209"/>
        <v>220</v>
      </c>
      <c r="B226" s="33" t="s">
        <v>105</v>
      </c>
      <c r="C226" s="34" t="s">
        <v>106</v>
      </c>
      <c r="D226" s="33"/>
      <c r="E226" s="148"/>
      <c r="F226" s="148"/>
      <c r="G226" s="148"/>
      <c r="H226" s="148"/>
      <c r="I226" s="148"/>
      <c r="J226" s="33"/>
      <c r="K226" s="33"/>
      <c r="L226" s="148"/>
      <c r="M226" s="33"/>
      <c r="N226" s="33"/>
      <c r="O226" s="33"/>
      <c r="P226" s="33"/>
      <c r="Q226" s="33"/>
      <c r="R226" s="33"/>
    </row>
    <row r="227" spans="1:23" ht="12.6" customHeight="1" x14ac:dyDescent="0.25">
      <c r="A227" s="53">
        <f t="shared" si="209"/>
        <v>221</v>
      </c>
      <c r="D227" s="2" t="s">
        <v>17</v>
      </c>
      <c r="E227" s="149"/>
      <c r="F227" s="132"/>
      <c r="G227" s="131"/>
      <c r="H227" s="132">
        <v>2937</v>
      </c>
      <c r="I227" s="131"/>
      <c r="J227" s="4"/>
      <c r="K227" s="45"/>
      <c r="L227" s="132">
        <f>H227*S227</f>
        <v>3052.4519880248786</v>
      </c>
      <c r="M227" s="5"/>
      <c r="N227" s="5"/>
      <c r="O227" s="4"/>
      <c r="P227" s="4"/>
      <c r="Q227" s="16"/>
      <c r="R227" s="16"/>
      <c r="S227" s="119">
        <f>1+$O$210</f>
        <v>1.0393094954119437</v>
      </c>
      <c r="T227" s="4">
        <f t="shared" ref="T227:T229" si="214">L227/H227-1</f>
        <v>3.9309495411943729E-2</v>
      </c>
    </row>
    <row r="228" spans="1:23" x14ac:dyDescent="0.25">
      <c r="A228" s="53">
        <f t="shared" si="209"/>
        <v>222</v>
      </c>
      <c r="D228" s="2" t="s">
        <v>54</v>
      </c>
      <c r="E228" s="149"/>
      <c r="F228" s="159"/>
      <c r="G228" s="131"/>
      <c r="H228" s="132">
        <v>7.77</v>
      </c>
      <c r="I228" s="131"/>
      <c r="J228" s="4"/>
      <c r="K228" s="45"/>
      <c r="L228" s="132">
        <f>L224</f>
        <v>8.08</v>
      </c>
      <c r="M228" s="5"/>
      <c r="N228" s="5"/>
      <c r="O228" s="4"/>
      <c r="P228" s="4"/>
      <c r="Q228" s="16"/>
      <c r="R228" s="16"/>
      <c r="S228" s="119">
        <f t="shared" ref="S228:S229" si="215">1+$O$210</f>
        <v>1.0393094954119437</v>
      </c>
      <c r="T228" s="4">
        <f t="shared" si="214"/>
        <v>3.9897039897039965E-2</v>
      </c>
      <c r="W228" s="2" t="s">
        <v>120</v>
      </c>
    </row>
    <row r="229" spans="1:23" ht="13.8" thickBot="1" x14ac:dyDescent="0.3">
      <c r="A229" s="53">
        <f t="shared" si="209"/>
        <v>223</v>
      </c>
      <c r="D229" s="2" t="s">
        <v>51</v>
      </c>
      <c r="E229" s="149"/>
      <c r="F229" s="159"/>
      <c r="G229" s="131"/>
      <c r="H229" s="135">
        <v>5.0169999999999999E-2</v>
      </c>
      <c r="I229" s="131"/>
      <c r="J229" s="4"/>
      <c r="K229" s="45"/>
      <c r="L229" s="135">
        <f>H229*S229</f>
        <v>5.2142157384817214E-2</v>
      </c>
      <c r="M229" s="5"/>
      <c r="N229" s="5"/>
      <c r="O229" s="4"/>
      <c r="P229" s="4"/>
      <c r="Q229" s="16"/>
      <c r="R229" s="16"/>
      <c r="S229" s="119">
        <f t="shared" si="215"/>
        <v>1.0393094954119437</v>
      </c>
      <c r="T229" s="4">
        <f t="shared" si="214"/>
        <v>3.9309495411943729E-2</v>
      </c>
    </row>
    <row r="230" spans="1:23" x14ac:dyDescent="0.25">
      <c r="A230" s="53">
        <f t="shared" si="209"/>
        <v>224</v>
      </c>
      <c r="B230" s="33" t="s">
        <v>103</v>
      </c>
      <c r="C230" s="34" t="s">
        <v>107</v>
      </c>
      <c r="D230" s="33"/>
      <c r="E230" s="148"/>
      <c r="F230" s="148"/>
      <c r="G230" s="148"/>
      <c r="H230" s="148"/>
      <c r="I230" s="148"/>
      <c r="J230" s="33"/>
      <c r="K230" s="33"/>
      <c r="L230" s="148"/>
      <c r="M230" s="33"/>
      <c r="N230" s="33"/>
      <c r="O230" s="33"/>
      <c r="P230" s="33"/>
      <c r="Q230" s="33"/>
      <c r="R230" s="33"/>
    </row>
    <row r="231" spans="1:23" ht="12.6" customHeight="1" x14ac:dyDescent="0.25">
      <c r="A231" s="53">
        <f t="shared" si="209"/>
        <v>225</v>
      </c>
      <c r="D231" s="2" t="s">
        <v>17</v>
      </c>
      <c r="E231" s="149"/>
      <c r="F231" s="132"/>
      <c r="G231" s="131"/>
      <c r="H231" s="132">
        <v>3215</v>
      </c>
      <c r="I231" s="131"/>
      <c r="J231" s="4"/>
      <c r="K231" s="45"/>
      <c r="L231" s="132">
        <f>H231*S231</f>
        <v>3341.3800277493992</v>
      </c>
      <c r="M231" s="5"/>
      <c r="N231" s="5"/>
      <c r="O231" s="4"/>
      <c r="P231" s="4"/>
      <c r="Q231" s="16"/>
      <c r="R231" s="16"/>
      <c r="S231" s="119">
        <f>1+$O$210</f>
        <v>1.0393094954119437</v>
      </c>
      <c r="T231" s="4">
        <f t="shared" ref="T231:T233" si="216">L231/H231-1</f>
        <v>3.9309495411943729E-2</v>
      </c>
    </row>
    <row r="232" spans="1:23" x14ac:dyDescent="0.25">
      <c r="A232" s="53">
        <f t="shared" si="209"/>
        <v>226</v>
      </c>
      <c r="D232" s="2" t="s">
        <v>54</v>
      </c>
      <c r="E232" s="149"/>
      <c r="F232" s="159"/>
      <c r="G232" s="131"/>
      <c r="H232" s="132">
        <v>7.77</v>
      </c>
      <c r="I232" s="131"/>
      <c r="J232" s="4"/>
      <c r="K232" s="45"/>
      <c r="L232" s="132">
        <f>L224</f>
        <v>8.08</v>
      </c>
      <c r="M232" s="5"/>
      <c r="N232" s="5"/>
      <c r="O232" s="4"/>
      <c r="P232" s="4"/>
      <c r="Q232" s="16"/>
      <c r="R232" s="16"/>
      <c r="S232" s="119">
        <f t="shared" ref="S232:S233" si="217">1+$O$210</f>
        <v>1.0393094954119437</v>
      </c>
      <c r="T232" s="4">
        <f t="shared" si="216"/>
        <v>3.9897039897039965E-2</v>
      </c>
      <c r="W232" s="2" t="s">
        <v>120</v>
      </c>
    </row>
    <row r="233" spans="1:23" ht="13.8" thickBot="1" x14ac:dyDescent="0.3">
      <c r="A233" s="53">
        <f t="shared" si="209"/>
        <v>227</v>
      </c>
      <c r="D233" s="2" t="s">
        <v>51</v>
      </c>
      <c r="E233" s="149"/>
      <c r="F233" s="159"/>
      <c r="G233" s="131"/>
      <c r="H233" s="135">
        <v>4.7676000000000003E-2</v>
      </c>
      <c r="I233" s="131"/>
      <c r="J233" s="4"/>
      <c r="K233" s="45"/>
      <c r="L233" s="135">
        <f>H233*S233</f>
        <v>4.9550119503259833E-2</v>
      </c>
      <c r="M233" s="5"/>
      <c r="N233" s="5"/>
      <c r="O233" s="4"/>
      <c r="P233" s="4"/>
      <c r="Q233" s="16"/>
      <c r="R233" s="16"/>
      <c r="S233" s="119">
        <f t="shared" si="217"/>
        <v>1.0393094954119437</v>
      </c>
      <c r="T233" s="4">
        <f t="shared" si="216"/>
        <v>3.9309495411943729E-2</v>
      </c>
    </row>
    <row r="234" spans="1:23" x14ac:dyDescent="0.25">
      <c r="A234" s="53">
        <f t="shared" si="209"/>
        <v>228</v>
      </c>
      <c r="B234" s="33" t="s">
        <v>103</v>
      </c>
      <c r="C234" s="34" t="s">
        <v>108</v>
      </c>
      <c r="D234" s="33"/>
      <c r="E234" s="148"/>
      <c r="F234" s="148"/>
      <c r="G234" s="148"/>
      <c r="H234" s="148"/>
      <c r="I234" s="148"/>
      <c r="J234" s="33"/>
      <c r="K234" s="33"/>
      <c r="L234" s="148"/>
      <c r="M234" s="33"/>
      <c r="N234" s="33"/>
      <c r="O234" s="33"/>
      <c r="P234" s="33"/>
      <c r="Q234" s="33"/>
      <c r="R234" s="33"/>
    </row>
    <row r="235" spans="1:23" ht="12.6" customHeight="1" x14ac:dyDescent="0.25">
      <c r="A235" s="53">
        <f t="shared" si="209"/>
        <v>229</v>
      </c>
      <c r="D235" s="2" t="s">
        <v>17</v>
      </c>
      <c r="E235" s="149"/>
      <c r="F235" s="132"/>
      <c r="G235" s="131"/>
      <c r="H235" s="132">
        <v>4501</v>
      </c>
      <c r="I235" s="131"/>
      <c r="J235" s="4"/>
      <c r="K235" s="45"/>
      <c r="L235" s="132">
        <f>H235*S235</f>
        <v>4677.9320388491587</v>
      </c>
      <c r="M235" s="5"/>
      <c r="N235" s="5"/>
      <c r="O235" s="4"/>
      <c r="P235" s="4"/>
      <c r="Q235" s="16"/>
      <c r="R235" s="16"/>
      <c r="S235" s="119">
        <f>1+$O$210</f>
        <v>1.0393094954119437</v>
      </c>
      <c r="T235" s="4">
        <f t="shared" ref="T235:T237" si="218">L235/H235-1</f>
        <v>3.9309495411943729E-2</v>
      </c>
    </row>
    <row r="236" spans="1:23" x14ac:dyDescent="0.25">
      <c r="A236" s="53">
        <f t="shared" si="209"/>
        <v>230</v>
      </c>
      <c r="D236" s="2" t="s">
        <v>54</v>
      </c>
      <c r="E236" s="149"/>
      <c r="F236" s="159"/>
      <c r="G236" s="131"/>
      <c r="H236" s="132">
        <v>7.77</v>
      </c>
      <c r="I236" s="131"/>
      <c r="J236" s="4"/>
      <c r="K236" s="45"/>
      <c r="L236" s="132">
        <f>L224</f>
        <v>8.08</v>
      </c>
      <c r="M236" s="5"/>
      <c r="N236" s="5"/>
      <c r="O236" s="4"/>
      <c r="P236" s="4"/>
      <c r="Q236" s="16"/>
      <c r="R236" s="16"/>
      <c r="S236" s="119">
        <f t="shared" ref="S236:S237" si="219">1+$O$210</f>
        <v>1.0393094954119437</v>
      </c>
      <c r="T236" s="4">
        <f t="shared" si="218"/>
        <v>3.9897039897039965E-2</v>
      </c>
      <c r="W236" s="2" t="s">
        <v>120</v>
      </c>
    </row>
    <row r="237" spans="1:23" ht="13.8" thickBot="1" x14ac:dyDescent="0.3">
      <c r="A237" s="53">
        <f t="shared" si="209"/>
        <v>231</v>
      </c>
      <c r="D237" s="2" t="s">
        <v>51</v>
      </c>
      <c r="E237" s="149"/>
      <c r="F237" s="159"/>
      <c r="G237" s="131"/>
      <c r="H237" s="135">
        <v>4.5182E-2</v>
      </c>
      <c r="I237" s="131"/>
      <c r="J237" s="4"/>
      <c r="K237" s="45"/>
      <c r="L237" s="135">
        <f>H237*S237</f>
        <v>4.6958081621702438E-2</v>
      </c>
      <c r="M237" s="5"/>
      <c r="N237" s="5"/>
      <c r="O237" s="4"/>
      <c r="P237" s="4"/>
      <c r="Q237" s="16"/>
      <c r="R237" s="16"/>
      <c r="S237" s="119">
        <f t="shared" si="219"/>
        <v>1.0393094954119437</v>
      </c>
      <c r="T237" s="4">
        <f t="shared" si="218"/>
        <v>3.9309495411943729E-2</v>
      </c>
    </row>
    <row r="238" spans="1:23" x14ac:dyDescent="0.25">
      <c r="A238" s="53">
        <f t="shared" si="209"/>
        <v>232</v>
      </c>
      <c r="B238" s="33" t="s">
        <v>103</v>
      </c>
      <c r="C238" s="34" t="s">
        <v>109</v>
      </c>
      <c r="D238" s="33"/>
      <c r="E238" s="148"/>
      <c r="F238" s="148"/>
      <c r="G238" s="148"/>
      <c r="H238" s="148"/>
      <c r="I238" s="148"/>
      <c r="J238" s="33"/>
      <c r="K238" s="33"/>
      <c r="L238" s="148"/>
      <c r="M238" s="33"/>
      <c r="N238" s="33"/>
      <c r="O238" s="33"/>
      <c r="P238" s="33"/>
      <c r="Q238" s="33"/>
      <c r="R238" s="33"/>
    </row>
    <row r="239" spans="1:23" ht="12.6" customHeight="1" x14ac:dyDescent="0.25">
      <c r="A239" s="53">
        <f t="shared" si="209"/>
        <v>233</v>
      </c>
      <c r="D239" s="2" t="s">
        <v>17</v>
      </c>
      <c r="E239" s="149"/>
      <c r="F239" s="132"/>
      <c r="G239" s="131"/>
      <c r="H239" s="132">
        <v>1016</v>
      </c>
      <c r="I239" s="131"/>
      <c r="J239" s="4"/>
      <c r="K239" s="45"/>
      <c r="L239" s="132">
        <f>H239*S239</f>
        <v>1055.9384473385348</v>
      </c>
      <c r="M239" s="5"/>
      <c r="N239" s="5"/>
      <c r="O239" s="4"/>
      <c r="P239" s="4"/>
      <c r="Q239" s="16"/>
      <c r="R239" s="16"/>
      <c r="S239" s="119">
        <f>1+$O$210</f>
        <v>1.0393094954119437</v>
      </c>
      <c r="T239" s="4">
        <f t="shared" ref="T239:T242" si="220">L239/H239-1</f>
        <v>3.9309495411943729E-2</v>
      </c>
    </row>
    <row r="240" spans="1:23" x14ac:dyDescent="0.25">
      <c r="A240" s="53">
        <f t="shared" si="209"/>
        <v>234</v>
      </c>
      <c r="D240" s="2" t="s">
        <v>110</v>
      </c>
      <c r="E240" s="149"/>
      <c r="F240" s="159"/>
      <c r="G240" s="131"/>
      <c r="H240" s="132">
        <v>7.77</v>
      </c>
      <c r="I240" s="131"/>
      <c r="J240" s="4"/>
      <c r="K240" s="45"/>
      <c r="L240" s="132">
        <f>L224</f>
        <v>8.08</v>
      </c>
      <c r="M240" s="5"/>
      <c r="N240" s="5"/>
      <c r="O240" s="4"/>
      <c r="P240" s="4"/>
      <c r="Q240" s="16"/>
      <c r="R240" s="16"/>
      <c r="S240" s="119">
        <f t="shared" ref="S240:S242" si="221">1+$O$210</f>
        <v>1.0393094954119437</v>
      </c>
      <c r="T240" s="4">
        <f t="shared" si="220"/>
        <v>3.9897039897039965E-2</v>
      </c>
      <c r="W240" s="2" t="s">
        <v>120</v>
      </c>
    </row>
    <row r="241" spans="1:20" x14ac:dyDescent="0.25">
      <c r="A241" s="53">
        <f t="shared" si="209"/>
        <v>235</v>
      </c>
      <c r="D241" s="2" t="s">
        <v>111</v>
      </c>
      <c r="E241" s="149"/>
      <c r="F241" s="159"/>
      <c r="G241" s="131"/>
      <c r="H241" s="132">
        <v>9.98</v>
      </c>
      <c r="I241" s="131"/>
      <c r="J241" s="4"/>
      <c r="K241" s="45"/>
      <c r="L241" s="132">
        <f>H241*S241</f>
        <v>10.3723087642112</v>
      </c>
      <c r="M241" s="5"/>
      <c r="N241" s="5"/>
      <c r="O241" s="4"/>
      <c r="P241" s="4"/>
      <c r="Q241" s="16"/>
      <c r="R241" s="16"/>
      <c r="S241" s="119">
        <f t="shared" si="221"/>
        <v>1.0393094954119437</v>
      </c>
      <c r="T241" s="4">
        <f t="shared" si="220"/>
        <v>3.9309495411943729E-2</v>
      </c>
    </row>
    <row r="242" spans="1:20" ht="13.8" thickBot="1" x14ac:dyDescent="0.3">
      <c r="A242" s="53">
        <f t="shared" si="209"/>
        <v>236</v>
      </c>
      <c r="D242" s="2" t="s">
        <v>51</v>
      </c>
      <c r="E242" s="149"/>
      <c r="F242" s="159"/>
      <c r="G242" s="131"/>
      <c r="H242" s="135">
        <v>5.3802000000000003E-2</v>
      </c>
      <c r="I242" s="131"/>
      <c r="J242" s="4"/>
      <c r="K242" s="45"/>
      <c r="L242" s="135">
        <f>H242*S242</f>
        <v>5.5916929472153397E-2</v>
      </c>
      <c r="M242" s="5"/>
      <c r="N242" s="5"/>
      <c r="O242" s="4"/>
      <c r="P242" s="4"/>
      <c r="Q242" s="16"/>
      <c r="R242" s="16"/>
      <c r="S242" s="119">
        <f t="shared" si="221"/>
        <v>1.0393094954119437</v>
      </c>
      <c r="T242" s="4">
        <f t="shared" si="220"/>
        <v>3.9309495411943729E-2</v>
      </c>
    </row>
    <row r="243" spans="1:20" x14ac:dyDescent="0.25">
      <c r="A243" s="53">
        <f t="shared" si="209"/>
        <v>237</v>
      </c>
      <c r="B243" s="33" t="s">
        <v>103</v>
      </c>
      <c r="C243" s="34" t="s">
        <v>112</v>
      </c>
      <c r="D243" s="33"/>
      <c r="E243" s="148"/>
      <c r="F243" s="148"/>
      <c r="G243" s="148"/>
      <c r="H243" s="148"/>
      <c r="I243" s="148"/>
      <c r="J243" s="33"/>
      <c r="K243" s="33"/>
      <c r="L243" s="148"/>
      <c r="M243" s="33"/>
      <c r="N243" s="33"/>
      <c r="O243" s="33"/>
      <c r="P243" s="33"/>
      <c r="Q243" s="33"/>
      <c r="R243" s="33"/>
    </row>
    <row r="244" spans="1:20" ht="12.6" customHeight="1" x14ac:dyDescent="0.25">
      <c r="A244" s="53">
        <f t="shared" si="209"/>
        <v>238</v>
      </c>
      <c r="D244" s="2" t="s">
        <v>17</v>
      </c>
      <c r="E244" s="149"/>
      <c r="F244" s="132"/>
      <c r="G244" s="131"/>
      <c r="H244" s="132">
        <v>1288</v>
      </c>
      <c r="I244" s="131"/>
      <c r="J244" s="4"/>
      <c r="K244" s="45"/>
      <c r="L244" s="132">
        <f>H244*S244</f>
        <v>1338.6306300905835</v>
      </c>
      <c r="M244" s="5"/>
      <c r="N244" s="5"/>
      <c r="O244" s="4"/>
      <c r="P244" s="4"/>
      <c r="Q244" s="16"/>
      <c r="R244" s="16"/>
      <c r="S244" s="119">
        <f>1+$O$210</f>
        <v>1.0393094954119437</v>
      </c>
      <c r="T244" s="4">
        <f t="shared" ref="T244:T247" si="222">L244/H244-1</f>
        <v>3.9309495411943729E-2</v>
      </c>
    </row>
    <row r="245" spans="1:20" x14ac:dyDescent="0.25">
      <c r="A245" s="53">
        <f t="shared" si="209"/>
        <v>239</v>
      </c>
      <c r="D245" s="2" t="s">
        <v>110</v>
      </c>
      <c r="E245" s="149"/>
      <c r="F245" s="159"/>
      <c r="G245" s="131"/>
      <c r="H245" s="132">
        <v>7.77</v>
      </c>
      <c r="I245" s="131"/>
      <c r="J245" s="4"/>
      <c r="K245" s="45"/>
      <c r="L245" s="132">
        <f>L228</f>
        <v>8.08</v>
      </c>
      <c r="M245" s="5"/>
      <c r="N245" s="5"/>
      <c r="O245" s="4"/>
      <c r="P245" s="4"/>
      <c r="Q245" s="16"/>
      <c r="R245" s="16"/>
      <c r="S245" s="119">
        <f t="shared" ref="S245:S247" si="223">1+$O$210</f>
        <v>1.0393094954119437</v>
      </c>
      <c r="T245" s="4">
        <f t="shared" si="222"/>
        <v>3.9897039897039965E-2</v>
      </c>
    </row>
    <row r="246" spans="1:20" x14ac:dyDescent="0.25">
      <c r="A246" s="53">
        <f t="shared" si="209"/>
        <v>240</v>
      </c>
      <c r="D246" s="2" t="s">
        <v>111</v>
      </c>
      <c r="E246" s="149"/>
      <c r="F246" s="159"/>
      <c r="G246" s="131"/>
      <c r="H246" s="132">
        <v>9.98</v>
      </c>
      <c r="I246" s="131"/>
      <c r="J246" s="4"/>
      <c r="K246" s="45"/>
      <c r="L246" s="132">
        <f>H246*S246</f>
        <v>10.3723087642112</v>
      </c>
      <c r="M246" s="5"/>
      <c r="N246" s="5"/>
      <c r="O246" s="4"/>
      <c r="P246" s="4"/>
      <c r="Q246" s="16"/>
      <c r="R246" s="16"/>
      <c r="S246" s="119">
        <f t="shared" si="223"/>
        <v>1.0393094954119437</v>
      </c>
      <c r="T246" s="4">
        <f t="shared" si="222"/>
        <v>3.9309495411943729E-2</v>
      </c>
    </row>
    <row r="247" spans="1:20" ht="13.8" thickBot="1" x14ac:dyDescent="0.3">
      <c r="A247" s="53">
        <f t="shared" si="209"/>
        <v>241</v>
      </c>
      <c r="D247" s="2" t="s">
        <v>51</v>
      </c>
      <c r="E247" s="149"/>
      <c r="F247" s="159"/>
      <c r="G247" s="131"/>
      <c r="H247" s="135">
        <v>5.1802000000000001E-2</v>
      </c>
      <c r="I247" s="131"/>
      <c r="J247" s="4"/>
      <c r="K247" s="45"/>
      <c r="L247" s="135">
        <f>H247*S247</f>
        <v>5.3838310481329511E-2</v>
      </c>
      <c r="M247" s="5"/>
      <c r="N247" s="5"/>
      <c r="O247" s="4"/>
      <c r="P247" s="4"/>
      <c r="Q247" s="16"/>
      <c r="R247" s="16"/>
      <c r="S247" s="119">
        <f t="shared" si="223"/>
        <v>1.0393094954119437</v>
      </c>
      <c r="T247" s="4">
        <f t="shared" si="222"/>
        <v>3.9309495411943729E-2</v>
      </c>
    </row>
    <row r="248" spans="1:20" x14ac:dyDescent="0.25">
      <c r="A248" s="53">
        <f t="shared" si="209"/>
        <v>242</v>
      </c>
      <c r="B248" s="33" t="s">
        <v>103</v>
      </c>
      <c r="C248" s="34" t="s">
        <v>113</v>
      </c>
      <c r="D248" s="33"/>
      <c r="E248" s="148"/>
      <c r="F248" s="148"/>
      <c r="G248" s="148"/>
      <c r="H248" s="148"/>
      <c r="I248" s="148"/>
      <c r="J248" s="33"/>
      <c r="K248" s="33"/>
      <c r="L248" s="148"/>
      <c r="M248" s="33"/>
      <c r="N248" s="33"/>
      <c r="O248" s="33"/>
      <c r="P248" s="33"/>
      <c r="Q248" s="33"/>
      <c r="R248" s="33"/>
    </row>
    <row r="249" spans="1:20" ht="12.6" customHeight="1" x14ac:dyDescent="0.25">
      <c r="A249" s="53">
        <f t="shared" si="209"/>
        <v>243</v>
      </c>
      <c r="D249" s="2" t="s">
        <v>17</v>
      </c>
      <c r="E249" s="149"/>
      <c r="F249" s="132"/>
      <c r="G249" s="131"/>
      <c r="H249" s="132">
        <v>2937</v>
      </c>
      <c r="I249" s="131"/>
      <c r="J249" s="4"/>
      <c r="K249" s="45"/>
      <c r="L249" s="132">
        <f>H249*S249</f>
        <v>3052.4519880248786</v>
      </c>
      <c r="M249" s="5"/>
      <c r="N249" s="5"/>
      <c r="O249" s="4"/>
      <c r="P249" s="4"/>
      <c r="Q249" s="16"/>
      <c r="R249" s="16"/>
      <c r="S249" s="119">
        <f>1+$O$210</f>
        <v>1.0393094954119437</v>
      </c>
      <c r="T249" s="4">
        <f t="shared" ref="T249:T252" si="224">L249/H249-1</f>
        <v>3.9309495411943729E-2</v>
      </c>
    </row>
    <row r="250" spans="1:20" x14ac:dyDescent="0.25">
      <c r="A250" s="53">
        <f t="shared" si="209"/>
        <v>244</v>
      </c>
      <c r="D250" s="2" t="s">
        <v>110</v>
      </c>
      <c r="E250" s="149"/>
      <c r="F250" s="159"/>
      <c r="G250" s="131"/>
      <c r="H250" s="132">
        <v>7.77</v>
      </c>
      <c r="I250" s="131"/>
      <c r="J250" s="4"/>
      <c r="K250" s="45"/>
      <c r="L250" s="132">
        <f>L224</f>
        <v>8.08</v>
      </c>
      <c r="M250" s="5"/>
      <c r="N250" s="5"/>
      <c r="O250" s="4"/>
      <c r="P250" s="4"/>
      <c r="Q250" s="16"/>
      <c r="R250" s="16"/>
      <c r="S250" s="119">
        <f t="shared" ref="S250:S252" si="225">1+$O$210</f>
        <v>1.0393094954119437</v>
      </c>
      <c r="T250" s="4">
        <f t="shared" si="224"/>
        <v>3.9897039897039965E-2</v>
      </c>
    </row>
    <row r="251" spans="1:20" x14ac:dyDescent="0.25">
      <c r="A251" s="53">
        <f t="shared" si="209"/>
        <v>245</v>
      </c>
      <c r="D251" s="2" t="s">
        <v>111</v>
      </c>
      <c r="E251" s="149"/>
      <c r="F251" s="159"/>
      <c r="G251" s="131"/>
      <c r="H251" s="132">
        <v>9.98</v>
      </c>
      <c r="I251" s="131"/>
      <c r="J251" s="4"/>
      <c r="K251" s="45"/>
      <c r="L251" s="132">
        <f>H251*S251</f>
        <v>10.3723087642112</v>
      </c>
      <c r="M251" s="5"/>
      <c r="N251" s="5"/>
      <c r="O251" s="4"/>
      <c r="P251" s="4"/>
      <c r="Q251" s="16"/>
      <c r="R251" s="16"/>
      <c r="S251" s="119">
        <f t="shared" si="225"/>
        <v>1.0393094954119437</v>
      </c>
      <c r="T251" s="4">
        <f t="shared" si="224"/>
        <v>3.9309495411943729E-2</v>
      </c>
    </row>
    <row r="252" spans="1:20" ht="13.8" thickBot="1" x14ac:dyDescent="0.3">
      <c r="A252" s="53">
        <f t="shared" si="209"/>
        <v>246</v>
      </c>
      <c r="D252" s="2" t="s">
        <v>51</v>
      </c>
      <c r="E252" s="149"/>
      <c r="F252" s="159"/>
      <c r="G252" s="131"/>
      <c r="H252" s="135">
        <v>5.0301999999999999E-2</v>
      </c>
      <c r="I252" s="131"/>
      <c r="J252" s="4"/>
      <c r="K252" s="45"/>
      <c r="L252" s="135">
        <f>H252*S252</f>
        <v>5.2279346238211594E-2</v>
      </c>
      <c r="M252" s="5"/>
      <c r="N252" s="5"/>
      <c r="O252" s="4"/>
      <c r="P252" s="4"/>
      <c r="Q252" s="16"/>
      <c r="R252" s="16"/>
      <c r="S252" s="119">
        <f t="shared" si="225"/>
        <v>1.0393094954119437</v>
      </c>
      <c r="T252" s="4">
        <f t="shared" si="224"/>
        <v>3.9309495411943729E-2</v>
      </c>
    </row>
    <row r="253" spans="1:20" x14ac:dyDescent="0.25">
      <c r="A253" s="53">
        <f t="shared" si="209"/>
        <v>247</v>
      </c>
      <c r="B253" s="33" t="s">
        <v>103</v>
      </c>
      <c r="C253" s="34" t="s">
        <v>114</v>
      </c>
      <c r="D253" s="33"/>
      <c r="E253" s="148"/>
      <c r="F253" s="148"/>
      <c r="G253" s="148"/>
      <c r="H253" s="148"/>
      <c r="I253" s="148"/>
      <c r="J253" s="33"/>
      <c r="K253" s="33"/>
      <c r="L253" s="148"/>
      <c r="M253" s="33"/>
      <c r="N253" s="33"/>
      <c r="O253" s="33"/>
      <c r="P253" s="33"/>
      <c r="Q253" s="33"/>
      <c r="R253" s="33"/>
    </row>
    <row r="254" spans="1:20" ht="12.6" customHeight="1" x14ac:dyDescent="0.25">
      <c r="A254" s="53">
        <f t="shared" si="209"/>
        <v>248</v>
      </c>
      <c r="D254" s="2" t="s">
        <v>17</v>
      </c>
      <c r="E254" s="149"/>
      <c r="F254" s="132"/>
      <c r="G254" s="131"/>
      <c r="H254" s="132">
        <v>3215</v>
      </c>
      <c r="I254" s="131"/>
      <c r="J254" s="4"/>
      <c r="K254" s="45"/>
      <c r="L254" s="132">
        <f>H254*S254</f>
        <v>3341.3800277493992</v>
      </c>
      <c r="M254" s="5"/>
      <c r="N254" s="5"/>
      <c r="O254" s="4"/>
      <c r="P254" s="4"/>
      <c r="Q254" s="16"/>
      <c r="R254" s="16"/>
      <c r="S254" s="119">
        <f>1+$O$210</f>
        <v>1.0393094954119437</v>
      </c>
      <c r="T254" s="4">
        <f t="shared" ref="T254:T257" si="226">L254/H254-1</f>
        <v>3.9309495411943729E-2</v>
      </c>
    </row>
    <row r="255" spans="1:20" x14ac:dyDescent="0.25">
      <c r="A255" s="53">
        <f t="shared" si="209"/>
        <v>249</v>
      </c>
      <c r="D255" s="2" t="s">
        <v>110</v>
      </c>
      <c r="E255" s="149"/>
      <c r="F255" s="159"/>
      <c r="G255" s="131"/>
      <c r="H255" s="132">
        <v>7.77</v>
      </c>
      <c r="I255" s="131"/>
      <c r="J255" s="4"/>
      <c r="K255" s="45"/>
      <c r="L255" s="132">
        <f>L224</f>
        <v>8.08</v>
      </c>
      <c r="M255" s="5"/>
      <c r="N255" s="5"/>
      <c r="O255" s="4"/>
      <c r="P255" s="4"/>
      <c r="Q255" s="16"/>
      <c r="R255" s="16"/>
      <c r="S255" s="119">
        <f t="shared" ref="S255:S257" si="227">1+$O$210</f>
        <v>1.0393094954119437</v>
      </c>
      <c r="T255" s="4">
        <f t="shared" si="226"/>
        <v>3.9897039897039965E-2</v>
      </c>
    </row>
    <row r="256" spans="1:20" x14ac:dyDescent="0.25">
      <c r="A256" s="53">
        <f t="shared" si="209"/>
        <v>250</v>
      </c>
      <c r="D256" s="2" t="s">
        <v>111</v>
      </c>
      <c r="E256" s="149"/>
      <c r="F256" s="159"/>
      <c r="G256" s="131"/>
      <c r="H256" s="132">
        <v>9.98</v>
      </c>
      <c r="I256" s="131"/>
      <c r="J256" s="4"/>
      <c r="K256" s="45"/>
      <c r="L256" s="132">
        <f>H256*S256</f>
        <v>10.3723087642112</v>
      </c>
      <c r="M256" s="5"/>
      <c r="N256" s="5"/>
      <c r="O256" s="4"/>
      <c r="P256" s="4"/>
      <c r="Q256" s="16"/>
      <c r="R256" s="16"/>
      <c r="S256" s="119">
        <f t="shared" si="227"/>
        <v>1.0393094954119437</v>
      </c>
      <c r="T256" s="4">
        <f t="shared" si="226"/>
        <v>3.9309495411943729E-2</v>
      </c>
    </row>
    <row r="257" spans="1:23" ht="13.8" thickBot="1" x14ac:dyDescent="0.3">
      <c r="A257" s="53">
        <f t="shared" si="209"/>
        <v>251</v>
      </c>
      <c r="D257" s="2" t="s">
        <v>51</v>
      </c>
      <c r="E257" s="149"/>
      <c r="F257" s="159"/>
      <c r="G257" s="131"/>
      <c r="H257" s="135">
        <v>4.7801999999999997E-2</v>
      </c>
      <c r="I257" s="131"/>
      <c r="J257" s="4"/>
      <c r="K257" s="45"/>
      <c r="L257" s="135">
        <f>H257*S257</f>
        <v>4.9681072499681733E-2</v>
      </c>
      <c r="M257" s="5"/>
      <c r="N257" s="5"/>
      <c r="O257" s="4"/>
      <c r="P257" s="4"/>
      <c r="Q257" s="16"/>
      <c r="R257" s="16"/>
      <c r="S257" s="119">
        <f t="shared" si="227"/>
        <v>1.0393094954119437</v>
      </c>
      <c r="T257" s="4">
        <f t="shared" si="226"/>
        <v>3.9309495411943729E-2</v>
      </c>
    </row>
    <row r="258" spans="1:23" x14ac:dyDescent="0.25">
      <c r="A258" s="53">
        <f t="shared" si="209"/>
        <v>252</v>
      </c>
      <c r="B258" s="33" t="s">
        <v>103</v>
      </c>
      <c r="C258" s="34" t="s">
        <v>115</v>
      </c>
      <c r="D258" s="33"/>
      <c r="E258" s="148"/>
      <c r="F258" s="148"/>
      <c r="G258" s="148"/>
      <c r="H258" s="148"/>
      <c r="I258" s="148"/>
      <c r="J258" s="33"/>
      <c r="K258" s="33"/>
      <c r="L258" s="148"/>
      <c r="M258" s="33"/>
      <c r="N258" s="33"/>
      <c r="O258" s="33"/>
      <c r="P258" s="33"/>
      <c r="Q258" s="33"/>
      <c r="R258" s="33"/>
    </row>
    <row r="259" spans="1:23" ht="12.6" customHeight="1" x14ac:dyDescent="0.25">
      <c r="A259" s="53">
        <f t="shared" si="209"/>
        <v>253</v>
      </c>
      <c r="D259" s="2" t="s">
        <v>17</v>
      </c>
      <c r="E259" s="149"/>
      <c r="F259" s="132"/>
      <c r="G259" s="131"/>
      <c r="H259" s="132">
        <v>4501</v>
      </c>
      <c r="I259" s="131"/>
      <c r="J259" s="4"/>
      <c r="K259" s="45"/>
      <c r="L259" s="132">
        <f>H259*S259</f>
        <v>4677.9320388491587</v>
      </c>
      <c r="M259" s="5"/>
      <c r="N259" s="5"/>
      <c r="O259" s="4"/>
      <c r="P259" s="4"/>
      <c r="Q259" s="16"/>
      <c r="R259" s="16"/>
      <c r="S259" s="119">
        <f>1+$O$210</f>
        <v>1.0393094954119437</v>
      </c>
      <c r="T259" s="4">
        <f t="shared" ref="T259:T262" si="228">L259/H259-1</f>
        <v>3.9309495411943729E-2</v>
      </c>
    </row>
    <row r="260" spans="1:23" x14ac:dyDescent="0.25">
      <c r="A260" s="53">
        <f t="shared" si="209"/>
        <v>254</v>
      </c>
      <c r="D260" s="2" t="s">
        <v>110</v>
      </c>
      <c r="E260" s="149"/>
      <c r="F260" s="159"/>
      <c r="G260" s="131"/>
      <c r="H260" s="132">
        <v>7.77</v>
      </c>
      <c r="I260" s="131"/>
      <c r="J260" s="4"/>
      <c r="K260" s="45"/>
      <c r="L260" s="132">
        <f>L224</f>
        <v>8.08</v>
      </c>
      <c r="M260" s="5"/>
      <c r="N260" s="5"/>
      <c r="O260" s="4"/>
      <c r="P260" s="4"/>
      <c r="Q260" s="16"/>
      <c r="R260" s="16"/>
      <c r="S260" s="119">
        <f t="shared" ref="S260:S262" si="229">1+$O$210</f>
        <v>1.0393094954119437</v>
      </c>
      <c r="T260" s="4">
        <f t="shared" si="228"/>
        <v>3.9897039897039965E-2</v>
      </c>
    </row>
    <row r="261" spans="1:23" x14ac:dyDescent="0.25">
      <c r="A261" s="53">
        <f t="shared" si="209"/>
        <v>255</v>
      </c>
      <c r="D261" s="2" t="s">
        <v>111</v>
      </c>
      <c r="E261" s="149"/>
      <c r="F261" s="159"/>
      <c r="G261" s="131"/>
      <c r="H261" s="132">
        <v>9.98</v>
      </c>
      <c r="I261" s="131"/>
      <c r="J261" s="4"/>
      <c r="K261" s="45"/>
      <c r="L261" s="132">
        <f>H261*S261</f>
        <v>10.3723087642112</v>
      </c>
      <c r="M261" s="5"/>
      <c r="N261" s="5"/>
      <c r="O261" s="4"/>
      <c r="P261" s="4"/>
      <c r="Q261" s="16"/>
      <c r="R261" s="16"/>
      <c r="S261" s="119">
        <f t="shared" si="229"/>
        <v>1.0393094954119437</v>
      </c>
      <c r="T261" s="4">
        <f t="shared" si="228"/>
        <v>3.9309495411943729E-2</v>
      </c>
    </row>
    <row r="262" spans="1:23" ht="13.8" thickBot="1" x14ac:dyDescent="0.3">
      <c r="A262" s="53">
        <f t="shared" si="209"/>
        <v>256</v>
      </c>
      <c r="D262" s="2" t="s">
        <v>51</v>
      </c>
      <c r="E262" s="149"/>
      <c r="F262" s="159"/>
      <c r="G262" s="131"/>
      <c r="H262" s="135">
        <v>4.5302000000000002E-2</v>
      </c>
      <c r="I262" s="131"/>
      <c r="J262" s="4"/>
      <c r="K262" s="45"/>
      <c r="L262" s="135">
        <f>H262*S262</f>
        <v>4.708279876115188E-2</v>
      </c>
      <c r="M262" s="5"/>
      <c r="N262" s="5"/>
      <c r="O262" s="4"/>
      <c r="P262" s="4"/>
      <c r="Q262" s="16"/>
      <c r="R262" s="16"/>
      <c r="S262" s="119">
        <f t="shared" si="229"/>
        <v>1.0393094954119437</v>
      </c>
      <c r="T262" s="4">
        <f t="shared" si="228"/>
        <v>3.9309495411943729E-2</v>
      </c>
    </row>
    <row r="263" spans="1:23" x14ac:dyDescent="0.25">
      <c r="A263" s="53">
        <f t="shared" si="209"/>
        <v>257</v>
      </c>
      <c r="B263" s="33" t="s">
        <v>103</v>
      </c>
      <c r="C263" s="34" t="s">
        <v>116</v>
      </c>
      <c r="D263" s="33"/>
      <c r="E263" s="148"/>
      <c r="F263" s="148"/>
      <c r="G263" s="148"/>
      <c r="H263" s="148"/>
      <c r="I263" s="148"/>
      <c r="J263" s="33"/>
      <c r="K263" s="33"/>
      <c r="L263" s="148"/>
      <c r="M263" s="33"/>
      <c r="N263" s="33"/>
      <c r="O263" s="33"/>
      <c r="P263" s="33"/>
      <c r="Q263" s="33"/>
      <c r="R263" s="33"/>
    </row>
    <row r="264" spans="1:23" ht="12.6" customHeight="1" x14ac:dyDescent="0.25">
      <c r="A264" s="53">
        <f t="shared" si="209"/>
        <v>258</v>
      </c>
      <c r="D264" s="2" t="s">
        <v>17</v>
      </c>
      <c r="E264" s="149"/>
      <c r="F264" s="132"/>
      <c r="G264" s="131"/>
      <c r="H264" s="132">
        <v>1016</v>
      </c>
      <c r="I264" s="131"/>
      <c r="J264" s="4"/>
      <c r="K264" s="45"/>
      <c r="L264" s="132">
        <f>H264*S264</f>
        <v>1055.9384473385348</v>
      </c>
      <c r="M264" s="5"/>
      <c r="N264" s="5"/>
      <c r="O264" s="4"/>
      <c r="P264" s="4"/>
      <c r="Q264" s="16"/>
      <c r="R264" s="16"/>
      <c r="S264" s="119">
        <f>1+$O$210</f>
        <v>1.0393094954119437</v>
      </c>
      <c r="T264" s="4">
        <f t="shared" ref="T264:T267" si="230">L264/H264-1</f>
        <v>3.9309495411943729E-2</v>
      </c>
    </row>
    <row r="265" spans="1:23" x14ac:dyDescent="0.25">
      <c r="A265" s="53">
        <f t="shared" ref="A265:A282" si="231">A264+1</f>
        <v>259</v>
      </c>
      <c r="D265" s="2" t="s">
        <v>54</v>
      </c>
      <c r="E265" s="149"/>
      <c r="F265" s="159"/>
      <c r="G265" s="131"/>
      <c r="H265" s="132">
        <v>6.62</v>
      </c>
      <c r="I265" s="131"/>
      <c r="J265" s="4"/>
      <c r="K265" s="45"/>
      <c r="L265" s="132">
        <f>L147</f>
        <v>6.88</v>
      </c>
      <c r="M265" s="5"/>
      <c r="N265" s="5"/>
      <c r="O265" s="4"/>
      <c r="P265" s="4"/>
      <c r="Q265" s="16"/>
      <c r="R265" s="16"/>
      <c r="S265" s="119">
        <f t="shared" ref="S265:S267" si="232">1+$O$210</f>
        <v>1.0393094954119437</v>
      </c>
      <c r="T265" s="4">
        <f t="shared" si="230"/>
        <v>3.92749244712991E-2</v>
      </c>
      <c r="W265" s="2" t="s">
        <v>121</v>
      </c>
    </row>
    <row r="266" spans="1:23" x14ac:dyDescent="0.25">
      <c r="A266" s="53">
        <f t="shared" si="231"/>
        <v>260</v>
      </c>
      <c r="D266" s="2" t="s">
        <v>101</v>
      </c>
      <c r="E266" s="149"/>
      <c r="F266" s="159"/>
      <c r="G266" s="131"/>
      <c r="H266" s="134">
        <v>6.3870999999999997E-2</v>
      </c>
      <c r="I266" s="131"/>
      <c r="J266" s="4"/>
      <c r="K266" s="45"/>
      <c r="L266" s="134">
        <f>H266*S266</f>
        <v>6.6381736781456258E-2</v>
      </c>
      <c r="M266" s="5"/>
      <c r="N266" s="5"/>
      <c r="O266" s="4"/>
      <c r="P266" s="4"/>
      <c r="Q266" s="16"/>
      <c r="R266" s="16"/>
      <c r="S266" s="119">
        <f t="shared" si="232"/>
        <v>1.0393094954119437</v>
      </c>
      <c r="T266" s="4">
        <f t="shared" si="230"/>
        <v>3.9309495411943729E-2</v>
      </c>
    </row>
    <row r="267" spans="1:23" ht="13.8" thickBot="1" x14ac:dyDescent="0.3">
      <c r="A267" s="53">
        <f t="shared" si="231"/>
        <v>261</v>
      </c>
      <c r="D267" s="2" t="s">
        <v>102</v>
      </c>
      <c r="E267" s="149"/>
      <c r="F267" s="159"/>
      <c r="G267" s="131"/>
      <c r="H267" s="134">
        <v>5.5474000000000002E-2</v>
      </c>
      <c r="I267" s="131"/>
      <c r="J267" s="4"/>
      <c r="K267" s="45"/>
      <c r="L267" s="134">
        <f>H267*S267</f>
        <v>5.7654654948482167E-2</v>
      </c>
      <c r="M267" s="5"/>
      <c r="N267" s="5"/>
      <c r="O267" s="4"/>
      <c r="P267" s="4"/>
      <c r="Q267" s="16"/>
      <c r="R267" s="16"/>
      <c r="S267" s="119">
        <f t="shared" si="232"/>
        <v>1.0393094954119437</v>
      </c>
      <c r="T267" s="4">
        <f t="shared" si="230"/>
        <v>3.9309495411943729E-2</v>
      </c>
    </row>
    <row r="268" spans="1:23" x14ac:dyDescent="0.25">
      <c r="A268" s="53">
        <f t="shared" si="231"/>
        <v>262</v>
      </c>
      <c r="B268" s="33" t="s">
        <v>103</v>
      </c>
      <c r="C268" s="34" t="s">
        <v>117</v>
      </c>
      <c r="D268" s="33"/>
      <c r="E268" s="148"/>
      <c r="F268" s="148"/>
      <c r="G268" s="148"/>
      <c r="H268" s="148"/>
      <c r="I268" s="148"/>
      <c r="J268" s="33"/>
      <c r="K268" s="33"/>
      <c r="L268" s="148"/>
      <c r="M268" s="33"/>
      <c r="N268" s="33"/>
      <c r="O268" s="33"/>
      <c r="P268" s="33"/>
      <c r="Q268" s="33"/>
      <c r="R268" s="33"/>
    </row>
    <row r="269" spans="1:23" ht="12.6" customHeight="1" x14ac:dyDescent="0.25">
      <c r="A269" s="53">
        <f t="shared" si="231"/>
        <v>263</v>
      </c>
      <c r="D269" s="2" t="s">
        <v>17</v>
      </c>
      <c r="E269" s="149"/>
      <c r="F269" s="132"/>
      <c r="G269" s="131"/>
      <c r="H269" s="132">
        <v>1288</v>
      </c>
      <c r="I269" s="131"/>
      <c r="J269" s="4"/>
      <c r="K269" s="45"/>
      <c r="L269" s="132">
        <f>H269*S269</f>
        <v>1338.6306300905835</v>
      </c>
      <c r="M269" s="5"/>
      <c r="N269" s="5"/>
      <c r="O269" s="4"/>
      <c r="P269" s="4"/>
      <c r="Q269" s="16"/>
      <c r="R269" s="16"/>
      <c r="S269" s="119">
        <f>1+$O$210</f>
        <v>1.0393094954119437</v>
      </c>
      <c r="T269" s="4">
        <f t="shared" ref="T269:T272" si="233">L269/H269-1</f>
        <v>3.9309495411943729E-2</v>
      </c>
    </row>
    <row r="270" spans="1:23" x14ac:dyDescent="0.25">
      <c r="A270" s="53">
        <f t="shared" si="231"/>
        <v>264</v>
      </c>
      <c r="D270" s="2" t="s">
        <v>54</v>
      </c>
      <c r="E270" s="149"/>
      <c r="F270" s="159"/>
      <c r="G270" s="131"/>
      <c r="H270" s="132">
        <v>6.62</v>
      </c>
      <c r="I270" s="131"/>
      <c r="J270" s="4"/>
      <c r="K270" s="45"/>
      <c r="L270" s="132">
        <f>L265</f>
        <v>6.88</v>
      </c>
      <c r="M270" s="5"/>
      <c r="N270" s="5"/>
      <c r="O270" s="4"/>
      <c r="P270" s="4"/>
      <c r="Q270" s="16"/>
      <c r="R270" s="16"/>
      <c r="S270" s="119">
        <f t="shared" ref="S270:S272" si="234">1+$O$210</f>
        <v>1.0393094954119437</v>
      </c>
      <c r="T270" s="4">
        <f t="shared" si="233"/>
        <v>3.92749244712991E-2</v>
      </c>
      <c r="W270" s="2" t="s">
        <v>121</v>
      </c>
    </row>
    <row r="271" spans="1:23" x14ac:dyDescent="0.25">
      <c r="A271" s="53">
        <f t="shared" si="231"/>
        <v>265</v>
      </c>
      <c r="D271" s="2" t="s">
        <v>101</v>
      </c>
      <c r="E271" s="149"/>
      <c r="F271" s="159"/>
      <c r="G271" s="131"/>
      <c r="H271" s="134">
        <v>6.1880999999999999E-2</v>
      </c>
      <c r="I271" s="131"/>
      <c r="J271" s="4"/>
      <c r="K271" s="45"/>
      <c r="L271" s="134">
        <f>H271*S271</f>
        <v>6.4313510885586483E-2</v>
      </c>
      <c r="M271" s="5"/>
      <c r="N271" s="5"/>
      <c r="O271" s="4"/>
      <c r="P271" s="4"/>
      <c r="Q271" s="16"/>
      <c r="R271" s="16"/>
      <c r="S271" s="119">
        <f t="shared" si="234"/>
        <v>1.0393094954119437</v>
      </c>
      <c r="T271" s="4">
        <f t="shared" si="233"/>
        <v>3.9309495411943729E-2</v>
      </c>
    </row>
    <row r="272" spans="1:23" ht="13.8" thickBot="1" x14ac:dyDescent="0.3">
      <c r="A272" s="53">
        <f t="shared" si="231"/>
        <v>266</v>
      </c>
      <c r="D272" s="2" t="s">
        <v>102</v>
      </c>
      <c r="E272" s="149"/>
      <c r="F272" s="159"/>
      <c r="G272" s="131"/>
      <c r="H272" s="134">
        <v>5.3474000000000001E-2</v>
      </c>
      <c r="I272" s="131"/>
      <c r="J272" s="4"/>
      <c r="K272" s="45"/>
      <c r="L272" s="134">
        <f>H272*S272</f>
        <v>5.5576035957658282E-2</v>
      </c>
      <c r="M272" s="5"/>
      <c r="N272" s="5"/>
      <c r="O272" s="4"/>
      <c r="P272" s="4"/>
      <c r="Q272" s="16"/>
      <c r="R272" s="16"/>
      <c r="S272" s="119">
        <f t="shared" si="234"/>
        <v>1.0393094954119437</v>
      </c>
      <c r="T272" s="4">
        <f t="shared" si="233"/>
        <v>3.9309495411943729E-2</v>
      </c>
    </row>
    <row r="273" spans="1:23" x14ac:dyDescent="0.25">
      <c r="A273" s="53">
        <f t="shared" si="231"/>
        <v>267</v>
      </c>
      <c r="B273" s="33" t="s">
        <v>103</v>
      </c>
      <c r="C273" s="34" t="s">
        <v>118</v>
      </c>
      <c r="D273" s="33"/>
      <c r="E273" s="148"/>
      <c r="F273" s="148"/>
      <c r="G273" s="148"/>
      <c r="H273" s="148"/>
      <c r="I273" s="148"/>
      <c r="J273" s="33"/>
      <c r="K273" s="33"/>
      <c r="L273" s="148"/>
      <c r="M273" s="33"/>
      <c r="N273" s="33"/>
      <c r="O273" s="33"/>
      <c r="P273" s="33"/>
      <c r="Q273" s="33"/>
      <c r="R273" s="33"/>
    </row>
    <row r="274" spans="1:23" ht="12.6" customHeight="1" x14ac:dyDescent="0.25">
      <c r="A274" s="53">
        <f t="shared" si="231"/>
        <v>268</v>
      </c>
      <c r="D274" s="2" t="s">
        <v>17</v>
      </c>
      <c r="E274" s="149"/>
      <c r="F274" s="132"/>
      <c r="G274" s="131"/>
      <c r="H274" s="132">
        <v>2937</v>
      </c>
      <c r="I274" s="131"/>
      <c r="J274" s="4"/>
      <c r="K274" s="45"/>
      <c r="L274" s="132">
        <f>H274*S274</f>
        <v>3052.4519880248786</v>
      </c>
      <c r="M274" s="5"/>
      <c r="N274" s="5"/>
      <c r="O274" s="4"/>
      <c r="P274" s="4"/>
      <c r="Q274" s="16"/>
      <c r="R274" s="16"/>
      <c r="S274" s="119">
        <f>1+$O$210</f>
        <v>1.0393094954119437</v>
      </c>
      <c r="T274" s="4">
        <f t="shared" ref="T274:T277" si="235">L274/H274-1</f>
        <v>3.9309495411943729E-2</v>
      </c>
    </row>
    <row r="275" spans="1:23" x14ac:dyDescent="0.25">
      <c r="A275" s="53">
        <f t="shared" si="231"/>
        <v>269</v>
      </c>
      <c r="D275" s="2" t="s">
        <v>54</v>
      </c>
      <c r="E275" s="149"/>
      <c r="F275" s="159"/>
      <c r="G275" s="131"/>
      <c r="H275" s="132">
        <v>6.62</v>
      </c>
      <c r="I275" s="131"/>
      <c r="J275" s="4"/>
      <c r="K275" s="45"/>
      <c r="L275" s="132">
        <f>L265</f>
        <v>6.88</v>
      </c>
      <c r="M275" s="5"/>
      <c r="N275" s="5"/>
      <c r="O275" s="4"/>
      <c r="P275" s="4"/>
      <c r="Q275" s="16"/>
      <c r="R275" s="16"/>
      <c r="S275" s="119">
        <f t="shared" ref="S275:S277" si="236">1+$O$210</f>
        <v>1.0393094954119437</v>
      </c>
      <c r="T275" s="4">
        <f t="shared" si="235"/>
        <v>3.92749244712991E-2</v>
      </c>
      <c r="W275" s="2" t="s">
        <v>121</v>
      </c>
    </row>
    <row r="276" spans="1:23" x14ac:dyDescent="0.25">
      <c r="A276" s="53">
        <f t="shared" si="231"/>
        <v>270</v>
      </c>
      <c r="D276" s="2" t="s">
        <v>101</v>
      </c>
      <c r="E276" s="149"/>
      <c r="F276" s="159"/>
      <c r="G276" s="131"/>
      <c r="H276" s="134">
        <v>6.0387999999999997E-2</v>
      </c>
      <c r="I276" s="131"/>
      <c r="J276" s="4"/>
      <c r="K276" s="45"/>
      <c r="L276" s="134">
        <f>H276*S276</f>
        <v>6.2761821808936455E-2</v>
      </c>
      <c r="M276" s="5"/>
      <c r="N276" s="5"/>
      <c r="O276" s="4"/>
      <c r="P276" s="4"/>
      <c r="Q276" s="16"/>
      <c r="R276" s="16"/>
      <c r="S276" s="119">
        <f t="shared" si="236"/>
        <v>1.0393094954119437</v>
      </c>
      <c r="T276" s="4">
        <f t="shared" si="235"/>
        <v>3.9309495411943729E-2</v>
      </c>
    </row>
    <row r="277" spans="1:23" ht="13.8" thickBot="1" x14ac:dyDescent="0.3">
      <c r="A277" s="53">
        <f t="shared" si="231"/>
        <v>271</v>
      </c>
      <c r="D277" s="2" t="s">
        <v>102</v>
      </c>
      <c r="E277" s="149"/>
      <c r="F277" s="159"/>
      <c r="G277" s="131"/>
      <c r="H277" s="134">
        <v>5.1973999999999999E-2</v>
      </c>
      <c r="I277" s="131"/>
      <c r="J277" s="4"/>
      <c r="K277" s="45"/>
      <c r="L277" s="134">
        <f>H277*S277</f>
        <v>5.4017071714540364E-2</v>
      </c>
      <c r="M277" s="5"/>
      <c r="N277" s="5"/>
      <c r="O277" s="4"/>
      <c r="P277" s="4"/>
      <c r="Q277" s="16"/>
      <c r="R277" s="16"/>
      <c r="S277" s="119">
        <f t="shared" si="236"/>
        <v>1.0393094954119437</v>
      </c>
      <c r="T277" s="4">
        <f t="shared" si="235"/>
        <v>3.9309495411943729E-2</v>
      </c>
    </row>
    <row r="278" spans="1:23" x14ac:dyDescent="0.25">
      <c r="A278" s="53">
        <f t="shared" si="231"/>
        <v>272</v>
      </c>
      <c r="B278" s="33" t="s">
        <v>103</v>
      </c>
      <c r="C278" s="34" t="s">
        <v>119</v>
      </c>
      <c r="D278" s="33"/>
      <c r="E278" s="148"/>
      <c r="F278" s="148"/>
      <c r="G278" s="148"/>
      <c r="H278" s="148"/>
      <c r="I278" s="148"/>
      <c r="J278" s="33"/>
      <c r="K278" s="33"/>
      <c r="L278" s="148"/>
      <c r="M278" s="33"/>
      <c r="N278" s="33"/>
      <c r="O278" s="33"/>
      <c r="P278" s="33"/>
      <c r="Q278" s="33"/>
      <c r="R278" s="33"/>
    </row>
    <row r="279" spans="1:23" ht="12.6" customHeight="1" x14ac:dyDescent="0.25">
      <c r="A279" s="53">
        <f t="shared" si="231"/>
        <v>273</v>
      </c>
      <c r="D279" s="2" t="s">
        <v>17</v>
      </c>
      <c r="E279" s="149"/>
      <c r="F279" s="132"/>
      <c r="G279" s="131"/>
      <c r="H279" s="132">
        <v>4501</v>
      </c>
      <c r="I279" s="131"/>
      <c r="J279" s="4"/>
      <c r="K279" s="45"/>
      <c r="L279" s="132">
        <f>H279*S279</f>
        <v>4677.9320388491587</v>
      </c>
      <c r="M279" s="5"/>
      <c r="N279" s="5"/>
      <c r="O279" s="4"/>
      <c r="P279" s="4"/>
      <c r="Q279" s="16"/>
      <c r="R279" s="16"/>
      <c r="S279" s="119">
        <f>1+$O$210</f>
        <v>1.0393094954119437</v>
      </c>
      <c r="T279" s="4">
        <f t="shared" ref="T279:T282" si="237">L279/H279-1</f>
        <v>3.9309495411943729E-2</v>
      </c>
    </row>
    <row r="280" spans="1:23" x14ac:dyDescent="0.25">
      <c r="A280" s="53">
        <f t="shared" si="231"/>
        <v>274</v>
      </c>
      <c r="D280" s="2" t="s">
        <v>54</v>
      </c>
      <c r="E280" s="149"/>
      <c r="F280" s="159"/>
      <c r="G280" s="131"/>
      <c r="H280" s="132">
        <v>6.62</v>
      </c>
      <c r="I280" s="131"/>
      <c r="J280" s="4"/>
      <c r="K280" s="45"/>
      <c r="L280" s="132">
        <f>L265</f>
        <v>6.88</v>
      </c>
      <c r="M280" s="5"/>
      <c r="N280" s="5"/>
      <c r="O280" s="4"/>
      <c r="P280" s="4"/>
      <c r="Q280" s="16"/>
      <c r="R280" s="16"/>
      <c r="S280" s="119">
        <f t="shared" ref="S280:S282" si="238">1+$O$210</f>
        <v>1.0393094954119437</v>
      </c>
      <c r="T280" s="4">
        <f t="shared" si="237"/>
        <v>3.92749244712991E-2</v>
      </c>
      <c r="W280" s="2" t="s">
        <v>121</v>
      </c>
    </row>
    <row r="281" spans="1:23" x14ac:dyDescent="0.25">
      <c r="A281" s="53">
        <f t="shared" si="231"/>
        <v>275</v>
      </c>
      <c r="D281" s="2" t="s">
        <v>101</v>
      </c>
      <c r="E281" s="149"/>
      <c r="F281" s="159"/>
      <c r="G281" s="131"/>
      <c r="H281" s="134">
        <v>5.5412000000000003E-2</v>
      </c>
      <c r="I281" s="131"/>
      <c r="J281" s="4"/>
      <c r="K281" s="45"/>
      <c r="L281" s="134">
        <f>H281*S281</f>
        <v>5.7590217759766631E-2</v>
      </c>
      <c r="M281" s="5"/>
      <c r="N281" s="5"/>
      <c r="O281" s="4"/>
      <c r="P281" s="4"/>
      <c r="Q281" s="16"/>
      <c r="R281" s="16"/>
      <c r="S281" s="119">
        <f t="shared" si="238"/>
        <v>1.0393094954119437</v>
      </c>
      <c r="T281" s="4">
        <f t="shared" si="237"/>
        <v>3.9309495411943729E-2</v>
      </c>
    </row>
    <row r="282" spans="1:23" x14ac:dyDescent="0.25">
      <c r="A282" s="53">
        <f t="shared" si="231"/>
        <v>276</v>
      </c>
      <c r="D282" s="2" t="s">
        <v>102</v>
      </c>
      <c r="E282" s="149"/>
      <c r="F282" s="159"/>
      <c r="G282" s="131"/>
      <c r="H282" s="134">
        <v>4.6974000000000002E-2</v>
      </c>
      <c r="I282" s="131"/>
      <c r="J282" s="4"/>
      <c r="K282" s="45"/>
      <c r="L282" s="134">
        <f>H282*S282</f>
        <v>4.8820524237480643E-2</v>
      </c>
      <c r="M282" s="5"/>
      <c r="N282" s="5"/>
      <c r="O282" s="4"/>
      <c r="P282" s="4"/>
      <c r="Q282" s="16"/>
      <c r="R282" s="16"/>
      <c r="S282" s="119">
        <f t="shared" si="238"/>
        <v>1.0393094954119437</v>
      </c>
      <c r="T282" s="4">
        <f t="shared" si="237"/>
        <v>3.9309495411943729E-2</v>
      </c>
    </row>
  </sheetData>
  <phoneticPr fontId="8" type="noConversion"/>
  <printOptions horizontalCentered="1"/>
  <pageMargins left="0.7" right="0.7" top="0.75" bottom="0.75" header="0.3" footer="0.3"/>
  <pageSetup scale="57" fitToHeight="6" orientation="landscape" r:id="rId1"/>
  <headerFooter>
    <oddHeader>&amp;R&amp;"Arial,Bold"&amp;10Exhibit 3
Page &amp;P of &amp;N</oddHeader>
  </headerFooter>
  <rowBreaks count="5" manualBreakCount="5">
    <brk id="55" max="17" man="1"/>
    <brk id="105" max="17" man="1"/>
    <brk id="144" max="17" man="1"/>
    <brk id="184" max="17" man="1"/>
    <brk id="237" max="17" man="1"/>
  </rowBreaks>
  <ignoredErrors>
    <ignoredError sqref="M10:O10 N23 N35:O35 N47:O47 N59 N71:O71 N97 N110 N123 N136 N150:O150 N164 N176 N200:O200 O59:O65 O97:O110 O123:O136 O164:O176 L224:L241 L245:L270 L275:L28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N166"/>
  <sheetViews>
    <sheetView tabSelected="1" view="pageBreakPreview" zoomScale="60" zoomScaleNormal="85" workbookViewId="0">
      <selection activeCell="P9" sqref="P9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8" style="20" customWidth="1"/>
    <col min="4" max="4" width="35.109375" style="3" bestFit="1" customWidth="1"/>
    <col min="5" max="5" width="33.77734375" style="2" bestFit="1" customWidth="1"/>
    <col min="6" max="6" width="14.6640625" style="2" customWidth="1"/>
    <col min="7" max="7" width="12.5546875" style="2" customWidth="1"/>
    <col min="8" max="12" width="8.88671875" style="2"/>
    <col min="13" max="13" width="13.33203125" style="2" customWidth="1"/>
    <col min="14" max="14" width="17.6640625" style="2" customWidth="1"/>
    <col min="15" max="16384" width="8.88671875" style="2"/>
  </cols>
  <sheetData>
    <row r="1" spans="1:14" x14ac:dyDescent="0.25">
      <c r="A1" s="1" t="str">
        <f>Summary!A1</f>
        <v>FARMERS RECC</v>
      </c>
    </row>
    <row r="2" spans="1:14" x14ac:dyDescent="0.25">
      <c r="A2" s="1" t="s">
        <v>124</v>
      </c>
    </row>
    <row r="4" spans="1:14" x14ac:dyDescent="0.25">
      <c r="C4" s="90" t="s">
        <v>97</v>
      </c>
      <c r="D4" s="120"/>
      <c r="E4" s="89" t="s">
        <v>2</v>
      </c>
      <c r="F4" s="93" t="s">
        <v>49</v>
      </c>
      <c r="G4" s="93" t="s">
        <v>50</v>
      </c>
    </row>
    <row r="5" spans="1:14" x14ac:dyDescent="0.25">
      <c r="C5" s="20">
        <f>'Billing Detail'!C7</f>
        <v>1</v>
      </c>
      <c r="D5" s="121" t="str">
        <f>'Billing Detail'!B7</f>
        <v xml:space="preserve">Residential </v>
      </c>
    </row>
    <row r="6" spans="1:14" x14ac:dyDescent="0.25">
      <c r="D6" s="121"/>
      <c r="E6" s="2" t="str">
        <f>'Billing Detail'!D8</f>
        <v>Customer Charge</v>
      </c>
      <c r="F6" s="91">
        <f>'Billing Detail'!H8</f>
        <v>14</v>
      </c>
      <c r="G6" s="91">
        <f>'Billing Detail'!L8</f>
        <v>14.55</v>
      </c>
      <c r="J6" s="4">
        <f>G6/F6-1</f>
        <v>3.9285714285714368E-2</v>
      </c>
      <c r="N6" s="15"/>
    </row>
    <row r="7" spans="1:14" x14ac:dyDescent="0.25">
      <c r="D7" s="121"/>
      <c r="E7" s="2" t="str">
        <f>'Billing Detail'!D9</f>
        <v>Energy Charge per kWh</v>
      </c>
      <c r="F7" s="101">
        <f>'Billing Detail'!H9</f>
        <v>8.4698999999999997E-2</v>
      </c>
      <c r="G7" s="101">
        <f>'Billing Detail'!L9</f>
        <v>8.8028999999999996E-2</v>
      </c>
      <c r="J7" s="4">
        <f t="shared" ref="J7:J63" si="0">G7/F7-1</f>
        <v>3.931569440017002E-2</v>
      </c>
      <c r="M7" s="161"/>
      <c r="N7" s="160"/>
    </row>
    <row r="8" spans="1:14" x14ac:dyDescent="0.25">
      <c r="C8" s="20">
        <f>'Billing Detail'!C19</f>
        <v>3</v>
      </c>
      <c r="D8" s="121" t="str">
        <f>'Billing Detail'!B19</f>
        <v>Residential TOD</v>
      </c>
      <c r="F8" s="92"/>
      <c r="G8" s="92"/>
      <c r="J8" s="4"/>
    </row>
    <row r="9" spans="1:14" x14ac:dyDescent="0.25">
      <c r="D9" s="121"/>
      <c r="E9" s="2" t="str">
        <f>'Billing Detail'!D20</f>
        <v>Customer Charge</v>
      </c>
      <c r="F9" s="91">
        <f>'Billing Detail'!H20</f>
        <v>19.649999999999999</v>
      </c>
      <c r="G9" s="91">
        <f>'Billing Detail'!L20</f>
        <v>20.420000000000002</v>
      </c>
      <c r="J9" s="4">
        <f t="shared" si="0"/>
        <v>3.9185750636132388E-2</v>
      </c>
    </row>
    <row r="10" spans="1:14" x14ac:dyDescent="0.25">
      <c r="D10" s="121"/>
      <c r="E10" s="2" t="str">
        <f>'Billing Detail'!D21</f>
        <v>Energy Charge - On Peak per kWh</v>
      </c>
      <c r="F10" s="101">
        <f>'Billing Detail'!H21</f>
        <v>0.100449</v>
      </c>
      <c r="G10" s="101">
        <f>'Billing Detail'!L21</f>
        <v>0.104398</v>
      </c>
      <c r="J10" s="4">
        <f t="shared" si="0"/>
        <v>3.9313482463738003E-2</v>
      </c>
    </row>
    <row r="11" spans="1:14" x14ac:dyDescent="0.25">
      <c r="D11" s="121"/>
      <c r="E11" s="2" t="str">
        <f>'Billing Detail'!D22</f>
        <v>Energy Charge - Off Peak per kWh</v>
      </c>
      <c r="F11" s="101">
        <f>'Billing Detail'!H22</f>
        <v>5.5919999999999997E-2</v>
      </c>
      <c r="G11" s="101">
        <f>'Billing Detail'!L22</f>
        <v>5.8118999999999997E-2</v>
      </c>
      <c r="J11" s="4">
        <f t="shared" si="0"/>
        <v>3.9324034334763835E-2</v>
      </c>
    </row>
    <row r="12" spans="1:14" x14ac:dyDescent="0.25">
      <c r="C12" s="20">
        <f>'Billing Detail'!C32</f>
        <v>20</v>
      </c>
      <c r="D12" s="121" t="str">
        <f>'Billing Detail'!B32</f>
        <v>Net Metering</v>
      </c>
      <c r="F12" s="91"/>
      <c r="G12" s="91"/>
      <c r="J12" s="4"/>
    </row>
    <row r="13" spans="1:14" x14ac:dyDescent="0.25">
      <c r="D13" s="121"/>
      <c r="E13" s="2" t="str">
        <f>'Billing Detail'!D33</f>
        <v>Customer Charge</v>
      </c>
      <c r="F13" s="91">
        <f>'Billing Detail'!H33</f>
        <v>14</v>
      </c>
      <c r="G13" s="91">
        <f>'Billing Detail'!L33</f>
        <v>14.55</v>
      </c>
      <c r="J13" s="4">
        <f t="shared" si="0"/>
        <v>3.9285714285714368E-2</v>
      </c>
    </row>
    <row r="14" spans="1:14" x14ac:dyDescent="0.25">
      <c r="D14" s="121"/>
      <c r="E14" s="2" t="str">
        <f>'Billing Detail'!D34</f>
        <v>Energy Charge per kWh</v>
      </c>
      <c r="F14" s="101">
        <f>'Billing Detail'!H34</f>
        <v>8.4698999999999997E-2</v>
      </c>
      <c r="G14" s="101">
        <f>'Billing Detail'!L34</f>
        <v>8.8028999999999996E-2</v>
      </c>
      <c r="J14" s="4">
        <f t="shared" si="0"/>
        <v>3.931569440017002E-2</v>
      </c>
    </row>
    <row r="15" spans="1:14" x14ac:dyDescent="0.25">
      <c r="C15" s="20">
        <f>'Billing Detail'!C44</f>
        <v>7</v>
      </c>
      <c r="D15" s="121" t="str">
        <f>'Billing Detail'!B44</f>
        <v>Residential Off-Peak Mktg ETS</v>
      </c>
      <c r="F15" s="92"/>
      <c r="G15" s="92"/>
      <c r="J15" s="4"/>
    </row>
    <row r="16" spans="1:14" x14ac:dyDescent="0.25">
      <c r="D16" s="121"/>
      <c r="E16" s="2" t="str">
        <f>'Billing Detail'!D46</f>
        <v>Energy Charge - Off Peak per kWh</v>
      </c>
      <c r="F16" s="101">
        <f>'Billing Detail'!H46</f>
        <v>4.9187000000000002E-2</v>
      </c>
      <c r="G16" s="101">
        <f>'Billing Detail'!L46</f>
        <v>5.1121E-2</v>
      </c>
      <c r="J16" s="4">
        <f t="shared" si="0"/>
        <v>3.931933234391205E-2</v>
      </c>
    </row>
    <row r="17" spans="3:10" x14ac:dyDescent="0.25">
      <c r="C17" s="20">
        <f>'Billing Detail'!C56</f>
        <v>4</v>
      </c>
      <c r="D17" s="121" t="str">
        <f>'Billing Detail'!B56</f>
        <v>Commercial &amp; Industrial &lt; 50 KW</v>
      </c>
      <c r="F17" s="91"/>
      <c r="G17" s="91"/>
      <c r="J17" s="4"/>
    </row>
    <row r="18" spans="3:10" x14ac:dyDescent="0.25">
      <c r="D18" s="121"/>
      <c r="E18" s="2" t="str">
        <f>'Billing Detail'!D57</f>
        <v>Customer Charge</v>
      </c>
      <c r="F18" s="91">
        <f>'Billing Detail'!H57</f>
        <v>21.32</v>
      </c>
      <c r="G18" s="91">
        <f>'Billing Detail'!L57</f>
        <v>22.16</v>
      </c>
      <c r="J18" s="4">
        <f t="shared" si="0"/>
        <v>3.9399624765478425E-2</v>
      </c>
    </row>
    <row r="19" spans="3:10" x14ac:dyDescent="0.25">
      <c r="D19" s="121"/>
      <c r="E19" s="2" t="str">
        <f>'Billing Detail'!D58</f>
        <v>Energy Charge per kWh</v>
      </c>
      <c r="F19" s="101">
        <f>'Billing Detail'!H58</f>
        <v>7.9975000000000004E-2</v>
      </c>
      <c r="G19" s="101">
        <f>'Billing Detail'!L58</f>
        <v>8.3118999999999998E-2</v>
      </c>
      <c r="J19" s="4">
        <f t="shared" si="0"/>
        <v>3.9312285089090349E-2</v>
      </c>
    </row>
    <row r="20" spans="3:10" x14ac:dyDescent="0.25">
      <c r="C20" s="20">
        <f>'Billing Detail'!C68</f>
        <v>8</v>
      </c>
      <c r="D20" s="121" t="str">
        <f>'Billing Detail'!B68</f>
        <v>Small Commercial ETS</v>
      </c>
      <c r="F20" s="92"/>
      <c r="G20" s="92"/>
      <c r="J20" s="4"/>
    </row>
    <row r="21" spans="3:10" x14ac:dyDescent="0.25">
      <c r="D21" s="121"/>
      <c r="E21" s="2" t="str">
        <f>'Billing Detail'!D70</f>
        <v>Energy Charge per kWh</v>
      </c>
      <c r="F21" s="101">
        <f>'Billing Detail'!H70</f>
        <v>4.6352999999999998E-2</v>
      </c>
      <c r="G21" s="101">
        <f>'Billing Detail'!L70</f>
        <v>4.8175000000000003E-2</v>
      </c>
      <c r="J21" s="4">
        <f t="shared" si="0"/>
        <v>3.9307056716933131E-2</v>
      </c>
    </row>
    <row r="22" spans="3:10" x14ac:dyDescent="0.25">
      <c r="C22" s="20">
        <f>'Billing Detail'!C80</f>
        <v>5</v>
      </c>
      <c r="D22" s="121" t="str">
        <f>'Billing Detail'!B80</f>
        <v>Commercial &amp; Industrial &gt; 50 KW</v>
      </c>
      <c r="F22" s="91"/>
      <c r="G22" s="91"/>
      <c r="J22" s="4"/>
    </row>
    <row r="23" spans="3:10" x14ac:dyDescent="0.25">
      <c r="D23" s="121"/>
      <c r="E23" s="2" t="str">
        <f>'Billing Detail'!D81</f>
        <v>Customer Charge</v>
      </c>
      <c r="F23" s="102">
        <f>'Billing Detail'!H81</f>
        <v>105</v>
      </c>
      <c r="G23" s="102">
        <f>'Billing Detail'!L81</f>
        <v>109.13</v>
      </c>
      <c r="J23" s="4">
        <f t="shared" si="0"/>
        <v>3.933333333333322E-2</v>
      </c>
    </row>
    <row r="24" spans="3:10" x14ac:dyDescent="0.25">
      <c r="D24" s="121"/>
      <c r="E24" s="2" t="str">
        <f>'Billing Detail'!D82</f>
        <v>Energy Charge per kWh</v>
      </c>
      <c r="F24" s="101">
        <f>'Billing Detail'!H82</f>
        <v>6.0885000000000002E-2</v>
      </c>
      <c r="G24" s="101">
        <f>'Billing Detail'!L82</f>
        <v>6.3278000000000001E-2</v>
      </c>
      <c r="J24" s="4">
        <f t="shared" si="0"/>
        <v>3.9303605157263721E-2</v>
      </c>
    </row>
    <row r="25" spans="3:10" x14ac:dyDescent="0.25">
      <c r="D25" s="121"/>
      <c r="E25" s="2" t="str">
        <f>'Billing Detail'!D83</f>
        <v>Demand Charge per kW</v>
      </c>
      <c r="F25" s="91">
        <f>'Billing Detail'!H83</f>
        <v>7.89</v>
      </c>
      <c r="G25" s="91">
        <f>'Billing Detail'!L83</f>
        <v>8.2001690000000007</v>
      </c>
      <c r="J25" s="4">
        <f t="shared" si="0"/>
        <v>3.9311660329531151E-2</v>
      </c>
    </row>
    <row r="26" spans="3:10" x14ac:dyDescent="0.25">
      <c r="C26" s="20">
        <f>'Billing Detail'!C106</f>
        <v>10</v>
      </c>
      <c r="D26" s="121" t="str">
        <f>'Billing Detail'!B106</f>
        <v>Large Industrial</v>
      </c>
      <c r="F26" s="102"/>
      <c r="G26" s="102"/>
      <c r="J26" s="4"/>
    </row>
    <row r="27" spans="3:10" x14ac:dyDescent="0.25">
      <c r="D27" s="121"/>
      <c r="E27" s="2" t="str">
        <f>'Billing Detail'!D107</f>
        <v>Customer Charge</v>
      </c>
      <c r="F27" s="102">
        <f>'Billing Detail'!H107</f>
        <v>1142.46</v>
      </c>
      <c r="G27" s="102">
        <f>'Billing Detail'!L107</f>
        <v>1187.3699999999999</v>
      </c>
      <c r="J27" s="4">
        <f t="shared" si="0"/>
        <v>3.9309910193792152E-2</v>
      </c>
    </row>
    <row r="28" spans="3:10" x14ac:dyDescent="0.25">
      <c r="D28" s="121"/>
      <c r="E28" s="2" t="str">
        <f>'Billing Detail'!D108</f>
        <v>Demand Charge per kW</v>
      </c>
      <c r="F28" s="102">
        <f>'Billing Detail'!H108</f>
        <v>7.89</v>
      </c>
      <c r="G28" s="102">
        <f>'Billing Detail'!L108</f>
        <v>8.1999999999999993</v>
      </c>
      <c r="J28" s="4">
        <f t="shared" si="0"/>
        <v>3.9290240811153287E-2</v>
      </c>
    </row>
    <row r="29" spans="3:10" x14ac:dyDescent="0.25">
      <c r="D29" s="121"/>
      <c r="E29" s="2" t="str">
        <f>'Billing Detail'!D109</f>
        <v>Energy Charge per kWh</v>
      </c>
      <c r="F29" s="101">
        <f>'Billing Detail'!H109</f>
        <v>4.7432000000000002E-2</v>
      </c>
      <c r="G29" s="101">
        <f>'Billing Detail'!L109</f>
        <v>4.9297000000000001E-2</v>
      </c>
      <c r="J29" s="4">
        <f t="shared" si="0"/>
        <v>3.9319446786979295E-2</v>
      </c>
    </row>
    <row r="30" spans="3:10" x14ac:dyDescent="0.25">
      <c r="C30" s="20">
        <f>'Billing Detail'!C119</f>
        <v>14</v>
      </c>
      <c r="D30" s="121" t="str">
        <f>'Billing Detail'!B119</f>
        <v>Large Power Schedule LPC2</v>
      </c>
      <c r="E30" s="87"/>
      <c r="F30" s="91"/>
      <c r="G30" s="91"/>
      <c r="J30" s="4"/>
    </row>
    <row r="31" spans="3:10" x14ac:dyDescent="0.25">
      <c r="D31" s="121"/>
      <c r="E31" s="2" t="str">
        <f>'Billing Detail'!D120</f>
        <v>Customer Charge</v>
      </c>
      <c r="F31" s="91">
        <f>'Billing Detail'!H120</f>
        <v>1288</v>
      </c>
      <c r="G31" s="91">
        <f>'Billing Detail'!L120</f>
        <v>1338.63</v>
      </c>
      <c r="J31" s="4">
        <f t="shared" si="0"/>
        <v>3.9309006211180275E-2</v>
      </c>
    </row>
    <row r="32" spans="3:10" x14ac:dyDescent="0.25">
      <c r="D32" s="121"/>
      <c r="E32" s="2" t="str">
        <f>'Billing Detail'!D121</f>
        <v>Demand Charge per kW</v>
      </c>
      <c r="F32" s="91">
        <f>'Billing Detail'!H121</f>
        <v>7.77</v>
      </c>
      <c r="G32" s="91">
        <f>'Billing Detail'!L121</f>
        <v>8.08</v>
      </c>
      <c r="J32" s="4">
        <f t="shared" si="0"/>
        <v>3.9897039897039965E-2</v>
      </c>
    </row>
    <row r="33" spans="3:10" x14ac:dyDescent="0.25">
      <c r="D33" s="121"/>
      <c r="E33" s="2" t="str">
        <f>'Billing Detail'!D122</f>
        <v>Energy Charge per kWh</v>
      </c>
      <c r="F33" s="101">
        <f>'Billing Detail'!H122</f>
        <v>5.1665999999999997E-2</v>
      </c>
      <c r="G33" s="101">
        <f>'Billing Detail'!L122</f>
        <v>5.3697000000000002E-2</v>
      </c>
      <c r="J33" s="4">
        <f t="shared" si="0"/>
        <v>3.9310184647543878E-2</v>
      </c>
    </row>
    <row r="34" spans="3:10" x14ac:dyDescent="0.25">
      <c r="C34" s="20">
        <f>'Billing Detail'!C132</f>
        <v>15</v>
      </c>
      <c r="D34" s="121" t="str">
        <f>'Billing Detail'!B132</f>
        <v>Large Commercial Optional TOD</v>
      </c>
      <c r="F34" s="91"/>
      <c r="G34" s="91"/>
      <c r="J34" s="4"/>
    </row>
    <row r="35" spans="3:10" x14ac:dyDescent="0.25">
      <c r="D35" s="121"/>
      <c r="E35" s="2" t="str">
        <f>'Billing Detail'!D133</f>
        <v>Customer Charge</v>
      </c>
      <c r="F35" s="17">
        <f>'Billing Detail'!H133</f>
        <v>105</v>
      </c>
      <c r="G35" s="17">
        <f>'Billing Detail'!L133</f>
        <v>109.13</v>
      </c>
      <c r="J35" s="4">
        <f t="shared" si="0"/>
        <v>3.933333333333322E-2</v>
      </c>
    </row>
    <row r="36" spans="3:10" x14ac:dyDescent="0.25">
      <c r="D36" s="121"/>
      <c r="E36" s="2" t="str">
        <f>'Billing Detail'!D134</f>
        <v>Demand Charge per kW</v>
      </c>
      <c r="F36" s="91">
        <f>'Billing Detail'!H134</f>
        <v>7.89</v>
      </c>
      <c r="G36" s="91">
        <f>'Billing Detail'!L134</f>
        <v>8.1999999999999993</v>
      </c>
      <c r="J36" s="4">
        <f t="shared" si="0"/>
        <v>3.9290240811153287E-2</v>
      </c>
    </row>
    <row r="37" spans="3:10" x14ac:dyDescent="0.25">
      <c r="D37" s="121"/>
      <c r="E37" s="2" t="str">
        <f>'Billing Detail'!D135</f>
        <v>Energy Charge per kWh</v>
      </c>
      <c r="F37" s="101">
        <f>'Billing Detail'!H135</f>
        <v>6.08E-2</v>
      </c>
      <c r="G37" s="101">
        <f>'Billing Detail'!L135</f>
        <v>6.3189999999999996E-2</v>
      </c>
      <c r="J37" s="4">
        <f t="shared" si="0"/>
        <v>3.9309210526315752E-2</v>
      </c>
    </row>
    <row r="38" spans="3:10" x14ac:dyDescent="0.25">
      <c r="C38" s="20">
        <f>'Billing Detail'!C145</f>
        <v>36</v>
      </c>
      <c r="D38" s="121" t="str">
        <f>'Billing Detail'!B145</f>
        <v>Large Power Schedule LPE4</v>
      </c>
      <c r="F38" s="91"/>
      <c r="G38" s="91"/>
      <c r="J38" s="4"/>
    </row>
    <row r="39" spans="3:10" x14ac:dyDescent="0.25">
      <c r="D39" s="121"/>
      <c r="E39" s="2" t="str">
        <f>'Billing Detail'!D146</f>
        <v>Customer Charge</v>
      </c>
      <c r="F39" s="91">
        <f>'Billing Detail'!H146</f>
        <v>3215</v>
      </c>
      <c r="G39" s="91">
        <f>'Billing Detail'!L146</f>
        <v>3341.39</v>
      </c>
      <c r="J39" s="4">
        <f t="shared" si="0"/>
        <v>3.9312597200622079E-2</v>
      </c>
    </row>
    <row r="40" spans="3:10" x14ac:dyDescent="0.25">
      <c r="D40" s="121"/>
      <c r="E40" s="2" t="str">
        <f>'Billing Detail'!D147</f>
        <v>Demand Charge per kW</v>
      </c>
      <c r="F40" s="91">
        <f>'Billing Detail'!H147</f>
        <v>6.62</v>
      </c>
      <c r="G40" s="91">
        <f>'Billing Detail'!L147</f>
        <v>6.88</v>
      </c>
      <c r="J40" s="4">
        <f t="shared" si="0"/>
        <v>3.92749244712991E-2</v>
      </c>
    </row>
    <row r="41" spans="3:10" x14ac:dyDescent="0.25">
      <c r="D41" s="121"/>
      <c r="E41" s="2" t="str">
        <f>'Billing Detail'!D148</f>
        <v>Energy Charge - On Peak per kWh</v>
      </c>
      <c r="F41" s="101">
        <f>'Billing Detail'!H148</f>
        <v>5.79E-2</v>
      </c>
      <c r="G41" s="101">
        <f>'Billing Detail'!L148</f>
        <v>6.0176E-2</v>
      </c>
      <c r="J41" s="4">
        <f t="shared" si="0"/>
        <v>3.9309153713298794E-2</v>
      </c>
    </row>
    <row r="42" spans="3:10" x14ac:dyDescent="0.25">
      <c r="D42" s="121"/>
      <c r="E42" s="2" t="str">
        <f>'Billing Detail'!D149</f>
        <v>Energy Charge - Off Peak per kWh</v>
      </c>
      <c r="F42" s="101">
        <f>'Billing Detail'!H149</f>
        <v>4.9473999999999997E-2</v>
      </c>
      <c r="G42" s="101">
        <f>'Billing Detail'!L149</f>
        <v>5.1418999999999999E-2</v>
      </c>
      <c r="J42" s="4">
        <f t="shared" si="0"/>
        <v>3.9313578849496711E-2</v>
      </c>
    </row>
    <row r="43" spans="3:10" x14ac:dyDescent="0.25">
      <c r="C43" s="20">
        <f>'Billing Detail'!C159</f>
        <v>50</v>
      </c>
      <c r="D43" s="121" t="str">
        <f>'Billing Detail'!B159</f>
        <v>TOD Three Phase - Schedule C</v>
      </c>
      <c r="F43" s="91"/>
      <c r="G43" s="91"/>
      <c r="J43" s="4"/>
    </row>
    <row r="44" spans="3:10" x14ac:dyDescent="0.25">
      <c r="D44" s="121"/>
      <c r="E44" s="2" t="str">
        <f>'Billing Detail'!D160</f>
        <v>Customer Charge Single Phase</v>
      </c>
      <c r="F44" s="91">
        <f>'Billing Detail'!H160</f>
        <v>21.32</v>
      </c>
      <c r="G44" s="91">
        <f>'Billing Detail'!L160</f>
        <v>22.15812354915662</v>
      </c>
      <c r="J44" s="4">
        <f t="shared" si="0"/>
        <v>3.9311611123668877E-2</v>
      </c>
    </row>
    <row r="45" spans="3:10" x14ac:dyDescent="0.25">
      <c r="D45" s="121"/>
      <c r="E45" s="2" t="str">
        <f>'Billing Detail'!D161</f>
        <v>Customer Charge Three Phase</v>
      </c>
      <c r="F45" s="91">
        <f>'Billing Detail'!H161</f>
        <v>105</v>
      </c>
      <c r="G45" s="91">
        <f>'Billing Detail'!L161</f>
        <v>109.13</v>
      </c>
      <c r="J45" s="4">
        <f t="shared" si="0"/>
        <v>3.933333333333322E-2</v>
      </c>
    </row>
    <row r="46" spans="3:10" x14ac:dyDescent="0.25">
      <c r="D46" s="121"/>
      <c r="E46" s="2" t="str">
        <f>'Billing Detail'!D162</f>
        <v>Energy Charge - On Peak per kWh</v>
      </c>
      <c r="F46" s="101">
        <f>'Billing Detail'!H162</f>
        <v>0.11376</v>
      </c>
      <c r="G46" s="101">
        <f>'Billing Detail'!L162</f>
        <v>0.118232</v>
      </c>
      <c r="J46" s="4">
        <f t="shared" si="0"/>
        <v>3.9310829817158943E-2</v>
      </c>
    </row>
    <row r="47" spans="3:10" x14ac:dyDescent="0.25">
      <c r="D47" s="121"/>
      <c r="E47" s="2" t="str">
        <f>'Billing Detail'!D163</f>
        <v>Energy Charge - Off Peak per kWh</v>
      </c>
      <c r="F47" s="101">
        <f>'Billing Detail'!H163</f>
        <v>5.5919999999999997E-2</v>
      </c>
      <c r="G47" s="101">
        <f>'Billing Detail'!L163</f>
        <v>5.8118000000000003E-2</v>
      </c>
      <c r="J47" s="4">
        <f t="shared" si="0"/>
        <v>3.9306151645207565E-2</v>
      </c>
    </row>
    <row r="48" spans="3:10" x14ac:dyDescent="0.25">
      <c r="C48" s="20">
        <f>'Billing Detail'!C173</f>
        <v>6</v>
      </c>
      <c r="D48" s="121" t="str">
        <f>'Billing Detail'!B173</f>
        <v>Street Lighting</v>
      </c>
      <c r="F48" s="91"/>
      <c r="G48" s="91"/>
      <c r="J48" s="4"/>
    </row>
    <row r="49" spans="3:10" x14ac:dyDescent="0.25">
      <c r="D49" s="121"/>
      <c r="E49" s="2" t="str">
        <f>'Billing Detail'!D175</f>
        <v>Energy Charge per kWh</v>
      </c>
      <c r="F49" s="101">
        <f>'Billing Detail'!H175</f>
        <v>5.4760000000000003E-2</v>
      </c>
      <c r="G49" s="101">
        <f>'Billing Detail'!L175</f>
        <v>5.6912999999999998E-2</v>
      </c>
      <c r="J49" s="4">
        <f t="shared" si="0"/>
        <v>3.9317019722425073E-2</v>
      </c>
    </row>
    <row r="50" spans="3:10" x14ac:dyDescent="0.25">
      <c r="C50" s="20">
        <f>'Billing Detail'!C185</f>
        <v>6</v>
      </c>
      <c r="D50" s="121" t="str">
        <f>'Billing Detail'!B185</f>
        <v>Lighting</v>
      </c>
      <c r="F50" s="91"/>
      <c r="G50" s="91"/>
      <c r="J50" s="4"/>
    </row>
    <row r="51" spans="3:10" x14ac:dyDescent="0.25">
      <c r="D51" s="121"/>
      <c r="E51" s="2" t="str">
        <f>'Billing Detail'!D186</f>
        <v>Mercury Vapor 175 Watt</v>
      </c>
      <c r="F51" s="91">
        <f>'Billing Detail'!H186</f>
        <v>9.44</v>
      </c>
      <c r="G51" s="91">
        <f>'Billing Detail'!L186</f>
        <v>9.81</v>
      </c>
      <c r="J51" s="4">
        <f t="shared" si="0"/>
        <v>3.9194915254237461E-2</v>
      </c>
    </row>
    <row r="52" spans="3:10" x14ac:dyDescent="0.25">
      <c r="E52" s="2" t="str">
        <f>'Billing Detail'!D187</f>
        <v>Mercury Vapor 175 Watt (shared)</v>
      </c>
      <c r="F52" s="91">
        <f>'Billing Detail'!H187</f>
        <v>3.15</v>
      </c>
      <c r="G52" s="91">
        <f>'Billing Detail'!L187</f>
        <v>3.27</v>
      </c>
      <c r="J52" s="4">
        <f t="shared" si="0"/>
        <v>3.8095238095238182E-2</v>
      </c>
    </row>
    <row r="53" spans="3:10" x14ac:dyDescent="0.25">
      <c r="E53" s="2" t="str">
        <f>'Billing Detail'!D188</f>
        <v>Mercury Vapor 250 Watt</v>
      </c>
      <c r="F53" s="91">
        <f>'Billing Detail'!H188</f>
        <v>10.73</v>
      </c>
      <c r="G53" s="91">
        <f>'Billing Detail'!L188</f>
        <v>11.15</v>
      </c>
      <c r="J53" s="4">
        <f t="shared" si="0"/>
        <v>3.9142590866728888E-2</v>
      </c>
    </row>
    <row r="54" spans="3:10" x14ac:dyDescent="0.25">
      <c r="E54" s="2" t="str">
        <f>'Billing Detail'!D189</f>
        <v>Mercury Vapor 400 Watt</v>
      </c>
      <c r="F54" s="91">
        <f>'Billing Detail'!H189</f>
        <v>16.3</v>
      </c>
      <c r="G54" s="91">
        <f>'Billing Detail'!L189</f>
        <v>16.940000000000001</v>
      </c>
      <c r="J54" s="4">
        <f t="shared" si="0"/>
        <v>3.926380368098159E-2</v>
      </c>
    </row>
    <row r="55" spans="3:10" x14ac:dyDescent="0.25">
      <c r="E55" s="2" t="str">
        <f>'Billing Detail'!D190</f>
        <v>Mercury Vapor 1000 Watt</v>
      </c>
      <c r="F55" s="91">
        <f>'Billing Detail'!H190</f>
        <v>28.58</v>
      </c>
      <c r="G55" s="91">
        <f>'Billing Detail'!L190</f>
        <v>29.7</v>
      </c>
      <c r="J55" s="4">
        <f t="shared" si="0"/>
        <v>3.9188243526941946E-2</v>
      </c>
    </row>
    <row r="56" spans="3:10" x14ac:dyDescent="0.25">
      <c r="E56" s="2" t="str">
        <f>'Billing Detail'!D191</f>
        <v>Sodium Vapor 100 Watt</v>
      </c>
      <c r="F56" s="91">
        <f>'Billing Detail'!H191</f>
        <v>9.82</v>
      </c>
      <c r="G56" s="91">
        <f>'Billing Detail'!L191</f>
        <v>10.210000000000001</v>
      </c>
      <c r="J56" s="4">
        <f t="shared" si="0"/>
        <v>3.9714867617107963E-2</v>
      </c>
    </row>
    <row r="57" spans="3:10" x14ac:dyDescent="0.25">
      <c r="E57" s="2" t="str">
        <f>'Billing Detail'!D192</f>
        <v>Sodium Vapor 150 Watt</v>
      </c>
      <c r="F57" s="91">
        <f>'Billing Detail'!H192</f>
        <v>11.44</v>
      </c>
      <c r="G57" s="91">
        <f>'Billing Detail'!L192</f>
        <v>11.89</v>
      </c>
      <c r="J57" s="4">
        <f t="shared" si="0"/>
        <v>3.9335664335664378E-2</v>
      </c>
    </row>
    <row r="58" spans="3:10" x14ac:dyDescent="0.25">
      <c r="E58" s="2" t="str">
        <f>'Billing Detail'!D193</f>
        <v>Sodium Vapor 250 Watt</v>
      </c>
      <c r="F58" s="91">
        <f>'Billing Detail'!H193</f>
        <v>15.51</v>
      </c>
      <c r="G58" s="91">
        <f>'Billing Detail'!L193</f>
        <v>16.12</v>
      </c>
      <c r="J58" s="4">
        <f t="shared" si="0"/>
        <v>3.9329464861379781E-2</v>
      </c>
    </row>
    <row r="59" spans="3:10" x14ac:dyDescent="0.25">
      <c r="E59" s="2" t="str">
        <f>'Billing Detail'!D194</f>
        <v>Sodium Vapor 400 Watt</v>
      </c>
      <c r="F59" s="91">
        <f>'Billing Detail'!H194</f>
        <v>19.93</v>
      </c>
      <c r="G59" s="91">
        <f>'Billing Detail'!L194</f>
        <v>20.71</v>
      </c>
      <c r="J59" s="4">
        <f t="shared" si="0"/>
        <v>3.9136979427998098E-2</v>
      </c>
    </row>
    <row r="60" spans="3:10" x14ac:dyDescent="0.25">
      <c r="E60" s="2" t="str">
        <f>'Billing Detail'!D195</f>
        <v>Sodium Vapor 1000 Watt</v>
      </c>
      <c r="F60" s="91">
        <f>'Billing Detail'!H195</f>
        <v>43.11</v>
      </c>
      <c r="G60" s="91">
        <f>'Billing Detail'!L195</f>
        <v>44.8</v>
      </c>
      <c r="J60" s="4">
        <f t="shared" si="0"/>
        <v>3.9202041289723821E-2</v>
      </c>
    </row>
    <row r="61" spans="3:10" x14ac:dyDescent="0.25">
      <c r="E61" s="2" t="str">
        <f>'Billing Detail'!D196</f>
        <v>LED Light 70 Watt</v>
      </c>
      <c r="F61" s="91">
        <f>'Billing Detail'!H196</f>
        <v>9.77</v>
      </c>
      <c r="G61" s="91">
        <f>'Billing Detail'!L196</f>
        <v>10.15</v>
      </c>
      <c r="J61" s="4">
        <f t="shared" si="0"/>
        <v>3.8894575230296935E-2</v>
      </c>
    </row>
    <row r="62" spans="3:10" x14ac:dyDescent="0.25">
      <c r="E62" s="2" t="str">
        <f>'Billing Detail'!D197</f>
        <v>LED Light 105 Watt</v>
      </c>
      <c r="F62" s="91">
        <f>'Billing Detail'!H197</f>
        <v>15</v>
      </c>
      <c r="G62" s="91">
        <f>'Billing Detail'!L197</f>
        <v>15.59</v>
      </c>
      <c r="J62" s="4">
        <f t="shared" si="0"/>
        <v>3.933333333333322E-2</v>
      </c>
    </row>
    <row r="63" spans="3:10" x14ac:dyDescent="0.25">
      <c r="E63" s="2" t="str">
        <f>'Billing Detail'!D198</f>
        <v>LED Light 145 Watt</v>
      </c>
      <c r="F63" s="91">
        <f>'Billing Detail'!H198</f>
        <v>16.510000000000002</v>
      </c>
      <c r="G63" s="91">
        <f>'Billing Detail'!L198</f>
        <v>17.16</v>
      </c>
      <c r="J63" s="4">
        <f t="shared" si="0"/>
        <v>3.937007874015741E-2</v>
      </c>
    </row>
    <row r="64" spans="3:10" x14ac:dyDescent="0.25">
      <c r="E64" s="2" t="str">
        <f>'Billing Detail'!D199</f>
        <v>LED Flood Light 199 Watt</v>
      </c>
      <c r="F64" s="91">
        <f>'Billing Detail'!H199</f>
        <v>21.18</v>
      </c>
      <c r="G64" s="91">
        <f>'Billing Detail'!L199</f>
        <v>22.01</v>
      </c>
      <c r="J64" s="4">
        <f t="shared" ref="J64:J120" si="1">G64/F64-1</f>
        <v>3.9187913125590335E-2</v>
      </c>
    </row>
    <row r="65" spans="3:10" x14ac:dyDescent="0.25">
      <c r="C65" s="20" t="str">
        <f>'Billing Detail'!C222</f>
        <v>LPC-1</v>
      </c>
      <c r="D65" s="121" t="str">
        <f>'Billing Detail'!B222</f>
        <v>Large Power</v>
      </c>
      <c r="F65" s="87"/>
      <c r="G65" s="87"/>
      <c r="J65" s="4"/>
    </row>
    <row r="66" spans="3:10" x14ac:dyDescent="0.25">
      <c r="D66" s="121"/>
      <c r="E66" s="2" t="str">
        <f>'Billing Detail'!D223</f>
        <v>Customer Charge</v>
      </c>
      <c r="F66" s="91">
        <f>'Billing Detail'!H223</f>
        <v>1016</v>
      </c>
      <c r="G66" s="91">
        <f>'Billing Detail'!L223</f>
        <v>1055.9384473385348</v>
      </c>
      <c r="J66" s="4">
        <f t="shared" si="1"/>
        <v>3.9309495411943729E-2</v>
      </c>
    </row>
    <row r="67" spans="3:10" x14ac:dyDescent="0.25">
      <c r="D67" s="121"/>
      <c r="E67" s="2" t="str">
        <f>'Billing Detail'!D224</f>
        <v>Demand Charge per kW</v>
      </c>
      <c r="F67" s="91">
        <f>'Billing Detail'!H224</f>
        <v>7.77</v>
      </c>
      <c r="G67" s="91">
        <f>'Billing Detail'!L224</f>
        <v>8.08</v>
      </c>
      <c r="J67" s="4">
        <f t="shared" si="1"/>
        <v>3.9897039897039965E-2</v>
      </c>
    </row>
    <row r="68" spans="3:10" x14ac:dyDescent="0.25">
      <c r="D68" s="121"/>
      <c r="E68" s="2" t="str">
        <f>'Billing Detail'!D225</f>
        <v>Energy Charge per kWh</v>
      </c>
      <c r="F68" s="101">
        <f>'Billing Detail'!H225</f>
        <v>5.3661E-2</v>
      </c>
      <c r="G68" s="101">
        <f>'Billing Detail'!L225</f>
        <v>5.5770386833300316E-2</v>
      </c>
      <c r="J68" s="4">
        <f t="shared" si="1"/>
        <v>3.9309495411943729E-2</v>
      </c>
    </row>
    <row r="69" spans="3:10" x14ac:dyDescent="0.25">
      <c r="C69" s="20" t="str">
        <f>'Billing Detail'!C226</f>
        <v>LPC-3</v>
      </c>
      <c r="D69" s="121" t="str">
        <f>'Billing Detail'!B226</f>
        <v xml:space="preserve">Large Power </v>
      </c>
      <c r="J69" s="4"/>
    </row>
    <row r="70" spans="3:10" x14ac:dyDescent="0.25">
      <c r="D70" s="121"/>
      <c r="E70" s="2" t="str">
        <f>'Billing Detail'!D227</f>
        <v>Customer Charge</v>
      </c>
      <c r="F70" s="91">
        <f>'Billing Detail'!H227</f>
        <v>2937</v>
      </c>
      <c r="G70" s="91">
        <f>'Billing Detail'!L227</f>
        <v>3052.4519880248786</v>
      </c>
      <c r="J70" s="4">
        <f t="shared" si="1"/>
        <v>3.9309495411943729E-2</v>
      </c>
    </row>
    <row r="71" spans="3:10" x14ac:dyDescent="0.25">
      <c r="D71" s="121"/>
      <c r="E71" s="2" t="str">
        <f>'Billing Detail'!D228</f>
        <v>Demand Charge per kW</v>
      </c>
      <c r="F71" s="91">
        <f>'Billing Detail'!H228</f>
        <v>7.77</v>
      </c>
      <c r="G71" s="91">
        <f>'Billing Detail'!L228</f>
        <v>8.08</v>
      </c>
      <c r="J71" s="4">
        <f t="shared" si="1"/>
        <v>3.9897039897039965E-2</v>
      </c>
    </row>
    <row r="72" spans="3:10" x14ac:dyDescent="0.25">
      <c r="D72" s="121"/>
      <c r="E72" s="2" t="str">
        <f>'Billing Detail'!D229</f>
        <v>Energy Charge per kWh</v>
      </c>
      <c r="F72" s="101">
        <f>'Billing Detail'!H229</f>
        <v>5.0169999999999999E-2</v>
      </c>
      <c r="G72" s="101">
        <f>'Billing Detail'!L229</f>
        <v>5.2142157384817214E-2</v>
      </c>
      <c r="J72" s="4">
        <f t="shared" si="1"/>
        <v>3.9309495411943729E-2</v>
      </c>
    </row>
    <row r="73" spans="3:10" x14ac:dyDescent="0.25">
      <c r="C73" s="20" t="str">
        <f>'Billing Detail'!C230</f>
        <v>LPC-4</v>
      </c>
      <c r="D73" s="121" t="str">
        <f>'Billing Detail'!B230</f>
        <v>Large Power</v>
      </c>
      <c r="J73" s="4"/>
    </row>
    <row r="74" spans="3:10" x14ac:dyDescent="0.25">
      <c r="D74" s="121"/>
      <c r="E74" s="2" t="str">
        <f>'Billing Detail'!D231</f>
        <v>Customer Charge</v>
      </c>
      <c r="F74" s="91">
        <f>'Billing Detail'!H231</f>
        <v>3215</v>
      </c>
      <c r="G74" s="91">
        <f>'Billing Detail'!L231</f>
        <v>3341.3800277493992</v>
      </c>
      <c r="J74" s="4">
        <f t="shared" si="1"/>
        <v>3.9309495411943729E-2</v>
      </c>
    </row>
    <row r="75" spans="3:10" x14ac:dyDescent="0.25">
      <c r="D75" s="121"/>
      <c r="E75" s="2" t="str">
        <f>'Billing Detail'!D232</f>
        <v>Demand Charge per kW</v>
      </c>
      <c r="F75" s="91">
        <f>'Billing Detail'!H232</f>
        <v>7.77</v>
      </c>
      <c r="G75" s="91">
        <f>'Billing Detail'!L232</f>
        <v>8.08</v>
      </c>
      <c r="J75" s="4">
        <f t="shared" si="1"/>
        <v>3.9897039897039965E-2</v>
      </c>
    </row>
    <row r="76" spans="3:10" x14ac:dyDescent="0.25">
      <c r="D76" s="121"/>
      <c r="E76" s="2" t="str">
        <f>'Billing Detail'!D233</f>
        <v>Energy Charge per kWh</v>
      </c>
      <c r="F76" s="101">
        <f>'Billing Detail'!H233</f>
        <v>4.7676000000000003E-2</v>
      </c>
      <c r="G76" s="101">
        <f>'Billing Detail'!L233</f>
        <v>4.9550119503259833E-2</v>
      </c>
      <c r="J76" s="4">
        <f t="shared" si="1"/>
        <v>3.9309495411943729E-2</v>
      </c>
    </row>
    <row r="77" spans="3:10" x14ac:dyDescent="0.25">
      <c r="C77" s="20" t="str">
        <f>'Billing Detail'!C234</f>
        <v>LPC-5</v>
      </c>
      <c r="D77" s="121" t="str">
        <f>'Billing Detail'!B234</f>
        <v>Large Power</v>
      </c>
      <c r="J77" s="4"/>
    </row>
    <row r="78" spans="3:10" x14ac:dyDescent="0.25">
      <c r="D78" s="121"/>
      <c r="E78" s="2" t="str">
        <f>'Billing Detail'!D235</f>
        <v>Customer Charge</v>
      </c>
      <c r="F78" s="91">
        <f>'Billing Detail'!H235</f>
        <v>4501</v>
      </c>
      <c r="G78" s="91">
        <f>'Billing Detail'!L235</f>
        <v>4677.9320388491587</v>
      </c>
      <c r="J78" s="4">
        <f t="shared" si="1"/>
        <v>3.9309495411943729E-2</v>
      </c>
    </row>
    <row r="79" spans="3:10" x14ac:dyDescent="0.25">
      <c r="D79" s="121"/>
      <c r="E79" s="2" t="str">
        <f>'Billing Detail'!D236</f>
        <v>Demand Charge per kW</v>
      </c>
      <c r="F79" s="91">
        <f>'Billing Detail'!H236</f>
        <v>7.77</v>
      </c>
      <c r="G79" s="91">
        <f>'Billing Detail'!L236</f>
        <v>8.08</v>
      </c>
      <c r="J79" s="4">
        <f t="shared" si="1"/>
        <v>3.9897039897039965E-2</v>
      </c>
    </row>
    <row r="80" spans="3:10" x14ac:dyDescent="0.25">
      <c r="D80" s="121"/>
      <c r="E80" s="2" t="str">
        <f>'Billing Detail'!D237</f>
        <v>Energy Charge per kWh</v>
      </c>
      <c r="F80" s="101">
        <f>'Billing Detail'!H237</f>
        <v>4.5182E-2</v>
      </c>
      <c r="G80" s="101">
        <f>'Billing Detail'!L237</f>
        <v>4.6958081621702438E-2</v>
      </c>
      <c r="J80" s="4">
        <f t="shared" si="1"/>
        <v>3.9309495411943729E-2</v>
      </c>
    </row>
    <row r="81" spans="3:10" x14ac:dyDescent="0.25">
      <c r="C81" s="20" t="str">
        <f>'Billing Detail'!C238</f>
        <v>LPB-1</v>
      </c>
      <c r="D81" s="121" t="str">
        <f>'Billing Detail'!B238</f>
        <v>Large Power</v>
      </c>
      <c r="J81" s="4"/>
    </row>
    <row r="82" spans="3:10" x14ac:dyDescent="0.25">
      <c r="D82" s="121"/>
      <c r="E82" s="2" t="str">
        <f>'Billing Detail'!D239</f>
        <v>Customer Charge</v>
      </c>
      <c r="F82" s="91">
        <f>'Billing Detail'!H239</f>
        <v>1016</v>
      </c>
      <c r="G82" s="91">
        <f>'Billing Detail'!L239</f>
        <v>1055.9384473385348</v>
      </c>
      <c r="J82" s="4">
        <f t="shared" si="1"/>
        <v>3.9309495411943729E-2</v>
      </c>
    </row>
    <row r="83" spans="3:10" x14ac:dyDescent="0.25">
      <c r="D83" s="121"/>
      <c r="E83" s="2" t="str">
        <f>'Billing Detail'!D240</f>
        <v>Demand Charge Contract per kW</v>
      </c>
      <c r="F83" s="91">
        <f>'Billing Detail'!H240</f>
        <v>7.77</v>
      </c>
      <c r="G83" s="91">
        <f>'Billing Detail'!L240</f>
        <v>8.08</v>
      </c>
      <c r="J83" s="4">
        <f t="shared" si="1"/>
        <v>3.9897039897039965E-2</v>
      </c>
    </row>
    <row r="84" spans="3:10" x14ac:dyDescent="0.25">
      <c r="D84" s="121"/>
      <c r="E84" s="2" t="str">
        <f>'Billing Detail'!D241</f>
        <v>Demand Charge Excess per kW</v>
      </c>
      <c r="F84" s="91">
        <f>'Billing Detail'!H241</f>
        <v>9.98</v>
      </c>
      <c r="G84" s="91">
        <f>'Billing Detail'!L241</f>
        <v>10.3723087642112</v>
      </c>
      <c r="J84" s="4">
        <f t="shared" si="1"/>
        <v>3.9309495411943729E-2</v>
      </c>
    </row>
    <row r="85" spans="3:10" x14ac:dyDescent="0.25">
      <c r="D85" s="121"/>
      <c r="E85" s="2" t="str">
        <f>'Billing Detail'!D242</f>
        <v>Energy Charge per kWh</v>
      </c>
      <c r="F85" s="101">
        <f>'Billing Detail'!H242</f>
        <v>5.3802000000000003E-2</v>
      </c>
      <c r="G85" s="101">
        <f>'Billing Detail'!L242</f>
        <v>5.5916929472153397E-2</v>
      </c>
      <c r="J85" s="4">
        <f t="shared" si="1"/>
        <v>3.9309495411943729E-2</v>
      </c>
    </row>
    <row r="86" spans="3:10" x14ac:dyDescent="0.25">
      <c r="C86" s="20" t="str">
        <f>'Billing Detail'!C243</f>
        <v>LPB-2</v>
      </c>
      <c r="D86" s="121" t="str">
        <f>'Billing Detail'!B243</f>
        <v>Large Power</v>
      </c>
      <c r="J86" s="4"/>
    </row>
    <row r="87" spans="3:10" x14ac:dyDescent="0.25">
      <c r="D87" s="121"/>
      <c r="E87" s="2" t="str">
        <f>'Billing Detail'!D244</f>
        <v>Customer Charge</v>
      </c>
      <c r="F87" s="91">
        <f>'Billing Detail'!H244</f>
        <v>1288</v>
      </c>
      <c r="G87" s="91">
        <f>'Billing Detail'!L244</f>
        <v>1338.6306300905835</v>
      </c>
      <c r="J87" s="4">
        <f t="shared" si="1"/>
        <v>3.9309495411943729E-2</v>
      </c>
    </row>
    <row r="88" spans="3:10" x14ac:dyDescent="0.25">
      <c r="D88" s="121"/>
      <c r="E88" s="2" t="str">
        <f>'Billing Detail'!D245</f>
        <v>Demand Charge Contract per kW</v>
      </c>
      <c r="F88" s="91">
        <f>'Billing Detail'!H245</f>
        <v>7.77</v>
      </c>
      <c r="G88" s="91">
        <f>'Billing Detail'!L245</f>
        <v>8.08</v>
      </c>
      <c r="J88" s="4">
        <f t="shared" si="1"/>
        <v>3.9897039897039965E-2</v>
      </c>
    </row>
    <row r="89" spans="3:10" x14ac:dyDescent="0.25">
      <c r="D89" s="121"/>
      <c r="E89" s="2" t="str">
        <f>'Billing Detail'!D246</f>
        <v>Demand Charge Excess per kW</v>
      </c>
      <c r="F89" s="91">
        <f>'Billing Detail'!H246</f>
        <v>9.98</v>
      </c>
      <c r="G89" s="91">
        <f>'Billing Detail'!L246</f>
        <v>10.3723087642112</v>
      </c>
      <c r="J89" s="4">
        <f t="shared" si="1"/>
        <v>3.9309495411943729E-2</v>
      </c>
    </row>
    <row r="90" spans="3:10" x14ac:dyDescent="0.25">
      <c r="D90" s="121"/>
      <c r="E90" s="2" t="str">
        <f>'Billing Detail'!D247</f>
        <v>Energy Charge per kWh</v>
      </c>
      <c r="F90" s="101">
        <f>'Billing Detail'!H247</f>
        <v>5.1802000000000001E-2</v>
      </c>
      <c r="G90" s="101">
        <f>'Billing Detail'!L247</f>
        <v>5.3838310481329511E-2</v>
      </c>
      <c r="J90" s="4">
        <f t="shared" si="1"/>
        <v>3.9309495411943729E-2</v>
      </c>
    </row>
    <row r="91" spans="3:10" x14ac:dyDescent="0.25">
      <c r="C91" s="20" t="str">
        <f>'Billing Detail'!C248</f>
        <v>LPB-3</v>
      </c>
      <c r="D91" s="121" t="str">
        <f>'Billing Detail'!B248</f>
        <v>Large Power</v>
      </c>
      <c r="F91" s="87"/>
      <c r="G91" s="87"/>
      <c r="J91" s="4"/>
    </row>
    <row r="92" spans="3:10" x14ac:dyDescent="0.25">
      <c r="D92" s="121"/>
      <c r="E92" s="2" t="str">
        <f>'Billing Detail'!D249</f>
        <v>Customer Charge</v>
      </c>
      <c r="F92" s="91">
        <f>'Billing Detail'!H249</f>
        <v>2937</v>
      </c>
      <c r="G92" s="91">
        <f>'Billing Detail'!L249</f>
        <v>3052.4519880248786</v>
      </c>
      <c r="J92" s="4">
        <f t="shared" si="1"/>
        <v>3.9309495411943729E-2</v>
      </c>
    </row>
    <row r="93" spans="3:10" x14ac:dyDescent="0.25">
      <c r="D93" s="121"/>
      <c r="E93" s="2" t="str">
        <f>'Billing Detail'!D250</f>
        <v>Demand Charge Contract per kW</v>
      </c>
      <c r="F93" s="91">
        <f>'Billing Detail'!H250</f>
        <v>7.77</v>
      </c>
      <c r="G93" s="91">
        <f>'Billing Detail'!L250</f>
        <v>8.08</v>
      </c>
      <c r="J93" s="4">
        <f t="shared" si="1"/>
        <v>3.9897039897039965E-2</v>
      </c>
    </row>
    <row r="94" spans="3:10" x14ac:dyDescent="0.25">
      <c r="D94" s="121"/>
      <c r="E94" s="2" t="str">
        <f>'Billing Detail'!D251</f>
        <v>Demand Charge Excess per kW</v>
      </c>
      <c r="F94" s="91">
        <f>'Billing Detail'!H251</f>
        <v>9.98</v>
      </c>
      <c r="G94" s="91">
        <f>'Billing Detail'!L251</f>
        <v>10.3723087642112</v>
      </c>
      <c r="J94" s="4">
        <f t="shared" si="1"/>
        <v>3.9309495411943729E-2</v>
      </c>
    </row>
    <row r="95" spans="3:10" x14ac:dyDescent="0.25">
      <c r="D95" s="121"/>
      <c r="E95" s="2" t="str">
        <f>'Billing Detail'!D252</f>
        <v>Energy Charge per kWh</v>
      </c>
      <c r="F95" s="101">
        <f>'Billing Detail'!H252</f>
        <v>5.0301999999999999E-2</v>
      </c>
      <c r="G95" s="101">
        <f>'Billing Detail'!L252</f>
        <v>5.2279346238211594E-2</v>
      </c>
      <c r="J95" s="4">
        <f t="shared" si="1"/>
        <v>3.9309495411943729E-2</v>
      </c>
    </row>
    <row r="96" spans="3:10" x14ac:dyDescent="0.25">
      <c r="C96" s="20" t="str">
        <f>'Billing Detail'!C253</f>
        <v>LPB-4</v>
      </c>
      <c r="D96" s="121" t="str">
        <f>'Billing Detail'!B253</f>
        <v>Large Power</v>
      </c>
      <c r="F96" s="87"/>
      <c r="G96" s="87"/>
      <c r="J96" s="4"/>
    </row>
    <row r="97" spans="3:10" x14ac:dyDescent="0.25">
      <c r="D97" s="121"/>
      <c r="E97" s="2" t="str">
        <f>'Billing Detail'!D254</f>
        <v>Customer Charge</v>
      </c>
      <c r="F97" s="91">
        <f>'Billing Detail'!H254</f>
        <v>3215</v>
      </c>
      <c r="G97" s="91">
        <f>'Billing Detail'!L254</f>
        <v>3341.3800277493992</v>
      </c>
      <c r="J97" s="4">
        <f t="shared" si="1"/>
        <v>3.9309495411943729E-2</v>
      </c>
    </row>
    <row r="98" spans="3:10" x14ac:dyDescent="0.25">
      <c r="D98" s="121"/>
      <c r="E98" s="2" t="str">
        <f>'Billing Detail'!D255</f>
        <v>Demand Charge Contract per kW</v>
      </c>
      <c r="F98" s="91">
        <f>'Billing Detail'!H255</f>
        <v>7.77</v>
      </c>
      <c r="G98" s="91">
        <f>'Billing Detail'!L255</f>
        <v>8.08</v>
      </c>
      <c r="J98" s="4">
        <f t="shared" si="1"/>
        <v>3.9897039897039965E-2</v>
      </c>
    </row>
    <row r="99" spans="3:10" x14ac:dyDescent="0.25">
      <c r="D99" s="121"/>
      <c r="E99" s="2" t="str">
        <f>'Billing Detail'!D256</f>
        <v>Demand Charge Excess per kW</v>
      </c>
      <c r="F99" s="91">
        <f>'Billing Detail'!H256</f>
        <v>9.98</v>
      </c>
      <c r="G99" s="91">
        <f>'Billing Detail'!L256</f>
        <v>10.3723087642112</v>
      </c>
      <c r="J99" s="4">
        <f t="shared" si="1"/>
        <v>3.9309495411943729E-2</v>
      </c>
    </row>
    <row r="100" spans="3:10" x14ac:dyDescent="0.25">
      <c r="D100" s="121"/>
      <c r="E100" s="2" t="str">
        <f>'Billing Detail'!D257</f>
        <v>Energy Charge per kWh</v>
      </c>
      <c r="F100" s="101">
        <f>'Billing Detail'!H257</f>
        <v>4.7801999999999997E-2</v>
      </c>
      <c r="G100" s="101">
        <f>'Billing Detail'!L257</f>
        <v>4.9681072499681733E-2</v>
      </c>
      <c r="J100" s="4">
        <f t="shared" si="1"/>
        <v>3.9309495411943729E-2</v>
      </c>
    </row>
    <row r="101" spans="3:10" x14ac:dyDescent="0.25">
      <c r="C101" s="20" t="str">
        <f>'Billing Detail'!C258</f>
        <v>LPB-5</v>
      </c>
      <c r="D101" s="121" t="str">
        <f>'Billing Detail'!B258</f>
        <v>Large Power</v>
      </c>
      <c r="F101" s="87"/>
      <c r="G101" s="87"/>
      <c r="J101" s="4"/>
    </row>
    <row r="102" spans="3:10" x14ac:dyDescent="0.25">
      <c r="D102" s="121"/>
      <c r="E102" s="2" t="str">
        <f>'Billing Detail'!D259</f>
        <v>Customer Charge</v>
      </c>
      <c r="F102" s="91">
        <f>'Billing Detail'!H259</f>
        <v>4501</v>
      </c>
      <c r="G102" s="91">
        <f>'Billing Detail'!L259</f>
        <v>4677.9320388491587</v>
      </c>
      <c r="J102" s="4">
        <f t="shared" si="1"/>
        <v>3.9309495411943729E-2</v>
      </c>
    </row>
    <row r="103" spans="3:10" x14ac:dyDescent="0.25">
      <c r="D103" s="121"/>
      <c r="E103" s="2" t="str">
        <f>'Billing Detail'!D260</f>
        <v>Demand Charge Contract per kW</v>
      </c>
      <c r="F103" s="91">
        <f>'Billing Detail'!H260</f>
        <v>7.77</v>
      </c>
      <c r="G103" s="91">
        <f>'Billing Detail'!L260</f>
        <v>8.08</v>
      </c>
      <c r="J103" s="4">
        <f t="shared" si="1"/>
        <v>3.9897039897039965E-2</v>
      </c>
    </row>
    <row r="104" spans="3:10" x14ac:dyDescent="0.25">
      <c r="D104" s="121"/>
      <c r="E104" s="2" t="str">
        <f>'Billing Detail'!D261</f>
        <v>Demand Charge Excess per kW</v>
      </c>
      <c r="F104" s="91">
        <f>'Billing Detail'!H261</f>
        <v>9.98</v>
      </c>
      <c r="G104" s="91">
        <f>'Billing Detail'!L261</f>
        <v>10.3723087642112</v>
      </c>
      <c r="J104" s="4">
        <f t="shared" si="1"/>
        <v>3.9309495411943729E-2</v>
      </c>
    </row>
    <row r="105" spans="3:10" x14ac:dyDescent="0.25">
      <c r="D105" s="121"/>
      <c r="E105" s="2" t="str">
        <f>'Billing Detail'!D262</f>
        <v>Energy Charge per kWh</v>
      </c>
      <c r="F105" s="101">
        <f>'Billing Detail'!H262</f>
        <v>4.5302000000000002E-2</v>
      </c>
      <c r="G105" s="101">
        <f>'Billing Detail'!L262</f>
        <v>4.708279876115188E-2</v>
      </c>
      <c r="J105" s="4">
        <f t="shared" si="1"/>
        <v>3.9309495411943729E-2</v>
      </c>
    </row>
    <row r="106" spans="3:10" x14ac:dyDescent="0.25">
      <c r="C106" s="20" t="str">
        <f>'Billing Detail'!C263</f>
        <v>LPE-1</v>
      </c>
      <c r="D106" s="121" t="str">
        <f>'Billing Detail'!B263</f>
        <v>Large Power</v>
      </c>
      <c r="F106" s="87"/>
      <c r="G106" s="87"/>
      <c r="J106" s="4"/>
    </row>
    <row r="107" spans="3:10" x14ac:dyDescent="0.25">
      <c r="D107" s="121"/>
      <c r="E107" s="2" t="str">
        <f>'Billing Detail'!D264</f>
        <v>Customer Charge</v>
      </c>
      <c r="F107" s="91">
        <f>'Billing Detail'!H264</f>
        <v>1016</v>
      </c>
      <c r="G107" s="91">
        <f>'Billing Detail'!L264</f>
        <v>1055.9384473385348</v>
      </c>
      <c r="J107" s="4">
        <f t="shared" si="1"/>
        <v>3.9309495411943729E-2</v>
      </c>
    </row>
    <row r="108" spans="3:10" x14ac:dyDescent="0.25">
      <c r="D108" s="121"/>
      <c r="E108" s="2" t="str">
        <f>'Billing Detail'!D265</f>
        <v>Demand Charge per kW</v>
      </c>
      <c r="F108" s="91">
        <f>'Billing Detail'!H265</f>
        <v>6.62</v>
      </c>
      <c r="G108" s="91">
        <f>'Billing Detail'!L265</f>
        <v>6.88</v>
      </c>
      <c r="J108" s="4">
        <f t="shared" si="1"/>
        <v>3.92749244712991E-2</v>
      </c>
    </row>
    <row r="109" spans="3:10" x14ac:dyDescent="0.25">
      <c r="D109" s="121"/>
      <c r="E109" s="2" t="str">
        <f>'Billing Detail'!D266</f>
        <v>Energy Charge On Peak per kWh</v>
      </c>
      <c r="F109" s="101">
        <f>'Billing Detail'!H266</f>
        <v>6.3870999999999997E-2</v>
      </c>
      <c r="G109" s="101">
        <f>'Billing Detail'!L266</f>
        <v>6.6381736781456258E-2</v>
      </c>
      <c r="J109" s="4">
        <f t="shared" si="1"/>
        <v>3.9309495411943729E-2</v>
      </c>
    </row>
    <row r="110" spans="3:10" x14ac:dyDescent="0.25">
      <c r="D110" s="121"/>
      <c r="E110" s="2" t="str">
        <f>'Billing Detail'!D267</f>
        <v>Energy Charge Off Peak per kWh</v>
      </c>
      <c r="F110" s="101">
        <f>'Billing Detail'!H267</f>
        <v>5.5474000000000002E-2</v>
      </c>
      <c r="G110" s="101">
        <f>'Billing Detail'!L267</f>
        <v>5.7654654948482167E-2</v>
      </c>
      <c r="J110" s="4">
        <f t="shared" si="1"/>
        <v>3.9309495411943729E-2</v>
      </c>
    </row>
    <row r="111" spans="3:10" x14ac:dyDescent="0.25">
      <c r="C111" s="20" t="str">
        <f>'Billing Detail'!C268</f>
        <v>LPE-2</v>
      </c>
      <c r="D111" s="121" t="str">
        <f>'Billing Detail'!B268</f>
        <v>Large Power</v>
      </c>
      <c r="F111" s="87"/>
      <c r="G111" s="87"/>
      <c r="J111" s="4"/>
    </row>
    <row r="112" spans="3:10" x14ac:dyDescent="0.25">
      <c r="D112" s="121"/>
      <c r="E112" s="2" t="str">
        <f>'Billing Detail'!D269</f>
        <v>Customer Charge</v>
      </c>
      <c r="F112" s="91">
        <f>'Billing Detail'!H269</f>
        <v>1288</v>
      </c>
      <c r="G112" s="91">
        <f>'Billing Detail'!L269</f>
        <v>1338.6306300905835</v>
      </c>
      <c r="J112" s="4">
        <f t="shared" si="1"/>
        <v>3.9309495411943729E-2</v>
      </c>
    </row>
    <row r="113" spans="3:10" x14ac:dyDescent="0.25">
      <c r="D113" s="121"/>
      <c r="E113" s="2" t="str">
        <f>'Billing Detail'!D270</f>
        <v>Demand Charge per kW</v>
      </c>
      <c r="F113" s="91">
        <f>'Billing Detail'!H270</f>
        <v>6.62</v>
      </c>
      <c r="G113" s="91">
        <f>'Billing Detail'!L270</f>
        <v>6.88</v>
      </c>
      <c r="J113" s="4">
        <f t="shared" si="1"/>
        <v>3.92749244712991E-2</v>
      </c>
    </row>
    <row r="114" spans="3:10" x14ac:dyDescent="0.25">
      <c r="D114" s="121"/>
      <c r="E114" s="2" t="str">
        <f>'Billing Detail'!D271</f>
        <v>Energy Charge On Peak per kWh</v>
      </c>
      <c r="F114" s="101">
        <f>'Billing Detail'!H271</f>
        <v>6.1880999999999999E-2</v>
      </c>
      <c r="G114" s="101">
        <f>'Billing Detail'!L271</f>
        <v>6.4313510885586483E-2</v>
      </c>
      <c r="J114" s="4">
        <f t="shared" si="1"/>
        <v>3.9309495411943729E-2</v>
      </c>
    </row>
    <row r="115" spans="3:10" x14ac:dyDescent="0.25">
      <c r="D115" s="121"/>
      <c r="E115" s="2" t="str">
        <f>'Billing Detail'!D272</f>
        <v>Energy Charge Off Peak per kWh</v>
      </c>
      <c r="F115" s="101">
        <f>'Billing Detail'!H272</f>
        <v>5.3474000000000001E-2</v>
      </c>
      <c r="G115" s="101">
        <f>'Billing Detail'!L272</f>
        <v>5.5576035957658282E-2</v>
      </c>
      <c r="J115" s="4">
        <f t="shared" si="1"/>
        <v>3.9309495411943729E-2</v>
      </c>
    </row>
    <row r="116" spans="3:10" x14ac:dyDescent="0.25">
      <c r="C116" s="20" t="str">
        <f>'Billing Detail'!C273</f>
        <v>LPE-3</v>
      </c>
      <c r="D116" s="121" t="str">
        <f>'Billing Detail'!B273</f>
        <v>Large Power</v>
      </c>
      <c r="F116" s="87"/>
      <c r="G116" s="87"/>
      <c r="J116" s="4"/>
    </row>
    <row r="117" spans="3:10" x14ac:dyDescent="0.25">
      <c r="D117" s="121"/>
      <c r="E117" s="2" t="str">
        <f>'Billing Detail'!D274</f>
        <v>Customer Charge</v>
      </c>
      <c r="F117" s="91">
        <f>'Billing Detail'!H274</f>
        <v>2937</v>
      </c>
      <c r="G117" s="91">
        <f>'Billing Detail'!L274</f>
        <v>3052.4519880248786</v>
      </c>
      <c r="J117" s="4">
        <f t="shared" si="1"/>
        <v>3.9309495411943729E-2</v>
      </c>
    </row>
    <row r="118" spans="3:10" x14ac:dyDescent="0.25">
      <c r="D118" s="121"/>
      <c r="E118" s="2" t="str">
        <f>'Billing Detail'!D275</f>
        <v>Demand Charge per kW</v>
      </c>
      <c r="F118" s="91">
        <f>'Billing Detail'!H275</f>
        <v>6.62</v>
      </c>
      <c r="G118" s="91">
        <f>'Billing Detail'!L275</f>
        <v>6.88</v>
      </c>
      <c r="J118" s="4">
        <f t="shared" si="1"/>
        <v>3.92749244712991E-2</v>
      </c>
    </row>
    <row r="119" spans="3:10" x14ac:dyDescent="0.25">
      <c r="D119" s="121"/>
      <c r="E119" s="2" t="str">
        <f>'Billing Detail'!D276</f>
        <v>Energy Charge On Peak per kWh</v>
      </c>
      <c r="F119" s="101">
        <f>'Billing Detail'!H276</f>
        <v>6.0387999999999997E-2</v>
      </c>
      <c r="G119" s="101">
        <f>'Billing Detail'!L276</f>
        <v>6.2761821808936455E-2</v>
      </c>
      <c r="J119" s="4">
        <f t="shared" si="1"/>
        <v>3.9309495411943729E-2</v>
      </c>
    </row>
    <row r="120" spans="3:10" x14ac:dyDescent="0.25">
      <c r="D120" s="121"/>
      <c r="E120" s="2" t="str">
        <f>'Billing Detail'!D277</f>
        <v>Energy Charge Off Peak per kWh</v>
      </c>
      <c r="F120" s="101">
        <f>'Billing Detail'!H277</f>
        <v>5.1973999999999999E-2</v>
      </c>
      <c r="G120" s="101">
        <f>'Billing Detail'!L277</f>
        <v>5.4017071714540364E-2</v>
      </c>
      <c r="J120" s="4">
        <f t="shared" si="1"/>
        <v>3.9309495411943729E-2</v>
      </c>
    </row>
    <row r="121" spans="3:10" x14ac:dyDescent="0.25">
      <c r="C121" s="20" t="str">
        <f>'Billing Detail'!C278</f>
        <v>LPE-5</v>
      </c>
      <c r="D121" s="121" t="str">
        <f>'Billing Detail'!B278</f>
        <v>Large Power</v>
      </c>
      <c r="F121" s="87"/>
      <c r="G121" s="87"/>
      <c r="J121" s="4"/>
    </row>
    <row r="122" spans="3:10" x14ac:dyDescent="0.25">
      <c r="E122" s="2" t="str">
        <f>'Billing Detail'!D279</f>
        <v>Customer Charge</v>
      </c>
      <c r="F122" s="91">
        <f>'Billing Detail'!H279</f>
        <v>4501</v>
      </c>
      <c r="G122" s="91">
        <f>'Billing Detail'!L279</f>
        <v>4677.9320388491587</v>
      </c>
      <c r="J122" s="4">
        <f t="shared" ref="J122:J125" si="2">G122/F122-1</f>
        <v>3.9309495411943729E-2</v>
      </c>
    </row>
    <row r="123" spans="3:10" x14ac:dyDescent="0.25">
      <c r="E123" s="2" t="str">
        <f>'Billing Detail'!D280</f>
        <v>Demand Charge per kW</v>
      </c>
      <c r="F123" s="91">
        <f>'Billing Detail'!H280</f>
        <v>6.62</v>
      </c>
      <c r="G123" s="91">
        <f>'Billing Detail'!L280</f>
        <v>6.88</v>
      </c>
      <c r="J123" s="4">
        <f t="shared" si="2"/>
        <v>3.92749244712991E-2</v>
      </c>
    </row>
    <row r="124" spans="3:10" x14ac:dyDescent="0.25">
      <c r="E124" s="2" t="str">
        <f>'Billing Detail'!D281</f>
        <v>Energy Charge On Peak per kWh</v>
      </c>
      <c r="F124" s="101">
        <f>'Billing Detail'!H281</f>
        <v>5.5412000000000003E-2</v>
      </c>
      <c r="G124" s="101">
        <f>'Billing Detail'!L281</f>
        <v>5.7590217759766631E-2</v>
      </c>
      <c r="J124" s="4">
        <f t="shared" si="2"/>
        <v>3.9309495411943729E-2</v>
      </c>
    </row>
    <row r="125" spans="3:10" x14ac:dyDescent="0.25">
      <c r="E125" s="2" t="str">
        <f>'Billing Detail'!D282</f>
        <v>Energy Charge Off Peak per kWh</v>
      </c>
      <c r="F125" s="101">
        <f>'Billing Detail'!H282</f>
        <v>4.6974000000000002E-2</v>
      </c>
      <c r="G125" s="101">
        <f>'Billing Detail'!L282</f>
        <v>4.8820524237480643E-2</v>
      </c>
      <c r="J125" s="4">
        <f t="shared" si="2"/>
        <v>3.9309495411943729E-2</v>
      </c>
    </row>
    <row r="127" spans="3:10" x14ac:dyDescent="0.25">
      <c r="F127" s="91"/>
      <c r="G127" s="91"/>
    </row>
    <row r="128" spans="3:10" x14ac:dyDescent="0.25">
      <c r="F128" s="91"/>
      <c r="G128" s="91"/>
    </row>
    <row r="129" spans="3:8" ht="41.4" customHeight="1" x14ac:dyDescent="0.25">
      <c r="C129" s="162" t="s">
        <v>89</v>
      </c>
      <c r="D129" s="162"/>
      <c r="E129" s="162"/>
      <c r="F129" s="162"/>
      <c r="G129" s="162"/>
    </row>
    <row r="130" spans="3:8" x14ac:dyDescent="0.25">
      <c r="F130" s="163" t="s">
        <v>90</v>
      </c>
      <c r="G130" s="163"/>
    </row>
    <row r="131" spans="3:8" x14ac:dyDescent="0.25">
      <c r="C131" s="110" t="s">
        <v>91</v>
      </c>
      <c r="D131" s="122"/>
      <c r="E131" s="103"/>
      <c r="F131" s="104" t="s">
        <v>92</v>
      </c>
      <c r="G131" s="104" t="s">
        <v>93</v>
      </c>
    </row>
    <row r="132" spans="3:8" x14ac:dyDescent="0.25">
      <c r="C132" s="111">
        <f>Summary!C8</f>
        <v>1</v>
      </c>
      <c r="D132" s="3" t="str">
        <f>Summary!B8</f>
        <v xml:space="preserve">Residential </v>
      </c>
      <c r="F132" s="105">
        <f>Summary!L8</f>
        <v>1184763.1116099986</v>
      </c>
      <c r="G132" s="106">
        <f>Summary!N8</f>
        <v>3.6366450705648722E-2</v>
      </c>
    </row>
    <row r="133" spans="3:8" x14ac:dyDescent="0.25">
      <c r="C133" s="111">
        <f>Summary!C9</f>
        <v>3</v>
      </c>
      <c r="D133" s="3" t="str">
        <f>Summary!B9</f>
        <v>Residential TOD</v>
      </c>
      <c r="F133" s="105">
        <f>Summary!L9</f>
        <v>32.544642000000039</v>
      </c>
      <c r="G133" s="106">
        <f>Summary!N9</f>
        <v>3.6745448265172266E-2</v>
      </c>
      <c r="H133" s="1"/>
    </row>
    <row r="134" spans="3:8" x14ac:dyDescent="0.25">
      <c r="C134" s="111">
        <f>Summary!C10</f>
        <v>20</v>
      </c>
      <c r="D134" s="3" t="str">
        <f>Summary!B10</f>
        <v>Net Metering</v>
      </c>
      <c r="F134" s="105">
        <f>Summary!L10</f>
        <v>1071.5611799999988</v>
      </c>
      <c r="G134" s="106">
        <f>Summary!N10</f>
        <v>3.7558456021415408E-2</v>
      </c>
      <c r="H134" s="1"/>
    </row>
    <row r="135" spans="3:8" x14ac:dyDescent="0.25">
      <c r="C135" s="111">
        <f>Summary!C11</f>
        <v>7</v>
      </c>
      <c r="D135" s="3" t="str">
        <f>Summary!B11</f>
        <v>Residential Off-Peak Mktg ETS</v>
      </c>
      <c r="F135" s="105">
        <f>Summary!L11</f>
        <v>1116.7941019999998</v>
      </c>
      <c r="G135" s="106">
        <f>Summary!N11</f>
        <v>3.7284072739860563E-2</v>
      </c>
      <c r="H135" s="1"/>
    </row>
    <row r="136" spans="3:8" x14ac:dyDescent="0.25">
      <c r="C136" s="111">
        <f>Summary!C12</f>
        <v>4</v>
      </c>
      <c r="D136" s="3" t="str">
        <f>Summary!B12</f>
        <v>Commercial &amp; Industrial &lt; 50 KW</v>
      </c>
      <c r="F136" s="105">
        <f>Summary!L12</f>
        <v>115339.2337199999</v>
      </c>
      <c r="G136" s="106">
        <f>Summary!N12</f>
        <v>3.6478585103791927E-2</v>
      </c>
      <c r="H136" s="1"/>
    </row>
    <row r="137" spans="3:8" x14ac:dyDescent="0.25">
      <c r="C137" s="111">
        <f>Summary!C13</f>
        <v>8</v>
      </c>
      <c r="D137" s="3" t="str">
        <f>Summary!B13</f>
        <v>Small Commercial ETS</v>
      </c>
      <c r="F137" s="105">
        <f>Summary!L13</f>
        <v>0</v>
      </c>
      <c r="G137" s="106">
        <f>Summary!N13</f>
        <v>0</v>
      </c>
      <c r="H137" s="1"/>
    </row>
    <row r="138" spans="3:8" x14ac:dyDescent="0.25">
      <c r="C138" s="111">
        <f>Summary!C14</f>
        <v>5</v>
      </c>
      <c r="D138" s="3" t="str">
        <f>Summary!B14</f>
        <v>Commercial &amp; Industrial &gt; 50 KW</v>
      </c>
      <c r="F138" s="105">
        <f>Summary!L14</f>
        <v>191307.56337935032</v>
      </c>
      <c r="G138" s="106">
        <f>Summary!N14</f>
        <v>3.6603956852185336E-2</v>
      </c>
      <c r="H138" s="1"/>
    </row>
    <row r="139" spans="3:8" x14ac:dyDescent="0.25">
      <c r="C139" s="111">
        <f>Summary!C15</f>
        <v>9</v>
      </c>
      <c r="D139" s="3" t="str">
        <f>Summary!B15</f>
        <v>Large Commercial &amp; Industrial w/Pri Disc</v>
      </c>
      <c r="F139" s="105">
        <f>Summary!L15</f>
        <v>65921.771787539954</v>
      </c>
      <c r="G139" s="106">
        <f>Summary!N15</f>
        <v>3.6856315565795779E-2</v>
      </c>
      <c r="H139" s="1"/>
    </row>
    <row r="140" spans="3:8" x14ac:dyDescent="0.25">
      <c r="C140" s="111">
        <f>Summary!C16</f>
        <v>10</v>
      </c>
      <c r="D140" s="3" t="str">
        <f>Summary!B16</f>
        <v>Large Industrial</v>
      </c>
      <c r="F140" s="105">
        <f>Summary!L16</f>
        <v>124169.5439999996</v>
      </c>
      <c r="G140" s="106">
        <f>Summary!N16</f>
        <v>3.7039481548607853E-2</v>
      </c>
      <c r="H140" s="1"/>
    </row>
    <row r="141" spans="3:8" x14ac:dyDescent="0.25">
      <c r="C141" s="111">
        <f>Summary!C17</f>
        <v>14</v>
      </c>
      <c r="D141" s="3" t="str">
        <f>Summary!B17</f>
        <v>Large Power Schedule LPC2</v>
      </c>
      <c r="F141" s="105">
        <f>Summary!L17</f>
        <v>20157.031200000059</v>
      </c>
      <c r="G141" s="106">
        <f>Summary!N17</f>
        <v>3.7051409044762472E-2</v>
      </c>
      <c r="H141" s="1"/>
    </row>
    <row r="142" spans="3:8" x14ac:dyDescent="0.25">
      <c r="C142" s="111">
        <f>Summary!C18</f>
        <v>15</v>
      </c>
      <c r="D142" s="3" t="str">
        <f>Summary!B18</f>
        <v>Large Commercial Optional TOD</v>
      </c>
      <c r="F142" s="105">
        <f>Summary!L18</f>
        <v>3959.2708000000002</v>
      </c>
      <c r="G142" s="106">
        <f>Summary!N18</f>
        <v>3.640922409174329E-2</v>
      </c>
      <c r="H142" s="1"/>
    </row>
    <row r="143" spans="3:8" x14ac:dyDescent="0.25">
      <c r="C143" s="111">
        <f>Summary!C19</f>
        <v>36</v>
      </c>
      <c r="D143" s="3" t="str">
        <f>Summary!B19</f>
        <v>Large Power Schedule LPE4</v>
      </c>
      <c r="F143" s="105">
        <f>Summary!L19</f>
        <v>56436.551357999859</v>
      </c>
      <c r="G143" s="106">
        <f>Summary!N19</f>
        <v>3.6875367562375465E-2</v>
      </c>
      <c r="H143" s="1"/>
    </row>
    <row r="144" spans="3:8" x14ac:dyDescent="0.25">
      <c r="C144" s="111">
        <f>Summary!C20</f>
        <v>50</v>
      </c>
      <c r="D144" s="3" t="str">
        <f>Summary!B20</f>
        <v>TOD Three Phase - Schedule C</v>
      </c>
      <c r="F144" s="105">
        <f>Summary!L20</f>
        <v>1298.7000879999978</v>
      </c>
      <c r="G144" s="106">
        <f>Summary!N20</f>
        <v>3.64045008150293E-2</v>
      </c>
      <c r="H144" s="1"/>
    </row>
    <row r="145" spans="3:8" x14ac:dyDescent="0.25">
      <c r="C145" s="111">
        <f>Summary!C21</f>
        <v>6</v>
      </c>
      <c r="D145" s="3" t="str">
        <f>Summary!B21</f>
        <v>Street Lighting</v>
      </c>
      <c r="F145" s="105">
        <f>Summary!L21</f>
        <v>794.63354600000093</v>
      </c>
      <c r="G145" s="106">
        <f>Summary!N21</f>
        <v>2.9550452137601439E-2</v>
      </c>
      <c r="H145" s="1"/>
    </row>
    <row r="146" spans="3:8" x14ac:dyDescent="0.25">
      <c r="C146" s="111">
        <f>Summary!C22</f>
        <v>6</v>
      </c>
      <c r="D146" s="3" t="str">
        <f>Summary!B22</f>
        <v>Lighting</v>
      </c>
      <c r="F146" s="105">
        <f>Summary!L22</f>
        <v>36222.650000000256</v>
      </c>
      <c r="G146" s="106">
        <f>Summary!N22</f>
        <v>3.9136252413342995E-2</v>
      </c>
      <c r="H146" s="1"/>
    </row>
    <row r="147" spans="3:8" x14ac:dyDescent="0.25">
      <c r="C147" s="111"/>
      <c r="F147" s="107"/>
      <c r="G147" s="108"/>
    </row>
    <row r="149" spans="3:8" ht="40.200000000000003" customHeight="1" x14ac:dyDescent="0.25">
      <c r="C149" s="162" t="s">
        <v>94</v>
      </c>
      <c r="D149" s="162"/>
      <c r="E149" s="162"/>
      <c r="F149" s="162"/>
      <c r="G149" s="162"/>
      <c r="H149" s="162"/>
    </row>
    <row r="150" spans="3:8" x14ac:dyDescent="0.25">
      <c r="E150" s="109" t="s">
        <v>18</v>
      </c>
      <c r="F150" s="163" t="s">
        <v>90</v>
      </c>
      <c r="G150" s="163"/>
    </row>
    <row r="151" spans="3:8" x14ac:dyDescent="0.25">
      <c r="C151" s="110" t="s">
        <v>91</v>
      </c>
      <c r="D151" s="123"/>
      <c r="E151" s="110" t="s">
        <v>95</v>
      </c>
      <c r="F151" s="104" t="s">
        <v>92</v>
      </c>
      <c r="G151" s="104" t="s">
        <v>93</v>
      </c>
    </row>
    <row r="152" spans="3:8" x14ac:dyDescent="0.25">
      <c r="C152" s="20">
        <f>Summary!C8</f>
        <v>1</v>
      </c>
      <c r="D152" s="124" t="str">
        <f>Summary!B8</f>
        <v xml:space="preserve">Residential </v>
      </c>
      <c r="E152" s="112">
        <f>'Billing Detail'!E17</f>
        <v>1102.343877361986</v>
      </c>
      <c r="F152" s="91">
        <f>'Billing Detail'!N17</f>
        <v>4.2208051116154053</v>
      </c>
      <c r="G152" s="4">
        <f>Summary!N8</f>
        <v>3.6366450705648722E-2</v>
      </c>
    </row>
    <row r="153" spans="3:8" x14ac:dyDescent="0.25">
      <c r="C153" s="20">
        <f>Summary!C9</f>
        <v>3</v>
      </c>
      <c r="D153" s="124" t="str">
        <f>Summary!B9</f>
        <v>Residential TOD</v>
      </c>
      <c r="E153" s="112">
        <f>'Billing Detail'!E30</f>
        <v>820.8</v>
      </c>
      <c r="F153" s="91">
        <f>'Billing Detail'!N30</f>
        <v>3.254464200000001</v>
      </c>
      <c r="G153" s="4">
        <f>Summary!N9</f>
        <v>3.6745448265172266E-2</v>
      </c>
    </row>
    <row r="154" spans="3:8" x14ac:dyDescent="0.25">
      <c r="C154" s="20">
        <f>Summary!C10</f>
        <v>20</v>
      </c>
      <c r="D154" s="124" t="str">
        <f>Summary!B10</f>
        <v>Net Metering</v>
      </c>
      <c r="E154" s="112">
        <f>'Billing Detail'!E42</f>
        <v>1192.5991561181434</v>
      </c>
      <c r="F154" s="91">
        <f>'Billing Detail'!N42</f>
        <v>4.5213551898734181</v>
      </c>
      <c r="G154" s="4">
        <f>Summary!N10</f>
        <v>3.7558456021415408E-2</v>
      </c>
    </row>
    <row r="155" spans="3:8" x14ac:dyDescent="0.25">
      <c r="C155" s="20">
        <f>Summary!C11</f>
        <v>7</v>
      </c>
      <c r="D155" s="124" t="str">
        <f>Summary!B11</f>
        <v>Residential Off-Peak Mktg ETS</v>
      </c>
      <c r="E155" s="112">
        <f>'Billing Detail'!E54</f>
        <v>327.72587968217937</v>
      </c>
      <c r="F155" s="91">
        <f>'Billing Detail'!N54</f>
        <v>0.63382185130533486</v>
      </c>
      <c r="G155" s="4">
        <f>Summary!N11</f>
        <v>3.7284072739860563E-2</v>
      </c>
    </row>
    <row r="156" spans="3:8" x14ac:dyDescent="0.25">
      <c r="C156" s="20">
        <f>Summary!C12</f>
        <v>4</v>
      </c>
      <c r="D156" s="124" t="str">
        <f>Summary!B12</f>
        <v>Commercial &amp; Industrial &lt; 50 KW</v>
      </c>
      <c r="E156" s="112">
        <f>'Billing Detail'!E66</f>
        <v>1485.5121589986145</v>
      </c>
      <c r="F156" s="91">
        <f>'Billing Detail'!N66</f>
        <v>5.5104502278916527</v>
      </c>
      <c r="G156" s="4">
        <f>Summary!N12</f>
        <v>3.6478585103791927E-2</v>
      </c>
    </row>
    <row r="157" spans="3:8" x14ac:dyDescent="0.25">
      <c r="C157" s="20">
        <f>Summary!C13</f>
        <v>8</v>
      </c>
      <c r="D157" s="124" t="str">
        <f>Summary!B13</f>
        <v>Small Commercial ETS</v>
      </c>
      <c r="E157" s="112">
        <v>0</v>
      </c>
      <c r="F157" s="91">
        <f>'Billing Detail'!N78</f>
        <v>0</v>
      </c>
      <c r="G157" s="4">
        <f>Summary!N13</f>
        <v>0</v>
      </c>
    </row>
    <row r="158" spans="3:8" x14ac:dyDescent="0.25">
      <c r="C158" s="20">
        <f>Summary!C14</f>
        <v>5</v>
      </c>
      <c r="D158" s="124" t="str">
        <f>Summary!B14</f>
        <v>Commercial &amp; Industrial &gt; 50 KW</v>
      </c>
      <c r="E158" s="112">
        <f>'Billing Detail'!E91</f>
        <v>45088.882450331126</v>
      </c>
      <c r="F158" s="91">
        <f>'Billing Detail'!N91</f>
        <v>158.36718822793955</v>
      </c>
      <c r="G158" s="4">
        <f>Summary!N14</f>
        <v>3.6603956852185336E-2</v>
      </c>
    </row>
    <row r="159" spans="3:8" x14ac:dyDescent="0.25">
      <c r="C159" s="20">
        <f>Summary!C15</f>
        <v>9</v>
      </c>
      <c r="D159" s="124" t="str">
        <f>Summary!B15</f>
        <v>Large Commercial &amp; Industrial w/Pri Disc</v>
      </c>
      <c r="E159" s="112">
        <f>'Billing Detail'!E104</f>
        <v>482850</v>
      </c>
      <c r="F159" s="91">
        <f>'Billing Detail'!N104</f>
        <v>1373.3702455737512</v>
      </c>
      <c r="G159" s="4">
        <f>Summary!N15</f>
        <v>3.6856315565795779E-2</v>
      </c>
    </row>
    <row r="160" spans="3:8" x14ac:dyDescent="0.25">
      <c r="C160" s="20">
        <f>Summary!C16</f>
        <v>10</v>
      </c>
      <c r="D160" s="124" t="str">
        <f>Summary!B16</f>
        <v>Large Industrial</v>
      </c>
      <c r="E160" s="113">
        <f>'Billing Detail'!E117</f>
        <v>8377.8000000000011</v>
      </c>
      <c r="F160" s="91">
        <f>'Billing Detail'!N117</f>
        <v>10347.461999999941</v>
      </c>
      <c r="G160" s="4">
        <f>Summary!N16</f>
        <v>3.7039481548607853E-2</v>
      </c>
    </row>
    <row r="161" spans="3:7" x14ac:dyDescent="0.25">
      <c r="C161" s="20">
        <f>Summary!C17</f>
        <v>14</v>
      </c>
      <c r="D161" s="124" t="str">
        <f>Summary!B17</f>
        <v>Large Power Schedule LPC2</v>
      </c>
      <c r="E161" s="112">
        <f>'Billing Detail'!E130</f>
        <v>622600</v>
      </c>
      <c r="F161" s="91">
        <f>'Billing Detail'!N130</f>
        <v>1679.7525999999925</v>
      </c>
      <c r="G161" s="4">
        <f>Summary!N17</f>
        <v>3.7051409044762472E-2</v>
      </c>
    </row>
    <row r="162" spans="3:7" x14ac:dyDescent="0.25">
      <c r="C162" s="20">
        <f>Summary!C18</f>
        <v>15</v>
      </c>
      <c r="D162" s="124" t="str">
        <f>Summary!B18</f>
        <v>Large Commercial Optional TOD</v>
      </c>
      <c r="E162" s="112">
        <f>'Billing Detail'!E143</f>
        <v>18766.666666666668</v>
      </c>
      <c r="F162" s="91">
        <f>'Billing Detail'!N143</f>
        <v>82.484808333333149</v>
      </c>
      <c r="G162" s="4">
        <f>Summary!N18</f>
        <v>3.640922409174329E-2</v>
      </c>
    </row>
    <row r="163" spans="3:7" x14ac:dyDescent="0.25">
      <c r="C163" s="20">
        <f>Summary!C19</f>
        <v>36</v>
      </c>
      <c r="D163" s="124" t="str">
        <f>Summary!B19</f>
        <v>Large Power Schedule LPE4</v>
      </c>
      <c r="E163" s="112">
        <f>'Billing Detail'!E157</f>
        <v>1692871.6666666667</v>
      </c>
      <c r="F163" s="91">
        <f>'Billing Detail'!N157</f>
        <v>4703.0459465000022</v>
      </c>
      <c r="G163" s="4">
        <f>Summary!N19</f>
        <v>3.6875367562375465E-2</v>
      </c>
    </row>
    <row r="164" spans="3:7" x14ac:dyDescent="0.25">
      <c r="C164" s="20">
        <f>Summary!C20</f>
        <v>50</v>
      </c>
      <c r="D164" s="124" t="str">
        <f>Summary!B20</f>
        <v>TOD Three Phase - Schedule C</v>
      </c>
      <c r="E164" s="112">
        <f>'Billing Detail'!E171</f>
        <v>4754.833333333333</v>
      </c>
      <c r="F164" s="91">
        <f>'Billing Detail'!O171</f>
        <v>3.6404500815029245E-2</v>
      </c>
      <c r="G164" s="4">
        <f>Summary!N20</f>
        <v>3.64045008150293E-2</v>
      </c>
    </row>
    <row r="165" spans="3:7" x14ac:dyDescent="0.25">
      <c r="C165" s="20">
        <f>Summary!C21</f>
        <v>6</v>
      </c>
      <c r="D165" s="124" t="str">
        <f>Summary!B21</f>
        <v>Street Lighting</v>
      </c>
      <c r="E165" s="116">
        <f>'Billing Detail'!E183</f>
        <v>369082</v>
      </c>
      <c r="F165" s="115" t="s">
        <v>96</v>
      </c>
      <c r="G165" s="4">
        <f>Summary!N21</f>
        <v>2.9550452137601439E-2</v>
      </c>
    </row>
    <row r="166" spans="3:7" x14ac:dyDescent="0.25">
      <c r="C166" s="20">
        <f>Summary!C22</f>
        <v>6</v>
      </c>
      <c r="D166" s="124" t="str">
        <f>Summary!B22</f>
        <v>Lighting</v>
      </c>
      <c r="E166" s="117" t="s">
        <v>96</v>
      </c>
      <c r="F166" s="115" t="s">
        <v>96</v>
      </c>
      <c r="G166" s="4">
        <f>Summary!N22</f>
        <v>3.9136252413342995E-2</v>
      </c>
    </row>
  </sheetData>
  <mergeCells count="4">
    <mergeCell ref="C129:G129"/>
    <mergeCell ref="F130:G130"/>
    <mergeCell ref="C149:H149"/>
    <mergeCell ref="F150:G150"/>
  </mergeCells>
  <printOptions horizontalCentered="1"/>
  <pageMargins left="0.7" right="0.7" top="0.75" bottom="0.75" header="0.3" footer="0.3"/>
  <pageSetup paperSize="9" scale="81" fitToHeight="2" orientation="portrait" r:id="rId1"/>
  <headerFooter>
    <oddHeader>&amp;R&amp;"Arial,Bold"&amp;10Exhibit 2
Page &amp;P of &amp;N</oddHeader>
  </headerFooter>
  <rowBreaks count="1" manualBreakCount="1">
    <brk id="6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2021-03-24T15:21:23Z</cp:lastPrinted>
  <dcterms:created xsi:type="dcterms:W3CDTF">2021-02-09T02:13:44Z</dcterms:created>
  <dcterms:modified xsi:type="dcterms:W3CDTF">2021-05-25T13:07:18Z</dcterms:modified>
</cp:coreProperties>
</file>