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CVE\Analysis\"/>
    </mc:Choice>
  </mc:AlternateContent>
  <xr:revisionPtr revIDLastSave="0" documentId="13_ncr:1_{22E3ED5B-0044-45C5-BA17-F38875407C8F}" xr6:coauthVersionLast="46" xr6:coauthVersionMax="46" xr10:uidLastSave="{00000000-0000-0000-0000-000000000000}"/>
  <bookViews>
    <workbookView xWindow="-108" yWindow="-108" windowWidth="23256" windowHeight="12576" activeTab="3" xr2:uid="{5A56C961-47FC-4CB4-AEDD-3C6FC9A16749}"/>
  </bookViews>
  <sheets>
    <sheet name="Summary" sheetId="2" r:id="rId1"/>
    <sheet name="Billing Detail" sheetId="1" r:id="rId2"/>
    <sheet name="Notice Table" sheetId="3" r:id="rId3"/>
    <sheet name="Notes" sheetId="4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Detail'!$A$1:$R$144</definedName>
    <definedName name="_xlnm.Print_Area" localSheetId="2">'Notice Table'!$A$1:$G$61</definedName>
    <definedName name="_xlnm.Print_Area" localSheetId="0">Summary!$A$1:$O$30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6" i="1" l="1"/>
  <c r="A118" i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E30" i="1"/>
  <c r="E84" i="3" s="1"/>
  <c r="E57" i="1"/>
  <c r="I100" i="1" l="1"/>
  <c r="O100" i="1" s="1"/>
  <c r="G100" i="1"/>
  <c r="E71" i="1"/>
  <c r="E87" i="3" s="1"/>
  <c r="I90" i="1"/>
  <c r="I77" i="1"/>
  <c r="I65" i="1"/>
  <c r="I51" i="1"/>
  <c r="I37" i="1"/>
  <c r="I24" i="1"/>
  <c r="I11" i="1"/>
  <c r="I101" i="1"/>
  <c r="G101" i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E27" i="3" l="1"/>
  <c r="F27" i="3"/>
  <c r="E28" i="3"/>
  <c r="F28" i="3"/>
  <c r="E29" i="3"/>
  <c r="F29" i="3"/>
  <c r="F26" i="3"/>
  <c r="E26" i="3"/>
  <c r="E22" i="3"/>
  <c r="F22" i="3"/>
  <c r="E23" i="3"/>
  <c r="F23" i="3"/>
  <c r="E24" i="3"/>
  <c r="F24" i="3"/>
  <c r="F21" i="3"/>
  <c r="E21" i="3"/>
  <c r="N123" i="1"/>
  <c r="G120" i="1"/>
  <c r="G121" i="1"/>
  <c r="G123" i="1"/>
  <c r="I112" i="1"/>
  <c r="I113" i="1"/>
  <c r="G75" i="1"/>
  <c r="G74" i="1"/>
  <c r="I61" i="1"/>
  <c r="G61" i="1"/>
  <c r="I62" i="1"/>
  <c r="G62" i="1"/>
  <c r="I47" i="1"/>
  <c r="G47" i="1"/>
  <c r="I48" i="1"/>
  <c r="G48" i="1"/>
  <c r="G13" i="1"/>
  <c r="G122" i="1" s="1"/>
  <c r="I120" i="1" l="1"/>
  <c r="E60" i="3"/>
  <c r="F60" i="3"/>
  <c r="E61" i="3"/>
  <c r="F61" i="3"/>
  <c r="F59" i="3"/>
  <c r="E59" i="3"/>
  <c r="D58" i="3"/>
  <c r="C58" i="3"/>
  <c r="E55" i="3"/>
  <c r="F55" i="3"/>
  <c r="E56" i="3"/>
  <c r="F56" i="3"/>
  <c r="E57" i="3"/>
  <c r="F57" i="3"/>
  <c r="F54" i="3"/>
  <c r="E54" i="3"/>
  <c r="D53" i="3"/>
  <c r="C53" i="3"/>
  <c r="E50" i="3"/>
  <c r="F50" i="3"/>
  <c r="E51" i="3"/>
  <c r="F51" i="3"/>
  <c r="E52" i="3"/>
  <c r="F52" i="3"/>
  <c r="F49" i="3"/>
  <c r="E49" i="3"/>
  <c r="D48" i="3"/>
  <c r="C48" i="3"/>
  <c r="E96" i="1" l="1"/>
  <c r="E83" i="1"/>
  <c r="E88" i="3" s="1"/>
  <c r="E86" i="3"/>
  <c r="E43" i="1"/>
  <c r="E85" i="3" s="1"/>
  <c r="E89" i="3" l="1"/>
  <c r="E17" i="1"/>
  <c r="E83" i="3" s="1"/>
  <c r="C37" i="3" l="1"/>
  <c r="D37" i="3"/>
  <c r="E35" i="3"/>
  <c r="F35" i="3"/>
  <c r="E36" i="3"/>
  <c r="F36" i="3"/>
  <c r="F34" i="3"/>
  <c r="E34" i="3"/>
  <c r="C33" i="3"/>
  <c r="D33" i="3"/>
  <c r="E32" i="3"/>
  <c r="F32" i="3"/>
  <c r="F31" i="3"/>
  <c r="E31" i="3"/>
  <c r="C30" i="3"/>
  <c r="D30" i="3"/>
  <c r="C25" i="3"/>
  <c r="D25" i="3"/>
  <c r="C20" i="3"/>
  <c r="D20" i="3"/>
  <c r="E18" i="3"/>
  <c r="F18" i="3"/>
  <c r="E19" i="3"/>
  <c r="F19" i="3"/>
  <c r="F17" i="3"/>
  <c r="E17" i="3"/>
  <c r="C16" i="3"/>
  <c r="D16" i="3"/>
  <c r="E14" i="3"/>
  <c r="E15" i="3"/>
  <c r="F15" i="3"/>
  <c r="F13" i="3"/>
  <c r="E13" i="3"/>
  <c r="C12" i="3"/>
  <c r="D12" i="3"/>
  <c r="E7" i="3"/>
  <c r="F7" i="3"/>
  <c r="F10" i="3" s="1"/>
  <c r="F6" i="3"/>
  <c r="F9" i="3" s="1"/>
  <c r="E6" i="3"/>
  <c r="C5" i="3"/>
  <c r="D5" i="3"/>
  <c r="F14" i="3" l="1"/>
  <c r="H18" i="2"/>
  <c r="A1" i="3" l="1"/>
  <c r="L28" i="2" l="1"/>
  <c r="C13" i="2" l="1"/>
  <c r="B13" i="2"/>
  <c r="C11" i="2"/>
  <c r="I75" i="1"/>
  <c r="D88" i="3" l="1"/>
  <c r="D74" i="3"/>
  <c r="C86" i="3"/>
  <c r="C72" i="3"/>
  <c r="C88" i="3"/>
  <c r="C74" i="3"/>
  <c r="I63" i="1"/>
  <c r="G63" i="1"/>
  <c r="I21" i="1"/>
  <c r="G21" i="1"/>
  <c r="I22" i="1"/>
  <c r="G22" i="1"/>
  <c r="G81" i="1" l="1"/>
  <c r="I80" i="1"/>
  <c r="M80" i="1" s="1"/>
  <c r="I79" i="1"/>
  <c r="M79" i="1" s="1"/>
  <c r="N79" i="1" s="1"/>
  <c r="I78" i="1"/>
  <c r="M78" i="1" s="1"/>
  <c r="N78" i="1" s="1"/>
  <c r="M77" i="1"/>
  <c r="I74" i="1"/>
  <c r="I49" i="1"/>
  <c r="G49" i="1"/>
  <c r="I34" i="1"/>
  <c r="G34" i="1"/>
  <c r="I76" i="1" l="1"/>
  <c r="G76" i="1"/>
  <c r="N77" i="1"/>
  <c r="M81" i="1"/>
  <c r="I81" i="1"/>
  <c r="G82" i="1" l="1"/>
  <c r="G83" i="1" s="1"/>
  <c r="D13" i="2"/>
  <c r="E13" i="2"/>
  <c r="J75" i="1"/>
  <c r="I82" i="1"/>
  <c r="I83" i="1" s="1"/>
  <c r="J74" i="1"/>
  <c r="N81" i="1"/>
  <c r="O81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l="1"/>
  <c r="A46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47" i="1"/>
  <c r="G13" i="2"/>
  <c r="J76" i="1"/>
  <c r="I68" i="1"/>
  <c r="M68" i="1" s="1"/>
  <c r="I67" i="1"/>
  <c r="M67" i="1" s="1"/>
  <c r="I66" i="1"/>
  <c r="M66" i="1" s="1"/>
  <c r="I93" i="1"/>
  <c r="M93" i="1" s="1"/>
  <c r="I92" i="1"/>
  <c r="I91" i="1"/>
  <c r="I54" i="1"/>
  <c r="M54" i="1" s="1"/>
  <c r="I53" i="1"/>
  <c r="M53" i="1" s="1"/>
  <c r="I52" i="1"/>
  <c r="M52" i="1" s="1"/>
  <c r="I40" i="1"/>
  <c r="M40" i="1" s="1"/>
  <c r="I38" i="1"/>
  <c r="I27" i="1"/>
  <c r="M27" i="1" s="1"/>
  <c r="I26" i="1"/>
  <c r="M26" i="1" s="1"/>
  <c r="I25" i="1"/>
  <c r="M25" i="1" s="1"/>
  <c r="I14" i="1"/>
  <c r="I13" i="1"/>
  <c r="I12" i="1"/>
  <c r="B24" i="2"/>
  <c r="I121" i="1" l="1"/>
  <c r="I123" i="1"/>
  <c r="E24" i="2" s="1"/>
  <c r="A59" i="1"/>
  <c r="A60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61" i="1"/>
  <c r="A48" i="1"/>
  <c r="M13" i="1"/>
  <c r="M12" i="1"/>
  <c r="M92" i="1"/>
  <c r="M14" i="1"/>
  <c r="M123" i="1" s="1"/>
  <c r="M91" i="1"/>
  <c r="I28" i="1"/>
  <c r="I55" i="1"/>
  <c r="M38" i="1"/>
  <c r="G41" i="1"/>
  <c r="I39" i="1"/>
  <c r="M39" i="1" s="1"/>
  <c r="G15" i="1"/>
  <c r="G69" i="1"/>
  <c r="D24" i="2"/>
  <c r="G94" i="1"/>
  <c r="G55" i="1"/>
  <c r="G28" i="1"/>
  <c r="A99" i="1" l="1"/>
  <c r="A101" i="1" s="1"/>
  <c r="A100" i="1"/>
  <c r="A102" i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62" i="1"/>
  <c r="I122" i="1"/>
  <c r="J24" i="2"/>
  <c r="I94" i="1"/>
  <c r="I15" i="1"/>
  <c r="I69" i="1"/>
  <c r="I41" i="1"/>
  <c r="I110" i="1"/>
  <c r="G110" i="1"/>
  <c r="I109" i="1"/>
  <c r="G10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E23" i="2" l="1"/>
  <c r="E22" i="2"/>
  <c r="D23" i="2"/>
  <c r="D22" i="2"/>
  <c r="C10" i="2"/>
  <c r="C14" i="2"/>
  <c r="C12" i="2"/>
  <c r="C15" i="2"/>
  <c r="B15" i="2"/>
  <c r="B12" i="2"/>
  <c r="B14" i="2"/>
  <c r="B11" i="2"/>
  <c r="B10" i="2"/>
  <c r="C9" i="2"/>
  <c r="C8" i="2"/>
  <c r="B9" i="2"/>
  <c r="B8" i="2"/>
  <c r="I88" i="1"/>
  <c r="G88" i="1"/>
  <c r="N53" i="1"/>
  <c r="N52" i="1"/>
  <c r="M51" i="1"/>
  <c r="I46" i="1"/>
  <c r="G46" i="1"/>
  <c r="N26" i="1"/>
  <c r="N25" i="1"/>
  <c r="M24" i="1"/>
  <c r="I20" i="1"/>
  <c r="G20" i="1"/>
  <c r="N38" i="1"/>
  <c r="M37" i="1"/>
  <c r="I35" i="1"/>
  <c r="G35" i="1"/>
  <c r="I33" i="1"/>
  <c r="G33" i="1"/>
  <c r="N92" i="1"/>
  <c r="N91" i="1"/>
  <c r="M90" i="1"/>
  <c r="I87" i="1"/>
  <c r="G87" i="1"/>
  <c r="I86" i="1"/>
  <c r="G86" i="1"/>
  <c r="N67" i="1"/>
  <c r="N66" i="1"/>
  <c r="M65" i="1"/>
  <c r="I60" i="1"/>
  <c r="G60" i="1"/>
  <c r="G64" i="1" s="1"/>
  <c r="C83" i="3" l="1"/>
  <c r="C69" i="3"/>
  <c r="C87" i="3"/>
  <c r="C73" i="3"/>
  <c r="C84" i="3"/>
  <c r="C70" i="3"/>
  <c r="C75" i="3"/>
  <c r="C89" i="3"/>
  <c r="C90" i="3"/>
  <c r="C76" i="3"/>
  <c r="D85" i="3"/>
  <c r="D71" i="3"/>
  <c r="C85" i="3"/>
  <c r="C71" i="3"/>
  <c r="D86" i="3"/>
  <c r="D72" i="3"/>
  <c r="D75" i="3"/>
  <c r="D89" i="3"/>
  <c r="D84" i="3"/>
  <c r="D70" i="3"/>
  <c r="D87" i="3"/>
  <c r="D73" i="3"/>
  <c r="D83" i="3"/>
  <c r="D69" i="3"/>
  <c r="D90" i="3"/>
  <c r="D76" i="3"/>
  <c r="N24" i="1"/>
  <c r="M28" i="1"/>
  <c r="N65" i="1"/>
  <c r="M69" i="1"/>
  <c r="N90" i="1"/>
  <c r="M94" i="1"/>
  <c r="N51" i="1"/>
  <c r="M55" i="1"/>
  <c r="N37" i="1"/>
  <c r="M41" i="1"/>
  <c r="N41" i="1" s="1"/>
  <c r="O41" i="1" s="1"/>
  <c r="E21" i="2"/>
  <c r="E25" i="2" s="1"/>
  <c r="G50" i="1"/>
  <c r="D11" i="2" s="1"/>
  <c r="D21" i="2"/>
  <c r="D25" i="2" s="1"/>
  <c r="G23" i="1"/>
  <c r="D9" i="2" s="1"/>
  <c r="I50" i="1"/>
  <c r="I23" i="1"/>
  <c r="G36" i="1"/>
  <c r="N39" i="1"/>
  <c r="I36" i="1"/>
  <c r="J35" i="1" s="1"/>
  <c r="G89" i="1"/>
  <c r="I64" i="1"/>
  <c r="I89" i="1"/>
  <c r="J86" i="1" s="1"/>
  <c r="G99" i="1"/>
  <c r="I99" i="1"/>
  <c r="G116" i="1"/>
  <c r="G124" i="1" s="1"/>
  <c r="M114" i="1"/>
  <c r="M122" i="1" s="1"/>
  <c r="M113" i="1"/>
  <c r="M121" i="1" s="1"/>
  <c r="M112" i="1"/>
  <c r="B22" i="2"/>
  <c r="B23" i="2"/>
  <c r="B21" i="2"/>
  <c r="M11" i="1"/>
  <c r="M120" i="1" s="1"/>
  <c r="I9" i="1"/>
  <c r="I8" i="1"/>
  <c r="G9" i="1"/>
  <c r="G8" i="1"/>
  <c r="A2" i="1"/>
  <c r="A1" i="1"/>
  <c r="A8" i="2"/>
  <c r="A9" i="2" s="1"/>
  <c r="A10" i="2" s="1"/>
  <c r="A11" i="2" s="1"/>
  <c r="J47" i="1" l="1"/>
  <c r="J48" i="1"/>
  <c r="J62" i="1"/>
  <c r="J61" i="1"/>
  <c r="J63" i="1"/>
  <c r="J60" i="1"/>
  <c r="J87" i="1"/>
  <c r="M15" i="1"/>
  <c r="J88" i="1"/>
  <c r="N112" i="1"/>
  <c r="J21" i="1"/>
  <c r="J22" i="1"/>
  <c r="E11" i="2"/>
  <c r="J49" i="1"/>
  <c r="N113" i="1"/>
  <c r="N114" i="1"/>
  <c r="J23" i="2"/>
  <c r="J34" i="1"/>
  <c r="J46" i="1"/>
  <c r="J33" i="1"/>
  <c r="J20" i="1"/>
  <c r="G56" i="1"/>
  <c r="G57" i="1" s="1"/>
  <c r="G29" i="1"/>
  <c r="G30" i="1" s="1"/>
  <c r="N12" i="1"/>
  <c r="J22" i="2"/>
  <c r="N13" i="1"/>
  <c r="G42" i="1"/>
  <c r="G43" i="1" s="1"/>
  <c r="D10" i="2"/>
  <c r="I56" i="1"/>
  <c r="I57" i="1" s="1"/>
  <c r="G70" i="1"/>
  <c r="G71" i="1" s="1"/>
  <c r="D12" i="2"/>
  <c r="I70" i="1"/>
  <c r="I71" i="1" s="1"/>
  <c r="E12" i="2"/>
  <c r="I42" i="1"/>
  <c r="I43" i="1" s="1"/>
  <c r="E10" i="2"/>
  <c r="I95" i="1"/>
  <c r="I96" i="1" s="1"/>
  <c r="E14" i="2"/>
  <c r="G95" i="1"/>
  <c r="G96" i="1" s="1"/>
  <c r="D14" i="2"/>
  <c r="I29" i="1"/>
  <c r="I30" i="1" s="1"/>
  <c r="E9" i="2"/>
  <c r="N55" i="1"/>
  <c r="O55" i="1" s="1"/>
  <c r="N28" i="1"/>
  <c r="O28" i="1" s="1"/>
  <c r="N94" i="1"/>
  <c r="O94" i="1" s="1"/>
  <c r="N69" i="1"/>
  <c r="O69" i="1" s="1"/>
  <c r="G10" i="1"/>
  <c r="I10" i="1"/>
  <c r="I119" i="1" s="1"/>
  <c r="I116" i="1"/>
  <c r="I124" i="1" s="1"/>
  <c r="I111" i="1"/>
  <c r="G111" i="1"/>
  <c r="N11" i="1"/>
  <c r="N120" i="1" s="1"/>
  <c r="J101" i="1" l="1"/>
  <c r="J100" i="1"/>
  <c r="G119" i="1"/>
  <c r="G125" i="1" s="1"/>
  <c r="N122" i="1"/>
  <c r="I125" i="1"/>
  <c r="N121" i="1"/>
  <c r="G12" i="2"/>
  <c r="G11" i="2"/>
  <c r="G14" i="2"/>
  <c r="G9" i="2"/>
  <c r="G10" i="2"/>
  <c r="D15" i="2"/>
  <c r="J64" i="1"/>
  <c r="J50" i="1"/>
  <c r="J21" i="2"/>
  <c r="J25" i="2" s="1"/>
  <c r="J36" i="1"/>
  <c r="E15" i="2"/>
  <c r="J23" i="1"/>
  <c r="J89" i="1"/>
  <c r="J108" i="1"/>
  <c r="J109" i="1"/>
  <c r="J106" i="1"/>
  <c r="J107" i="1"/>
  <c r="J110" i="1"/>
  <c r="J105" i="1"/>
  <c r="J103" i="1"/>
  <c r="J104" i="1"/>
  <c r="J102" i="1"/>
  <c r="J9" i="1"/>
  <c r="J8" i="1"/>
  <c r="G117" i="1"/>
  <c r="E8" i="2"/>
  <c r="G16" i="1"/>
  <c r="D8" i="2"/>
  <c r="J99" i="1"/>
  <c r="I117" i="1"/>
  <c r="M116" i="1"/>
  <c r="M124" i="1" s="1"/>
  <c r="I16" i="1"/>
  <c r="I17" i="1" s="1"/>
  <c r="N15" i="1"/>
  <c r="G15" i="2" l="1"/>
  <c r="G8" i="2"/>
  <c r="D16" i="2"/>
  <c r="D18" i="2" s="1"/>
  <c r="D27" i="2" s="1"/>
  <c r="E16" i="2"/>
  <c r="G17" i="1"/>
  <c r="J111" i="1"/>
  <c r="N116" i="1"/>
  <c r="O116" i="1" s="1"/>
  <c r="J10" i="1"/>
  <c r="N124" i="1" l="1"/>
  <c r="G16" i="2"/>
  <c r="E18" i="2"/>
  <c r="F13" i="2"/>
  <c r="F8" i="2"/>
  <c r="F11" i="2"/>
  <c r="F9" i="2"/>
  <c r="F15" i="2"/>
  <c r="F16" i="2"/>
  <c r="F18" i="2" s="1"/>
  <c r="F10" i="2"/>
  <c r="F12" i="2"/>
  <c r="F14" i="2"/>
  <c r="H8" i="2" l="1"/>
  <c r="I8" i="2" s="1"/>
  <c r="K10" i="1" s="1"/>
  <c r="H9" i="2"/>
  <c r="I9" i="2" s="1"/>
  <c r="K23" i="1" s="1"/>
  <c r="H10" i="2"/>
  <c r="I10" i="2" s="1"/>
  <c r="K36" i="1" s="1"/>
  <c r="H11" i="2"/>
  <c r="I11" i="2" s="1"/>
  <c r="K50" i="1" s="1"/>
  <c r="H15" i="2"/>
  <c r="I15" i="2" s="1"/>
  <c r="K111" i="1" s="1"/>
  <c r="H12" i="2"/>
  <c r="I12" i="2" s="1"/>
  <c r="K64" i="1" s="1"/>
  <c r="G18" i="2"/>
  <c r="H14" i="2"/>
  <c r="I14" i="2" s="1"/>
  <c r="K89" i="1" s="1"/>
  <c r="H13" i="2"/>
  <c r="I13" i="2" s="1"/>
  <c r="K76" i="1" s="1"/>
  <c r="E27" i="2"/>
  <c r="S23" i="1" l="1"/>
  <c r="S111" i="1"/>
  <c r="S36" i="1"/>
  <c r="S10" i="1"/>
  <c r="S64" i="1"/>
  <c r="S89" i="1"/>
  <c r="S50" i="1"/>
  <c r="S76" i="1"/>
  <c r="I16" i="2"/>
  <c r="I18" i="2" s="1"/>
  <c r="L101" i="1" l="1"/>
  <c r="M101" i="1" s="1"/>
  <c r="L100" i="1"/>
  <c r="L9" i="1"/>
  <c r="G7" i="3" s="1"/>
  <c r="L88" i="1"/>
  <c r="G36" i="3" s="1"/>
  <c r="J36" i="3" s="1"/>
  <c r="L87" i="1"/>
  <c r="G35" i="3" s="1"/>
  <c r="J35" i="3" s="1"/>
  <c r="L33" i="1"/>
  <c r="G17" i="3" s="1"/>
  <c r="J17" i="3" s="1"/>
  <c r="L35" i="1"/>
  <c r="G19" i="3" s="1"/>
  <c r="J19" i="3" s="1"/>
  <c r="L34" i="1"/>
  <c r="G18" i="3" s="1"/>
  <c r="J18" i="3" s="1"/>
  <c r="L21" i="1"/>
  <c r="G14" i="3" s="1"/>
  <c r="J14" i="3" s="1"/>
  <c r="L20" i="1"/>
  <c r="L22" i="1"/>
  <c r="G15" i="3" s="1"/>
  <c r="J15" i="3" s="1"/>
  <c r="L48" i="1"/>
  <c r="G23" i="3" s="1"/>
  <c r="J23" i="3" s="1"/>
  <c r="L47" i="1"/>
  <c r="G22" i="3" s="1"/>
  <c r="J22" i="3" s="1"/>
  <c r="L46" i="1"/>
  <c r="G21" i="3" s="1"/>
  <c r="L49" i="1"/>
  <c r="G24" i="3" s="1"/>
  <c r="J24" i="3" s="1"/>
  <c r="L74" i="1"/>
  <c r="G31" i="3" s="1"/>
  <c r="J31" i="3" s="1"/>
  <c r="L75" i="1"/>
  <c r="G32" i="3" s="1"/>
  <c r="J32" i="3" s="1"/>
  <c r="L62" i="1"/>
  <c r="G28" i="3" s="1"/>
  <c r="J28" i="3" s="1"/>
  <c r="L61" i="1"/>
  <c r="G27" i="3" s="1"/>
  <c r="J27" i="3" s="1"/>
  <c r="L60" i="1"/>
  <c r="L63" i="1"/>
  <c r="L106" i="1"/>
  <c r="G43" i="3" s="1"/>
  <c r="J43" i="3" s="1"/>
  <c r="L109" i="1"/>
  <c r="G47" i="3" s="1"/>
  <c r="J47" i="3" s="1"/>
  <c r="L110" i="1"/>
  <c r="L8" i="1"/>
  <c r="L105" i="1"/>
  <c r="G44" i="3" s="1"/>
  <c r="J44" i="3" s="1"/>
  <c r="L107" i="1"/>
  <c r="G45" i="3" s="1"/>
  <c r="J45" i="3" s="1"/>
  <c r="L104" i="1"/>
  <c r="L108" i="1"/>
  <c r="G46" i="3" s="1"/>
  <c r="J46" i="3" s="1"/>
  <c r="L99" i="1"/>
  <c r="L102" i="1"/>
  <c r="G40" i="3" s="1"/>
  <c r="J40" i="3" s="1"/>
  <c r="L103" i="1"/>
  <c r="G42" i="3" s="1"/>
  <c r="J42" i="3" s="1"/>
  <c r="L86" i="1"/>
  <c r="G34" i="3" s="1"/>
  <c r="J34" i="3" s="1"/>
  <c r="M88" i="1"/>
  <c r="N88" i="1" s="1"/>
  <c r="O88" i="1" s="1"/>
  <c r="J7" i="3" l="1"/>
  <c r="G10" i="3"/>
  <c r="J10" i="3" s="1"/>
  <c r="G41" i="3"/>
  <c r="J41" i="3" s="1"/>
  <c r="T101" i="1"/>
  <c r="G39" i="3"/>
  <c r="J39" i="3" s="1"/>
  <c r="T100" i="1"/>
  <c r="M100" i="1"/>
  <c r="N100" i="1" s="1"/>
  <c r="G38" i="3"/>
  <c r="J38" i="3" s="1"/>
  <c r="T9" i="1"/>
  <c r="N101" i="1"/>
  <c r="O101" i="1" s="1"/>
  <c r="M9" i="1"/>
  <c r="N9" i="1" s="1"/>
  <c r="O9" i="1" s="1"/>
  <c r="G29" i="3"/>
  <c r="J29" i="3" s="1"/>
  <c r="M60" i="1"/>
  <c r="N60" i="1" s="1"/>
  <c r="O60" i="1" s="1"/>
  <c r="G26" i="3"/>
  <c r="J26" i="3" s="1"/>
  <c r="M74" i="1"/>
  <c r="N74" i="1" s="1"/>
  <c r="O74" i="1" s="1"/>
  <c r="T74" i="1"/>
  <c r="T63" i="1"/>
  <c r="M63" i="1"/>
  <c r="N63" i="1" s="1"/>
  <c r="O63" i="1" s="1"/>
  <c r="M62" i="1"/>
  <c r="N62" i="1" s="1"/>
  <c r="O62" i="1" s="1"/>
  <c r="T62" i="1"/>
  <c r="M33" i="1"/>
  <c r="N33" i="1" s="1"/>
  <c r="T33" i="1"/>
  <c r="M47" i="1"/>
  <c r="N47" i="1" s="1"/>
  <c r="O47" i="1" s="1"/>
  <c r="T47" i="1"/>
  <c r="M61" i="1"/>
  <c r="N61" i="1" s="1"/>
  <c r="O61" i="1" s="1"/>
  <c r="T61" i="1"/>
  <c r="G6" i="3"/>
  <c r="M106" i="1"/>
  <c r="N106" i="1" s="1"/>
  <c r="O106" i="1" s="1"/>
  <c r="T106" i="1"/>
  <c r="M109" i="1"/>
  <c r="N109" i="1" s="1"/>
  <c r="O109" i="1" s="1"/>
  <c r="T109" i="1"/>
  <c r="T110" i="1"/>
  <c r="T107" i="1"/>
  <c r="T103" i="1"/>
  <c r="M8" i="1"/>
  <c r="N8" i="1" s="1"/>
  <c r="N10" i="1" s="1"/>
  <c r="T34" i="1"/>
  <c r="M46" i="1"/>
  <c r="N46" i="1" s="1"/>
  <c r="M110" i="1"/>
  <c r="N110" i="1" s="1"/>
  <c r="O110" i="1" s="1"/>
  <c r="M75" i="1"/>
  <c r="N75" i="1" s="1"/>
  <c r="O75" i="1" s="1"/>
  <c r="M103" i="1"/>
  <c r="N103" i="1" s="1"/>
  <c r="O103" i="1" s="1"/>
  <c r="M105" i="1"/>
  <c r="N105" i="1" s="1"/>
  <c r="O105" i="1" s="1"/>
  <c r="M35" i="1"/>
  <c r="N35" i="1" s="1"/>
  <c r="O35" i="1" s="1"/>
  <c r="M108" i="1"/>
  <c r="N108" i="1" s="1"/>
  <c r="O108" i="1" s="1"/>
  <c r="M34" i="1"/>
  <c r="N34" i="1" s="1"/>
  <c r="O34" i="1" s="1"/>
  <c r="T35" i="1"/>
  <c r="T108" i="1"/>
  <c r="T105" i="1"/>
  <c r="M107" i="1"/>
  <c r="N107" i="1" s="1"/>
  <c r="O107" i="1" s="1"/>
  <c r="T75" i="1"/>
  <c r="T8" i="1"/>
  <c r="G13" i="3"/>
  <c r="J13" i="3" s="1"/>
  <c r="T104" i="1"/>
  <c r="M104" i="1"/>
  <c r="N104" i="1" s="1"/>
  <c r="O104" i="1" s="1"/>
  <c r="M99" i="1"/>
  <c r="N99" i="1" s="1"/>
  <c r="O99" i="1" s="1"/>
  <c r="T99" i="1"/>
  <c r="M102" i="1"/>
  <c r="N102" i="1" s="1"/>
  <c r="O102" i="1" s="1"/>
  <c r="T102" i="1"/>
  <c r="T86" i="1"/>
  <c r="M86" i="1"/>
  <c r="N86" i="1" s="1"/>
  <c r="O86" i="1" s="1"/>
  <c r="O33" i="1"/>
  <c r="T49" i="1"/>
  <c r="M49" i="1"/>
  <c r="T88" i="1"/>
  <c r="T87" i="1"/>
  <c r="M87" i="1"/>
  <c r="J6" i="3" l="1"/>
  <c r="G9" i="3"/>
  <c r="J9" i="3" s="1"/>
  <c r="N64" i="1"/>
  <c r="L12" i="2" s="1"/>
  <c r="F73" i="3" s="1"/>
  <c r="M64" i="1"/>
  <c r="P61" i="1" s="1"/>
  <c r="Q61" i="1" s="1"/>
  <c r="M48" i="1"/>
  <c r="M50" i="1" s="1"/>
  <c r="T48" i="1"/>
  <c r="M76" i="1"/>
  <c r="R76" i="1" s="1"/>
  <c r="N76" i="1"/>
  <c r="O8" i="1"/>
  <c r="M36" i="1"/>
  <c r="R36" i="1" s="1"/>
  <c r="J21" i="3"/>
  <c r="N36" i="1"/>
  <c r="O36" i="1" s="1"/>
  <c r="M10" i="1"/>
  <c r="M111" i="1"/>
  <c r="N111" i="1"/>
  <c r="O111" i="1" s="1"/>
  <c r="O46" i="1"/>
  <c r="N49" i="1"/>
  <c r="O49" i="1" s="1"/>
  <c r="J12" i="2"/>
  <c r="O12" i="2" s="1"/>
  <c r="O10" i="1"/>
  <c r="N87" i="1"/>
  <c r="M89" i="1"/>
  <c r="M70" i="1" l="1"/>
  <c r="M71" i="1" s="1"/>
  <c r="N71" i="1" s="1"/>
  <c r="P101" i="1"/>
  <c r="Q101" i="1" s="1"/>
  <c r="P100" i="1"/>
  <c r="Q100" i="1" s="1"/>
  <c r="P60" i="1"/>
  <c r="Q60" i="1" s="1"/>
  <c r="P8" i="1"/>
  <c r="Q8" i="1" s="1"/>
  <c r="P62" i="1"/>
  <c r="Q62" i="1" s="1"/>
  <c r="R64" i="1"/>
  <c r="P63" i="1"/>
  <c r="Q63" i="1" s="1"/>
  <c r="P46" i="1"/>
  <c r="Q46" i="1" s="1"/>
  <c r="P47" i="1"/>
  <c r="Q47" i="1" s="1"/>
  <c r="P48" i="1"/>
  <c r="Q48" i="1" s="1"/>
  <c r="N48" i="1"/>
  <c r="O48" i="1" s="1"/>
  <c r="P74" i="1"/>
  <c r="Q74" i="1" s="1"/>
  <c r="M82" i="1"/>
  <c r="M83" i="1" s="1"/>
  <c r="N83" i="1" s="1"/>
  <c r="P9" i="1"/>
  <c r="Q9" i="1" s="1"/>
  <c r="J8" i="2"/>
  <c r="O8" i="2" s="1"/>
  <c r="J13" i="2"/>
  <c r="O13" i="2" s="1"/>
  <c r="P75" i="1"/>
  <c r="Q75" i="1" s="1"/>
  <c r="P35" i="1"/>
  <c r="Q35" i="1" s="1"/>
  <c r="P34" i="1"/>
  <c r="Q34" i="1" s="1"/>
  <c r="P33" i="1"/>
  <c r="Q33" i="1" s="1"/>
  <c r="M42" i="1"/>
  <c r="M43" i="1" s="1"/>
  <c r="N43" i="1" s="1"/>
  <c r="O43" i="1" s="1"/>
  <c r="J10" i="2"/>
  <c r="O10" i="2" s="1"/>
  <c r="P110" i="1"/>
  <c r="Q110" i="1" s="1"/>
  <c r="J15" i="2"/>
  <c r="L15" i="2" s="1"/>
  <c r="F76" i="3" s="1"/>
  <c r="P105" i="1"/>
  <c r="Q105" i="1" s="1"/>
  <c r="R10" i="1"/>
  <c r="M16" i="1"/>
  <c r="M17" i="1" s="1"/>
  <c r="N17" i="1" s="1"/>
  <c r="O17" i="1" s="1"/>
  <c r="P103" i="1"/>
  <c r="Q103" i="1" s="1"/>
  <c r="P107" i="1"/>
  <c r="Q107" i="1" s="1"/>
  <c r="P104" i="1"/>
  <c r="Q104" i="1" s="1"/>
  <c r="P102" i="1"/>
  <c r="Q102" i="1" s="1"/>
  <c r="P106" i="1"/>
  <c r="Q106" i="1" s="1"/>
  <c r="P99" i="1"/>
  <c r="Q99" i="1" s="1"/>
  <c r="M117" i="1"/>
  <c r="N117" i="1" s="1"/>
  <c r="O117" i="1" s="1"/>
  <c r="N15" i="2" s="1"/>
  <c r="P108" i="1"/>
  <c r="Q108" i="1" s="1"/>
  <c r="R111" i="1"/>
  <c r="P109" i="1"/>
  <c r="Q109" i="1" s="1"/>
  <c r="J11" i="2"/>
  <c r="O11" i="2" s="1"/>
  <c r="O71" i="1"/>
  <c r="F87" i="3"/>
  <c r="M56" i="1"/>
  <c r="M57" i="1" s="1"/>
  <c r="N57" i="1" s="1"/>
  <c r="P49" i="1"/>
  <c r="Q49" i="1" s="1"/>
  <c r="R50" i="1"/>
  <c r="M12" i="2"/>
  <c r="O87" i="1"/>
  <c r="N89" i="1"/>
  <c r="O64" i="1"/>
  <c r="N70" i="1"/>
  <c r="L8" i="2"/>
  <c r="F69" i="3" s="1"/>
  <c r="L10" i="2"/>
  <c r="F71" i="3" s="1"/>
  <c r="R89" i="1"/>
  <c r="P86" i="1"/>
  <c r="P87" i="1"/>
  <c r="Q87" i="1" s="1"/>
  <c r="P88" i="1"/>
  <c r="Q88" i="1" s="1"/>
  <c r="J14" i="2"/>
  <c r="O14" i="2" s="1"/>
  <c r="M95" i="1"/>
  <c r="O76" i="1"/>
  <c r="L13" i="2"/>
  <c r="F74" i="3" s="1"/>
  <c r="G90" i="3" l="1"/>
  <c r="G76" i="3"/>
  <c r="P64" i="1"/>
  <c r="Q64" i="1" s="1"/>
  <c r="N50" i="1"/>
  <c r="O50" i="1" s="1"/>
  <c r="N82" i="1"/>
  <c r="O82" i="1" s="1"/>
  <c r="N13" i="2" s="1"/>
  <c r="P76" i="1"/>
  <c r="Q76" i="1" s="1"/>
  <c r="N42" i="1"/>
  <c r="O42" i="1" s="1"/>
  <c r="N10" i="2" s="1"/>
  <c r="P10" i="1"/>
  <c r="Q10" i="1" s="1"/>
  <c r="M15" i="2"/>
  <c r="O15" i="2"/>
  <c r="P36" i="1"/>
  <c r="Q36" i="1" s="1"/>
  <c r="N16" i="1"/>
  <c r="O16" i="1" s="1"/>
  <c r="N8" i="2" s="1"/>
  <c r="G69" i="3" s="1"/>
  <c r="F83" i="3"/>
  <c r="F85" i="3"/>
  <c r="P111" i="1"/>
  <c r="Q111" i="1" s="1"/>
  <c r="P50" i="1"/>
  <c r="Q50" i="1" s="1"/>
  <c r="N95" i="1"/>
  <c r="O95" i="1" s="1"/>
  <c r="N14" i="2" s="1"/>
  <c r="M96" i="1"/>
  <c r="N96" i="1" s="1"/>
  <c r="O57" i="1"/>
  <c r="F86" i="3"/>
  <c r="O83" i="1"/>
  <c r="F88" i="3"/>
  <c r="N56" i="1"/>
  <c r="O56" i="1" s="1"/>
  <c r="N11" i="2" s="1"/>
  <c r="M10" i="2"/>
  <c r="M8" i="2"/>
  <c r="M13" i="2"/>
  <c r="O70" i="1"/>
  <c r="N12" i="2" s="1"/>
  <c r="L14" i="2"/>
  <c r="F75" i="3" s="1"/>
  <c r="O89" i="1"/>
  <c r="P89" i="1"/>
  <c r="Q89" i="1" s="1"/>
  <c r="Q86" i="1"/>
  <c r="G71" i="3" l="1"/>
  <c r="G85" i="3"/>
  <c r="G72" i="3"/>
  <c r="G86" i="3"/>
  <c r="G88" i="3"/>
  <c r="G74" i="3"/>
  <c r="G73" i="3"/>
  <c r="G87" i="3"/>
  <c r="F89" i="3"/>
  <c r="G89" i="3"/>
  <c r="G75" i="3"/>
  <c r="L11" i="2"/>
  <c r="M14" i="2"/>
  <c r="G83" i="3"/>
  <c r="M20" i="1"/>
  <c r="M21" i="1"/>
  <c r="M11" i="2" l="1"/>
  <c r="F72" i="3"/>
  <c r="T21" i="1"/>
  <c r="T22" i="1"/>
  <c r="M22" i="1"/>
  <c r="N22" i="1" s="1"/>
  <c r="O22" i="1" s="1"/>
  <c r="N20" i="1"/>
  <c r="N21" i="1"/>
  <c r="O21" i="1" s="1"/>
  <c r="O20" i="1" l="1"/>
  <c r="N23" i="1"/>
  <c r="N119" i="1" s="1"/>
  <c r="N125" i="1" s="1"/>
  <c r="M23" i="1"/>
  <c r="M119" i="1" s="1"/>
  <c r="M125" i="1" s="1"/>
  <c r="J9" i="2" l="1"/>
  <c r="O9" i="2" s="1"/>
  <c r="M29" i="1"/>
  <c r="M30" i="1" s="1"/>
  <c r="P22" i="1"/>
  <c r="Q22" i="1" s="1"/>
  <c r="R23" i="1"/>
  <c r="P21" i="1"/>
  <c r="Q21" i="1" s="1"/>
  <c r="P20" i="1"/>
  <c r="Q20" i="1" s="1"/>
  <c r="N30" i="1" l="1"/>
  <c r="J16" i="2"/>
  <c r="L9" i="2"/>
  <c r="F70" i="3" s="1"/>
  <c r="O23" i="1"/>
  <c r="P23" i="1"/>
  <c r="Q23" i="1" s="1"/>
  <c r="N29" i="1"/>
  <c r="O119" i="1"/>
  <c r="O30" i="1" l="1"/>
  <c r="F84" i="3"/>
  <c r="S135" i="1"/>
  <c r="L135" i="1" s="1"/>
  <c r="S140" i="1"/>
  <c r="L140" i="1" s="1"/>
  <c r="S143" i="1"/>
  <c r="L143" i="1" s="1"/>
  <c r="S144" i="1"/>
  <c r="L144" i="1" s="1"/>
  <c r="S139" i="1"/>
  <c r="L139" i="1" s="1"/>
  <c r="S132" i="1"/>
  <c r="L132" i="1" s="1"/>
  <c r="S138" i="1"/>
  <c r="L138" i="1" s="1"/>
  <c r="S137" i="1"/>
  <c r="L137" i="1" s="1"/>
  <c r="S142" i="1"/>
  <c r="L142" i="1" s="1"/>
  <c r="S133" i="1"/>
  <c r="L133" i="1" s="1"/>
  <c r="S134" i="1"/>
  <c r="L134" i="1" s="1"/>
  <c r="O29" i="1"/>
  <c r="N9" i="2" s="1"/>
  <c r="M9" i="2"/>
  <c r="O16" i="2"/>
  <c r="O18" i="2" s="1"/>
  <c r="K9" i="2"/>
  <c r="K12" i="2"/>
  <c r="K10" i="2"/>
  <c r="K15" i="2"/>
  <c r="K13" i="2"/>
  <c r="J18" i="2"/>
  <c r="J27" i="2" s="1"/>
  <c r="L27" i="2" s="1"/>
  <c r="F77" i="3" s="1"/>
  <c r="K14" i="2"/>
  <c r="K16" i="2"/>
  <c r="K18" i="2" s="1"/>
  <c r="K11" i="2"/>
  <c r="K8" i="2"/>
  <c r="L16" i="2"/>
  <c r="L18" i="2" s="1"/>
  <c r="N127" i="1"/>
  <c r="O125" i="1"/>
  <c r="G70" i="3" l="1"/>
  <c r="G84" i="3"/>
  <c r="T133" i="1"/>
  <c r="G50" i="3"/>
  <c r="J50" i="3" s="1"/>
  <c r="T144" i="1"/>
  <c r="G61" i="3"/>
  <c r="J61" i="3" s="1"/>
  <c r="G59" i="3"/>
  <c r="J59" i="3" s="1"/>
  <c r="T142" i="1"/>
  <c r="T135" i="1"/>
  <c r="G52" i="3"/>
  <c r="J52" i="3" s="1"/>
  <c r="T139" i="1"/>
  <c r="G56" i="3"/>
  <c r="J56" i="3" s="1"/>
  <c r="T137" i="1"/>
  <c r="G54" i="3"/>
  <c r="J54" i="3" s="1"/>
  <c r="T138" i="1"/>
  <c r="G55" i="3"/>
  <c r="J55" i="3" s="1"/>
  <c r="T143" i="1"/>
  <c r="G60" i="3"/>
  <c r="J60" i="3" s="1"/>
  <c r="T140" i="1"/>
  <c r="G57" i="3"/>
  <c r="J57" i="3" s="1"/>
  <c r="T134" i="1"/>
  <c r="G51" i="3"/>
  <c r="J51" i="3" s="1"/>
  <c r="T132" i="1"/>
  <c r="G49" i="3"/>
  <c r="J49" i="3" s="1"/>
  <c r="M16" i="2"/>
  <c r="M18" i="2" s="1"/>
  <c r="L29" i="2"/>
  <c r="L30" i="2" s="1"/>
  <c r="N27" i="2"/>
  <c r="G77" i="3" s="1"/>
</calcChain>
</file>

<file path=xl/sharedStrings.xml><?xml version="1.0" encoding="utf-8"?>
<sst xmlns="http://schemas.openxmlformats.org/spreadsheetml/2006/main" count="222" uniqueCount="125">
  <si>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</si>
  <si>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</si>
  <si>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</si>
  <si>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</si>
  <si>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</si>
  <si>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</si>
  <si>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</si>
  <si>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</si>
  <si>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</si>
  <si>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</si>
  <si>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</si>
  <si>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</si>
  <si>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</si>
  <si>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</si>
  <si>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</si>
  <si>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</si>
  <si>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</si>
  <si>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</si>
  <si>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</si>
  <si>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</si>
  <si>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</si>
  <si>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</si>
  <si>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</si>
  <si>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</si>
  <si>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</si>
  <si>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</si>
  <si>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</si>
  <si>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</si>
  <si>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</si>
  <si>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</si>
  <si>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</si>
  <si>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</si>
  <si>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</si>
  <si>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</si>
  <si>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</si>
  <si>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</si>
  <si>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</si>
  <si>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</si>
  <si>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</si>
  <si>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</si>
  <si>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</si>
  <si>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</si>
  <si>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</si>
  <si>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>TOTAL Base Rates</t>
  </si>
  <si>
    <t>SubTotal Base Rates</t>
  </si>
  <si>
    <t>Base %</t>
  </si>
  <si>
    <t>Total %</t>
  </si>
  <si>
    <t>Base Rate Increase</t>
  </si>
  <si>
    <t>Present</t>
  </si>
  <si>
    <t>Proposed</t>
  </si>
  <si>
    <t>Energy Charge per kWh</t>
  </si>
  <si>
    <t>Energy Charge - On Peak per kWh</t>
  </si>
  <si>
    <t>Energy Charge - Off Peak per kWh</t>
  </si>
  <si>
    <t>Demand Charge per kW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</si>
  <si>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</si>
  <si>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</si>
  <si>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</si>
  <si>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</si>
  <si>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</si>
  <si>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</si>
  <si>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</si>
  <si>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</si>
  <si>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</si>
  <si>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</si>
  <si>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</si>
  <si>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RATES WITH NO CURRENT MEMBERS</t>
  </si>
  <si>
    <t>CUMBERLAND VALLEY ELECTRIC</t>
  </si>
  <si>
    <t>Sch I - Residential, Schools &amp; Churches</t>
  </si>
  <si>
    <t xml:space="preserve">    Prepay Fees</t>
  </si>
  <si>
    <t>Sch I - Res TOD</t>
  </si>
  <si>
    <t>TOD</t>
  </si>
  <si>
    <t>Sch II - Small Commercial  Small Power</t>
  </si>
  <si>
    <t>C1</t>
  </si>
  <si>
    <t>Energy Charge - First 3000 per kWh</t>
  </si>
  <si>
    <t>Energy Charge - Over 3000 per kWh</t>
  </si>
  <si>
    <t>C2</t>
  </si>
  <si>
    <t>Sch VII - Inclining Block Rate</t>
  </si>
  <si>
    <t>IB</t>
  </si>
  <si>
    <t>Energy Charge - First 200 per kWh</t>
  </si>
  <si>
    <t>Energy Charge - Next 300 per kWh</t>
  </si>
  <si>
    <t>Energy Charge - Over 500 per kWh</t>
  </si>
  <si>
    <t>Sch III - All 3Phase Schools &amp; Churches</t>
  </si>
  <si>
    <t>E1</t>
  </si>
  <si>
    <t>Sch IV-A - Large Power 50-2500 kW</t>
  </si>
  <si>
    <t>L1</t>
  </si>
  <si>
    <t>Sch V - Large Power 1000-2500 kW</t>
  </si>
  <si>
    <t>V</t>
  </si>
  <si>
    <t>Consumer Charge</t>
  </si>
  <si>
    <t>Demand Charge - Contract per kW</t>
  </si>
  <si>
    <t>Demand Charge - Excess per kW</t>
  </si>
  <si>
    <t>V-A</t>
  </si>
  <si>
    <t xml:space="preserve">Sch V-A - Large Power </t>
  </si>
  <si>
    <t>R1</t>
  </si>
  <si>
    <t>Sch IV - Large Power Industrial</t>
  </si>
  <si>
    <t>VI</t>
  </si>
  <si>
    <t>P1</t>
  </si>
  <si>
    <t>LED Open Bottom 6200 L</t>
  </si>
  <si>
    <t>LED Cobra Head 13,650 L</t>
  </si>
  <si>
    <t>400W MH Dir</t>
  </si>
  <si>
    <t>LED Directional 18,800 L</t>
  </si>
  <si>
    <t>175 Watt MV</t>
  </si>
  <si>
    <t>400 Watt MV</t>
  </si>
  <si>
    <t>100 Watt Open Bottom</t>
  </si>
  <si>
    <t>100 Watt Directional Flood</t>
  </si>
  <si>
    <t>400 Watt Directional Flood</t>
  </si>
  <si>
    <t>400 Watt Cobra Head</t>
  </si>
  <si>
    <t>Mercury Vapor 175 Watt</t>
  </si>
  <si>
    <t>Mercury Vapor 400 Watt</t>
  </si>
  <si>
    <t>100 Watt OPEN BOTTOM</t>
  </si>
  <si>
    <t>100 Watt COLONIAL POST</t>
  </si>
  <si>
    <t>100 Watt DIRECTIONAL FLOOD</t>
  </si>
  <si>
    <t>400 Watt DIRECTIONAL FLOOD</t>
  </si>
  <si>
    <t>400 Watt COBRA HEAD</t>
  </si>
  <si>
    <t>LED OPEN BOTTOM</t>
  </si>
  <si>
    <t>LED COBRA HEAD</t>
  </si>
  <si>
    <t>LED DIRECTIONAL</t>
  </si>
  <si>
    <t>100 Watt Colonial Post</t>
  </si>
  <si>
    <t>Prepay Service</t>
  </si>
  <si>
    <t>Consumer Facility Charge</t>
  </si>
  <si>
    <t>Prepay Service Fee</t>
  </si>
  <si>
    <t>Present &amp; Proposed Rates</t>
  </si>
  <si>
    <t>Notes</t>
  </si>
  <si>
    <t xml:space="preserve">The calculation of rates using the method from 2020-00095 and the 2019 test year </t>
  </si>
  <si>
    <t xml:space="preserve">are identical because the last rate order reflected the use of the same test </t>
  </si>
  <si>
    <t>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</si>
</sst>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0.00000%"/>
    <numFmt numFmtId="169" formatCode="_(* #,##0.0000_);_(* \(#,##0.0000\);_(* &quot;-&quot;??_);_(@_)"/>
    <numFmt numFmtId="170" formatCode="_(&quot;$&quot;* #,##0.00000_);_(&quot;$&quot;* \(#,##0.00000\);_(&quot;$&quot;* &quot;-&quot;??_);_(@_)"/>
    <numFmt numFmtId="172" formatCode="&quot;$&quot;#,##0"/>
    <numFmt numFmtId="173" formatCode="0.00000"/>
    <numFmt numFmtId="174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  <font>
      <b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165" fontId="7" fillId="0" borderId="5" xfId="2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 applyFill="1"/>
    <xf numFmtId="0" fontId="2" fillId="0" borderId="4" xfId="0" applyFont="1" applyFill="1" applyBorder="1" applyAlignment="1">
      <alignment horizontal="right" wrapText="1"/>
    </xf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2" borderId="0" xfId="1" applyNumberFormat="1" applyFont="1" applyFill="1" applyAlignment="1"/>
    <xf numFmtId="0" fontId="3" fillId="2" borderId="0" xfId="0" applyFont="1" applyFill="1" applyAlignment="1"/>
    <xf numFmtId="165" fontId="3" fillId="2" borderId="0" xfId="2" applyNumberFormat="1" applyFont="1" applyFill="1" applyAlignment="1"/>
    <xf numFmtId="0" fontId="3" fillId="2" borderId="2" xfId="0" applyFont="1" applyFill="1" applyBorder="1" applyAlignment="1"/>
    <xf numFmtId="165" fontId="3" fillId="2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0" fontId="3" fillId="2" borderId="0" xfId="0" applyFont="1" applyFill="1" applyBorder="1" applyAlignment="1"/>
    <xf numFmtId="0" fontId="3" fillId="2" borderId="4" xfId="0" applyFont="1" applyFill="1" applyBorder="1" applyAlignment="1"/>
    <xf numFmtId="10" fontId="3" fillId="0" borderId="0" xfId="3" applyNumberFormat="1" applyFont="1" applyFill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0" fontId="3" fillId="0" borderId="0" xfId="2" applyNumberFormat="1" applyFont="1"/>
    <xf numFmtId="0" fontId="2" fillId="0" borderId="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9" fontId="3" fillId="0" borderId="0" xfId="1" applyNumberFormat="1" applyFont="1" applyAlignment="1">
      <alignment vertical="center"/>
    </xf>
    <xf numFmtId="0" fontId="2" fillId="0" borderId="4" xfId="0" applyFont="1" applyFill="1" applyBorder="1" applyAlignment="1">
      <alignment horizontal="center" wrapText="1"/>
    </xf>
    <xf numFmtId="44" fontId="3" fillId="0" borderId="0" xfId="2" applyNumberFormat="1" applyFont="1"/>
    <xf numFmtId="0" fontId="10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2" xfId="0" applyFont="1" applyBorder="1"/>
    <xf numFmtId="172" fontId="3" fillId="0" borderId="2" xfId="0" applyNumberFormat="1" applyFont="1" applyBorder="1"/>
    <xf numFmtId="10" fontId="3" fillId="0" borderId="2" xfId="3" applyNumberFormat="1" applyFont="1" applyBorder="1"/>
    <xf numFmtId="172" fontId="3" fillId="0" borderId="0" xfId="0" applyNumberFormat="1" applyFont="1"/>
    <xf numFmtId="10" fontId="3" fillId="0" borderId="0" xfId="3" applyNumberFormat="1" applyFont="1" applyBorder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0" fontId="11" fillId="0" borderId="0" xfId="0" applyFont="1"/>
    <xf numFmtId="0" fontId="7" fillId="0" borderId="2" xfId="0" applyFont="1" applyBorder="1" applyAlignment="1">
      <alignment horizontal="center"/>
    </xf>
    <xf numFmtId="169" fontId="7" fillId="0" borderId="0" xfId="1" applyNumberFormat="1" applyFont="1" applyAlignment="1">
      <alignment vertical="center"/>
    </xf>
    <xf numFmtId="10" fontId="3" fillId="0" borderId="5" xfId="3" applyNumberFormat="1" applyFont="1" applyBorder="1" applyAlignment="1"/>
    <xf numFmtId="0" fontId="7" fillId="0" borderId="0" xfId="0" applyFont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4" xfId="0" applyFont="1" applyFill="1" applyBorder="1" applyAlignment="1">
      <alignment horizontal="center" wrapText="1"/>
    </xf>
    <xf numFmtId="10" fontId="4" fillId="4" borderId="0" xfId="3" applyNumberFormat="1" applyFont="1" applyFill="1"/>
    <xf numFmtId="10" fontId="4" fillId="4" borderId="0" xfId="3" applyNumberFormat="1" applyFont="1" applyFill="1" applyAlignment="1">
      <alignment vertical="center"/>
    </xf>
    <xf numFmtId="44" fontId="3" fillId="0" borderId="0" xfId="2" applyFont="1" applyAlignment="1">
      <alignment horizontal="right"/>
    </xf>
    <xf numFmtId="6" fontId="7" fillId="0" borderId="1" xfId="0" applyNumberFormat="1" applyFont="1" applyFill="1" applyBorder="1"/>
    <xf numFmtId="165" fontId="7" fillId="0" borderId="0" xfId="2" applyNumberFormat="1" applyFont="1" applyFill="1" applyAlignment="1">
      <alignment horizontal="center"/>
    </xf>
    <xf numFmtId="10" fontId="7" fillId="0" borderId="0" xfId="3" applyNumberFormat="1" applyFont="1" applyFill="1" applyAlignment="1"/>
    <xf numFmtId="165" fontId="7" fillId="0" borderId="0" xfId="2" applyNumberFormat="1" applyFont="1" applyFill="1" applyAlignment="1"/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7" fillId="0" borderId="6" xfId="0" applyFont="1" applyFill="1" applyBorder="1"/>
    <xf numFmtId="43" fontId="7" fillId="0" borderId="0" xfId="1" applyFont="1" applyFill="1"/>
    <xf numFmtId="10" fontId="7" fillId="0" borderId="0" xfId="3" applyNumberFormat="1" applyFont="1" applyFill="1"/>
    <xf numFmtId="165" fontId="7" fillId="0" borderId="5" xfId="3" applyNumberFormat="1" applyFont="1" applyFill="1" applyBorder="1" applyAlignment="1">
      <alignment vertical="center"/>
    </xf>
    <xf numFmtId="165" fontId="7" fillId="0" borderId="0" xfId="0" applyNumberFormat="1" applyFont="1" applyFill="1"/>
    <xf numFmtId="0" fontId="7" fillId="0" borderId="5" xfId="0" applyFont="1" applyFill="1" applyBorder="1"/>
    <xf numFmtId="0" fontId="7" fillId="0" borderId="3" xfId="0" applyFont="1" applyFill="1" applyBorder="1" applyAlignment="1">
      <alignment vertical="center"/>
    </xf>
    <xf numFmtId="164" fontId="7" fillId="0" borderId="0" xfId="1" applyNumberFormat="1" applyFont="1" applyFill="1"/>
    <xf numFmtId="0" fontId="7" fillId="0" borderId="0" xfId="0" applyFont="1" applyFill="1" applyAlignment="1">
      <alignment horizontal="center"/>
    </xf>
    <xf numFmtId="0" fontId="7" fillId="3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3" borderId="0" xfId="0" applyNumberFormat="1" applyFont="1" applyFill="1"/>
    <xf numFmtId="0" fontId="10" fillId="0" borderId="0" xfId="0" applyFont="1" applyFill="1" applyAlignment="1">
      <alignment vertical="center"/>
    </xf>
    <xf numFmtId="167" fontId="7" fillId="0" borderId="0" xfId="1" applyNumberFormat="1" applyFont="1" applyFill="1"/>
    <xf numFmtId="166" fontId="7" fillId="0" borderId="0" xfId="1" applyNumberFormat="1" applyFont="1" applyFill="1"/>
    <xf numFmtId="0" fontId="7" fillId="0" borderId="0" xfId="0" applyFont="1" applyFill="1" applyAlignment="1"/>
    <xf numFmtId="0" fontId="10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10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left" vertical="center"/>
    </xf>
    <xf numFmtId="0" fontId="7" fillId="0" borderId="6" xfId="0" applyFont="1" applyFill="1" applyBorder="1" applyAlignment="1">
      <alignment horizontal="center"/>
    </xf>
    <xf numFmtId="165" fontId="7" fillId="0" borderId="0" xfId="2" applyNumberFormat="1" applyFont="1" applyFill="1"/>
    <xf numFmtId="10" fontId="7" fillId="0" borderId="0" xfId="0" applyNumberFormat="1" applyFont="1" applyFill="1"/>
    <xf numFmtId="173" fontId="7" fillId="0" borderId="0" xfId="0" applyNumberFormat="1" applyFont="1" applyFill="1"/>
    <xf numFmtId="10" fontId="7" fillId="0" borderId="5" xfId="3" applyNumberFormat="1" applyFont="1" applyFill="1" applyBorder="1" applyAlignment="1">
      <alignment vertical="center"/>
    </xf>
    <xf numFmtId="10" fontId="7" fillId="0" borderId="5" xfId="0" applyNumberFormat="1" applyFont="1" applyFill="1" applyBorder="1" applyAlignment="1">
      <alignment vertical="center"/>
    </xf>
    <xf numFmtId="44" fontId="7" fillId="0" borderId="5" xfId="2" applyFont="1" applyFill="1" applyBorder="1" applyAlignment="1">
      <alignment vertical="center"/>
    </xf>
    <xf numFmtId="168" fontId="7" fillId="0" borderId="0" xfId="3" applyNumberFormat="1" applyFont="1" applyFill="1"/>
    <xf numFmtId="165" fontId="7" fillId="0" borderId="5" xfId="2" applyNumberFormat="1" applyFont="1" applyFill="1" applyBorder="1"/>
    <xf numFmtId="43" fontId="7" fillId="0" borderId="5" xfId="1" applyFont="1" applyFill="1" applyBorder="1"/>
    <xf numFmtId="165" fontId="7" fillId="0" borderId="3" xfId="2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0" fontId="7" fillId="0" borderId="3" xfId="3" applyNumberFormat="1" applyFont="1" applyFill="1" applyBorder="1" applyAlignment="1">
      <alignment vertical="center"/>
    </xf>
    <xf numFmtId="44" fontId="7" fillId="0" borderId="0" xfId="0" applyNumberFormat="1" applyFont="1" applyFill="1"/>
    <xf numFmtId="43" fontId="7" fillId="0" borderId="0" xfId="1" applyFont="1" applyFill="1" applyAlignment="1">
      <alignment horizontal="center"/>
    </xf>
    <xf numFmtId="165" fontId="7" fillId="0" borderId="0" xfId="0" applyNumberFormat="1" applyFont="1" applyFill="1" applyAlignment="1">
      <alignment horizontal="right"/>
    </xf>
    <xf numFmtId="165" fontId="7" fillId="0" borderId="5" xfId="0" applyNumberFormat="1" applyFont="1" applyFill="1" applyBorder="1" applyAlignment="1">
      <alignment vertical="center"/>
    </xf>
    <xf numFmtId="165" fontId="7" fillId="0" borderId="5" xfId="0" applyNumberFormat="1" applyFont="1" applyFill="1" applyBorder="1"/>
    <xf numFmtId="0" fontId="10" fillId="0" borderId="0" xfId="0" applyFont="1" applyFill="1"/>
    <xf numFmtId="174" fontId="7" fillId="0" borderId="0" xfId="0" applyNumberFormat="1" applyFont="1" applyFill="1"/>
    <xf numFmtId="0" fontId="7" fillId="0" borderId="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31"/>
  <sheetViews>
    <sheetView view="pageBreakPreview" topLeftCell="F1" zoomScaleNormal="75" zoomScaleSheetLayoutView="100" workbookViewId="0">
      <selection activeCell="P11" sqref="P11"/>
    </sheetView>
  </sheetViews>
  <sheetFormatPr defaultColWidth="8.88671875" defaultRowHeight="13.2" x14ac:dyDescent="0.25"/>
  <cols>
    <col min="1" max="1" width="9" style="2" bestFit="1" customWidth="1"/>
    <col min="2" max="2" width="40.109375" style="2" bestFit="1" customWidth="1"/>
    <col min="3" max="3" width="5.88671875" style="10" bestFit="1" customWidth="1"/>
    <col min="4" max="4" width="14.21875" style="2" hidden="1" customWidth="1"/>
    <col min="5" max="5" width="12.6640625" style="2" bestFit="1" customWidth="1"/>
    <col min="6" max="6" width="8.5546875" style="2" bestFit="1" customWidth="1"/>
    <col min="7" max="7" width="12.6640625" style="2" bestFit="1" customWidth="1"/>
    <col min="8" max="8" width="10.44140625" style="2" bestFit="1" customWidth="1"/>
    <col min="9" max="9" width="11.6640625" style="2" bestFit="1" customWidth="1"/>
    <col min="10" max="10" width="12.6640625" style="2" bestFit="1" customWidth="1"/>
    <col min="11" max="11" width="11.21875" style="2" customWidth="1"/>
    <col min="12" max="12" width="11.6640625" style="2" bestFit="1" customWidth="1"/>
    <col min="13" max="13" width="7.6640625" style="2" bestFit="1" customWidth="1"/>
    <col min="14" max="14" width="7.77734375" style="2" bestFit="1" customWidth="1"/>
    <col min="15" max="15" width="10" style="2" customWidth="1"/>
    <col min="16" max="16" width="31.6640625" style="2" customWidth="1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2" x14ac:dyDescent="0.25">
      <c r="A1" s="1" t="s">
        <v>66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K4" s="12" t="s">
        <v>39</v>
      </c>
      <c r="L4" s="84">
        <v>1565955</v>
      </c>
      <c r="M4" s="4"/>
    </row>
    <row r="5" spans="1:22" x14ac:dyDescent="0.25">
      <c r="M5" s="4"/>
      <c r="N5" s="4"/>
    </row>
    <row r="6" spans="1:22" s="8" customFormat="1" ht="31.95" customHeight="1" x14ac:dyDescent="0.25">
      <c r="A6" s="6" t="s">
        <v>1</v>
      </c>
      <c r="B6" s="6" t="s">
        <v>2</v>
      </c>
      <c r="C6" s="7" t="s">
        <v>11</v>
      </c>
      <c r="D6" s="14" t="s">
        <v>21</v>
      </c>
      <c r="E6" s="14" t="s">
        <v>3</v>
      </c>
      <c r="F6" s="14" t="s">
        <v>22</v>
      </c>
      <c r="G6" s="14" t="s">
        <v>34</v>
      </c>
      <c r="H6" s="14" t="s">
        <v>35</v>
      </c>
      <c r="I6" s="14" t="s">
        <v>36</v>
      </c>
      <c r="J6" s="14" t="s">
        <v>4</v>
      </c>
      <c r="K6" s="14" t="s">
        <v>24</v>
      </c>
      <c r="L6" s="14" t="s">
        <v>47</v>
      </c>
      <c r="M6" s="57" t="s">
        <v>45</v>
      </c>
      <c r="N6" s="57" t="s">
        <v>46</v>
      </c>
      <c r="O6" s="9" t="s">
        <v>38</v>
      </c>
      <c r="Q6" s="2"/>
      <c r="R6" s="2"/>
      <c r="S6" s="2"/>
      <c r="T6" s="2"/>
      <c r="U6" s="2"/>
      <c r="V6" s="2"/>
    </row>
    <row r="7" spans="1:22" s="19" customFormat="1" x14ac:dyDescent="0.25">
      <c r="A7" s="3">
        <v>1</v>
      </c>
      <c r="B7" s="15" t="s">
        <v>5</v>
      </c>
      <c r="C7" s="51"/>
      <c r="D7" s="15"/>
      <c r="E7" s="16"/>
      <c r="F7" s="17"/>
      <c r="G7" s="17"/>
      <c r="H7" s="8"/>
      <c r="I7" s="8"/>
      <c r="J7" s="16"/>
      <c r="K7" s="17"/>
      <c r="L7" s="16"/>
      <c r="M7" s="18"/>
      <c r="N7" s="18"/>
      <c r="Q7" s="2"/>
      <c r="R7" s="2"/>
      <c r="S7" s="2"/>
      <c r="T7" s="2"/>
      <c r="U7" s="2"/>
      <c r="V7" s="2"/>
    </row>
    <row r="8" spans="1:22" s="19" customFormat="1" x14ac:dyDescent="0.25">
      <c r="A8" s="3">
        <f>A7+1</f>
        <v>2</v>
      </c>
      <c r="B8" s="19" t="str">
        <f>'Billing Detail'!B7</f>
        <v>Sch I - Residential, Schools &amp; Churches</v>
      </c>
      <c r="C8" s="10" t="str">
        <f>'Billing Detail'!C7</f>
        <v>R1</v>
      </c>
      <c r="D8" s="20">
        <f>'Billing Detail'!G10</f>
        <v>28285297.370000001</v>
      </c>
      <c r="E8" s="20">
        <f>'Billing Detail'!I10</f>
        <v>28772469.8323</v>
      </c>
      <c r="F8" s="18">
        <f t="shared" ref="F8:F16" si="0">E8/E$16</f>
        <v>0.72518988631521031</v>
      </c>
      <c r="G8" s="85">
        <f>E8</f>
        <v>28772469.8323</v>
      </c>
      <c r="H8" s="86">
        <f t="shared" ref="H8:H15" si="1">G8/G$16</f>
        <v>0.72518988631521031</v>
      </c>
      <c r="I8" s="87">
        <f t="shared" ref="I8:I15" si="2">ROUND(L$4*H8,2)</f>
        <v>1135614.73</v>
      </c>
      <c r="J8" s="20">
        <f>'Billing Detail'!M10</f>
        <v>29907129.673579998</v>
      </c>
      <c r="K8" s="18">
        <f t="shared" ref="K8:K16" si="3">J8/J$16</f>
        <v>0.7251734591695862</v>
      </c>
      <c r="L8" s="20">
        <f>'Billing Detail'!N10</f>
        <v>1134659.8412799994</v>
      </c>
      <c r="M8" s="18">
        <f>IF(E8=0,0,L8/E8)</f>
        <v>3.943560799240909E-2</v>
      </c>
      <c r="N8" s="18">
        <f>'Billing Detail'!O16</f>
        <v>3.6551951986754795E-2</v>
      </c>
      <c r="O8" s="22">
        <f>J8-I8-E8</f>
        <v>-954.88872000202537</v>
      </c>
      <c r="Q8" s="2"/>
      <c r="R8" s="2"/>
      <c r="S8" s="2"/>
      <c r="T8" s="2"/>
      <c r="U8" s="2"/>
      <c r="V8" s="2"/>
    </row>
    <row r="9" spans="1:22" s="19" customFormat="1" x14ac:dyDescent="0.25">
      <c r="A9" s="3">
        <f t="shared" ref="A9:A30" si="4">A8+1</f>
        <v>3</v>
      </c>
      <c r="B9" s="19" t="str">
        <f>'Billing Detail'!B19</f>
        <v>Sch I - Res TOD</v>
      </c>
      <c r="C9" s="10" t="str">
        <f>'Billing Detail'!C19</f>
        <v>TOD</v>
      </c>
      <c r="D9" s="20">
        <f>'Billing Detail'!G23</f>
        <v>10069.4195</v>
      </c>
      <c r="E9" s="20">
        <f>'Billing Detail'!I23</f>
        <v>9904.7877200000003</v>
      </c>
      <c r="F9" s="18">
        <f t="shared" si="0"/>
        <v>2.4964321528559276E-4</v>
      </c>
      <c r="G9" s="85">
        <f t="shared" ref="G9:G15" si="5">E9</f>
        <v>9904.7877200000003</v>
      </c>
      <c r="H9" s="86">
        <f t="shared" si="1"/>
        <v>2.4964321528559276E-4</v>
      </c>
      <c r="I9" s="87">
        <f t="shared" si="2"/>
        <v>390.93</v>
      </c>
      <c r="J9" s="20">
        <f>'Billing Detail'!M23</f>
        <v>10295.98186</v>
      </c>
      <c r="K9" s="18">
        <f t="shared" si="3"/>
        <v>2.4965193458733399E-4</v>
      </c>
      <c r="L9" s="20">
        <f>'Billing Detail'!N23</f>
        <v>391.19414000000097</v>
      </c>
      <c r="M9" s="18">
        <f t="shared" ref="M9:M15" si="6">IF(E9=0,0,L9/E9)</f>
        <v>3.9495459272700185E-2</v>
      </c>
      <c r="N9" s="18">
        <f>'Billing Detail'!O29</f>
        <v>3.6615448536996761E-2</v>
      </c>
      <c r="O9" s="22">
        <f t="shared" ref="O9:O16" si="7">J9-I9-E9</f>
        <v>0.26413999999931548</v>
      </c>
      <c r="Q9" s="2"/>
      <c r="R9" s="2"/>
      <c r="S9" s="2"/>
      <c r="T9" s="2"/>
      <c r="U9" s="2"/>
      <c r="V9" s="2"/>
    </row>
    <row r="10" spans="1:22" s="19" customFormat="1" x14ac:dyDescent="0.25">
      <c r="A10" s="3">
        <f t="shared" si="4"/>
        <v>4</v>
      </c>
      <c r="B10" s="19" t="str">
        <f>'Billing Detail'!B32</f>
        <v>Sch II - Small Commercial  Small Power</v>
      </c>
      <c r="C10" s="10" t="str">
        <f>'Billing Detail'!C32</f>
        <v>C1</v>
      </c>
      <c r="D10" s="20">
        <f>'Billing Detail'!G36</f>
        <v>1510224.1540700002</v>
      </c>
      <c r="E10" s="20">
        <f>'Billing Detail'!I36</f>
        <v>1487273.2748400001</v>
      </c>
      <c r="F10" s="18">
        <f t="shared" si="0"/>
        <v>3.7485677920151395E-2</v>
      </c>
      <c r="G10" s="85">
        <f t="shared" si="5"/>
        <v>1487273.2748400001</v>
      </c>
      <c r="H10" s="86">
        <f t="shared" si="1"/>
        <v>3.7485677920151395E-2</v>
      </c>
      <c r="I10" s="87">
        <f t="shared" si="2"/>
        <v>58700.88</v>
      </c>
      <c r="J10" s="20">
        <f>'Billing Detail'!M36</f>
        <v>1545970.9475499999</v>
      </c>
      <c r="K10" s="18">
        <f t="shared" si="3"/>
        <v>3.7485947733757116E-2</v>
      </c>
      <c r="L10" s="20">
        <f>'Billing Detail'!N36</f>
        <v>58697.672709999839</v>
      </c>
      <c r="M10" s="18">
        <f t="shared" si="6"/>
        <v>3.9466635824754195E-2</v>
      </c>
      <c r="N10" s="18">
        <f>'Billing Detail'!O42</f>
        <v>3.6420024036128214E-2</v>
      </c>
      <c r="O10" s="22">
        <f t="shared" si="7"/>
        <v>-3.2072900000493973</v>
      </c>
      <c r="Q10" s="2"/>
      <c r="R10" s="2"/>
      <c r="S10" s="2"/>
      <c r="T10" s="2"/>
      <c r="U10" s="2"/>
      <c r="V10" s="2"/>
    </row>
    <row r="11" spans="1:22" s="19" customFormat="1" x14ac:dyDescent="0.25">
      <c r="A11" s="3">
        <f t="shared" si="4"/>
        <v>5</v>
      </c>
      <c r="B11" s="19" t="str">
        <f>'Billing Detail'!B45</f>
        <v>Sch II - Small Commercial  Small Power</v>
      </c>
      <c r="C11" s="10" t="str">
        <f>'Billing Detail'!C45</f>
        <v>C2</v>
      </c>
      <c r="D11" s="20">
        <f>'Billing Detail'!G50</f>
        <v>1069790.3929600001</v>
      </c>
      <c r="E11" s="20">
        <f>'Billing Detail'!I50</f>
        <v>1053456.1289199998</v>
      </c>
      <c r="F11" s="18">
        <f t="shared" si="0"/>
        <v>2.655162156124459E-2</v>
      </c>
      <c r="G11" s="85">
        <f t="shared" si="5"/>
        <v>1053456.1289199998</v>
      </c>
      <c r="H11" s="86">
        <f t="shared" si="1"/>
        <v>2.655162156124459E-2</v>
      </c>
      <c r="I11" s="87">
        <f t="shared" si="2"/>
        <v>41578.639999999999</v>
      </c>
      <c r="J11" s="20">
        <f>'Billing Detail'!M50</f>
        <v>1095184.0805888153</v>
      </c>
      <c r="K11" s="18">
        <f t="shared" si="3"/>
        <v>2.6555488166744735E-2</v>
      </c>
      <c r="L11" s="20">
        <f>'Billing Detail'!N50</f>
        <v>41727.95166881528</v>
      </c>
      <c r="M11" s="18">
        <f t="shared" si="6"/>
        <v>3.9610526269940313E-2</v>
      </c>
      <c r="N11" s="18">
        <f>'Billing Detail'!O56</f>
        <v>3.5549923847549458E-2</v>
      </c>
      <c r="O11" s="22">
        <f t="shared" si="7"/>
        <v>149.31166881555691</v>
      </c>
      <c r="Q11" s="2"/>
      <c r="R11" s="2"/>
      <c r="S11" s="2"/>
      <c r="T11" s="2"/>
      <c r="U11" s="2"/>
      <c r="V11" s="2"/>
    </row>
    <row r="12" spans="1:22" s="19" customFormat="1" x14ac:dyDescent="0.25">
      <c r="A12" s="3">
        <f t="shared" si="4"/>
        <v>6</v>
      </c>
      <c r="B12" s="19" t="str">
        <f>'Billing Detail'!B59</f>
        <v>Sch VII - Inclining Block Rate</v>
      </c>
      <c r="C12" s="10" t="str">
        <f>'Billing Detail'!C59</f>
        <v>IB</v>
      </c>
      <c r="D12" s="20">
        <f>'Billing Detail'!G64</f>
        <v>3611.5745500000003</v>
      </c>
      <c r="E12" s="20">
        <f>'Billing Detail'!I64</f>
        <v>3592.5979000000002</v>
      </c>
      <c r="F12" s="18">
        <f t="shared" si="0"/>
        <v>9.0548905876426837E-5</v>
      </c>
      <c r="G12" s="85">
        <f t="shared" si="5"/>
        <v>3592.5979000000002</v>
      </c>
      <c r="H12" s="86">
        <f t="shared" si="1"/>
        <v>9.0548905876426837E-5</v>
      </c>
      <c r="I12" s="87">
        <f t="shared" si="2"/>
        <v>141.80000000000001</v>
      </c>
      <c r="J12" s="20">
        <f>'Billing Detail'!M64</f>
        <v>3734.2214499999995</v>
      </c>
      <c r="K12" s="18">
        <f t="shared" si="3"/>
        <v>9.0545576113711161E-5</v>
      </c>
      <c r="L12" s="20">
        <f>'Billing Detail'!N64</f>
        <v>141.62354999999968</v>
      </c>
      <c r="M12" s="18">
        <f>IF(E12=0,0,L12/E12)</f>
        <v>3.9420929907017892E-2</v>
      </c>
      <c r="N12" s="18">
        <f>'Billing Detail'!O70</f>
        <v>3.5306289340427718E-2</v>
      </c>
      <c r="O12" s="22">
        <f>J12-I12-E12</f>
        <v>-0.1764500000008411</v>
      </c>
      <c r="Q12" s="2"/>
      <c r="R12" s="2"/>
      <c r="S12" s="2"/>
      <c r="T12" s="2"/>
      <c r="U12" s="2"/>
      <c r="V12" s="2"/>
    </row>
    <row r="13" spans="1:22" s="19" customFormat="1" x14ac:dyDescent="0.25">
      <c r="A13" s="3">
        <f t="shared" si="4"/>
        <v>7</v>
      </c>
      <c r="B13" s="19" t="str">
        <f>'Billing Detail'!B73</f>
        <v>Sch III - All 3Phase Schools &amp; Churches</v>
      </c>
      <c r="C13" s="10" t="str">
        <f>'Billing Detail'!C73</f>
        <v>E1</v>
      </c>
      <c r="D13" s="20">
        <f>'Billing Detail'!G76</f>
        <v>1149527.3757499999</v>
      </c>
      <c r="E13" s="20">
        <f>'Billing Detail'!I76</f>
        <v>1126365.4085000001</v>
      </c>
      <c r="F13" s="18">
        <f t="shared" si="0"/>
        <v>2.838924872631295E-2</v>
      </c>
      <c r="G13" s="85">
        <f t="shared" si="5"/>
        <v>1126365.4085000001</v>
      </c>
      <c r="H13" s="86">
        <f t="shared" si="1"/>
        <v>2.838924872631295E-2</v>
      </c>
      <c r="I13" s="87">
        <f t="shared" si="2"/>
        <v>44456.29</v>
      </c>
      <c r="J13" s="20">
        <f>'Billing Detail'!M76</f>
        <v>1170832.92075</v>
      </c>
      <c r="K13" s="18">
        <f t="shared" si="3"/>
        <v>2.8389784259368948E-2</v>
      </c>
      <c r="L13" s="20">
        <f>'Billing Detail'!N76</f>
        <v>44467.512249999811</v>
      </c>
      <c r="M13" s="18">
        <f t="shared" ref="M13" si="8">IF(E13=0,0,L13/E13)</f>
        <v>3.9478762322093991E-2</v>
      </c>
      <c r="N13" s="18">
        <f>'Billing Detail'!O82</f>
        <v>3.7044819888137327E-2</v>
      </c>
      <c r="O13" s="22">
        <f t="shared" ref="O13" si="9">J13-I13-E13</f>
        <v>11.222249999875203</v>
      </c>
      <c r="Q13" s="2"/>
      <c r="R13" s="2"/>
      <c r="S13" s="2"/>
      <c r="T13" s="2"/>
      <c r="U13" s="2"/>
      <c r="V13" s="2"/>
    </row>
    <row r="14" spans="1:22" s="19" customFormat="1" x14ac:dyDescent="0.25">
      <c r="A14" s="3">
        <f t="shared" si="4"/>
        <v>8</v>
      </c>
      <c r="B14" s="19" t="str">
        <f>'Billing Detail'!B85</f>
        <v>Sch IV-A - Large Power 50-2500 kW</v>
      </c>
      <c r="C14" s="10" t="str">
        <f>'Billing Detail'!C85</f>
        <v>L1</v>
      </c>
      <c r="D14" s="20">
        <f>'Billing Detail'!G89</f>
        <v>5809219.9273399999</v>
      </c>
      <c r="E14" s="20">
        <f>'Billing Detail'!I89</f>
        <v>5681208.3182000006</v>
      </c>
      <c r="F14" s="18">
        <f t="shared" si="0"/>
        <v>0.14319086398983449</v>
      </c>
      <c r="G14" s="85">
        <f t="shared" si="5"/>
        <v>5681208.3182000006</v>
      </c>
      <c r="H14" s="86">
        <f t="shared" si="1"/>
        <v>0.14319086398983449</v>
      </c>
      <c r="I14" s="87">
        <f t="shared" si="2"/>
        <v>224230.45</v>
      </c>
      <c r="J14" s="20">
        <f>'Billing Detail'!M89</f>
        <v>5905613.3589359242</v>
      </c>
      <c r="K14" s="18">
        <f t="shared" si="3"/>
        <v>0.1431964255600541</v>
      </c>
      <c r="L14" s="20">
        <f>'Billing Detail'!N89</f>
        <v>224405.04073592392</v>
      </c>
      <c r="M14" s="18">
        <f t="shared" ref="M14" si="10">IF(E14=0,0,L14/E14)</f>
        <v>3.9499526890614541E-2</v>
      </c>
      <c r="N14" s="45">
        <f>'Billing Detail'!O95</f>
        <v>3.7791247104394479E-2</v>
      </c>
      <c r="O14" s="22">
        <f t="shared" si="7"/>
        <v>174.59073592349887</v>
      </c>
      <c r="Q14" s="2"/>
      <c r="R14" s="2"/>
      <c r="S14" s="2"/>
      <c r="T14" s="2"/>
      <c r="U14" s="2"/>
      <c r="V14" s="2"/>
    </row>
    <row r="15" spans="1:22" s="19" customFormat="1" x14ac:dyDescent="0.25">
      <c r="A15" s="3">
        <f t="shared" si="4"/>
        <v>9</v>
      </c>
      <c r="B15" s="19" t="str">
        <f>'Billing Detail'!B98</f>
        <v>Lighting</v>
      </c>
      <c r="C15" s="10" t="str">
        <f>'Billing Detail'!C98</f>
        <v>VI</v>
      </c>
      <c r="D15" s="20">
        <f>'Billing Detail'!G111</f>
        <v>1557272.9699999997</v>
      </c>
      <c r="E15" s="20">
        <f>'Billing Detail'!I111</f>
        <v>1541503.37</v>
      </c>
      <c r="F15" s="18">
        <f t="shared" si="0"/>
        <v>3.8852509366084302E-2</v>
      </c>
      <c r="G15" s="85">
        <f t="shared" si="5"/>
        <v>1541503.37</v>
      </c>
      <c r="H15" s="86">
        <f t="shared" si="1"/>
        <v>3.8852509366084302E-2</v>
      </c>
      <c r="I15" s="87">
        <f t="shared" si="2"/>
        <v>60841.279999999999</v>
      </c>
      <c r="J15" s="20">
        <f>'Billing Detail'!M111</f>
        <v>1602585</v>
      </c>
      <c r="K15" s="18">
        <f t="shared" si="3"/>
        <v>3.8858697599787988E-2</v>
      </c>
      <c r="L15" s="20">
        <f t="shared" ref="L15:L16" si="11">J15-E15</f>
        <v>61081.629999999888</v>
      </c>
      <c r="M15" s="18">
        <f t="shared" si="6"/>
        <v>3.962471389212719E-2</v>
      </c>
      <c r="N15" s="18">
        <f>'Billing Detail'!O117</f>
        <v>3.9592051997470332E-2</v>
      </c>
      <c r="O15" s="22">
        <f t="shared" si="7"/>
        <v>240.3499999998603</v>
      </c>
      <c r="Q15" s="2"/>
      <c r="R15" s="2"/>
      <c r="S15" s="2"/>
      <c r="T15" s="2"/>
      <c r="U15" s="2"/>
      <c r="V15" s="2"/>
    </row>
    <row r="16" spans="1:22" s="19" customFormat="1" ht="16.2" customHeight="1" x14ac:dyDescent="0.25">
      <c r="A16" s="3">
        <f t="shared" si="4"/>
        <v>10</v>
      </c>
      <c r="B16" s="23" t="s">
        <v>44</v>
      </c>
      <c r="C16" s="52"/>
      <c r="D16" s="24">
        <f>SUM(D8:D15)</f>
        <v>39395013.18417</v>
      </c>
      <c r="E16" s="24">
        <f>SUM(E8:E15)</f>
        <v>39675773.718379997</v>
      </c>
      <c r="F16" s="25">
        <f t="shared" si="0"/>
        <v>1</v>
      </c>
      <c r="G16" s="24">
        <f>SUM(G8:G15)</f>
        <v>39675773.718379997</v>
      </c>
      <c r="H16" s="25">
        <v>1</v>
      </c>
      <c r="I16" s="24">
        <f>SUM(I8:I15)</f>
        <v>1565954.9999999998</v>
      </c>
      <c r="J16" s="24">
        <f>SUM(J8:J15)</f>
        <v>41241346.184714735</v>
      </c>
      <c r="K16" s="25">
        <f t="shared" si="3"/>
        <v>1</v>
      </c>
      <c r="L16" s="24">
        <f t="shared" si="11"/>
        <v>1565572.4663347378</v>
      </c>
      <c r="M16" s="25">
        <f t="shared" ref="M16" si="12">L16/E16</f>
        <v>3.945915402802791E-2</v>
      </c>
      <c r="N16" s="25"/>
      <c r="O16" s="26">
        <f t="shared" si="7"/>
        <v>-382.53366526216269</v>
      </c>
      <c r="Q16" s="2"/>
      <c r="R16" s="2"/>
      <c r="S16" s="2"/>
      <c r="T16" s="2"/>
      <c r="U16" s="2"/>
      <c r="V16" s="2"/>
    </row>
    <row r="17" spans="1:19" s="19" customFormat="1" ht="16.2" customHeight="1" x14ac:dyDescent="0.25">
      <c r="A17" s="3">
        <f t="shared" si="4"/>
        <v>11</v>
      </c>
      <c r="B17" s="27"/>
      <c r="C17" s="53"/>
      <c r="D17" s="28"/>
      <c r="E17" s="28"/>
      <c r="F17" s="29"/>
      <c r="G17" s="28"/>
      <c r="H17" s="29"/>
      <c r="I17" s="28"/>
      <c r="J17" s="28"/>
      <c r="K17" s="29"/>
      <c r="L17" s="28"/>
      <c r="M17" s="29"/>
      <c r="N17" s="29"/>
      <c r="O17" s="30"/>
    </row>
    <row r="18" spans="1:19" s="19" customFormat="1" ht="16.2" customHeight="1" x14ac:dyDescent="0.25">
      <c r="A18" s="3">
        <f t="shared" si="4"/>
        <v>12</v>
      </c>
      <c r="B18" s="31" t="s">
        <v>43</v>
      </c>
      <c r="C18" s="54"/>
      <c r="D18" s="32">
        <f>D16</f>
        <v>39395013.18417</v>
      </c>
      <c r="E18" s="32">
        <f t="shared" ref="E18:O18" si="13">E16</f>
        <v>39675773.718379997</v>
      </c>
      <c r="F18" s="77">
        <f t="shared" si="13"/>
        <v>1</v>
      </c>
      <c r="G18" s="32">
        <f t="shared" si="13"/>
        <v>39675773.718379997</v>
      </c>
      <c r="H18" s="77">
        <f t="shared" si="13"/>
        <v>1</v>
      </c>
      <c r="I18" s="32">
        <f t="shared" si="13"/>
        <v>1565954.9999999998</v>
      </c>
      <c r="J18" s="32">
        <f t="shared" si="13"/>
        <v>41241346.184714735</v>
      </c>
      <c r="K18" s="77">
        <f t="shared" si="13"/>
        <v>1</v>
      </c>
      <c r="L18" s="32">
        <f t="shared" si="13"/>
        <v>1565572.4663347378</v>
      </c>
      <c r="M18" s="77">
        <f t="shared" si="13"/>
        <v>3.945915402802791E-2</v>
      </c>
      <c r="N18" s="32"/>
      <c r="O18" s="32">
        <f t="shared" si="13"/>
        <v>-382.53366526216269</v>
      </c>
    </row>
    <row r="19" spans="1:19" s="19" customFormat="1" ht="12.6" customHeight="1" x14ac:dyDescent="0.25">
      <c r="A19" s="3">
        <f t="shared" si="4"/>
        <v>13</v>
      </c>
      <c r="C19" s="10"/>
      <c r="S19" s="20"/>
    </row>
    <row r="20" spans="1:19" s="19" customFormat="1" x14ac:dyDescent="0.25">
      <c r="A20" s="3">
        <f t="shared" si="4"/>
        <v>14</v>
      </c>
      <c r="B20" s="15" t="s">
        <v>7</v>
      </c>
      <c r="C20" s="51"/>
      <c r="D20" s="15"/>
    </row>
    <row r="21" spans="1:19" s="19" customFormat="1" x14ac:dyDescent="0.25">
      <c r="A21" s="3">
        <f t="shared" si="4"/>
        <v>15</v>
      </c>
      <c r="B21" s="19" t="str">
        <f>'Billing Detail'!D11</f>
        <v xml:space="preserve">    FAC</v>
      </c>
      <c r="C21" s="10"/>
      <c r="D21" s="20">
        <f>'Billing Detail'!G120</f>
        <v>-1797927.2399999998</v>
      </c>
      <c r="E21" s="20">
        <f>'Billing Detail'!I120</f>
        <v>-1262601.7904113743</v>
      </c>
      <c r="F21" s="33"/>
      <c r="G21" s="34"/>
      <c r="H21" s="34"/>
      <c r="I21" s="34"/>
      <c r="J21" s="20">
        <f>'Billing Detail'!M120</f>
        <v>-1262601.7904113743</v>
      </c>
      <c r="K21" s="35"/>
      <c r="L21" s="35"/>
      <c r="M21" s="34"/>
      <c r="N21" s="34"/>
    </row>
    <row r="22" spans="1:19" s="19" customFormat="1" x14ac:dyDescent="0.25">
      <c r="A22" s="3">
        <f t="shared" si="4"/>
        <v>16</v>
      </c>
      <c r="B22" s="19" t="str">
        <f>'Billing Detail'!D12</f>
        <v xml:space="preserve">    ES</v>
      </c>
      <c r="C22" s="10"/>
      <c r="D22" s="20">
        <f>'Billing Detail'!G121</f>
        <v>4026453.22</v>
      </c>
      <c r="E22" s="20">
        <f>'Billing Detail'!I121</f>
        <v>4026453.22</v>
      </c>
      <c r="F22" s="34"/>
      <c r="G22" s="34"/>
      <c r="H22" s="34"/>
      <c r="I22" s="34"/>
      <c r="J22" s="20">
        <f>'Billing Detail'!M121</f>
        <v>4026453.22</v>
      </c>
      <c r="K22" s="35"/>
      <c r="L22" s="35"/>
      <c r="M22" s="34"/>
      <c r="N22" s="34"/>
    </row>
    <row r="23" spans="1:19" s="19" customFormat="1" x14ac:dyDescent="0.25">
      <c r="A23" s="3">
        <f t="shared" si="4"/>
        <v>17</v>
      </c>
      <c r="B23" s="19" t="str">
        <f>'Billing Detail'!D13</f>
        <v xml:space="preserve">    Prepay Fees</v>
      </c>
      <c r="C23" s="10"/>
      <c r="D23" s="20">
        <f>'Billing Detail'!G122</f>
        <v>84090.35</v>
      </c>
      <c r="E23" s="20">
        <f>'Billing Detail'!I122</f>
        <v>84090.35</v>
      </c>
      <c r="F23" s="34"/>
      <c r="G23" s="34"/>
      <c r="H23" s="34"/>
      <c r="I23" s="34"/>
      <c r="J23" s="20">
        <f>'Billing Detail'!M122</f>
        <v>84090.35</v>
      </c>
      <c r="K23" s="35"/>
      <c r="L23" s="35"/>
      <c r="M23" s="34"/>
      <c r="N23" s="34"/>
    </row>
    <row r="24" spans="1:19" s="19" customFormat="1" x14ac:dyDescent="0.25">
      <c r="A24" s="3">
        <f t="shared" si="4"/>
        <v>18</v>
      </c>
      <c r="B24" s="19" t="str">
        <f>'Billing Detail'!D14</f>
        <v xml:space="preserve">    Other</v>
      </c>
      <c r="C24" s="10"/>
      <c r="D24" s="20">
        <f>'Billing Detail'!G123</f>
        <v>0</v>
      </c>
      <c r="E24" s="20">
        <f>'Billing Detail'!I123</f>
        <v>0</v>
      </c>
      <c r="F24" s="34"/>
      <c r="G24" s="34"/>
      <c r="H24" s="34"/>
      <c r="I24" s="34"/>
      <c r="J24" s="20">
        <f>'Billing Detail'!M123</f>
        <v>0</v>
      </c>
      <c r="K24" s="35"/>
      <c r="L24" s="35"/>
      <c r="M24" s="34"/>
      <c r="N24" s="44"/>
    </row>
    <row r="25" spans="1:19" s="19" customFormat="1" x14ac:dyDescent="0.25">
      <c r="A25" s="3">
        <f t="shared" si="4"/>
        <v>19</v>
      </c>
      <c r="B25" s="23" t="s">
        <v>8</v>
      </c>
      <c r="C25" s="52"/>
      <c r="D25" s="24">
        <f>SUM(D21:D24)</f>
        <v>2312616.3300000005</v>
      </c>
      <c r="E25" s="24">
        <f>SUM(E21:E24)</f>
        <v>2847941.7795886262</v>
      </c>
      <c r="F25" s="36"/>
      <c r="G25" s="36"/>
      <c r="H25" s="36"/>
      <c r="I25" s="36"/>
      <c r="J25" s="24">
        <f>SUM(J21:J24)</f>
        <v>2847941.7795886262</v>
      </c>
      <c r="K25" s="37"/>
      <c r="L25" s="37"/>
      <c r="M25" s="36"/>
      <c r="N25" s="43"/>
    </row>
    <row r="26" spans="1:19" s="19" customFormat="1" x14ac:dyDescent="0.25">
      <c r="A26" s="3">
        <f t="shared" si="4"/>
        <v>20</v>
      </c>
      <c r="C26" s="10"/>
    </row>
    <row r="27" spans="1:19" s="19" customFormat="1" ht="18" customHeight="1" thickBot="1" x14ac:dyDescent="0.3">
      <c r="A27" s="3">
        <f t="shared" si="4"/>
        <v>21</v>
      </c>
      <c r="B27" s="38" t="s">
        <v>9</v>
      </c>
      <c r="C27" s="55"/>
      <c r="D27" s="39">
        <f>D18+D25</f>
        <v>41707629.514169998</v>
      </c>
      <c r="E27" s="39">
        <f>E18+E25</f>
        <v>42523715.497968622</v>
      </c>
      <c r="F27" s="40"/>
      <c r="G27" s="40"/>
      <c r="H27" s="40"/>
      <c r="I27" s="40"/>
      <c r="J27" s="39">
        <f>J18+J25</f>
        <v>44089287.964303359</v>
      </c>
      <c r="K27" s="41"/>
      <c r="L27" s="40">
        <f t="shared" ref="L27" si="14">J27-E27</f>
        <v>1565572.4663347378</v>
      </c>
      <c r="M27" s="38"/>
      <c r="N27" s="42">
        <f>L27/E27</f>
        <v>3.6816455194502606E-2</v>
      </c>
    </row>
    <row r="28" spans="1:19" s="19" customFormat="1" ht="18" customHeight="1" thickTop="1" x14ac:dyDescent="0.25">
      <c r="A28" s="3">
        <f t="shared" si="4"/>
        <v>22</v>
      </c>
      <c r="B28" s="19" t="s">
        <v>10</v>
      </c>
      <c r="C28" s="10"/>
      <c r="D28" s="21"/>
      <c r="L28" s="28">
        <f>L4</f>
        <v>1565955</v>
      </c>
    </row>
    <row r="29" spans="1:19" s="19" customFormat="1" ht="15" customHeight="1" x14ac:dyDescent="0.25">
      <c r="A29" s="3">
        <f t="shared" si="4"/>
        <v>23</v>
      </c>
      <c r="B29" s="23" t="s">
        <v>40</v>
      </c>
      <c r="C29" s="52"/>
      <c r="D29" s="24"/>
      <c r="E29" s="23"/>
      <c r="F29" s="23"/>
      <c r="G29" s="23"/>
      <c r="H29" s="23"/>
      <c r="I29" s="23"/>
      <c r="J29" s="23"/>
      <c r="K29" s="23"/>
      <c r="L29" s="24">
        <f>L27-L28</f>
        <v>-382.53366526216269</v>
      </c>
    </row>
    <row r="30" spans="1:19" s="19" customFormat="1" ht="15" customHeight="1" x14ac:dyDescent="0.25">
      <c r="A30" s="3">
        <f t="shared" si="4"/>
        <v>24</v>
      </c>
      <c r="B30" s="19" t="s">
        <v>40</v>
      </c>
      <c r="C30" s="10"/>
      <c r="D30" s="18"/>
      <c r="L30" s="18">
        <f>L29/L28</f>
        <v>-2.4428139075654323E-4</v>
      </c>
    </row>
    <row r="31" spans="1:19" x14ac:dyDescent="0.25">
      <c r="A31" s="3"/>
    </row>
  </sheetData>
  <pageMargins left="0.7" right="0.7" top="0.75" bottom="0.75" header="0.3" footer="0.3"/>
  <pageSetup scale="71" orientation="landscape" r:id="rId1"/>
  <headerFooter>
    <oddHeader>&amp;R&amp;"Arial,Bold"&amp;10Exhibit 3
Page &amp;P of &amp;N</oddHeader>
  </headerFooter>
  <ignoredErrors>
    <ignoredError sqref="J16 F16 J14 J8:J11 G8:G13 G14 G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W144"/>
  <sheetViews>
    <sheetView view="pageBreakPreview" zoomScaleNormal="75" zoomScaleSheetLayoutView="100" workbookViewId="0">
      <pane xSplit="4" ySplit="5" topLeftCell="M75" activePane="bottomRight" state="frozen"/>
      <selection activeCell="Q23" sqref="Q23"/>
      <selection pane="topRight" activeCell="Q23" sqref="Q23"/>
      <selection pane="bottomLeft" activeCell="Q23" sqref="Q23"/>
      <selection pane="bottomRight" activeCell="W1" sqref="W1:W1048576"/>
    </sheetView>
  </sheetViews>
  <sheetFormatPr defaultColWidth="8.88671875" defaultRowHeight="13.2" x14ac:dyDescent="0.25"/>
  <cols>
    <col min="1" max="1" width="5.88671875" style="110" customWidth="1"/>
    <col min="2" max="2" width="24.21875" style="88" customWidth="1"/>
    <col min="3" max="3" width="5.88671875" style="100" bestFit="1" customWidth="1"/>
    <col min="4" max="4" width="32.6640625" style="88" bestFit="1" customWidth="1"/>
    <col min="5" max="5" width="17.44140625" style="88" customWidth="1"/>
    <col min="6" max="6" width="17.6640625" style="88" hidden="1" customWidth="1"/>
    <col min="7" max="7" width="16.6640625" style="88" hidden="1" customWidth="1"/>
    <col min="8" max="8" width="12.21875" style="88" bestFit="1" customWidth="1"/>
    <col min="9" max="9" width="15.33203125" style="88" bestFit="1" customWidth="1"/>
    <col min="10" max="10" width="8.5546875" style="88" bestFit="1" customWidth="1"/>
    <col min="11" max="11" width="12.6640625" style="88" bestFit="1" customWidth="1"/>
    <col min="12" max="12" width="9.88671875" style="88" bestFit="1" customWidth="1"/>
    <col min="13" max="13" width="12.6640625" style="88" bestFit="1" customWidth="1"/>
    <col min="14" max="14" width="11.6640625" style="88" bestFit="1" customWidth="1"/>
    <col min="15" max="15" width="6.44140625" style="88" bestFit="1" customWidth="1"/>
    <col min="16" max="16" width="9.88671875" style="88" bestFit="1" customWidth="1"/>
    <col min="17" max="17" width="9.44140625" style="88" bestFit="1" customWidth="1"/>
    <col min="18" max="18" width="9.5546875" style="88" bestFit="1" customWidth="1"/>
    <col min="19" max="19" width="12.6640625" style="2" customWidth="1"/>
    <col min="20" max="20" width="14.109375" style="2" customWidth="1"/>
    <col min="21" max="21" width="8.88671875" style="2" customWidth="1"/>
    <col min="22" max="22" width="9.44140625" style="2" customWidth="1"/>
    <col min="23" max="23" width="15.33203125" style="2" customWidth="1"/>
    <col min="24" max="24" width="11.6640625" style="2" customWidth="1"/>
    <col min="25" max="16384" width="8.88671875" style="2"/>
  </cols>
  <sheetData>
    <row r="1" spans="1:23" x14ac:dyDescent="0.25">
      <c r="A1" s="105" t="str">
        <f>Summary!A1</f>
        <v>CUMBERLAND VALLEY ELECTRIC</v>
      </c>
      <c r="F1" s="93"/>
    </row>
    <row r="2" spans="1:23" ht="14.4" customHeight="1" x14ac:dyDescent="0.25">
      <c r="A2" s="105" t="str">
        <f>Summary!A2</f>
        <v>Billing Analysis for Pass-Through Rate Increase</v>
      </c>
      <c r="F2" s="106"/>
      <c r="G2" s="107"/>
      <c r="H2" s="89"/>
      <c r="I2" s="108"/>
      <c r="P2" s="109"/>
      <c r="S2" s="13"/>
      <c r="T2" s="13"/>
    </row>
    <row r="3" spans="1:23" x14ac:dyDescent="0.25">
      <c r="S3" s="13"/>
      <c r="T3" s="13"/>
    </row>
    <row r="4" spans="1:23" x14ac:dyDescent="0.25">
      <c r="S4" s="13"/>
      <c r="T4" s="13"/>
      <c r="W4" s="79"/>
    </row>
    <row r="5" spans="1:23" ht="38.4" customHeight="1" x14ac:dyDescent="0.25">
      <c r="A5" s="111" t="s">
        <v>1</v>
      </c>
      <c r="B5" s="111" t="s">
        <v>12</v>
      </c>
      <c r="C5" s="112" t="s">
        <v>11</v>
      </c>
      <c r="D5" s="111" t="s">
        <v>13</v>
      </c>
      <c r="E5" s="90" t="s">
        <v>14</v>
      </c>
      <c r="F5" s="90" t="s">
        <v>20</v>
      </c>
      <c r="G5" s="90" t="s">
        <v>25</v>
      </c>
      <c r="H5" s="90" t="s">
        <v>26</v>
      </c>
      <c r="I5" s="90" t="s">
        <v>27</v>
      </c>
      <c r="J5" s="90" t="s">
        <v>54</v>
      </c>
      <c r="K5" s="90" t="s">
        <v>10</v>
      </c>
      <c r="L5" s="90" t="s">
        <v>23</v>
      </c>
      <c r="M5" s="90" t="s">
        <v>4</v>
      </c>
      <c r="N5" s="90" t="s">
        <v>15</v>
      </c>
      <c r="O5" s="112" t="s">
        <v>16</v>
      </c>
      <c r="P5" s="90" t="s">
        <v>24</v>
      </c>
      <c r="Q5" s="90" t="s">
        <v>28</v>
      </c>
      <c r="R5" s="90" t="s">
        <v>41</v>
      </c>
      <c r="T5" s="9" t="s">
        <v>37</v>
      </c>
      <c r="W5" s="80"/>
    </row>
    <row r="6" spans="1:23" ht="30.6" customHeight="1" thickBot="1" x14ac:dyDescent="0.3">
      <c r="A6" s="113"/>
      <c r="B6" s="114"/>
      <c r="C6" s="115"/>
      <c r="D6" s="114"/>
      <c r="E6" s="116"/>
      <c r="F6" s="91"/>
      <c r="G6" s="91"/>
      <c r="H6" s="91"/>
      <c r="I6" s="91"/>
      <c r="J6" s="91"/>
      <c r="K6" s="91"/>
      <c r="L6" s="91"/>
      <c r="M6" s="91"/>
      <c r="N6" s="91"/>
      <c r="O6" s="115"/>
      <c r="P6" s="91"/>
      <c r="Q6" s="91"/>
      <c r="R6" s="91"/>
    </row>
    <row r="7" spans="1:23" x14ac:dyDescent="0.25">
      <c r="A7" s="117">
        <v>1</v>
      </c>
      <c r="B7" s="138" t="s">
        <v>67</v>
      </c>
      <c r="C7" s="118" t="s">
        <v>92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3" x14ac:dyDescent="0.25">
      <c r="A8" s="117">
        <f>A7+1</f>
        <v>2</v>
      </c>
      <c r="B8" s="139"/>
      <c r="C8" s="88"/>
      <c r="D8" s="88" t="s">
        <v>17</v>
      </c>
      <c r="E8" s="99">
        <v>265729</v>
      </c>
      <c r="F8" s="93">
        <v>12</v>
      </c>
      <c r="G8" s="119">
        <f>F8*E8</f>
        <v>3188748</v>
      </c>
      <c r="H8" s="93">
        <v>17</v>
      </c>
      <c r="I8" s="119">
        <f>H8*E8</f>
        <v>4517393</v>
      </c>
      <c r="J8" s="94">
        <f>I8/I10</f>
        <v>0.15700400508992005</v>
      </c>
      <c r="K8" s="94"/>
      <c r="L8" s="93">
        <f>ROUND(H8*S10,2)</f>
        <v>17.670000000000002</v>
      </c>
      <c r="M8" s="119">
        <f>L8*E8</f>
        <v>4695431.4300000006</v>
      </c>
      <c r="N8" s="119">
        <f t="shared" ref="N8:N13" si="0">M8-I8</f>
        <v>178038.43000000063</v>
      </c>
      <c r="O8" s="94">
        <f>IF(I8=0,0,N8/I8)</f>
        <v>3.9411764705882493E-2</v>
      </c>
      <c r="P8" s="94">
        <f>M8/M10</f>
        <v>0.15700040362442241</v>
      </c>
      <c r="Q8" s="120">
        <f>P8-J8</f>
        <v>-3.6014654976324056E-6</v>
      </c>
      <c r="R8" s="120"/>
      <c r="T8" s="4">
        <f>L8/H8-1</f>
        <v>3.9411764705882479E-2</v>
      </c>
      <c r="W8" s="81"/>
    </row>
    <row r="9" spans="1:23" x14ac:dyDescent="0.25">
      <c r="A9" s="117">
        <f t="shared" ref="A9:A76" si="1">A8+1</f>
        <v>3</v>
      </c>
      <c r="B9" s="93"/>
      <c r="D9" s="88" t="s">
        <v>50</v>
      </c>
      <c r="E9" s="99">
        <v>295253522</v>
      </c>
      <c r="F9" s="107">
        <v>8.5000000000000006E-2</v>
      </c>
      <c r="G9" s="119">
        <f t="shared" ref="G9" si="2">F9*E9</f>
        <v>25096549.370000001</v>
      </c>
      <c r="H9" s="107">
        <v>8.2150000000000001E-2</v>
      </c>
      <c r="I9" s="119">
        <f t="shared" ref="I9" si="3">H9*E9</f>
        <v>24255076.8323</v>
      </c>
      <c r="J9" s="94">
        <f>I9/I10</f>
        <v>0.84299599491007993</v>
      </c>
      <c r="K9" s="94"/>
      <c r="L9" s="121">
        <f>ROUND(H9*S10,5)</f>
        <v>8.5389999999999994E-2</v>
      </c>
      <c r="M9" s="119">
        <f t="shared" ref="M9" si="4">L9*E9</f>
        <v>25211698.243579999</v>
      </c>
      <c r="N9" s="119">
        <f t="shared" si="0"/>
        <v>956621.41127999872</v>
      </c>
      <c r="O9" s="94">
        <f t="shared" ref="O9" si="5">IF(I9=0,0,N9/I9)</f>
        <v>3.9440048691418088E-2</v>
      </c>
      <c r="P9" s="94">
        <f>M9/M10</f>
        <v>0.84299959637557764</v>
      </c>
      <c r="Q9" s="120">
        <f t="shared" ref="Q9:Q10" si="6">P9-J9</f>
        <v>3.6014654977156724E-6</v>
      </c>
      <c r="R9" s="120"/>
      <c r="T9" s="4">
        <f>L9/H9-1</f>
        <v>3.944004869141815E-2</v>
      </c>
      <c r="W9" s="81"/>
    </row>
    <row r="10" spans="1:23" s="5" customFormat="1" ht="20.399999999999999" customHeight="1" x14ac:dyDescent="0.3">
      <c r="A10" s="117">
        <f t="shared" si="1"/>
        <v>4</v>
      </c>
      <c r="B10" s="110"/>
      <c r="C10" s="102"/>
      <c r="D10" s="103" t="s">
        <v>6</v>
      </c>
      <c r="E10" s="103"/>
      <c r="F10" s="103"/>
      <c r="G10" s="11">
        <f>SUM(G8:G9)</f>
        <v>28285297.370000001</v>
      </c>
      <c r="H10" s="103"/>
      <c r="I10" s="11">
        <f>SUM(I8:I9)</f>
        <v>28772469.8323</v>
      </c>
      <c r="J10" s="122">
        <f>SUM(J8:J9)</f>
        <v>1</v>
      </c>
      <c r="K10" s="95">
        <f>I10+Summary!I8</f>
        <v>29908084.5623</v>
      </c>
      <c r="L10" s="103"/>
      <c r="M10" s="11">
        <f>SUM(M8:M9)</f>
        <v>29907129.673579998</v>
      </c>
      <c r="N10" s="11">
        <f>SUM(N8:N9)</f>
        <v>1134659.8412799994</v>
      </c>
      <c r="O10" s="122">
        <f t="shared" ref="O10" si="7">N10/I10</f>
        <v>3.943560799240909E-2</v>
      </c>
      <c r="P10" s="122">
        <f>SUM(P8:P9)</f>
        <v>1</v>
      </c>
      <c r="Q10" s="123">
        <f t="shared" si="6"/>
        <v>0</v>
      </c>
      <c r="R10" s="124">
        <f>M10-K10</f>
        <v>-954.88872000202537</v>
      </c>
      <c r="S10" s="56">
        <f>K10/I10</f>
        <v>1.0394687955750381</v>
      </c>
    </row>
    <row r="11" spans="1:23" x14ac:dyDescent="0.25">
      <c r="A11" s="117">
        <f t="shared" si="1"/>
        <v>5</v>
      </c>
      <c r="D11" s="88" t="s">
        <v>29</v>
      </c>
      <c r="G11" s="119">
        <v>-1278593.95</v>
      </c>
      <c r="I11" s="96">
        <f>G11+(0.0016*E9)</f>
        <v>-806188.31479999993</v>
      </c>
      <c r="K11" s="96"/>
      <c r="M11" s="119">
        <f>I11</f>
        <v>-806188.31479999993</v>
      </c>
      <c r="N11" s="119">
        <f t="shared" si="0"/>
        <v>0</v>
      </c>
      <c r="O11" s="93">
        <v>0</v>
      </c>
      <c r="R11" s="125"/>
    </row>
    <row r="12" spans="1:23" x14ac:dyDescent="0.25">
      <c r="A12" s="117">
        <f t="shared" si="1"/>
        <v>6</v>
      </c>
      <c r="D12" s="88" t="s">
        <v>30</v>
      </c>
      <c r="G12" s="119">
        <v>3041071.54</v>
      </c>
      <c r="I12" s="96">
        <f>G12</f>
        <v>3041071.54</v>
      </c>
      <c r="M12" s="119">
        <f t="shared" ref="M12:M14" si="8">I12</f>
        <v>3041071.54</v>
      </c>
      <c r="N12" s="119">
        <f t="shared" si="0"/>
        <v>0</v>
      </c>
      <c r="O12" s="93">
        <v>0</v>
      </c>
    </row>
    <row r="13" spans="1:23" x14ac:dyDescent="0.25">
      <c r="A13" s="117">
        <f t="shared" si="1"/>
        <v>7</v>
      </c>
      <c r="D13" s="88" t="s">
        <v>68</v>
      </c>
      <c r="E13" s="99">
        <v>11678</v>
      </c>
      <c r="F13" s="93">
        <v>3</v>
      </c>
      <c r="G13" s="119">
        <f>F13*E13</f>
        <v>35034</v>
      </c>
      <c r="I13" s="96">
        <f>G13</f>
        <v>35034</v>
      </c>
      <c r="M13" s="119">
        <f t="shared" si="8"/>
        <v>35034</v>
      </c>
      <c r="N13" s="119">
        <f t="shared" si="0"/>
        <v>0</v>
      </c>
      <c r="O13" s="93">
        <v>0</v>
      </c>
    </row>
    <row r="14" spans="1:23" x14ac:dyDescent="0.25">
      <c r="A14" s="117">
        <f t="shared" si="1"/>
        <v>8</v>
      </c>
      <c r="D14" s="88" t="s">
        <v>42</v>
      </c>
      <c r="G14" s="119">
        <v>0</v>
      </c>
      <c r="I14" s="96">
        <f>G14</f>
        <v>0</v>
      </c>
      <c r="M14" s="119">
        <f t="shared" si="8"/>
        <v>0</v>
      </c>
      <c r="N14" s="119"/>
      <c r="O14" s="93">
        <v>0</v>
      </c>
    </row>
    <row r="15" spans="1:23" x14ac:dyDescent="0.25">
      <c r="A15" s="117">
        <f t="shared" si="1"/>
        <v>9</v>
      </c>
      <c r="D15" s="97" t="s">
        <v>8</v>
      </c>
      <c r="E15" s="97"/>
      <c r="F15" s="97"/>
      <c r="G15" s="126">
        <f>SUM(G11:G14)</f>
        <v>1797511.59</v>
      </c>
      <c r="H15" s="97"/>
      <c r="I15" s="126">
        <f>SUM(I11:I14)</f>
        <v>2269917.2252000002</v>
      </c>
      <c r="J15" s="97"/>
      <c r="K15" s="97"/>
      <c r="L15" s="97"/>
      <c r="M15" s="126">
        <f>SUM(M11:M14)</f>
        <v>2269917.2252000002</v>
      </c>
      <c r="N15" s="126">
        <f>M15-I15</f>
        <v>0</v>
      </c>
      <c r="O15" s="127">
        <v>0</v>
      </c>
    </row>
    <row r="16" spans="1:23" s="5" customFormat="1" ht="26.4" customHeight="1" thickBot="1" x14ac:dyDescent="0.3">
      <c r="A16" s="117">
        <f t="shared" si="1"/>
        <v>10</v>
      </c>
      <c r="B16" s="110"/>
      <c r="C16" s="102"/>
      <c r="D16" s="98" t="s">
        <v>19</v>
      </c>
      <c r="E16" s="98"/>
      <c r="F16" s="98"/>
      <c r="G16" s="128">
        <f>G10+G15</f>
        <v>30082808.960000001</v>
      </c>
      <c r="H16" s="98"/>
      <c r="I16" s="129">
        <f>I15+I10</f>
        <v>31042387.057500001</v>
      </c>
      <c r="J16" s="98"/>
      <c r="K16" s="98"/>
      <c r="L16" s="98"/>
      <c r="M16" s="128">
        <f>M15+M10</f>
        <v>32177046.898779999</v>
      </c>
      <c r="N16" s="128">
        <f>M16-I16</f>
        <v>1134659.8412799984</v>
      </c>
      <c r="O16" s="130">
        <f>N16/I16</f>
        <v>3.6551951986754795E-2</v>
      </c>
      <c r="P16" s="88"/>
      <c r="Q16" s="88"/>
      <c r="R16" s="88"/>
      <c r="W16" s="2"/>
    </row>
    <row r="17" spans="1:23" ht="13.8" thickTop="1" x14ac:dyDescent="0.25">
      <c r="A17" s="117">
        <f t="shared" si="1"/>
        <v>11</v>
      </c>
      <c r="D17" s="88" t="s">
        <v>18</v>
      </c>
      <c r="E17" s="93">
        <f>E9/E8</f>
        <v>1111.1076397382296</v>
      </c>
      <c r="G17" s="131">
        <f>G16/E8</f>
        <v>113.20860335153483</v>
      </c>
      <c r="I17" s="131">
        <f>I16/E8</f>
        <v>116.81971880186205</v>
      </c>
      <c r="M17" s="131">
        <f>M16/E8</f>
        <v>121.08970755461391</v>
      </c>
      <c r="N17" s="131">
        <f>M17-I17</f>
        <v>4.269988752751857</v>
      </c>
      <c r="O17" s="94">
        <f>N17/I17</f>
        <v>3.6551951986754788E-2</v>
      </c>
    </row>
    <row r="18" spans="1:23" ht="13.8" thickBot="1" x14ac:dyDescent="0.3">
      <c r="A18" s="117">
        <f t="shared" si="1"/>
        <v>12</v>
      </c>
    </row>
    <row r="19" spans="1:23" x14ac:dyDescent="0.25">
      <c r="A19" s="117">
        <f t="shared" si="1"/>
        <v>13</v>
      </c>
      <c r="B19" s="92" t="s">
        <v>69</v>
      </c>
      <c r="C19" s="118" t="s">
        <v>70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</row>
    <row r="20" spans="1:23" x14ac:dyDescent="0.25">
      <c r="A20" s="117">
        <f t="shared" si="1"/>
        <v>14</v>
      </c>
      <c r="C20" s="88"/>
      <c r="D20" s="88" t="s">
        <v>17</v>
      </c>
      <c r="E20" s="99">
        <v>144</v>
      </c>
      <c r="F20" s="93">
        <v>20</v>
      </c>
      <c r="G20" s="119">
        <f>F20*E20</f>
        <v>2880</v>
      </c>
      <c r="H20" s="93">
        <v>20</v>
      </c>
      <c r="I20" s="119">
        <f>H20*E20</f>
        <v>2880</v>
      </c>
      <c r="J20" s="94">
        <f>I20/I23</f>
        <v>0.29076847292593971</v>
      </c>
      <c r="K20" s="94"/>
      <c r="L20" s="93">
        <f>ROUND(H20*S23,2)</f>
        <v>20.79</v>
      </c>
      <c r="M20" s="119">
        <f>L20*E20</f>
        <v>2993.7599999999998</v>
      </c>
      <c r="N20" s="119">
        <f>M20-I20</f>
        <v>113.75999999999976</v>
      </c>
      <c r="O20" s="94">
        <f>IF(I20=0,0,N20/I20)</f>
        <v>3.9499999999999917E-2</v>
      </c>
      <c r="P20" s="94">
        <f>M20/M$23</f>
        <v>0.29076974306168796</v>
      </c>
      <c r="Q20" s="120">
        <f>P20-J20</f>
        <v>1.2701357482436393E-6</v>
      </c>
      <c r="R20" s="120"/>
      <c r="W20" s="81"/>
    </row>
    <row r="21" spans="1:23" x14ac:dyDescent="0.25">
      <c r="A21" s="117">
        <f t="shared" si="1"/>
        <v>15</v>
      </c>
      <c r="D21" s="88" t="s">
        <v>51</v>
      </c>
      <c r="E21" s="99">
        <v>29638</v>
      </c>
      <c r="F21" s="107">
        <v>9.9169999999999994E-2</v>
      </c>
      <c r="G21" s="119">
        <f t="shared" ref="G21" si="9">F21*E21</f>
        <v>2939.20046</v>
      </c>
      <c r="H21" s="107">
        <v>9.758E-2</v>
      </c>
      <c r="I21" s="119">
        <f t="shared" ref="I21" si="10">H21*E21</f>
        <v>2892.0760399999999</v>
      </c>
      <c r="J21" s="94">
        <f>I21/I23</f>
        <v>0.29198768532517322</v>
      </c>
      <c r="K21" s="94"/>
      <c r="L21" s="107">
        <f>ROUND(H21*S23,5)</f>
        <v>0.10143000000000001</v>
      </c>
      <c r="M21" s="119">
        <f t="shared" ref="M21" si="11">L21*E21</f>
        <v>3006.1823400000003</v>
      </c>
      <c r="N21" s="119">
        <f t="shared" ref="N21" si="12">M21-I21</f>
        <v>114.10630000000037</v>
      </c>
      <c r="O21" s="94">
        <f t="shared" ref="O21" si="13">IF(I21=0,0,N21/I21)</f>
        <v>3.9454806312769139E-2</v>
      </c>
      <c r="P21" s="94">
        <f>M21/M$23</f>
        <v>0.29197626616642081</v>
      </c>
      <c r="Q21" s="120">
        <f t="shared" ref="Q21" si="14">P21-J21</f>
        <v>-1.1419158752412617E-5</v>
      </c>
      <c r="R21" s="120"/>
      <c r="T21" s="4">
        <f>L21/H21-1</f>
        <v>3.9454806312769097E-2</v>
      </c>
      <c r="W21" s="81"/>
    </row>
    <row r="22" spans="1:23" x14ac:dyDescent="0.25">
      <c r="A22" s="117">
        <f t="shared" si="1"/>
        <v>16</v>
      </c>
      <c r="D22" s="88" t="s">
        <v>52</v>
      </c>
      <c r="E22" s="99">
        <v>73904</v>
      </c>
      <c r="F22" s="107">
        <v>5.7509999999999999E-2</v>
      </c>
      <c r="G22" s="119">
        <f t="shared" ref="G22" si="15">F22*E22</f>
        <v>4250.2190399999999</v>
      </c>
      <c r="H22" s="107">
        <v>5.5919999999999997E-2</v>
      </c>
      <c r="I22" s="119">
        <f t="shared" ref="I22" si="16">H22*E22</f>
        <v>4132.7116799999994</v>
      </c>
      <c r="J22" s="94">
        <f>I22/I23</f>
        <v>0.41724384174888701</v>
      </c>
      <c r="K22" s="94"/>
      <c r="L22" s="107">
        <f>ROUND(H22*S23,5)</f>
        <v>5.8130000000000001E-2</v>
      </c>
      <c r="M22" s="119">
        <f t="shared" ref="M22" si="17">L22*E22</f>
        <v>4296.0395200000003</v>
      </c>
      <c r="N22" s="119">
        <f t="shared" ref="N22" si="18">M22-I22</f>
        <v>163.32784000000083</v>
      </c>
      <c r="O22" s="94">
        <f t="shared" ref="O22" si="19">IF(I22=0,0,N22/I22)</f>
        <v>3.9520743919885755E-2</v>
      </c>
      <c r="P22" s="94">
        <f>M22/M$23</f>
        <v>0.41725399077189129</v>
      </c>
      <c r="Q22" s="120">
        <f t="shared" ref="Q22" si="20">P22-J22</f>
        <v>1.014902300428E-5</v>
      </c>
      <c r="R22" s="120"/>
      <c r="T22" s="4">
        <f>L22/H22-1</f>
        <v>3.9520743919885692E-2</v>
      </c>
      <c r="W22" s="81"/>
    </row>
    <row r="23" spans="1:23" s="5" customFormat="1" ht="20.399999999999999" customHeight="1" x14ac:dyDescent="0.25">
      <c r="A23" s="117">
        <f t="shared" si="1"/>
        <v>17</v>
      </c>
      <c r="B23" s="110"/>
      <c r="C23" s="102"/>
      <c r="D23" s="103" t="s">
        <v>6</v>
      </c>
      <c r="E23" s="103"/>
      <c r="F23" s="103"/>
      <c r="G23" s="11">
        <f>SUM(G20:G22)</f>
        <v>10069.4195</v>
      </c>
      <c r="H23" s="103"/>
      <c r="I23" s="11">
        <f>SUM(I20:I22)</f>
        <v>9904.7877200000003</v>
      </c>
      <c r="J23" s="122">
        <f>SUM(J20:J22)</f>
        <v>1</v>
      </c>
      <c r="K23" s="95">
        <f>I23+Summary!I9</f>
        <v>10295.717720000001</v>
      </c>
      <c r="L23" s="103"/>
      <c r="M23" s="11">
        <f>SUM(M20:M22)</f>
        <v>10295.98186</v>
      </c>
      <c r="N23" s="11">
        <f>SUM(N20:N22)</f>
        <v>391.19414000000097</v>
      </c>
      <c r="O23" s="122">
        <f t="shared" ref="O23" si="21">N23/I23</f>
        <v>3.9495459272700185E-2</v>
      </c>
      <c r="P23" s="122">
        <f>SUM(P20:P22)</f>
        <v>1</v>
      </c>
      <c r="Q23" s="123">
        <f t="shared" ref="Q23" si="22">P23-J23</f>
        <v>0</v>
      </c>
      <c r="R23" s="124">
        <f>M23-K23</f>
        <v>0.26413999999931548</v>
      </c>
      <c r="S23" s="56">
        <f>K23/I23</f>
        <v>1.0394687913614367</v>
      </c>
      <c r="W23" s="2"/>
    </row>
    <row r="24" spans="1:23" x14ac:dyDescent="0.25">
      <c r="A24" s="117">
        <f t="shared" si="1"/>
        <v>18</v>
      </c>
      <c r="D24" s="88" t="s">
        <v>29</v>
      </c>
      <c r="G24" s="119">
        <v>-408.14000000000004</v>
      </c>
      <c r="I24" s="96">
        <f>G24+(0.0016*(E21+E22))</f>
        <v>-242.47280000000003</v>
      </c>
      <c r="K24" s="96"/>
      <c r="M24" s="119">
        <f>I24</f>
        <v>-242.47280000000003</v>
      </c>
      <c r="N24" s="119">
        <f t="shared" ref="N24:N29" si="23">M24-I24</f>
        <v>0</v>
      </c>
      <c r="O24" s="93">
        <v>0</v>
      </c>
    </row>
    <row r="25" spans="1:23" x14ac:dyDescent="0.25">
      <c r="A25" s="117">
        <f t="shared" si="1"/>
        <v>19</v>
      </c>
      <c r="D25" s="88" t="s">
        <v>30</v>
      </c>
      <c r="G25" s="119">
        <v>1021.54</v>
      </c>
      <c r="I25" s="96">
        <f t="shared" ref="I25:I27" si="24">G25</f>
        <v>1021.54</v>
      </c>
      <c r="M25" s="119">
        <f t="shared" ref="M25:M27" si="25">I25</f>
        <v>1021.54</v>
      </c>
      <c r="N25" s="119">
        <f t="shared" si="23"/>
        <v>0</v>
      </c>
      <c r="O25" s="93">
        <v>0</v>
      </c>
    </row>
    <row r="26" spans="1:23" x14ac:dyDescent="0.25">
      <c r="A26" s="117">
        <f t="shared" si="1"/>
        <v>20</v>
      </c>
      <c r="D26" s="88" t="s">
        <v>32</v>
      </c>
      <c r="G26" s="119">
        <v>0</v>
      </c>
      <c r="I26" s="96">
        <f t="shared" si="24"/>
        <v>0</v>
      </c>
      <c r="M26" s="119">
        <f t="shared" si="25"/>
        <v>0</v>
      </c>
      <c r="N26" s="119">
        <f t="shared" si="23"/>
        <v>0</v>
      </c>
      <c r="O26" s="93">
        <v>0</v>
      </c>
    </row>
    <row r="27" spans="1:23" x14ac:dyDescent="0.25">
      <c r="A27" s="117">
        <f t="shared" si="1"/>
        <v>21</v>
      </c>
      <c r="D27" s="88" t="s">
        <v>42</v>
      </c>
      <c r="G27" s="119">
        <v>0</v>
      </c>
      <c r="I27" s="96">
        <f t="shared" si="24"/>
        <v>0</v>
      </c>
      <c r="M27" s="119">
        <f t="shared" si="25"/>
        <v>0</v>
      </c>
      <c r="N27" s="119"/>
      <c r="O27" s="93"/>
    </row>
    <row r="28" spans="1:23" x14ac:dyDescent="0.25">
      <c r="A28" s="117">
        <f t="shared" si="1"/>
        <v>22</v>
      </c>
      <c r="D28" s="97" t="s">
        <v>8</v>
      </c>
      <c r="E28" s="97"/>
      <c r="F28" s="97"/>
      <c r="G28" s="126">
        <f>SUM(G24:G27)</f>
        <v>613.39999999999986</v>
      </c>
      <c r="H28" s="97"/>
      <c r="I28" s="126">
        <f>SUM(I24:I27)</f>
        <v>779.06719999999996</v>
      </c>
      <c r="J28" s="97"/>
      <c r="K28" s="97"/>
      <c r="L28" s="97"/>
      <c r="M28" s="126">
        <f>SUM(M24:M27)</f>
        <v>779.06719999999996</v>
      </c>
      <c r="N28" s="126">
        <f t="shared" si="23"/>
        <v>0</v>
      </c>
      <c r="O28" s="127">
        <f t="shared" ref="O28" si="26">N28-J28</f>
        <v>0</v>
      </c>
    </row>
    <row r="29" spans="1:23" s="5" customFormat="1" ht="26.4" customHeight="1" thickBot="1" x14ac:dyDescent="0.3">
      <c r="A29" s="117">
        <f t="shared" si="1"/>
        <v>23</v>
      </c>
      <c r="B29" s="110"/>
      <c r="C29" s="102"/>
      <c r="D29" s="98" t="s">
        <v>19</v>
      </c>
      <c r="E29" s="98"/>
      <c r="F29" s="98"/>
      <c r="G29" s="128">
        <f>G23+G28</f>
        <v>10682.8195</v>
      </c>
      <c r="H29" s="98"/>
      <c r="I29" s="129">
        <f>I28+I23</f>
        <v>10683.85492</v>
      </c>
      <c r="J29" s="98"/>
      <c r="K29" s="98"/>
      <c r="L29" s="98"/>
      <c r="M29" s="128">
        <f>M28+M23</f>
        <v>11075.049059999999</v>
      </c>
      <c r="N29" s="128">
        <f t="shared" si="23"/>
        <v>391.19413999999961</v>
      </c>
      <c r="O29" s="130">
        <f>N29/I29</f>
        <v>3.6615448536996761E-2</v>
      </c>
      <c r="P29" s="88"/>
      <c r="Q29" s="88"/>
      <c r="R29" s="88"/>
    </row>
    <row r="30" spans="1:23" ht="13.8" thickTop="1" x14ac:dyDescent="0.25">
      <c r="A30" s="117">
        <f t="shared" si="1"/>
        <v>24</v>
      </c>
      <c r="D30" s="88" t="s">
        <v>18</v>
      </c>
      <c r="E30" s="93">
        <f>(E21+E22)/E20</f>
        <v>719.04166666666663</v>
      </c>
      <c r="G30" s="131">
        <f>G29/E20</f>
        <v>74.186246527777769</v>
      </c>
      <c r="I30" s="131">
        <f>I29/E20</f>
        <v>74.193436944444443</v>
      </c>
      <c r="M30" s="131">
        <f>M29/E20</f>
        <v>76.910062916666661</v>
      </c>
      <c r="N30" s="131">
        <f>M30-I30</f>
        <v>2.7166259722222179</v>
      </c>
      <c r="O30" s="94">
        <f>N30/I30</f>
        <v>3.6615448536996734E-2</v>
      </c>
    </row>
    <row r="31" spans="1:23" ht="13.8" thickBot="1" x14ac:dyDescent="0.3">
      <c r="A31" s="117">
        <f t="shared" si="1"/>
        <v>25</v>
      </c>
    </row>
    <row r="32" spans="1:23" x14ac:dyDescent="0.25">
      <c r="A32" s="117">
        <f t="shared" si="1"/>
        <v>26</v>
      </c>
      <c r="B32" s="138" t="s">
        <v>71</v>
      </c>
      <c r="C32" s="118" t="s">
        <v>72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3" x14ac:dyDescent="0.25">
      <c r="A33" s="117">
        <f t="shared" si="1"/>
        <v>27</v>
      </c>
      <c r="B33" s="139"/>
      <c r="C33" s="88"/>
      <c r="D33" s="88" t="s">
        <v>17</v>
      </c>
      <c r="E33" s="99">
        <v>16119</v>
      </c>
      <c r="F33" s="93">
        <v>14</v>
      </c>
      <c r="G33" s="119">
        <f>F33*E33</f>
        <v>225666</v>
      </c>
      <c r="H33" s="93">
        <v>19</v>
      </c>
      <c r="I33" s="119">
        <f>H33*E33</f>
        <v>306261</v>
      </c>
      <c r="J33" s="94">
        <f>I33/I36</f>
        <v>0.20592113445523141</v>
      </c>
      <c r="K33" s="94"/>
      <c r="L33" s="93">
        <f>ROUND(H33*S36,2)</f>
        <v>19.75</v>
      </c>
      <c r="M33" s="119">
        <f>L33*E33</f>
        <v>318350.25</v>
      </c>
      <c r="N33" s="119">
        <f>M33-I33</f>
        <v>12089.25</v>
      </c>
      <c r="O33" s="94">
        <f>IF(I33=0,0,N33/I33)</f>
        <v>3.9473684210526314E-2</v>
      </c>
      <c r="P33" s="94">
        <f>M33/M$36</f>
        <v>0.20592253075939765</v>
      </c>
      <c r="Q33" s="120">
        <f>P33-J33</f>
        <v>1.3963041662345965E-6</v>
      </c>
      <c r="R33" s="120"/>
      <c r="T33" s="4">
        <f>L33/H33-1</f>
        <v>3.9473684210526327E-2</v>
      </c>
      <c r="W33" s="81"/>
    </row>
    <row r="34" spans="1:23" x14ac:dyDescent="0.25">
      <c r="A34" s="117">
        <f t="shared" si="1"/>
        <v>28</v>
      </c>
      <c r="D34" s="88" t="s">
        <v>73</v>
      </c>
      <c r="E34" s="99">
        <v>10874517</v>
      </c>
      <c r="F34" s="107">
        <v>8.9510000000000006E-2</v>
      </c>
      <c r="G34" s="119">
        <f t="shared" ref="G34" si="27">F34*E34</f>
        <v>973378.01667000004</v>
      </c>
      <c r="H34" s="107">
        <v>8.2320000000000004E-2</v>
      </c>
      <c r="I34" s="119">
        <f t="shared" ref="I34" si="28">H34*E34</f>
        <v>895190.23944000003</v>
      </c>
      <c r="J34" s="94">
        <f>I34/I36</f>
        <v>0.60190030613997558</v>
      </c>
      <c r="K34" s="94"/>
      <c r="L34" s="121">
        <f>ROUND(H34*S36,5)</f>
        <v>8.5569999999999993E-2</v>
      </c>
      <c r="M34" s="119">
        <f t="shared" ref="M34" si="29">L34*E34</f>
        <v>930532.41968999989</v>
      </c>
      <c r="N34" s="119">
        <f t="shared" ref="N34" si="30">M34-I34</f>
        <v>35342.180249999859</v>
      </c>
      <c r="O34" s="94">
        <f t="shared" ref="O34" si="31">IF(I34=0,0,N34/I34)</f>
        <v>3.9480077745383708E-2</v>
      </c>
      <c r="P34" s="94">
        <f t="shared" ref="P34:P35" si="32">M34/M$36</f>
        <v>0.60190808964726972</v>
      </c>
      <c r="Q34" s="120">
        <f t="shared" ref="Q34" si="33">P34-J34</f>
        <v>7.7835072941345729E-6</v>
      </c>
      <c r="R34" s="120"/>
      <c r="T34" s="4">
        <f>L34/H34-1</f>
        <v>3.9480077745383646E-2</v>
      </c>
      <c r="W34" s="81"/>
    </row>
    <row r="35" spans="1:23" x14ac:dyDescent="0.25">
      <c r="A35" s="117">
        <f t="shared" si="1"/>
        <v>29</v>
      </c>
      <c r="D35" s="88" t="s">
        <v>74</v>
      </c>
      <c r="E35" s="99">
        <v>3622586</v>
      </c>
      <c r="F35" s="107">
        <v>8.5900000000000004E-2</v>
      </c>
      <c r="G35" s="119">
        <f t="shared" ref="G35" si="34">F35*E35</f>
        <v>311180.13740000001</v>
      </c>
      <c r="H35" s="107">
        <v>7.8899999999999998E-2</v>
      </c>
      <c r="I35" s="119">
        <f t="shared" ref="I35" si="35">H35*E35</f>
        <v>285822.03539999999</v>
      </c>
      <c r="J35" s="94">
        <f>I35/I36</f>
        <v>0.192178559404793</v>
      </c>
      <c r="K35" s="94"/>
      <c r="L35" s="121">
        <f>ROUND(H35*S36,5)</f>
        <v>8.201E-2</v>
      </c>
      <c r="M35" s="119">
        <f t="shared" ref="M35" si="36">L35*E35</f>
        <v>297088.27785999997</v>
      </c>
      <c r="N35" s="119">
        <f t="shared" ref="N35:N43" si="37">M35-I35</f>
        <v>11266.242459999979</v>
      </c>
      <c r="O35" s="94">
        <f t="shared" ref="O35" si="38">IF(I35=0,0,N35/I35)</f>
        <v>3.941698352344733E-2</v>
      </c>
      <c r="P35" s="94">
        <f t="shared" si="32"/>
        <v>0.19216937959333258</v>
      </c>
      <c r="Q35" s="120">
        <f t="shared" ref="Q35:Q36" si="39">P35-J35</f>
        <v>-9.1798114604246805E-6</v>
      </c>
      <c r="R35" s="120"/>
      <c r="T35" s="4">
        <f>L35/H35-1</f>
        <v>3.9416983523447469E-2</v>
      </c>
      <c r="W35" s="81"/>
    </row>
    <row r="36" spans="1:23" s="5" customFormat="1" ht="20.399999999999999" customHeight="1" x14ac:dyDescent="0.25">
      <c r="A36" s="117">
        <f t="shared" si="1"/>
        <v>30</v>
      </c>
      <c r="B36" s="110"/>
      <c r="C36" s="102"/>
      <c r="D36" s="103" t="s">
        <v>6</v>
      </c>
      <c r="E36" s="103"/>
      <c r="F36" s="103"/>
      <c r="G36" s="11">
        <f>SUM(G33:G35)</f>
        <v>1510224.1540700002</v>
      </c>
      <c r="H36" s="103"/>
      <c r="I36" s="11">
        <f>SUM(I33:I35)</f>
        <v>1487273.2748400001</v>
      </c>
      <c r="J36" s="122">
        <f>SUM(J33:J35)</f>
        <v>1</v>
      </c>
      <c r="K36" s="95">
        <f>I36+Summary!I10</f>
        <v>1545974.15484</v>
      </c>
      <c r="L36" s="103"/>
      <c r="M36" s="11">
        <f>SUM(M33:M35)</f>
        <v>1545970.9475499999</v>
      </c>
      <c r="N36" s="11">
        <f>SUM(N33:N35)</f>
        <v>58697.672709999839</v>
      </c>
      <c r="O36" s="122">
        <f t="shared" ref="O36" si="40">N36/I36</f>
        <v>3.9466635824754195E-2</v>
      </c>
      <c r="P36" s="122">
        <f>SUM(P33:P35)</f>
        <v>1</v>
      </c>
      <c r="Q36" s="123">
        <f t="shared" si="39"/>
        <v>0</v>
      </c>
      <c r="R36" s="124">
        <f>M36-K36</f>
        <v>-3.2072900000493973</v>
      </c>
      <c r="S36" s="56">
        <f>K36/I36</f>
        <v>1.0394687923147916</v>
      </c>
      <c r="W36" s="2"/>
    </row>
    <row r="37" spans="1:23" x14ac:dyDescent="0.25">
      <c r="A37" s="117">
        <f t="shared" si="1"/>
        <v>31</v>
      </c>
      <c r="D37" s="88" t="s">
        <v>29</v>
      </c>
      <c r="G37" s="119">
        <v>-64763.219999999994</v>
      </c>
      <c r="I37" s="96">
        <f>G37+(0.0016*(E34+E35))</f>
        <v>-41567.855199999991</v>
      </c>
      <c r="K37" s="96"/>
      <c r="M37" s="119">
        <f>I37</f>
        <v>-41567.855199999991</v>
      </c>
      <c r="N37" s="119">
        <f t="shared" si="37"/>
        <v>0</v>
      </c>
      <c r="O37" s="93">
        <v>0</v>
      </c>
    </row>
    <row r="38" spans="1:23" x14ac:dyDescent="0.25">
      <c r="A38" s="117">
        <f t="shared" si="1"/>
        <v>32</v>
      </c>
      <c r="D38" s="88" t="s">
        <v>30</v>
      </c>
      <c r="G38" s="119">
        <v>163281.91999999998</v>
      </c>
      <c r="I38" s="96">
        <f t="shared" ref="I38:I40" si="41">G38</f>
        <v>163281.91999999998</v>
      </c>
      <c r="M38" s="119">
        <f t="shared" ref="M38:M40" si="42">I38</f>
        <v>163281.91999999998</v>
      </c>
      <c r="N38" s="119">
        <f t="shared" si="37"/>
        <v>0</v>
      </c>
      <c r="O38" s="93">
        <v>0</v>
      </c>
    </row>
    <row r="39" spans="1:23" x14ac:dyDescent="0.25">
      <c r="A39" s="117">
        <f t="shared" si="1"/>
        <v>33</v>
      </c>
      <c r="D39" s="88" t="s">
        <v>32</v>
      </c>
      <c r="G39" s="119">
        <v>2699.48</v>
      </c>
      <c r="I39" s="96">
        <f t="shared" si="41"/>
        <v>2699.48</v>
      </c>
      <c r="M39" s="119">
        <f t="shared" si="42"/>
        <v>2699.48</v>
      </c>
      <c r="N39" s="119">
        <f t="shared" si="37"/>
        <v>0</v>
      </c>
      <c r="O39" s="93">
        <v>0</v>
      </c>
    </row>
    <row r="40" spans="1:23" x14ac:dyDescent="0.25">
      <c r="A40" s="117">
        <f t="shared" si="1"/>
        <v>34</v>
      </c>
      <c r="D40" s="88" t="s">
        <v>42</v>
      </c>
      <c r="G40" s="119">
        <v>0</v>
      </c>
      <c r="I40" s="96">
        <f t="shared" si="41"/>
        <v>0</v>
      </c>
      <c r="M40" s="119">
        <f t="shared" si="42"/>
        <v>0</v>
      </c>
      <c r="N40" s="119"/>
      <c r="O40" s="93"/>
    </row>
    <row r="41" spans="1:23" x14ac:dyDescent="0.25">
      <c r="A41" s="117">
        <f t="shared" si="1"/>
        <v>35</v>
      </c>
      <c r="D41" s="97" t="s">
        <v>8</v>
      </c>
      <c r="E41" s="97"/>
      <c r="F41" s="97"/>
      <c r="G41" s="126">
        <f>SUM(G37:G40)</f>
        <v>101218.17999999998</v>
      </c>
      <c r="H41" s="97"/>
      <c r="I41" s="126">
        <f>SUM(I37:I40)</f>
        <v>124413.54479999999</v>
      </c>
      <c r="J41" s="97"/>
      <c r="K41" s="97"/>
      <c r="L41" s="97"/>
      <c r="M41" s="126">
        <f>SUM(M37:M40)</f>
        <v>124413.54479999999</v>
      </c>
      <c r="N41" s="126">
        <f t="shared" si="37"/>
        <v>0</v>
      </c>
      <c r="O41" s="127">
        <f t="shared" ref="O41" si="43">N41-J41</f>
        <v>0</v>
      </c>
    </row>
    <row r="42" spans="1:23" s="5" customFormat="1" ht="26.4" customHeight="1" thickBot="1" x14ac:dyDescent="0.3">
      <c r="A42" s="117">
        <f t="shared" si="1"/>
        <v>36</v>
      </c>
      <c r="B42" s="110"/>
      <c r="C42" s="102"/>
      <c r="D42" s="98" t="s">
        <v>19</v>
      </c>
      <c r="E42" s="98"/>
      <c r="F42" s="98"/>
      <c r="G42" s="128">
        <f>G36+G41</f>
        <v>1611442.3340700001</v>
      </c>
      <c r="H42" s="98"/>
      <c r="I42" s="129">
        <f>I41+I36</f>
        <v>1611686.8196400001</v>
      </c>
      <c r="J42" s="98"/>
      <c r="K42" s="98"/>
      <c r="L42" s="98"/>
      <c r="M42" s="128">
        <f>M41+M36</f>
        <v>1670384.49235</v>
      </c>
      <c r="N42" s="128">
        <f t="shared" si="37"/>
        <v>58697.672709999839</v>
      </c>
      <c r="O42" s="130">
        <f>N42/I42</f>
        <v>3.6420024036128214E-2</v>
      </c>
      <c r="P42" s="88"/>
      <c r="Q42" s="88"/>
      <c r="R42" s="88"/>
      <c r="W42" s="2"/>
    </row>
    <row r="43" spans="1:23" ht="13.8" thickTop="1" x14ac:dyDescent="0.25">
      <c r="A43" s="117">
        <f t="shared" si="1"/>
        <v>37</v>
      </c>
      <c r="D43" s="88" t="s">
        <v>18</v>
      </c>
      <c r="E43" s="93">
        <f>(E34+E35)/E33</f>
        <v>899.37980023574664</v>
      </c>
      <c r="G43" s="131">
        <f>G42/E33</f>
        <v>99.971607051926298</v>
      </c>
      <c r="I43" s="131">
        <f>I42/E33</f>
        <v>99.986774591475907</v>
      </c>
      <c r="M43" s="131">
        <f>M42/E33</f>
        <v>103.62829532539239</v>
      </c>
      <c r="N43" s="131">
        <f t="shared" si="37"/>
        <v>3.6415207339164795</v>
      </c>
      <c r="O43" s="94">
        <f>N43/I43</f>
        <v>3.6420024036128144E-2</v>
      </c>
    </row>
    <row r="44" spans="1:23" ht="13.8" thickBot="1" x14ac:dyDescent="0.3">
      <c r="A44" s="117">
        <f t="shared" si="1"/>
        <v>38</v>
      </c>
    </row>
    <row r="45" spans="1:23" x14ac:dyDescent="0.25">
      <c r="A45" s="117">
        <f t="shared" si="1"/>
        <v>39</v>
      </c>
      <c r="B45" s="138" t="s">
        <v>71</v>
      </c>
      <c r="C45" s="118" t="s">
        <v>75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23" x14ac:dyDescent="0.25">
      <c r="A46" s="117">
        <f t="shared" si="1"/>
        <v>40</v>
      </c>
      <c r="B46" s="139"/>
      <c r="C46" s="88"/>
      <c r="D46" s="88" t="s">
        <v>17</v>
      </c>
      <c r="E46" s="99">
        <v>2017</v>
      </c>
      <c r="F46" s="93">
        <v>25.55</v>
      </c>
      <c r="G46" s="119">
        <f>F46*E46</f>
        <v>51534.35</v>
      </c>
      <c r="H46" s="93">
        <v>25.25</v>
      </c>
      <c r="I46" s="119">
        <f>H46*E46</f>
        <v>50929.25</v>
      </c>
      <c r="J46" s="94">
        <f>I46/I50</f>
        <v>4.8344917839352762E-2</v>
      </c>
      <c r="K46" s="94"/>
      <c r="L46" s="93">
        <f>ROUND(H46*S50,2)</f>
        <v>26.25</v>
      </c>
      <c r="M46" s="119">
        <f>L46*E46</f>
        <v>52946.25</v>
      </c>
      <c r="N46" s="119">
        <f>M46-I46</f>
        <v>2017</v>
      </c>
      <c r="O46" s="94">
        <f>IF(I46=0,0,N46/I46)</f>
        <v>3.9603960396039604E-2</v>
      </c>
      <c r="P46" s="94">
        <f>M46/M$50</f>
        <v>4.8344612507090087E-2</v>
      </c>
      <c r="Q46" s="120">
        <f>P46-J46</f>
        <v>-3.0533226267476232E-7</v>
      </c>
      <c r="R46" s="120"/>
      <c r="W46" s="81"/>
    </row>
    <row r="47" spans="1:23" x14ac:dyDescent="0.25">
      <c r="A47" s="117">
        <f>A44+1</f>
        <v>39</v>
      </c>
      <c r="D47" s="88" t="s">
        <v>73</v>
      </c>
      <c r="E47" s="99">
        <v>3425696</v>
      </c>
      <c r="F47" s="107">
        <v>8.9510000000000006E-2</v>
      </c>
      <c r="G47" s="119">
        <f t="shared" ref="G47" si="44">F47*E47</f>
        <v>306634.04896000004</v>
      </c>
      <c r="H47" s="107">
        <v>8.7919999999999998E-2</v>
      </c>
      <c r="I47" s="119">
        <f t="shared" ref="I47" si="45">H47*E47</f>
        <v>301187.19231999997</v>
      </c>
      <c r="J47" s="94">
        <f>I47/I50</f>
        <v>0.28590387777113813</v>
      </c>
      <c r="K47" s="94"/>
      <c r="L47" s="121">
        <f>ROUND(H47*S50,5)</f>
        <v>9.1389999999999999E-2</v>
      </c>
      <c r="M47" s="119">
        <f t="shared" ref="M47" si="46">L47*E47</f>
        <v>313074.35743999999</v>
      </c>
      <c r="N47" s="119">
        <f t="shared" ref="N47" si="47">M47-I47</f>
        <v>11887.16512000002</v>
      </c>
      <c r="O47" s="94">
        <f t="shared" ref="O47" si="48">IF(I47=0,0,N47/I47)</f>
        <v>3.9467697907188425E-2</v>
      </c>
      <c r="P47" s="94">
        <f>M47/M$50</f>
        <v>0.28586459846245987</v>
      </c>
      <c r="Q47" s="120">
        <f t="shared" ref="Q47" si="49">P47-J47</f>
        <v>-3.92793086782528E-5</v>
      </c>
      <c r="R47" s="120"/>
      <c r="T47" s="4">
        <f>L47/H47-1</f>
        <v>3.9467697907188404E-2</v>
      </c>
      <c r="W47" s="81"/>
    </row>
    <row r="48" spans="1:23" x14ac:dyDescent="0.25">
      <c r="A48" s="117">
        <f>A45+1</f>
        <v>40</v>
      </c>
      <c r="D48" s="88" t="s">
        <v>74</v>
      </c>
      <c r="E48" s="99">
        <v>6466860</v>
      </c>
      <c r="F48" s="107">
        <v>8.5900000000000004E-2</v>
      </c>
      <c r="G48" s="119">
        <f t="shared" ref="G48" si="50">F48*E48</f>
        <v>555503.27399999998</v>
      </c>
      <c r="H48" s="107">
        <v>8.4309999999999996E-2</v>
      </c>
      <c r="I48" s="119">
        <f t="shared" ref="I48" si="51">H48*E48</f>
        <v>545220.96659999993</v>
      </c>
      <c r="J48" s="94">
        <f>I48/I50</f>
        <v>0.51755450619377852</v>
      </c>
      <c r="K48" s="94"/>
      <c r="L48" s="121">
        <f>ROUND(H48*S50,5)</f>
        <v>8.7639999999999996E-2</v>
      </c>
      <c r="M48" s="119">
        <f t="shared" ref="M48" si="52">L48*E48</f>
        <v>566755.61040000001</v>
      </c>
      <c r="N48" s="119">
        <f t="shared" ref="N48" si="53">M48-I48</f>
        <v>21534.643800000078</v>
      </c>
      <c r="O48" s="94">
        <f t="shared" ref="O48" si="54">IF(I48=0,0,N48/I48)</f>
        <v>3.9497094057644559E-2</v>
      </c>
      <c r="P48" s="94">
        <f>M48/M$50</f>
        <v>0.5174980356683867</v>
      </c>
      <c r="Q48" s="120">
        <f t="shared" ref="Q48" si="55">P48-J48</f>
        <v>-5.6470525391816295E-5</v>
      </c>
      <c r="R48" s="120"/>
      <c r="T48" s="4">
        <f>L48/H48-1</f>
        <v>3.9497094057644455E-2</v>
      </c>
      <c r="W48" s="81"/>
    </row>
    <row r="49" spans="1:23" x14ac:dyDescent="0.25">
      <c r="A49" s="117">
        <f>A46+1</f>
        <v>41</v>
      </c>
      <c r="D49" s="88" t="s">
        <v>53</v>
      </c>
      <c r="E49" s="99">
        <v>36994.957345971568</v>
      </c>
      <c r="F49" s="93">
        <v>4.22</v>
      </c>
      <c r="G49" s="119">
        <f t="shared" ref="G49" si="56">F49*E49</f>
        <v>156118.72</v>
      </c>
      <c r="H49" s="93">
        <v>4.22</v>
      </c>
      <c r="I49" s="119">
        <f t="shared" ref="I49" si="57">H49*E49</f>
        <v>156118.72</v>
      </c>
      <c r="J49" s="94">
        <f>I49/I50</f>
        <v>0.14819669819573073</v>
      </c>
      <c r="K49" s="94"/>
      <c r="L49" s="93">
        <f>ROUND(H49*S50,2)</f>
        <v>4.3899999999999997</v>
      </c>
      <c r="M49" s="119">
        <f t="shared" ref="M49" si="58">L49*E49</f>
        <v>162407.86274881518</v>
      </c>
      <c r="N49" s="119">
        <f t="shared" ref="N49" si="59">M49-I49</f>
        <v>6289.1427488151821</v>
      </c>
      <c r="O49" s="94">
        <f t="shared" ref="O49" si="60">IF(I49=0,0,N49/I49)</f>
        <v>4.0284360189573563E-2</v>
      </c>
      <c r="P49" s="94">
        <f>M49/M$50</f>
        <v>0.14829275336206324</v>
      </c>
      <c r="Q49" s="120">
        <f t="shared" ref="Q49" si="61">P49-J49</f>
        <v>9.6055166332514874E-5</v>
      </c>
      <c r="R49" s="120"/>
      <c r="T49" s="4">
        <f>L49/H49-1</f>
        <v>4.0284360189573487E-2</v>
      </c>
      <c r="W49" s="81"/>
    </row>
    <row r="50" spans="1:23" s="5" customFormat="1" ht="20.399999999999999" customHeight="1" x14ac:dyDescent="0.25">
      <c r="A50" s="117">
        <f t="shared" si="1"/>
        <v>42</v>
      </c>
      <c r="B50" s="110"/>
      <c r="C50" s="102"/>
      <c r="D50" s="103" t="s">
        <v>6</v>
      </c>
      <c r="E50" s="103"/>
      <c r="F50" s="103"/>
      <c r="G50" s="11">
        <f>SUM(G46:G49)</f>
        <v>1069790.3929600001</v>
      </c>
      <c r="H50" s="103"/>
      <c r="I50" s="11">
        <f>SUM(I46:I49)</f>
        <v>1053456.1289199998</v>
      </c>
      <c r="J50" s="122">
        <f>SUM(J46:J49)</f>
        <v>1.0000000000000002</v>
      </c>
      <c r="K50" s="95">
        <f>I50+Summary!I11</f>
        <v>1095034.7689199997</v>
      </c>
      <c r="L50" s="103"/>
      <c r="M50" s="11">
        <f>SUM(M46:M49)</f>
        <v>1095184.0805888153</v>
      </c>
      <c r="N50" s="11">
        <f>SUM(N46:N49)</f>
        <v>41727.95166881528</v>
      </c>
      <c r="O50" s="122">
        <f t="shared" ref="O50" si="62">N50/I50</f>
        <v>3.9610526269940313E-2</v>
      </c>
      <c r="P50" s="122">
        <f>SUM(P46:P49)</f>
        <v>1</v>
      </c>
      <c r="Q50" s="123">
        <f t="shared" ref="Q50" si="63">P50-J50</f>
        <v>0</v>
      </c>
      <c r="R50" s="124">
        <f>M50-K50</f>
        <v>149.31166881555691</v>
      </c>
      <c r="S50" s="56">
        <f>K50/I50</f>
        <v>1.0394687912088245</v>
      </c>
      <c r="W50" s="2"/>
    </row>
    <row r="51" spans="1:23" x14ac:dyDescent="0.25">
      <c r="A51" s="117">
        <f t="shared" si="1"/>
        <v>43</v>
      </c>
      <c r="D51" s="88" t="s">
        <v>29</v>
      </c>
      <c r="G51" s="119">
        <v>-43046.119999999995</v>
      </c>
      <c r="I51" s="96">
        <f>G51+(0.0016*(E47+E48))</f>
        <v>-27218.030399999996</v>
      </c>
      <c r="K51" s="96"/>
      <c r="M51" s="119">
        <f>I51</f>
        <v>-27218.030399999996</v>
      </c>
      <c r="N51" s="119">
        <f t="shared" ref="N51:N57" si="64">M51-I51</f>
        <v>0</v>
      </c>
      <c r="O51" s="93">
        <v>0</v>
      </c>
    </row>
    <row r="52" spans="1:23" x14ac:dyDescent="0.25">
      <c r="A52" s="117">
        <f t="shared" si="1"/>
        <v>44</v>
      </c>
      <c r="D52" s="88" t="s">
        <v>30</v>
      </c>
      <c r="G52" s="119">
        <v>110474.38</v>
      </c>
      <c r="I52" s="96">
        <f t="shared" ref="I52:I54" si="65">G52</f>
        <v>110474.38</v>
      </c>
      <c r="M52" s="119">
        <f t="shared" ref="M52:M54" si="66">I52</f>
        <v>110474.38</v>
      </c>
      <c r="N52" s="119">
        <f t="shared" si="64"/>
        <v>0</v>
      </c>
      <c r="O52" s="93">
        <v>0</v>
      </c>
    </row>
    <row r="53" spans="1:23" x14ac:dyDescent="0.25">
      <c r="A53" s="117">
        <f t="shared" si="1"/>
        <v>45</v>
      </c>
      <c r="D53" s="88" t="s">
        <v>32</v>
      </c>
      <c r="G53" s="119">
        <v>37072.080000000002</v>
      </c>
      <c r="I53" s="96">
        <f t="shared" si="65"/>
        <v>37072.080000000002</v>
      </c>
      <c r="M53" s="119">
        <f t="shared" si="66"/>
        <v>37072.080000000002</v>
      </c>
      <c r="N53" s="119">
        <f t="shared" si="64"/>
        <v>0</v>
      </c>
      <c r="O53" s="93">
        <v>0</v>
      </c>
    </row>
    <row r="54" spans="1:23" x14ac:dyDescent="0.25">
      <c r="A54" s="117">
        <f t="shared" si="1"/>
        <v>46</v>
      </c>
      <c r="D54" s="88" t="s">
        <v>42</v>
      </c>
      <c r="G54" s="119">
        <v>0</v>
      </c>
      <c r="I54" s="96">
        <f t="shared" si="65"/>
        <v>0</v>
      </c>
      <c r="M54" s="119">
        <f t="shared" si="66"/>
        <v>0</v>
      </c>
      <c r="N54" s="119"/>
      <c r="O54" s="93"/>
    </row>
    <row r="55" spans="1:23" x14ac:dyDescent="0.25">
      <c r="A55" s="117">
        <f t="shared" si="1"/>
        <v>47</v>
      </c>
      <c r="D55" s="97" t="s">
        <v>8</v>
      </c>
      <c r="E55" s="97"/>
      <c r="F55" s="97"/>
      <c r="G55" s="126">
        <f>SUM(G51:G54)</f>
        <v>104500.34000000001</v>
      </c>
      <c r="H55" s="97"/>
      <c r="I55" s="126">
        <f>SUM(I51:I54)</f>
        <v>120328.42960000002</v>
      </c>
      <c r="J55" s="97"/>
      <c r="K55" s="97"/>
      <c r="L55" s="97"/>
      <c r="M55" s="126">
        <f>SUM(M51:M54)</f>
        <v>120328.42960000002</v>
      </c>
      <c r="N55" s="126">
        <f t="shared" si="64"/>
        <v>0</v>
      </c>
      <c r="O55" s="127">
        <f t="shared" ref="O55" si="67">N55-J55</f>
        <v>0</v>
      </c>
    </row>
    <row r="56" spans="1:23" s="5" customFormat="1" ht="26.4" customHeight="1" thickBot="1" x14ac:dyDescent="0.3">
      <c r="A56" s="117">
        <f t="shared" si="1"/>
        <v>48</v>
      </c>
      <c r="B56" s="110"/>
      <c r="C56" s="102"/>
      <c r="D56" s="98" t="s">
        <v>19</v>
      </c>
      <c r="E56" s="98"/>
      <c r="F56" s="98"/>
      <c r="G56" s="128">
        <f>G50+G55</f>
        <v>1174290.7329600002</v>
      </c>
      <c r="H56" s="98"/>
      <c r="I56" s="129">
        <f>I55+I50</f>
        <v>1173784.5585199997</v>
      </c>
      <c r="J56" s="98"/>
      <c r="K56" s="98"/>
      <c r="L56" s="98"/>
      <c r="M56" s="128">
        <f>M55+M50</f>
        <v>1215512.5101888152</v>
      </c>
      <c r="N56" s="128">
        <f t="shared" si="64"/>
        <v>41727.951668815454</v>
      </c>
      <c r="O56" s="130">
        <f>N56/I56</f>
        <v>3.5549923847549458E-2</v>
      </c>
      <c r="P56" s="88"/>
      <c r="Q56" s="88"/>
      <c r="R56" s="88"/>
    </row>
    <row r="57" spans="1:23" ht="13.8" thickTop="1" x14ac:dyDescent="0.25">
      <c r="A57" s="117">
        <f t="shared" si="1"/>
        <v>49</v>
      </c>
      <c r="D57" s="88" t="s">
        <v>18</v>
      </c>
      <c r="E57" s="93">
        <f>(E47+E48)/E46</f>
        <v>4904.5889935547839</v>
      </c>
      <c r="G57" s="131">
        <f>G56/E46</f>
        <v>582.19669457610325</v>
      </c>
      <c r="I57" s="131">
        <f>I56/E46</f>
        <v>581.9457404660385</v>
      </c>
      <c r="M57" s="131">
        <f>M56/E46</f>
        <v>602.63386722301198</v>
      </c>
      <c r="N57" s="131">
        <f t="shared" si="64"/>
        <v>20.688126756973475</v>
      </c>
      <c r="O57" s="94">
        <f>N57/I57</f>
        <v>3.55499238475495E-2</v>
      </c>
    </row>
    <row r="58" spans="1:23" ht="13.8" thickBot="1" x14ac:dyDescent="0.3">
      <c r="A58" s="117">
        <f t="shared" si="1"/>
        <v>50</v>
      </c>
    </row>
    <row r="59" spans="1:23" x14ac:dyDescent="0.25">
      <c r="A59" s="117">
        <f t="shared" si="1"/>
        <v>51</v>
      </c>
      <c r="B59" s="138" t="s">
        <v>76</v>
      </c>
      <c r="C59" s="118" t="s">
        <v>77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1:23" x14ac:dyDescent="0.25">
      <c r="A60" s="117">
        <f t="shared" si="1"/>
        <v>52</v>
      </c>
      <c r="B60" s="139"/>
      <c r="C60" s="88"/>
      <c r="D60" s="88" t="s">
        <v>17</v>
      </c>
      <c r="E60" s="99">
        <v>260</v>
      </c>
      <c r="F60" s="93">
        <v>9.9</v>
      </c>
      <c r="G60" s="119">
        <f>F60*E60</f>
        <v>2574</v>
      </c>
      <c r="H60" s="93">
        <v>9.9</v>
      </c>
      <c r="I60" s="119">
        <f>H60*E60</f>
        <v>2574</v>
      </c>
      <c r="J60" s="94">
        <f>I60/I64</f>
        <v>0.7164731683442781</v>
      </c>
      <c r="K60" s="94"/>
      <c r="L60" s="93">
        <f>ROUND(H60*S64,2)</f>
        <v>10.29</v>
      </c>
      <c r="M60" s="119">
        <f>L60*E60</f>
        <v>2675.3999999999996</v>
      </c>
      <c r="N60" s="119">
        <f>M60-I60</f>
        <v>101.39999999999964</v>
      </c>
      <c r="O60" s="94">
        <f>IF(I60=0,0,N60/I60)</f>
        <v>3.9393939393939252E-2</v>
      </c>
      <c r="P60" s="94">
        <f>M60/M$64</f>
        <v>0.71645456377526828</v>
      </c>
      <c r="Q60" s="120">
        <f>P60-J60</f>
        <v>-1.8604569009816885E-5</v>
      </c>
      <c r="R60" s="120"/>
      <c r="T60" s="4"/>
      <c r="W60" s="81"/>
    </row>
    <row r="61" spans="1:23" x14ac:dyDescent="0.25">
      <c r="A61" s="117">
        <f>A58+1</f>
        <v>51</v>
      </c>
      <c r="D61" s="88" t="s">
        <v>78</v>
      </c>
      <c r="E61" s="99">
        <v>9535</v>
      </c>
      <c r="F61" s="107">
        <v>8.5930000000000006E-2</v>
      </c>
      <c r="G61" s="119">
        <f t="shared" ref="G61" si="68">F61*E61</f>
        <v>819.34255000000007</v>
      </c>
      <c r="H61" s="107">
        <v>8.4339999999999998E-2</v>
      </c>
      <c r="I61" s="119">
        <f t="shared" ref="I61" si="69">H61*E61</f>
        <v>804.18189999999993</v>
      </c>
      <c r="J61" s="94">
        <f>I61/I64</f>
        <v>0.22384411570245585</v>
      </c>
      <c r="K61" s="94"/>
      <c r="L61" s="121">
        <f>ROUND(H61*S64,5)</f>
        <v>8.7669999999999998E-2</v>
      </c>
      <c r="M61" s="119">
        <f t="shared" ref="M61" si="70">L61*E61</f>
        <v>835.93344999999999</v>
      </c>
      <c r="N61" s="119">
        <f t="shared" ref="N61" si="71">M61-I61</f>
        <v>31.751550000000066</v>
      </c>
      <c r="O61" s="94">
        <f t="shared" ref="O61" si="72">IF(I61=0,0,N61/I61)</f>
        <v>3.9483044818591502E-2</v>
      </c>
      <c r="P61" s="94">
        <f>M61/M$64</f>
        <v>0.22385749243660955</v>
      </c>
      <c r="Q61" s="120">
        <f t="shared" ref="Q61" si="73">P61-J61</f>
        <v>1.3376734153691672E-5</v>
      </c>
      <c r="R61" s="120"/>
      <c r="T61" s="4">
        <f>L61/H61-1</f>
        <v>3.948304481859144E-2</v>
      </c>
      <c r="W61" s="81"/>
    </row>
    <row r="62" spans="1:23" x14ac:dyDescent="0.25">
      <c r="A62" s="117">
        <f>A59+1</f>
        <v>52</v>
      </c>
      <c r="D62" s="88" t="s">
        <v>79</v>
      </c>
      <c r="E62" s="99">
        <v>2400</v>
      </c>
      <c r="F62" s="107">
        <v>9.0929999999999997E-2</v>
      </c>
      <c r="G62" s="119">
        <f t="shared" ref="G62" si="74">F62*E62</f>
        <v>218.232</v>
      </c>
      <c r="H62" s="107">
        <v>8.9340000000000003E-2</v>
      </c>
      <c r="I62" s="119">
        <f t="shared" ref="I62" si="75">H62*E62</f>
        <v>214.416</v>
      </c>
      <c r="J62" s="94">
        <f>I62/I64</f>
        <v>5.9682715953266012E-2</v>
      </c>
      <c r="K62" s="94"/>
      <c r="L62" s="121">
        <f>ROUND(H62*S64,5)</f>
        <v>9.2869999999999994E-2</v>
      </c>
      <c r="M62" s="119">
        <f t="shared" ref="M62" si="76">L62*E62</f>
        <v>222.88799999999998</v>
      </c>
      <c r="N62" s="119">
        <f t="shared" ref="N62" si="77">M62-I62</f>
        <v>8.47199999999998</v>
      </c>
      <c r="O62" s="94">
        <f t="shared" ref="O62" si="78">IF(I62=0,0,N62/I62)</f>
        <v>3.9511976718155269E-2</v>
      </c>
      <c r="P62" s="94">
        <f>M62/M$64</f>
        <v>5.9687943788122151E-2</v>
      </c>
      <c r="Q62" s="120">
        <f t="shared" ref="Q62" si="79">P62-J62</f>
        <v>5.2278348561390908E-6</v>
      </c>
      <c r="R62" s="120"/>
      <c r="T62" s="4">
        <f>L62/H62-1</f>
        <v>3.9511976718155317E-2</v>
      </c>
      <c r="W62" s="81"/>
    </row>
    <row r="63" spans="1:23" x14ac:dyDescent="0.25">
      <c r="A63" s="117">
        <f>A60+1</f>
        <v>53</v>
      </c>
      <c r="D63" s="88" t="s">
        <v>80</v>
      </c>
      <c r="E63" s="99">
        <v>0</v>
      </c>
      <c r="F63" s="107">
        <v>9.5930000000000001E-2</v>
      </c>
      <c r="G63" s="119">
        <f t="shared" ref="G63" si="80">F63*E63</f>
        <v>0</v>
      </c>
      <c r="H63" s="107">
        <v>9.4339999999999993E-2</v>
      </c>
      <c r="I63" s="119">
        <f t="shared" ref="I63" si="81">H63*E63</f>
        <v>0</v>
      </c>
      <c r="J63" s="94">
        <f>I63/I64</f>
        <v>0</v>
      </c>
      <c r="K63" s="94"/>
      <c r="L63" s="121">
        <f>ROUND(H63*S64,5)</f>
        <v>9.8059999999999994E-2</v>
      </c>
      <c r="M63" s="119">
        <f t="shared" ref="M63" si="82">L63*E63</f>
        <v>0</v>
      </c>
      <c r="N63" s="119">
        <f t="shared" ref="N63" si="83">M63-I63</f>
        <v>0</v>
      </c>
      <c r="O63" s="94">
        <f t="shared" ref="O63" si="84">IF(I63=0,0,N63/I63)</f>
        <v>0</v>
      </c>
      <c r="P63" s="94">
        <f>M63/M$64</f>
        <v>0</v>
      </c>
      <c r="Q63" s="120">
        <f t="shared" ref="Q63" si="85">P63-J63</f>
        <v>0</v>
      </c>
      <c r="R63" s="120"/>
      <c r="T63" s="4">
        <f>L63/H63-1</f>
        <v>3.9431842272630968E-2</v>
      </c>
      <c r="W63" s="81"/>
    </row>
    <row r="64" spans="1:23" s="5" customFormat="1" ht="20.399999999999999" customHeight="1" x14ac:dyDescent="0.3">
      <c r="A64" s="117">
        <f t="shared" si="1"/>
        <v>54</v>
      </c>
      <c r="B64" s="110"/>
      <c r="C64" s="102"/>
      <c r="D64" s="103" t="s">
        <v>6</v>
      </c>
      <c r="E64" s="103"/>
      <c r="F64" s="103"/>
      <c r="G64" s="11">
        <f>SUM(G60:G63)</f>
        <v>3611.5745500000003</v>
      </c>
      <c r="H64" s="103"/>
      <c r="I64" s="11">
        <f>SUM(I60:I63)</f>
        <v>3592.5979000000002</v>
      </c>
      <c r="J64" s="122">
        <f>SUM(J60:J63)</f>
        <v>1</v>
      </c>
      <c r="K64" s="95">
        <f>I64+Summary!I12</f>
        <v>3734.3979000000004</v>
      </c>
      <c r="L64" s="103"/>
      <c r="M64" s="11">
        <f>SUM(M60:M63)</f>
        <v>3734.2214499999995</v>
      </c>
      <c r="N64" s="11">
        <f>SUM(N60:N63)</f>
        <v>141.62354999999968</v>
      </c>
      <c r="O64" s="122">
        <f t="shared" ref="O64" si="86">N64/I64</f>
        <v>3.9420929907017892E-2</v>
      </c>
      <c r="P64" s="122">
        <f>SUM(P60:P63)</f>
        <v>1</v>
      </c>
      <c r="Q64" s="123">
        <f t="shared" ref="Q64" si="87">P64-J64</f>
        <v>0</v>
      </c>
      <c r="R64" s="124">
        <f>M64-K64</f>
        <v>-0.1764500000008411</v>
      </c>
      <c r="S64" s="56">
        <f>K64/I64</f>
        <v>1.0394700447829133</v>
      </c>
    </row>
    <row r="65" spans="1:23" x14ac:dyDescent="0.25">
      <c r="A65" s="117">
        <f t="shared" si="1"/>
        <v>55</v>
      </c>
      <c r="D65" s="88" t="s">
        <v>29</v>
      </c>
      <c r="G65" s="119">
        <v>-74.550000000000011</v>
      </c>
      <c r="I65" s="96">
        <f>G65+(0.0016*(E61+E62+E63))</f>
        <v>-55.454000000000008</v>
      </c>
      <c r="K65" s="96"/>
      <c r="M65" s="119">
        <f>I65</f>
        <v>-55.454000000000008</v>
      </c>
      <c r="N65" s="119">
        <f t="shared" ref="N65:N71" si="88">M65-I65</f>
        <v>0</v>
      </c>
      <c r="O65" s="93">
        <v>0</v>
      </c>
    </row>
    <row r="66" spans="1:23" x14ac:dyDescent="0.25">
      <c r="A66" s="117">
        <f t="shared" si="1"/>
        <v>56</v>
      </c>
      <c r="D66" s="88" t="s">
        <v>30</v>
      </c>
      <c r="G66" s="119">
        <v>474.14</v>
      </c>
      <c r="I66" s="96">
        <f t="shared" ref="I66:I68" si="89">G66</f>
        <v>474.14</v>
      </c>
      <c r="M66" s="119">
        <f t="shared" ref="M66:M68" si="90">I66</f>
        <v>474.14</v>
      </c>
      <c r="N66" s="119">
        <f t="shared" si="88"/>
        <v>0</v>
      </c>
      <c r="O66" s="93">
        <v>0</v>
      </c>
    </row>
    <row r="67" spans="1:23" x14ac:dyDescent="0.25">
      <c r="A67" s="117">
        <f t="shared" si="1"/>
        <v>57</v>
      </c>
      <c r="D67" s="88" t="s">
        <v>32</v>
      </c>
      <c r="G67" s="119">
        <v>0</v>
      </c>
      <c r="I67" s="96">
        <f t="shared" si="89"/>
        <v>0</v>
      </c>
      <c r="M67" s="119">
        <f t="shared" si="90"/>
        <v>0</v>
      </c>
      <c r="N67" s="119">
        <f t="shared" si="88"/>
        <v>0</v>
      </c>
      <c r="O67" s="93">
        <v>0</v>
      </c>
    </row>
    <row r="68" spans="1:23" x14ac:dyDescent="0.25">
      <c r="A68" s="117">
        <f t="shared" si="1"/>
        <v>58</v>
      </c>
      <c r="D68" s="88" t="s">
        <v>42</v>
      </c>
      <c r="G68" s="119">
        <v>0</v>
      </c>
      <c r="I68" s="96">
        <f t="shared" si="89"/>
        <v>0</v>
      </c>
      <c r="M68" s="119">
        <f t="shared" si="90"/>
        <v>0</v>
      </c>
      <c r="N68" s="119"/>
      <c r="O68" s="93"/>
    </row>
    <row r="69" spans="1:23" x14ac:dyDescent="0.25">
      <c r="A69" s="117">
        <f t="shared" si="1"/>
        <v>59</v>
      </c>
      <c r="D69" s="97" t="s">
        <v>8</v>
      </c>
      <c r="E69" s="97"/>
      <c r="F69" s="97"/>
      <c r="G69" s="126">
        <f>SUM(G65:G68)</f>
        <v>399.59</v>
      </c>
      <c r="H69" s="97"/>
      <c r="I69" s="126">
        <f>SUM(I65:I68)</f>
        <v>418.68599999999998</v>
      </c>
      <c r="J69" s="97"/>
      <c r="K69" s="97"/>
      <c r="L69" s="97"/>
      <c r="M69" s="126">
        <f>SUM(M65:M68)</f>
        <v>418.68599999999998</v>
      </c>
      <c r="N69" s="126">
        <f t="shared" si="88"/>
        <v>0</v>
      </c>
      <c r="O69" s="127">
        <f t="shared" ref="O69" si="91">N69-J69</f>
        <v>0</v>
      </c>
    </row>
    <row r="70" spans="1:23" s="5" customFormat="1" ht="26.4" customHeight="1" thickBot="1" x14ac:dyDescent="0.3">
      <c r="A70" s="117">
        <f t="shared" si="1"/>
        <v>60</v>
      </c>
      <c r="B70" s="110"/>
      <c r="C70" s="102"/>
      <c r="D70" s="98" t="s">
        <v>19</v>
      </c>
      <c r="E70" s="98"/>
      <c r="F70" s="98"/>
      <c r="G70" s="128">
        <f>G64+G69</f>
        <v>4011.1645500000004</v>
      </c>
      <c r="H70" s="98"/>
      <c r="I70" s="129">
        <f>I69+I64</f>
        <v>4011.2839000000004</v>
      </c>
      <c r="J70" s="98"/>
      <c r="K70" s="98"/>
      <c r="L70" s="98"/>
      <c r="M70" s="128">
        <f>M69+M64</f>
        <v>4152.9074499999997</v>
      </c>
      <c r="N70" s="128">
        <f t="shared" si="88"/>
        <v>141.62354999999934</v>
      </c>
      <c r="O70" s="130">
        <f>N70/I70</f>
        <v>3.5306289340427718E-2</v>
      </c>
      <c r="P70" s="88"/>
      <c r="Q70" s="88"/>
      <c r="R70" s="88"/>
    </row>
    <row r="71" spans="1:23" ht="13.8" thickTop="1" x14ac:dyDescent="0.25">
      <c r="A71" s="117">
        <f t="shared" si="1"/>
        <v>61</v>
      </c>
      <c r="D71" s="88" t="s">
        <v>18</v>
      </c>
      <c r="E71" s="93">
        <f>(E61+E62+E63)/E60</f>
        <v>45.903846153846153</v>
      </c>
      <c r="G71" s="131">
        <f>G70/E60</f>
        <v>15.427555961538463</v>
      </c>
      <c r="I71" s="131">
        <f>I70/E60</f>
        <v>15.428015000000002</v>
      </c>
      <c r="M71" s="131">
        <f>M70/E60</f>
        <v>15.97272096153846</v>
      </c>
      <c r="N71" s="131">
        <f t="shared" si="88"/>
        <v>0.54470596153845818</v>
      </c>
      <c r="O71" s="94">
        <f>N71/I71</f>
        <v>3.5306289340427663E-2</v>
      </c>
    </row>
    <row r="72" spans="1:23" ht="13.8" thickBot="1" x14ac:dyDescent="0.3">
      <c r="A72" s="117">
        <f t="shared" si="1"/>
        <v>62</v>
      </c>
    </row>
    <row r="73" spans="1:23" x14ac:dyDescent="0.25">
      <c r="A73" s="117">
        <f t="shared" si="1"/>
        <v>63</v>
      </c>
      <c r="B73" s="138" t="s">
        <v>81</v>
      </c>
      <c r="C73" s="118" t="s">
        <v>82</v>
      </c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</row>
    <row r="74" spans="1:23" x14ac:dyDescent="0.25">
      <c r="A74" s="117">
        <f t="shared" si="1"/>
        <v>64</v>
      </c>
      <c r="B74" s="139"/>
      <c r="C74" s="88"/>
      <c r="D74" s="88" t="s">
        <v>17</v>
      </c>
      <c r="E74" s="99">
        <v>512</v>
      </c>
      <c r="F74" s="93">
        <v>45</v>
      </c>
      <c r="G74" s="119">
        <f>F74*E74</f>
        <v>23040</v>
      </c>
      <c r="H74" s="93">
        <v>45</v>
      </c>
      <c r="I74" s="119">
        <f>H74*E74</f>
        <v>23040</v>
      </c>
      <c r="J74" s="94">
        <f>I74/I76</f>
        <v>2.0455173628496599E-2</v>
      </c>
      <c r="K74" s="94"/>
      <c r="L74" s="93">
        <f>ROUND(H74*S76,2)</f>
        <v>46.78</v>
      </c>
      <c r="M74" s="119">
        <f>L74*E74</f>
        <v>23951.360000000001</v>
      </c>
      <c r="N74" s="119">
        <f>M74-I74</f>
        <v>911.36000000000058</v>
      </c>
      <c r="O74" s="94">
        <f>IF(I74=0,0,N74/I74)</f>
        <v>3.955555555555558E-2</v>
      </c>
      <c r="P74" s="94">
        <f>M74/M$76</f>
        <v>2.0456684788686574E-2</v>
      </c>
      <c r="Q74" s="120">
        <f>P74-J74</f>
        <v>1.5111601899750471E-6</v>
      </c>
      <c r="R74" s="120"/>
      <c r="T74" s="4">
        <f>L74/H74-1</f>
        <v>3.9555555555555566E-2</v>
      </c>
      <c r="W74" s="81"/>
    </row>
    <row r="75" spans="1:23" x14ac:dyDescent="0.25">
      <c r="A75" s="117">
        <f t="shared" si="1"/>
        <v>65</v>
      </c>
      <c r="D75" s="88" t="s">
        <v>50</v>
      </c>
      <c r="E75" s="99">
        <v>14567275</v>
      </c>
      <c r="F75" s="107">
        <v>7.7329999999999996E-2</v>
      </c>
      <c r="G75" s="119">
        <f t="shared" ref="G75" si="92">F75*E75</f>
        <v>1126487.3757499999</v>
      </c>
      <c r="H75" s="107">
        <v>7.5740000000000002E-2</v>
      </c>
      <c r="I75" s="119">
        <f t="shared" ref="I75" si="93">H75*E75</f>
        <v>1103325.4085000001</v>
      </c>
      <c r="J75" s="94">
        <f>I75/I76</f>
        <v>0.97954482637150342</v>
      </c>
      <c r="K75" s="94"/>
      <c r="L75" s="121">
        <f>ROUND(H75*S76,5)</f>
        <v>7.8729999999999994E-2</v>
      </c>
      <c r="M75" s="119">
        <f t="shared" ref="M75" si="94">L75*E75</f>
        <v>1146881.5607499999</v>
      </c>
      <c r="N75" s="119">
        <f t="shared" ref="N75" si="95">M75-I75</f>
        <v>43556.15224999981</v>
      </c>
      <c r="O75" s="94">
        <f t="shared" ref="O75" si="96">IF(I75=0,0,N75/I75)</f>
        <v>3.9477158700818415E-2</v>
      </c>
      <c r="P75" s="94">
        <f>M75/M$76</f>
        <v>0.97954331521131333</v>
      </c>
      <c r="Q75" s="120">
        <f t="shared" ref="Q75" si="97">P75-J75</f>
        <v>-1.5111601900930083E-6</v>
      </c>
      <c r="R75" s="120"/>
      <c r="T75" s="4">
        <f>L75/H75-1</f>
        <v>3.9477158700818471E-2</v>
      </c>
      <c r="W75" s="81"/>
    </row>
    <row r="76" spans="1:23" s="5" customFormat="1" ht="20.399999999999999" customHeight="1" x14ac:dyDescent="0.3">
      <c r="A76" s="117">
        <f t="shared" si="1"/>
        <v>66</v>
      </c>
      <c r="B76" s="110"/>
      <c r="C76" s="102"/>
      <c r="D76" s="103" t="s">
        <v>6</v>
      </c>
      <c r="E76" s="103"/>
      <c r="F76" s="103"/>
      <c r="G76" s="11">
        <f>SUM(G74:G75)</f>
        <v>1149527.3757499999</v>
      </c>
      <c r="H76" s="103"/>
      <c r="I76" s="11">
        <f>SUM(I74:I75)</f>
        <v>1126365.4085000001</v>
      </c>
      <c r="J76" s="122">
        <f>SUM(J74:J75)</f>
        <v>1</v>
      </c>
      <c r="K76" s="95">
        <f>I76+Summary!I13</f>
        <v>1170821.6985000002</v>
      </c>
      <c r="L76" s="103"/>
      <c r="M76" s="11">
        <f>SUM(M74:M75)</f>
        <v>1170832.92075</v>
      </c>
      <c r="N76" s="11">
        <f>SUM(N74:N75)</f>
        <v>44467.512249999811</v>
      </c>
      <c r="O76" s="122">
        <f t="shared" ref="O76" si="98">N76/I76</f>
        <v>3.9478762322093991E-2</v>
      </c>
      <c r="P76" s="122">
        <f>SUM(P74:P75)</f>
        <v>0.99999999999999989</v>
      </c>
      <c r="Q76" s="123">
        <f t="shared" ref="Q76" si="99">P76-J76</f>
        <v>0</v>
      </c>
      <c r="R76" s="124">
        <f>M76-K76</f>
        <v>11.222249999875203</v>
      </c>
      <c r="S76" s="5">
        <f>K76/I76</f>
        <v>1.0394687990811111</v>
      </c>
    </row>
    <row r="77" spans="1:23" x14ac:dyDescent="0.25">
      <c r="A77" s="117">
        <f t="shared" ref="A77:A140" si="100">A76+1</f>
        <v>67</v>
      </c>
      <c r="D77" s="88" t="s">
        <v>29</v>
      </c>
      <c r="G77" s="119">
        <v>-63007.08</v>
      </c>
      <c r="I77" s="96">
        <f>G77+(0.0016*E75)</f>
        <v>-39699.440000000002</v>
      </c>
      <c r="K77" s="96"/>
      <c r="M77" s="119">
        <f>I77</f>
        <v>-39699.440000000002</v>
      </c>
      <c r="N77" s="119">
        <f t="shared" ref="N77:N79" si="101">M77-I77</f>
        <v>0</v>
      </c>
      <c r="O77" s="93">
        <v>0</v>
      </c>
    </row>
    <row r="78" spans="1:23" x14ac:dyDescent="0.25">
      <c r="A78" s="117">
        <f t="shared" si="100"/>
        <v>68</v>
      </c>
      <c r="D78" s="88" t="s">
        <v>30</v>
      </c>
      <c r="G78" s="119">
        <v>113704.61999999998</v>
      </c>
      <c r="I78" s="96">
        <f t="shared" ref="I78:I80" si="102">G78</f>
        <v>113704.61999999998</v>
      </c>
      <c r="M78" s="119">
        <f t="shared" ref="M78:M80" si="103">I78</f>
        <v>113704.61999999998</v>
      </c>
      <c r="N78" s="119">
        <f t="shared" si="101"/>
        <v>0</v>
      </c>
      <c r="O78" s="93">
        <v>0</v>
      </c>
    </row>
    <row r="79" spans="1:23" x14ac:dyDescent="0.25">
      <c r="A79" s="117">
        <f t="shared" si="100"/>
        <v>69</v>
      </c>
      <c r="D79" s="88" t="s">
        <v>32</v>
      </c>
      <c r="G79" s="119">
        <v>0</v>
      </c>
      <c r="I79" s="96">
        <f t="shared" si="102"/>
        <v>0</v>
      </c>
      <c r="M79" s="119">
        <f t="shared" si="103"/>
        <v>0</v>
      </c>
      <c r="N79" s="119">
        <f t="shared" si="101"/>
        <v>0</v>
      </c>
      <c r="O79" s="93">
        <v>0</v>
      </c>
    </row>
    <row r="80" spans="1:23" x14ac:dyDescent="0.25">
      <c r="A80" s="117">
        <f t="shared" si="100"/>
        <v>70</v>
      </c>
      <c r="D80" s="88" t="s">
        <v>42</v>
      </c>
      <c r="G80" s="119">
        <v>0</v>
      </c>
      <c r="I80" s="96">
        <f t="shared" si="102"/>
        <v>0</v>
      </c>
      <c r="M80" s="119">
        <f t="shared" si="103"/>
        <v>0</v>
      </c>
      <c r="N80" s="119"/>
      <c r="O80" s="93"/>
    </row>
    <row r="81" spans="1:23" x14ac:dyDescent="0.25">
      <c r="A81" s="117">
        <f t="shared" si="100"/>
        <v>71</v>
      </c>
      <c r="D81" s="97" t="s">
        <v>8</v>
      </c>
      <c r="E81" s="97"/>
      <c r="F81" s="97"/>
      <c r="G81" s="126">
        <f>SUM(G77:G80)</f>
        <v>50697.539999999979</v>
      </c>
      <c r="H81" s="97"/>
      <c r="I81" s="126">
        <f>SUM(I77:I80)</f>
        <v>74005.179999999978</v>
      </c>
      <c r="J81" s="97"/>
      <c r="K81" s="97"/>
      <c r="L81" s="97"/>
      <c r="M81" s="126">
        <f>SUM(M77:M80)</f>
        <v>74005.179999999978</v>
      </c>
      <c r="N81" s="126">
        <f t="shared" ref="N81:N83" si="104">M81-I81</f>
        <v>0</v>
      </c>
      <c r="O81" s="127">
        <f t="shared" ref="O81" si="105">N81-J81</f>
        <v>0</v>
      </c>
    </row>
    <row r="82" spans="1:23" s="5" customFormat="1" ht="26.4" customHeight="1" thickBot="1" x14ac:dyDescent="0.3">
      <c r="A82" s="117">
        <f t="shared" si="100"/>
        <v>72</v>
      </c>
      <c r="B82" s="110"/>
      <c r="C82" s="102"/>
      <c r="D82" s="98" t="s">
        <v>19</v>
      </c>
      <c r="E82" s="98"/>
      <c r="F82" s="98"/>
      <c r="G82" s="128">
        <f>G76+G81</f>
        <v>1200224.9157499999</v>
      </c>
      <c r="H82" s="98"/>
      <c r="I82" s="129">
        <f>I81+I76</f>
        <v>1200370.5885000001</v>
      </c>
      <c r="J82" s="98"/>
      <c r="K82" s="98"/>
      <c r="L82" s="98"/>
      <c r="M82" s="128">
        <f>M81+M76</f>
        <v>1244838.10075</v>
      </c>
      <c r="N82" s="128">
        <f t="shared" si="104"/>
        <v>44467.512249999912</v>
      </c>
      <c r="O82" s="130">
        <f>N82/I82</f>
        <v>3.7044819888137327E-2</v>
      </c>
      <c r="P82" s="88"/>
      <c r="Q82" s="88"/>
      <c r="R82" s="88"/>
    </row>
    <row r="83" spans="1:23" ht="13.8" thickTop="1" x14ac:dyDescent="0.25">
      <c r="A83" s="117">
        <f t="shared" si="100"/>
        <v>73</v>
      </c>
      <c r="D83" s="88" t="s">
        <v>18</v>
      </c>
      <c r="E83" s="93">
        <f>E75/E74</f>
        <v>28451.708984375</v>
      </c>
      <c r="G83" s="131">
        <f>G82/E74</f>
        <v>2344.1892885742186</v>
      </c>
      <c r="I83" s="131">
        <f>I82/E74</f>
        <v>2344.4738056640626</v>
      </c>
      <c r="M83" s="131">
        <f>M82/E74</f>
        <v>2431.3244155273437</v>
      </c>
      <c r="N83" s="131">
        <f t="shared" si="104"/>
        <v>86.850609863281079</v>
      </c>
      <c r="O83" s="94">
        <f>N83/I83</f>
        <v>3.7044819888137327E-2</v>
      </c>
    </row>
    <row r="84" spans="1:23" ht="13.8" thickBot="1" x14ac:dyDescent="0.3">
      <c r="A84" s="117">
        <f t="shared" si="100"/>
        <v>74</v>
      </c>
    </row>
    <row r="85" spans="1:23" x14ac:dyDescent="0.25">
      <c r="A85" s="117">
        <f t="shared" si="100"/>
        <v>75</v>
      </c>
      <c r="B85" s="138" t="s">
        <v>83</v>
      </c>
      <c r="C85" s="118" t="s">
        <v>84</v>
      </c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W85" s="5"/>
    </row>
    <row r="86" spans="1:23" x14ac:dyDescent="0.25">
      <c r="A86" s="117">
        <f t="shared" si="100"/>
        <v>76</v>
      </c>
      <c r="B86" s="139"/>
      <c r="C86" s="88"/>
      <c r="D86" s="88" t="s">
        <v>17</v>
      </c>
      <c r="E86" s="99">
        <v>782</v>
      </c>
      <c r="F86" s="93">
        <v>65</v>
      </c>
      <c r="G86" s="119">
        <f>F86*E86</f>
        <v>50830</v>
      </c>
      <c r="H86" s="93">
        <v>65</v>
      </c>
      <c r="I86" s="119">
        <f>H86*E86</f>
        <v>50830</v>
      </c>
      <c r="J86" s="94">
        <f>IF(I89=0,0,I86/I89)</f>
        <v>8.9470403394932476E-3</v>
      </c>
      <c r="K86" s="94"/>
      <c r="L86" s="93">
        <f>ROUND(H86*S89,2)</f>
        <v>67.569999999999993</v>
      </c>
      <c r="M86" s="119">
        <f>L86*E86</f>
        <v>52839.74</v>
      </c>
      <c r="N86" s="119">
        <f>M86-I86</f>
        <v>2009.739999999998</v>
      </c>
      <c r="O86" s="94">
        <f>IF(I86=0,0,N86/I86)</f>
        <v>3.9538461538461502E-2</v>
      </c>
      <c r="P86" s="94">
        <f>IF(M$89=0,0,M86/M$89)</f>
        <v>8.9473754525509069E-3</v>
      </c>
      <c r="Q86" s="120">
        <f>P86-J86</f>
        <v>3.3511305765933364E-7</v>
      </c>
      <c r="R86" s="120"/>
      <c r="T86" s="4">
        <f t="shared" ref="T86:T88" si="106">L86/H86-1</f>
        <v>3.9538461538461522E-2</v>
      </c>
      <c r="W86" s="82"/>
    </row>
    <row r="87" spans="1:23" x14ac:dyDescent="0.25">
      <c r="A87" s="117">
        <f t="shared" si="100"/>
        <v>77</v>
      </c>
      <c r="D87" s="88" t="s">
        <v>50</v>
      </c>
      <c r="E87" s="99">
        <v>80510446</v>
      </c>
      <c r="F87" s="106">
        <v>5.8290000000000002E-2</v>
      </c>
      <c r="G87" s="119">
        <f t="shared" ref="G87" si="107">F87*E87</f>
        <v>4692953.8973399997</v>
      </c>
      <c r="H87" s="106">
        <v>5.67E-2</v>
      </c>
      <c r="I87" s="119">
        <f t="shared" ref="I87" si="108">H87*E87</f>
        <v>4564942.2882000003</v>
      </c>
      <c r="J87" s="94">
        <f>IF(I90=0,0,I87/I$89)</f>
        <v>0.80351608892354942</v>
      </c>
      <c r="K87" s="94"/>
      <c r="L87" s="121">
        <f>ROUND(H87*S89,5)</f>
        <v>5.8939999999999999E-2</v>
      </c>
      <c r="M87" s="119">
        <f t="shared" ref="M87" si="109">L87*E87</f>
        <v>4745285.6872399999</v>
      </c>
      <c r="N87" s="119">
        <f t="shared" ref="N87:N95" si="110">M87-I87</f>
        <v>180343.39903999958</v>
      </c>
      <c r="O87" s="94">
        <f t="shared" ref="O87" si="111">IF(I87=0,0,N87/I87)</f>
        <v>3.9506172839506082E-2</v>
      </c>
      <c r="P87" s="94">
        <f>IF(M$89=0,0,M87/M$89)</f>
        <v>0.80352122613306454</v>
      </c>
      <c r="Q87" s="120">
        <f t="shared" ref="Q87:Q89" si="112">P87-J87</f>
        <v>5.1372095151158703E-6</v>
      </c>
      <c r="R87" s="120"/>
      <c r="T87" s="4">
        <f t="shared" si="106"/>
        <v>3.9506172839506082E-2</v>
      </c>
      <c r="W87" s="82"/>
    </row>
    <row r="88" spans="1:23" x14ac:dyDescent="0.25">
      <c r="A88" s="117">
        <f t="shared" si="100"/>
        <v>78</v>
      </c>
      <c r="D88" s="88" t="s">
        <v>53</v>
      </c>
      <c r="E88" s="99">
        <v>252472.99289099529</v>
      </c>
      <c r="F88" s="93">
        <v>4.22</v>
      </c>
      <c r="G88" s="119">
        <f t="shared" ref="G88" si="113">F88*E88</f>
        <v>1065436.03</v>
      </c>
      <c r="H88" s="93">
        <v>4.22</v>
      </c>
      <c r="I88" s="119">
        <f t="shared" ref="I88" si="114">H88*E88</f>
        <v>1065436.03</v>
      </c>
      <c r="J88" s="94">
        <f>IF(I91=0,0,I88/I$89)</f>
        <v>0.1875368707369573</v>
      </c>
      <c r="K88" s="94"/>
      <c r="L88" s="93">
        <f>ROUND(H88*S89,5)</f>
        <v>4.3865600000000002</v>
      </c>
      <c r="M88" s="119">
        <f t="shared" ref="M88" si="115">L88*E88</f>
        <v>1107487.9316959244</v>
      </c>
      <c r="N88" s="119">
        <f t="shared" ref="N88" si="116">M88-I88</f>
        <v>42051.901695924345</v>
      </c>
      <c r="O88" s="94">
        <f t="shared" ref="O88" si="117">IF(I88=0,0,N88/I88)</f>
        <v>3.9469194312796371E-2</v>
      </c>
      <c r="P88" s="94">
        <f>IF(M$89=0,0,M88/M$89)</f>
        <v>0.18753139841438451</v>
      </c>
      <c r="Q88" s="120">
        <f t="shared" ref="Q88" si="118">P88-J88</f>
        <v>-5.4723225727804081E-6</v>
      </c>
      <c r="R88" s="120"/>
      <c r="T88" s="4">
        <f t="shared" si="106"/>
        <v>3.9469194312796274E-2</v>
      </c>
      <c r="W88" s="82"/>
    </row>
    <row r="89" spans="1:23" s="5" customFormat="1" ht="20.399999999999999" customHeight="1" x14ac:dyDescent="0.3">
      <c r="A89" s="117">
        <f t="shared" si="100"/>
        <v>79</v>
      </c>
      <c r="B89" s="110"/>
      <c r="C89" s="102"/>
      <c r="D89" s="103" t="s">
        <v>6</v>
      </c>
      <c r="E89" s="103"/>
      <c r="F89" s="103"/>
      <c r="G89" s="11">
        <f>SUM(G86:G88)</f>
        <v>5809219.9273399999</v>
      </c>
      <c r="H89" s="103"/>
      <c r="I89" s="11">
        <f>SUM(I86:I88)</f>
        <v>5681208.3182000006</v>
      </c>
      <c r="J89" s="122">
        <f>SUM(J86:J88)</f>
        <v>1</v>
      </c>
      <c r="K89" s="95">
        <f>I89+Summary!I14</f>
        <v>5905438.7682000007</v>
      </c>
      <c r="L89" s="103"/>
      <c r="M89" s="11">
        <f>SUM(M86:M88)</f>
        <v>5905613.3589359242</v>
      </c>
      <c r="N89" s="11">
        <f>SUM(N86:N88)</f>
        <v>224405.04073592392</v>
      </c>
      <c r="O89" s="122">
        <f>IF(I89=0,0,N89/I89)</f>
        <v>3.9499526890614541E-2</v>
      </c>
      <c r="P89" s="122">
        <f>SUM(P86:P88)</f>
        <v>0.99999999999999989</v>
      </c>
      <c r="Q89" s="123">
        <f t="shared" si="112"/>
        <v>0</v>
      </c>
      <c r="R89" s="124">
        <f>M89-K89</f>
        <v>174.59073592349887</v>
      </c>
      <c r="S89" s="56">
        <f>IF(I89=0,0,K89/I89)</f>
        <v>1.0394687956225206</v>
      </c>
    </row>
    <row r="90" spans="1:23" x14ac:dyDescent="0.25">
      <c r="A90" s="117">
        <f t="shared" si="100"/>
        <v>80</v>
      </c>
      <c r="D90" s="88" t="s">
        <v>29</v>
      </c>
      <c r="G90" s="119">
        <v>-347218.89999999997</v>
      </c>
      <c r="I90" s="96">
        <f>G90+(0.0016*E88)</f>
        <v>-346814.9432113744</v>
      </c>
      <c r="K90" s="96"/>
      <c r="M90" s="119">
        <f>I90</f>
        <v>-346814.9432113744</v>
      </c>
      <c r="N90" s="119">
        <f t="shared" si="110"/>
        <v>0</v>
      </c>
      <c r="O90" s="93">
        <v>0</v>
      </c>
      <c r="W90" s="5"/>
    </row>
    <row r="91" spans="1:23" x14ac:dyDescent="0.25">
      <c r="A91" s="117">
        <f t="shared" si="100"/>
        <v>81</v>
      </c>
      <c r="D91" s="88" t="s">
        <v>30</v>
      </c>
      <c r="G91" s="119">
        <v>594338.12</v>
      </c>
      <c r="I91" s="96">
        <f t="shared" ref="I91:I93" si="119">G91</f>
        <v>594338.12</v>
      </c>
      <c r="M91" s="119">
        <f t="shared" ref="M91:M93" si="120">I91</f>
        <v>594338.12</v>
      </c>
      <c r="N91" s="119">
        <f t="shared" si="110"/>
        <v>0</v>
      </c>
      <c r="O91" s="93">
        <v>0</v>
      </c>
    </row>
    <row r="92" spans="1:23" x14ac:dyDescent="0.25">
      <c r="A92" s="117">
        <f t="shared" si="100"/>
        <v>82</v>
      </c>
      <c r="D92" s="88" t="s">
        <v>32</v>
      </c>
      <c r="G92" s="119">
        <v>9284.7900000000009</v>
      </c>
      <c r="I92" s="96">
        <f t="shared" si="119"/>
        <v>9284.7900000000009</v>
      </c>
      <c r="M92" s="119">
        <f t="shared" si="120"/>
        <v>9284.7900000000009</v>
      </c>
      <c r="N92" s="119">
        <f t="shared" si="110"/>
        <v>0</v>
      </c>
      <c r="O92" s="93">
        <v>0</v>
      </c>
    </row>
    <row r="93" spans="1:23" x14ac:dyDescent="0.25">
      <c r="A93" s="117">
        <f t="shared" si="100"/>
        <v>83</v>
      </c>
      <c r="D93" s="88" t="s">
        <v>42</v>
      </c>
      <c r="G93" s="119">
        <v>0</v>
      </c>
      <c r="I93" s="96">
        <f t="shared" si="119"/>
        <v>0</v>
      </c>
      <c r="M93" s="119">
        <f t="shared" si="120"/>
        <v>0</v>
      </c>
      <c r="N93" s="119"/>
      <c r="O93" s="93"/>
    </row>
    <row r="94" spans="1:23" x14ac:dyDescent="0.25">
      <c r="A94" s="117">
        <f t="shared" si="100"/>
        <v>84</v>
      </c>
      <c r="D94" s="97" t="s">
        <v>8</v>
      </c>
      <c r="E94" s="97"/>
      <c r="F94" s="97"/>
      <c r="G94" s="126">
        <f>SUM(G90:G93)</f>
        <v>256404.01000000004</v>
      </c>
      <c r="H94" s="97"/>
      <c r="I94" s="126">
        <f>SUM(I90:I93)</f>
        <v>256807.96678862561</v>
      </c>
      <c r="J94" s="97"/>
      <c r="K94" s="97"/>
      <c r="L94" s="97"/>
      <c r="M94" s="126">
        <f>SUM(M90:M93)</f>
        <v>256807.96678862561</v>
      </c>
      <c r="N94" s="126">
        <f t="shared" si="110"/>
        <v>0</v>
      </c>
      <c r="O94" s="127">
        <f t="shared" ref="O94" si="121">N94-J94</f>
        <v>0</v>
      </c>
    </row>
    <row r="95" spans="1:23" s="5" customFormat="1" ht="26.4" customHeight="1" thickBot="1" x14ac:dyDescent="0.3">
      <c r="A95" s="117">
        <f t="shared" si="100"/>
        <v>85</v>
      </c>
      <c r="B95" s="110"/>
      <c r="C95" s="102"/>
      <c r="D95" s="98" t="s">
        <v>19</v>
      </c>
      <c r="E95" s="98"/>
      <c r="F95" s="98"/>
      <c r="G95" s="128">
        <f>G89+G94</f>
        <v>6065623.9373399997</v>
      </c>
      <c r="H95" s="98"/>
      <c r="I95" s="129">
        <f>I94+I89</f>
        <v>5938016.2849886259</v>
      </c>
      <c r="J95" s="98"/>
      <c r="K95" s="98"/>
      <c r="L95" s="98"/>
      <c r="M95" s="128">
        <f>M94+M89</f>
        <v>6162421.3257245496</v>
      </c>
      <c r="N95" s="128">
        <f t="shared" si="110"/>
        <v>224405.04073592369</v>
      </c>
      <c r="O95" s="130">
        <f>IF(I95=0,0,N95/I95)</f>
        <v>3.7791247104394479E-2</v>
      </c>
      <c r="P95" s="88"/>
      <c r="Q95" s="88"/>
      <c r="R95" s="88"/>
    </row>
    <row r="96" spans="1:23" ht="13.8" thickTop="1" x14ac:dyDescent="0.25">
      <c r="A96" s="117">
        <f t="shared" si="100"/>
        <v>86</v>
      </c>
      <c r="D96" s="100"/>
      <c r="E96" s="132">
        <f>E87/E86</f>
        <v>102954.53452685422</v>
      </c>
      <c r="F96" s="132"/>
      <c r="G96" s="132">
        <f>G95/E86</f>
        <v>7756.5523495396419</v>
      </c>
      <c r="H96" s="132"/>
      <c r="I96" s="132">
        <f>I95/E86</f>
        <v>7593.371208425353</v>
      </c>
      <c r="J96" s="132"/>
      <c r="K96" s="132"/>
      <c r="L96" s="132"/>
      <c r="M96" s="132">
        <f>M95/E86</f>
        <v>7880.3341761183501</v>
      </c>
      <c r="N96" s="132">
        <f>M96-I96</f>
        <v>286.96296769299715</v>
      </c>
      <c r="O96" s="94">
        <f>N96/I96</f>
        <v>3.7791247104394493E-2</v>
      </c>
      <c r="P96" s="100"/>
      <c r="Q96" s="100"/>
    </row>
    <row r="97" spans="1:20" ht="13.8" thickBot="1" x14ac:dyDescent="0.3">
      <c r="A97" s="117">
        <f t="shared" si="100"/>
        <v>87</v>
      </c>
    </row>
    <row r="98" spans="1:20" x14ac:dyDescent="0.25">
      <c r="A98" s="117">
        <f t="shared" si="100"/>
        <v>88</v>
      </c>
      <c r="B98" s="92" t="s">
        <v>33</v>
      </c>
      <c r="C98" s="118" t="s">
        <v>94</v>
      </c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</row>
    <row r="99" spans="1:20" x14ac:dyDescent="0.25">
      <c r="A99" s="117">
        <f t="shared" si="100"/>
        <v>89</v>
      </c>
      <c r="B99" s="133"/>
      <c r="C99" s="96"/>
      <c r="D99" s="88" t="s">
        <v>100</v>
      </c>
      <c r="E99" s="99">
        <v>60036</v>
      </c>
      <c r="F99" s="93">
        <v>9.14</v>
      </c>
      <c r="G99" s="119">
        <f t="shared" ref="G99:G100" si="122">F99*E99</f>
        <v>548729.04</v>
      </c>
      <c r="H99" s="93">
        <v>9.0299999999999994</v>
      </c>
      <c r="I99" s="119">
        <f t="shared" ref="I99:I100" si="123">H99*E99</f>
        <v>542125.07999999996</v>
      </c>
      <c r="J99" s="94">
        <f t="shared" ref="J99:J110" si="124">I99/I$111</f>
        <v>0.35168595187696533</v>
      </c>
      <c r="K99" s="94"/>
      <c r="L99" s="93">
        <f>ROUND(H99*S$111,2)</f>
        <v>9.39</v>
      </c>
      <c r="M99" s="119">
        <f t="shared" ref="M99:M100" si="125">L99*E99</f>
        <v>563738.04</v>
      </c>
      <c r="N99" s="119">
        <f t="shared" ref="N99:N100" si="126">M99-I99</f>
        <v>21612.960000000079</v>
      </c>
      <c r="O99" s="94">
        <f t="shared" ref="O99:O100" si="127">IF(I99=0,0,N99/I99)</f>
        <v>3.9867109634551645E-2</v>
      </c>
      <c r="P99" s="94">
        <f>M99/M$111</f>
        <v>0.35176794990593324</v>
      </c>
      <c r="Q99" s="120">
        <f t="shared" ref="Q99:Q100" si="128">P99-J99</f>
        <v>8.1998028967911196E-5</v>
      </c>
      <c r="R99" s="120"/>
      <c r="T99" s="4">
        <f>L99/H99-1</f>
        <v>3.9867109634551534E-2</v>
      </c>
    </row>
    <row r="100" spans="1:20" x14ac:dyDescent="0.25">
      <c r="A100" s="117">
        <f>A98+1</f>
        <v>89</v>
      </c>
      <c r="B100" s="133"/>
      <c r="C100" s="96"/>
      <c r="D100" s="88" t="s">
        <v>101</v>
      </c>
      <c r="E100" s="99">
        <v>0</v>
      </c>
      <c r="F100" s="93"/>
      <c r="G100" s="119">
        <f t="shared" si="122"/>
        <v>0</v>
      </c>
      <c r="H100" s="93">
        <v>13.29</v>
      </c>
      <c r="I100" s="119">
        <f t="shared" si="123"/>
        <v>0</v>
      </c>
      <c r="J100" s="94">
        <f t="shared" si="124"/>
        <v>0</v>
      </c>
      <c r="K100" s="94"/>
      <c r="L100" s="93">
        <f>ROUND(H100*S$111,2)</f>
        <v>13.81</v>
      </c>
      <c r="M100" s="119">
        <f t="shared" si="125"/>
        <v>0</v>
      </c>
      <c r="N100" s="119">
        <f t="shared" si="126"/>
        <v>0</v>
      </c>
      <c r="O100" s="94">
        <f t="shared" si="127"/>
        <v>0</v>
      </c>
      <c r="P100" s="94">
        <f t="shared" ref="P100" si="129">M100/M$111</f>
        <v>0</v>
      </c>
      <c r="Q100" s="120">
        <f t="shared" si="128"/>
        <v>0</v>
      </c>
      <c r="R100" s="120"/>
      <c r="T100" s="4">
        <f>L100/H100-1</f>
        <v>3.9127163280662236E-2</v>
      </c>
    </row>
    <row r="101" spans="1:20" x14ac:dyDescent="0.25">
      <c r="A101" s="117">
        <f>A99+1</f>
        <v>90</v>
      </c>
      <c r="B101" s="133"/>
      <c r="C101" s="96"/>
      <c r="D101" s="88" t="s">
        <v>116</v>
      </c>
      <c r="E101" s="99">
        <v>0</v>
      </c>
      <c r="F101" s="93"/>
      <c r="G101" s="119">
        <f t="shared" ref="G101" si="130">F101*E101</f>
        <v>0</v>
      </c>
      <c r="H101" s="93">
        <v>10.23</v>
      </c>
      <c r="I101" s="119">
        <f t="shared" ref="I101" si="131">H101*E101</f>
        <v>0</v>
      </c>
      <c r="J101" s="94">
        <f t="shared" si="124"/>
        <v>0</v>
      </c>
      <c r="K101" s="94"/>
      <c r="L101" s="93">
        <f>H101*S111</f>
        <v>10.633765769516287</v>
      </c>
      <c r="M101" s="119">
        <f t="shared" ref="M101" si="132">L101*E101</f>
        <v>0</v>
      </c>
      <c r="N101" s="119">
        <f t="shared" ref="N101" si="133">M101-I101</f>
        <v>0</v>
      </c>
      <c r="O101" s="94">
        <f t="shared" ref="O101" si="134">IF(I101=0,0,N101/I101)</f>
        <v>0</v>
      </c>
      <c r="P101" s="94">
        <f t="shared" ref="P101" si="135">M101/M$111</f>
        <v>0</v>
      </c>
      <c r="Q101" s="120">
        <f t="shared" ref="Q101" si="136">P101-J101</f>
        <v>0</v>
      </c>
      <c r="R101" s="120"/>
      <c r="T101" s="4">
        <f>L101/H101-1</f>
        <v>3.9468794674123897E-2</v>
      </c>
    </row>
    <row r="102" spans="1:20" x14ac:dyDescent="0.25">
      <c r="A102" s="117">
        <f>A99+1</f>
        <v>90</v>
      </c>
      <c r="B102" s="133"/>
      <c r="C102" s="96"/>
      <c r="D102" s="88" t="s">
        <v>102</v>
      </c>
      <c r="E102" s="99">
        <v>14636</v>
      </c>
      <c r="F102" s="93">
        <v>9.16</v>
      </c>
      <c r="G102" s="119">
        <f t="shared" ref="G102:G105" si="137">F102*E102</f>
        <v>134065.76</v>
      </c>
      <c r="H102" s="93">
        <v>9.0500000000000007</v>
      </c>
      <c r="I102" s="119">
        <f t="shared" ref="I102:I105" si="138">H102*E102</f>
        <v>132455.80000000002</v>
      </c>
      <c r="J102" s="94">
        <f t="shared" si="124"/>
        <v>8.5926377183333708E-2</v>
      </c>
      <c r="K102" s="94"/>
      <c r="L102" s="93">
        <f t="shared" ref="L102:L110" si="139">ROUND(H102*S$111,2)</f>
        <v>9.41</v>
      </c>
      <c r="M102" s="119">
        <f t="shared" ref="M102:M105" si="140">L102*E102</f>
        <v>137724.76</v>
      </c>
      <c r="N102" s="119">
        <f t="shared" ref="N102:N105" si="141">M102-I102</f>
        <v>5268.9599999999919</v>
      </c>
      <c r="O102" s="94">
        <f t="shared" ref="O102:O105" si="142">IF(I102=0,0,N102/I102)</f>
        <v>3.9779005524861813E-2</v>
      </c>
      <c r="P102" s="94">
        <f t="shared" ref="P102:P110" si="143">M102/M$111</f>
        <v>8.5939129593750108E-2</v>
      </c>
      <c r="Q102" s="120">
        <f t="shared" ref="Q102:Q105" si="144">P102-J102</f>
        <v>1.2752410416400073E-5</v>
      </c>
      <c r="R102" s="120"/>
      <c r="T102" s="4">
        <f t="shared" ref="T102:T110" si="145">L102/H102-1</f>
        <v>3.977900552486191E-2</v>
      </c>
    </row>
    <row r="103" spans="1:20" x14ac:dyDescent="0.25">
      <c r="A103" s="117">
        <f t="shared" si="100"/>
        <v>91</v>
      </c>
      <c r="B103" s="133"/>
      <c r="C103" s="96"/>
      <c r="D103" s="88" t="s">
        <v>103</v>
      </c>
      <c r="E103" s="99">
        <v>742</v>
      </c>
      <c r="F103" s="93">
        <v>11.15</v>
      </c>
      <c r="G103" s="119">
        <f t="shared" si="137"/>
        <v>8273.3000000000011</v>
      </c>
      <c r="H103" s="93">
        <v>11.04</v>
      </c>
      <c r="I103" s="119">
        <f t="shared" si="138"/>
        <v>8191.6799999999994</v>
      </c>
      <c r="J103" s="94">
        <f t="shared" si="124"/>
        <v>5.314085041539675E-3</v>
      </c>
      <c r="K103" s="94"/>
      <c r="L103" s="93">
        <f t="shared" si="139"/>
        <v>11.48</v>
      </c>
      <c r="M103" s="119">
        <f t="shared" si="140"/>
        <v>8518.16</v>
      </c>
      <c r="N103" s="119">
        <f t="shared" si="141"/>
        <v>326.48000000000047</v>
      </c>
      <c r="O103" s="94">
        <f t="shared" si="142"/>
        <v>3.9855072463768175E-2</v>
      </c>
      <c r="P103" s="94">
        <f t="shared" si="143"/>
        <v>5.3152625289766223E-3</v>
      </c>
      <c r="Q103" s="120">
        <f t="shared" si="144"/>
        <v>1.1774874369473512E-6</v>
      </c>
      <c r="R103" s="120"/>
      <c r="T103" s="4">
        <f t="shared" si="145"/>
        <v>3.9855072463768293E-2</v>
      </c>
    </row>
    <row r="104" spans="1:20" x14ac:dyDescent="0.25">
      <c r="A104" s="117">
        <f t="shared" si="100"/>
        <v>92</v>
      </c>
      <c r="B104" s="133"/>
      <c r="C104" s="96"/>
      <c r="D104" s="88" t="s">
        <v>100</v>
      </c>
      <c r="E104" s="99">
        <v>730</v>
      </c>
      <c r="F104" s="93">
        <v>9.14</v>
      </c>
      <c r="G104" s="119">
        <f t="shared" si="137"/>
        <v>6672.2000000000007</v>
      </c>
      <c r="H104" s="93">
        <v>9.0299999999999994</v>
      </c>
      <c r="I104" s="119">
        <f t="shared" si="138"/>
        <v>6591.9</v>
      </c>
      <c r="J104" s="94">
        <f t="shared" si="124"/>
        <v>4.2762799798485027E-3</v>
      </c>
      <c r="K104" s="94"/>
      <c r="L104" s="93">
        <f t="shared" si="139"/>
        <v>9.39</v>
      </c>
      <c r="M104" s="119">
        <f t="shared" si="140"/>
        <v>6854.7000000000007</v>
      </c>
      <c r="N104" s="119">
        <f t="shared" si="141"/>
        <v>262.80000000000109</v>
      </c>
      <c r="O104" s="94">
        <f t="shared" si="142"/>
        <v>3.9867109634551666E-2</v>
      </c>
      <c r="P104" s="94">
        <f t="shared" si="143"/>
        <v>4.2772770243076031E-3</v>
      </c>
      <c r="Q104" s="120">
        <f t="shared" si="144"/>
        <v>9.9704445910044071E-7</v>
      </c>
      <c r="R104" s="120"/>
      <c r="T104" s="4">
        <f t="shared" si="145"/>
        <v>3.9867109634551534E-2</v>
      </c>
    </row>
    <row r="105" spans="1:20" x14ac:dyDescent="0.25">
      <c r="A105" s="117">
        <f t="shared" si="100"/>
        <v>93</v>
      </c>
      <c r="B105" s="133"/>
      <c r="C105" s="96"/>
      <c r="D105" s="88" t="s">
        <v>105</v>
      </c>
      <c r="E105" s="99">
        <v>11249</v>
      </c>
      <c r="F105" s="93">
        <v>17.649999999999999</v>
      </c>
      <c r="G105" s="119">
        <f t="shared" si="137"/>
        <v>198544.84999999998</v>
      </c>
      <c r="H105" s="93">
        <v>17.43</v>
      </c>
      <c r="I105" s="119">
        <f t="shared" si="138"/>
        <v>196070.07</v>
      </c>
      <c r="J105" s="94">
        <f t="shared" si="124"/>
        <v>0.1271940586156487</v>
      </c>
      <c r="K105" s="94"/>
      <c r="L105" s="93">
        <f t="shared" si="139"/>
        <v>18.12</v>
      </c>
      <c r="M105" s="119">
        <f t="shared" si="140"/>
        <v>203831.88</v>
      </c>
      <c r="N105" s="119">
        <f t="shared" si="141"/>
        <v>7761.8099999999977</v>
      </c>
      <c r="O105" s="94">
        <f t="shared" si="142"/>
        <v>3.9586919104991382E-2</v>
      </c>
      <c r="P105" s="94">
        <f t="shared" si="143"/>
        <v>0.12718943456977322</v>
      </c>
      <c r="Q105" s="120">
        <f t="shared" si="144"/>
        <v>-4.6240458754787106E-6</v>
      </c>
      <c r="R105" s="120"/>
      <c r="T105" s="4">
        <f t="shared" si="145"/>
        <v>3.9586919104991569E-2</v>
      </c>
    </row>
    <row r="106" spans="1:20" x14ac:dyDescent="0.25">
      <c r="A106" s="117">
        <f t="shared" si="100"/>
        <v>94</v>
      </c>
      <c r="B106" s="133"/>
      <c r="C106" s="96"/>
      <c r="D106" s="88" t="s">
        <v>104</v>
      </c>
      <c r="E106" s="99">
        <v>3328</v>
      </c>
      <c r="F106" s="93">
        <v>17.649999999999999</v>
      </c>
      <c r="G106" s="119">
        <f t="shared" ref="G106:G110" si="146">F106*E106</f>
        <v>58739.199999999997</v>
      </c>
      <c r="H106" s="93">
        <v>17.43</v>
      </c>
      <c r="I106" s="119">
        <f t="shared" ref="I106:I110" si="147">H106*E106</f>
        <v>58007.040000000001</v>
      </c>
      <c r="J106" s="94">
        <f t="shared" si="124"/>
        <v>3.7630173977498342E-2</v>
      </c>
      <c r="K106" s="94"/>
      <c r="L106" s="93">
        <f t="shared" si="139"/>
        <v>18.12</v>
      </c>
      <c r="M106" s="119">
        <f t="shared" ref="M106:M110" si="148">L106*E106</f>
        <v>60303.360000000001</v>
      </c>
      <c r="N106" s="119">
        <f t="shared" ref="N106:N110" si="149">M106-I106</f>
        <v>2296.3199999999997</v>
      </c>
      <c r="O106" s="94">
        <f t="shared" ref="O106:O110" si="150">IF(I106=0,0,N106/I106)</f>
        <v>3.9586919104991389E-2</v>
      </c>
      <c r="P106" s="94">
        <f t="shared" si="143"/>
        <v>3.7628805960370278E-2</v>
      </c>
      <c r="Q106" s="120">
        <f t="shared" ref="Q106:Q110" si="151">P106-J106</f>
        <v>-1.3680171280644471E-6</v>
      </c>
      <c r="R106" s="120"/>
      <c r="T106" s="4">
        <f t="shared" si="145"/>
        <v>3.9586919104991569E-2</v>
      </c>
    </row>
    <row r="107" spans="1:20" x14ac:dyDescent="0.25">
      <c r="A107" s="117">
        <f t="shared" si="100"/>
        <v>95</v>
      </c>
      <c r="B107" s="133"/>
      <c r="C107" s="96"/>
      <c r="D107" s="88" t="s">
        <v>96</v>
      </c>
      <c r="E107" s="99">
        <v>28454</v>
      </c>
      <c r="F107" s="93">
        <v>8.98</v>
      </c>
      <c r="G107" s="119">
        <f t="shared" si="146"/>
        <v>255516.92</v>
      </c>
      <c r="H107" s="93">
        <v>8.94</v>
      </c>
      <c r="I107" s="119">
        <f t="shared" si="147"/>
        <v>254378.75999999998</v>
      </c>
      <c r="J107" s="94">
        <f t="shared" si="124"/>
        <v>0.16501991818545292</v>
      </c>
      <c r="K107" s="94"/>
      <c r="L107" s="93">
        <f t="shared" si="139"/>
        <v>9.2899999999999991</v>
      </c>
      <c r="M107" s="119">
        <f t="shared" si="148"/>
        <v>264337.65999999997</v>
      </c>
      <c r="N107" s="119">
        <f t="shared" si="149"/>
        <v>9958.8999999999942</v>
      </c>
      <c r="O107" s="94">
        <f t="shared" si="150"/>
        <v>3.9149888143176714E-2</v>
      </c>
      <c r="P107" s="94">
        <f t="shared" si="143"/>
        <v>0.1649445489630815</v>
      </c>
      <c r="Q107" s="120">
        <f t="shared" si="151"/>
        <v>-7.5369222371418632E-5</v>
      </c>
      <c r="R107" s="120"/>
      <c r="T107" s="4">
        <f t="shared" si="145"/>
        <v>3.9149888143176659E-2</v>
      </c>
    </row>
    <row r="108" spans="1:20" x14ac:dyDescent="0.25">
      <c r="A108" s="117">
        <f t="shared" si="100"/>
        <v>96</v>
      </c>
      <c r="B108" s="133"/>
      <c r="C108" s="96"/>
      <c r="D108" s="88" t="s">
        <v>97</v>
      </c>
      <c r="E108" s="99">
        <v>12658</v>
      </c>
      <c r="F108" s="93">
        <v>15.27</v>
      </c>
      <c r="G108" s="119">
        <f t="shared" si="146"/>
        <v>193287.66</v>
      </c>
      <c r="H108" s="93">
        <v>15.18</v>
      </c>
      <c r="I108" s="119">
        <f t="shared" si="147"/>
        <v>192148.44</v>
      </c>
      <c r="J108" s="94">
        <f t="shared" si="124"/>
        <v>0.12465002914654671</v>
      </c>
      <c r="K108" s="94"/>
      <c r="L108" s="93">
        <f t="shared" si="139"/>
        <v>15.78</v>
      </c>
      <c r="M108" s="119">
        <f t="shared" si="148"/>
        <v>199743.24</v>
      </c>
      <c r="N108" s="119">
        <f t="shared" si="149"/>
        <v>7594.7999999999884</v>
      </c>
      <c r="O108" s="94">
        <f t="shared" si="150"/>
        <v>3.9525691699604681E-2</v>
      </c>
      <c r="P108" s="94">
        <f t="shared" si="143"/>
        <v>0.12463815647843951</v>
      </c>
      <c r="Q108" s="120">
        <f t="shared" si="151"/>
        <v>-1.1872668107204554E-5</v>
      </c>
      <c r="R108" s="120"/>
      <c r="T108" s="4">
        <f t="shared" si="145"/>
        <v>3.9525691699604737E-2</v>
      </c>
    </row>
    <row r="109" spans="1:20" x14ac:dyDescent="0.25">
      <c r="A109" s="117">
        <f t="shared" si="100"/>
        <v>97</v>
      </c>
      <c r="B109" s="133"/>
      <c r="C109" s="96"/>
      <c r="D109" s="88" t="s">
        <v>99</v>
      </c>
      <c r="E109" s="99">
        <v>28</v>
      </c>
      <c r="F109" s="93">
        <v>18.73</v>
      </c>
      <c r="G109" s="119">
        <f t="shared" si="146"/>
        <v>524.44000000000005</v>
      </c>
      <c r="H109" s="93">
        <v>18.61</v>
      </c>
      <c r="I109" s="119">
        <f t="shared" si="147"/>
        <v>521.07999999999993</v>
      </c>
      <c r="J109" s="94">
        <f t="shared" si="124"/>
        <v>3.3803364309219767E-4</v>
      </c>
      <c r="K109" s="94"/>
      <c r="L109" s="93">
        <f t="shared" si="139"/>
        <v>19.34</v>
      </c>
      <c r="M109" s="119">
        <f t="shared" si="148"/>
        <v>541.52</v>
      </c>
      <c r="N109" s="119">
        <f t="shared" si="149"/>
        <v>20.440000000000055</v>
      </c>
      <c r="O109" s="94">
        <f t="shared" si="150"/>
        <v>3.9226222461042563E-2</v>
      </c>
      <c r="P109" s="94">
        <f t="shared" si="143"/>
        <v>3.3790407373087854E-4</v>
      </c>
      <c r="Q109" s="120">
        <f t="shared" si="151"/>
        <v>-1.2956936131913038E-7</v>
      </c>
      <c r="R109" s="120"/>
      <c r="T109" s="4">
        <f t="shared" si="145"/>
        <v>3.9226222461042459E-2</v>
      </c>
    </row>
    <row r="110" spans="1:20" x14ac:dyDescent="0.25">
      <c r="A110" s="117">
        <f>A109+1</f>
        <v>98</v>
      </c>
      <c r="B110" s="133"/>
      <c r="C110" s="96"/>
      <c r="D110" s="88" t="s">
        <v>98</v>
      </c>
      <c r="E110" s="99">
        <v>8664</v>
      </c>
      <c r="F110" s="93">
        <v>17.649999999999999</v>
      </c>
      <c r="G110" s="119">
        <f t="shared" si="146"/>
        <v>152919.59999999998</v>
      </c>
      <c r="H110" s="93">
        <v>17.43</v>
      </c>
      <c r="I110" s="119">
        <f t="shared" si="147"/>
        <v>151013.51999999999</v>
      </c>
      <c r="J110" s="94">
        <f t="shared" si="124"/>
        <v>9.7965092350073793E-2</v>
      </c>
      <c r="K110" s="94"/>
      <c r="L110" s="93">
        <f t="shared" si="139"/>
        <v>18.12</v>
      </c>
      <c r="M110" s="119">
        <f t="shared" si="148"/>
        <v>156991.68000000002</v>
      </c>
      <c r="N110" s="119">
        <f t="shared" si="149"/>
        <v>5978.1600000000326</v>
      </c>
      <c r="O110" s="94">
        <f t="shared" si="150"/>
        <v>3.9586919104991611E-2</v>
      </c>
      <c r="P110" s="94">
        <f t="shared" si="143"/>
        <v>9.7961530901637062E-2</v>
      </c>
      <c r="Q110" s="120">
        <f t="shared" si="151"/>
        <v>-3.5614484367313404E-6</v>
      </c>
      <c r="R110" s="120"/>
      <c r="T110" s="4">
        <f t="shared" si="145"/>
        <v>3.9586919104991569E-2</v>
      </c>
    </row>
    <row r="111" spans="1:20" s="5" customFormat="1" ht="24.6" customHeight="1" x14ac:dyDescent="0.3">
      <c r="A111" s="117">
        <f t="shared" si="100"/>
        <v>99</v>
      </c>
      <c r="B111" s="110"/>
      <c r="C111" s="102"/>
      <c r="D111" s="103" t="s">
        <v>6</v>
      </c>
      <c r="E111" s="103"/>
      <c r="F111" s="103"/>
      <c r="G111" s="11">
        <f>SUM(G99:G110)</f>
        <v>1557272.9699999997</v>
      </c>
      <c r="H111" s="103"/>
      <c r="I111" s="11">
        <f>SUM(I99:I110)</f>
        <v>1541503.37</v>
      </c>
      <c r="J111" s="122">
        <f>SUM(J99:J110)</f>
        <v>0.99999999999999978</v>
      </c>
      <c r="K111" s="95">
        <f>I111+Summary!I15</f>
        <v>1602344.6500000001</v>
      </c>
      <c r="L111" s="103"/>
      <c r="M111" s="11">
        <f>SUM(M99:M110)</f>
        <v>1602585</v>
      </c>
      <c r="N111" s="11">
        <f>SUM(N99:N110)</f>
        <v>61081.630000000085</v>
      </c>
      <c r="O111" s="122">
        <f t="shared" ref="O111" si="152">N111/I111</f>
        <v>3.9624713892127322E-2</v>
      </c>
      <c r="P111" s="122">
        <f>SUM(P99:P110)</f>
        <v>1</v>
      </c>
      <c r="Q111" s="123">
        <f t="shared" ref="Q111" si="153">P111-J111</f>
        <v>0</v>
      </c>
      <c r="R111" s="124">
        <f>M111-K111</f>
        <v>240.3499999998603</v>
      </c>
      <c r="S111" s="5">
        <f>K111/I111</f>
        <v>1.0394687946741239</v>
      </c>
    </row>
    <row r="112" spans="1:20" x14ac:dyDescent="0.25">
      <c r="A112" s="117">
        <f t="shared" si="100"/>
        <v>100</v>
      </c>
      <c r="D112" s="88" t="s">
        <v>29</v>
      </c>
      <c r="G112" s="119">
        <v>-815.27999999999986</v>
      </c>
      <c r="I112" s="96">
        <f>G112</f>
        <v>-815.27999999999986</v>
      </c>
      <c r="K112" s="96"/>
      <c r="M112" s="119">
        <f>I112</f>
        <v>-815.27999999999986</v>
      </c>
      <c r="N112" s="119">
        <f>M112-I112</f>
        <v>0</v>
      </c>
      <c r="O112" s="93">
        <v>0</v>
      </c>
    </row>
    <row r="113" spans="1:18" x14ac:dyDescent="0.25">
      <c r="A113" s="117">
        <f t="shared" si="100"/>
        <v>101</v>
      </c>
      <c r="D113" s="88" t="s">
        <v>30</v>
      </c>
      <c r="G113" s="119">
        <v>2086.96</v>
      </c>
      <c r="I113" s="96">
        <f>G113</f>
        <v>2086.96</v>
      </c>
      <c r="M113" s="119">
        <f t="shared" ref="M113:M114" si="154">I113</f>
        <v>2086.96</v>
      </c>
      <c r="N113" s="119">
        <f>M113-I113</f>
        <v>0</v>
      </c>
      <c r="O113" s="93">
        <v>0</v>
      </c>
    </row>
    <row r="114" spans="1:18" x14ac:dyDescent="0.25">
      <c r="A114" s="117">
        <f t="shared" si="100"/>
        <v>102</v>
      </c>
      <c r="D114" s="88" t="s">
        <v>32</v>
      </c>
      <c r="G114" s="119">
        <v>0</v>
      </c>
      <c r="I114" s="96">
        <v>0</v>
      </c>
      <c r="M114" s="119">
        <f t="shared" si="154"/>
        <v>0</v>
      </c>
      <c r="N114" s="119">
        <f>M114-I114</f>
        <v>0</v>
      </c>
      <c r="O114" s="93">
        <v>0</v>
      </c>
    </row>
    <row r="115" spans="1:18" x14ac:dyDescent="0.25">
      <c r="A115" s="117">
        <f t="shared" si="100"/>
        <v>103</v>
      </c>
      <c r="D115" s="88" t="s">
        <v>42</v>
      </c>
      <c r="G115" s="119"/>
      <c r="I115" s="96"/>
      <c r="M115" s="119"/>
      <c r="N115" s="119"/>
      <c r="O115" s="93"/>
    </row>
    <row r="116" spans="1:18" x14ac:dyDescent="0.25">
      <c r="A116" s="117">
        <f t="shared" si="100"/>
        <v>104</v>
      </c>
      <c r="D116" s="97" t="s">
        <v>8</v>
      </c>
      <c r="E116" s="97"/>
      <c r="F116" s="97"/>
      <c r="G116" s="126">
        <f>SUM(G112:G114)</f>
        <v>1271.6800000000003</v>
      </c>
      <c r="H116" s="97"/>
      <c r="I116" s="126">
        <f>SUM(I112:I114)</f>
        <v>1271.6800000000003</v>
      </c>
      <c r="J116" s="97"/>
      <c r="K116" s="97"/>
      <c r="L116" s="97"/>
      <c r="M116" s="126">
        <f>SUM(M112:M114)</f>
        <v>1271.6800000000003</v>
      </c>
      <c r="N116" s="126">
        <f>M116-I116</f>
        <v>0</v>
      </c>
      <c r="O116" s="127">
        <f>N116-J116</f>
        <v>0</v>
      </c>
    </row>
    <row r="117" spans="1:18" s="5" customFormat="1" ht="26.4" customHeight="1" thickBot="1" x14ac:dyDescent="0.3">
      <c r="A117" s="117">
        <f t="shared" si="100"/>
        <v>105</v>
      </c>
      <c r="B117" s="110"/>
      <c r="C117" s="102"/>
      <c r="D117" s="98" t="s">
        <v>19</v>
      </c>
      <c r="E117" s="98"/>
      <c r="F117" s="98"/>
      <c r="G117" s="128">
        <f>G111+G116</f>
        <v>1558544.6499999997</v>
      </c>
      <c r="H117" s="98"/>
      <c r="I117" s="129">
        <f>I116+I111</f>
        <v>1542775.05</v>
      </c>
      <c r="J117" s="98"/>
      <c r="K117" s="98"/>
      <c r="L117" s="98"/>
      <c r="M117" s="128">
        <f>M116+M111</f>
        <v>1603856.68</v>
      </c>
      <c r="N117" s="128">
        <f>M117-I117</f>
        <v>61081.629999999888</v>
      </c>
      <c r="O117" s="130">
        <f>N117/I117</f>
        <v>3.9592051997470332E-2</v>
      </c>
      <c r="P117" s="88"/>
      <c r="Q117" s="88"/>
      <c r="R117" s="88"/>
    </row>
    <row r="118" spans="1:18" ht="13.8" thickTop="1" x14ac:dyDescent="0.25">
      <c r="A118" s="117">
        <f t="shared" si="100"/>
        <v>106</v>
      </c>
    </row>
    <row r="119" spans="1:18" s="5" customFormat="1" ht="19.95" customHeight="1" x14ac:dyDescent="0.3">
      <c r="A119" s="117">
        <f t="shared" si="100"/>
        <v>107</v>
      </c>
      <c r="B119" s="110" t="s">
        <v>31</v>
      </c>
      <c r="C119" s="102"/>
      <c r="D119" s="103" t="s">
        <v>6</v>
      </c>
      <c r="E119" s="103"/>
      <c r="F119" s="103"/>
      <c r="G119" s="134">
        <f t="shared" ref="G119:G124" si="155">G10+G23+G36+G50+G89+G64+G111+G76</f>
        <v>39395013.18417</v>
      </c>
      <c r="H119" s="134"/>
      <c r="I119" s="134">
        <f t="shared" ref="I119:I124" si="156">I10+I23+I36+I50+I89+I64+I111+I76</f>
        <v>39675773.718380004</v>
      </c>
      <c r="J119" s="103"/>
      <c r="K119" s="103"/>
      <c r="L119" s="103"/>
      <c r="M119" s="134">
        <f t="shared" ref="M119:N124" si="157">M10+M23+M36+M50+M89+M64+M111+M76</f>
        <v>41241346.184714735</v>
      </c>
      <c r="N119" s="134">
        <f t="shared" si="157"/>
        <v>1565572.4663347383</v>
      </c>
      <c r="O119" s="122">
        <f>N119/I119</f>
        <v>3.945915402802791E-2</v>
      </c>
      <c r="P119" s="110"/>
      <c r="Q119" s="110"/>
      <c r="R119" s="110"/>
    </row>
    <row r="120" spans="1:18" x14ac:dyDescent="0.25">
      <c r="A120" s="117">
        <f t="shared" si="100"/>
        <v>108</v>
      </c>
      <c r="D120" s="88" t="s">
        <v>29</v>
      </c>
      <c r="G120" s="96">
        <f t="shared" si="155"/>
        <v>-1797927.2399999998</v>
      </c>
      <c r="H120" s="96"/>
      <c r="I120" s="96">
        <f t="shared" si="156"/>
        <v>-1262601.7904113743</v>
      </c>
      <c r="M120" s="96">
        <f t="shared" si="157"/>
        <v>-1262601.7904113743</v>
      </c>
      <c r="N120" s="96">
        <f t="shared" si="157"/>
        <v>0</v>
      </c>
    </row>
    <row r="121" spans="1:18" x14ac:dyDescent="0.25">
      <c r="A121" s="117">
        <f t="shared" si="100"/>
        <v>109</v>
      </c>
      <c r="D121" s="88" t="s">
        <v>30</v>
      </c>
      <c r="G121" s="96">
        <f t="shared" si="155"/>
        <v>4026453.22</v>
      </c>
      <c r="H121" s="96"/>
      <c r="I121" s="96">
        <f t="shared" si="156"/>
        <v>4026453.22</v>
      </c>
      <c r="M121" s="96">
        <f t="shared" si="157"/>
        <v>4026453.22</v>
      </c>
      <c r="N121" s="96">
        <f t="shared" si="157"/>
        <v>0</v>
      </c>
    </row>
    <row r="122" spans="1:18" x14ac:dyDescent="0.25">
      <c r="A122" s="117">
        <f t="shared" si="100"/>
        <v>110</v>
      </c>
      <c r="D122" s="88" t="s">
        <v>32</v>
      </c>
      <c r="G122" s="96">
        <f t="shared" si="155"/>
        <v>84090.35</v>
      </c>
      <c r="H122" s="96"/>
      <c r="I122" s="96">
        <f t="shared" si="156"/>
        <v>84090.35</v>
      </c>
      <c r="M122" s="96">
        <f t="shared" si="157"/>
        <v>84090.35</v>
      </c>
      <c r="N122" s="96">
        <f t="shared" si="157"/>
        <v>0</v>
      </c>
    </row>
    <row r="123" spans="1:18" x14ac:dyDescent="0.25">
      <c r="A123" s="117">
        <f t="shared" si="100"/>
        <v>111</v>
      </c>
      <c r="D123" s="88" t="s">
        <v>42</v>
      </c>
      <c r="G123" s="96">
        <f t="shared" si="155"/>
        <v>0</v>
      </c>
      <c r="I123" s="96">
        <f t="shared" si="156"/>
        <v>0</v>
      </c>
      <c r="M123" s="96">
        <f t="shared" si="157"/>
        <v>0</v>
      </c>
      <c r="N123" s="96">
        <f t="shared" si="157"/>
        <v>0</v>
      </c>
      <c r="O123" s="93"/>
    </row>
    <row r="124" spans="1:18" x14ac:dyDescent="0.25">
      <c r="A124" s="117">
        <f t="shared" si="100"/>
        <v>112</v>
      </c>
      <c r="D124" s="97" t="s">
        <v>8</v>
      </c>
      <c r="E124" s="97"/>
      <c r="F124" s="97"/>
      <c r="G124" s="135">
        <f t="shared" si="155"/>
        <v>2312616.33</v>
      </c>
      <c r="H124" s="135"/>
      <c r="I124" s="135">
        <f t="shared" si="156"/>
        <v>2847941.7795886262</v>
      </c>
      <c r="J124" s="97"/>
      <c r="K124" s="97"/>
      <c r="L124" s="97"/>
      <c r="M124" s="135">
        <f t="shared" si="157"/>
        <v>2847941.7795886262</v>
      </c>
      <c r="N124" s="135">
        <f t="shared" si="157"/>
        <v>0</v>
      </c>
      <c r="O124" s="97"/>
    </row>
    <row r="125" spans="1:18" s="5" customFormat="1" ht="21" customHeight="1" thickBot="1" x14ac:dyDescent="0.35">
      <c r="A125" s="117">
        <f t="shared" si="100"/>
        <v>113</v>
      </c>
      <c r="B125" s="110"/>
      <c r="C125" s="102"/>
      <c r="D125" s="98" t="s">
        <v>19</v>
      </c>
      <c r="E125" s="98"/>
      <c r="F125" s="98"/>
      <c r="G125" s="129">
        <f>G124+G119</f>
        <v>41707629.514169998</v>
      </c>
      <c r="H125" s="129"/>
      <c r="I125" s="129">
        <f>I124+I119</f>
        <v>42523715.497968629</v>
      </c>
      <c r="J125" s="98"/>
      <c r="K125" s="98"/>
      <c r="L125" s="98"/>
      <c r="M125" s="129">
        <f>M124+M119</f>
        <v>44089287.964303359</v>
      </c>
      <c r="N125" s="129">
        <f>N124+N119</f>
        <v>1565572.4663347383</v>
      </c>
      <c r="O125" s="130">
        <f>N125/I125</f>
        <v>3.6816455194502613E-2</v>
      </c>
      <c r="P125" s="110"/>
      <c r="Q125" s="110"/>
      <c r="R125" s="110"/>
    </row>
    <row r="126" spans="1:18" ht="13.8" thickTop="1" x14ac:dyDescent="0.25">
      <c r="A126" s="117">
        <f t="shared" si="100"/>
        <v>114</v>
      </c>
    </row>
    <row r="127" spans="1:18" x14ac:dyDescent="0.25">
      <c r="A127" s="117">
        <f t="shared" si="100"/>
        <v>115</v>
      </c>
      <c r="D127" s="88" t="s">
        <v>40</v>
      </c>
      <c r="N127" s="96">
        <f>N125-Summary!L4</f>
        <v>-382.53366526169702</v>
      </c>
    </row>
    <row r="128" spans="1:18" x14ac:dyDescent="0.25">
      <c r="A128" s="117">
        <f t="shared" si="100"/>
        <v>116</v>
      </c>
      <c r="N128" s="96"/>
    </row>
    <row r="129" spans="1:20" x14ac:dyDescent="0.25">
      <c r="A129" s="117">
        <f t="shared" si="100"/>
        <v>117</v>
      </c>
      <c r="B129" s="136" t="s">
        <v>65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4"/>
      <c r="O129" s="101"/>
      <c r="P129" s="101"/>
      <c r="Q129" s="101"/>
      <c r="R129" s="101"/>
    </row>
    <row r="130" spans="1:20" ht="13.8" thickBot="1" x14ac:dyDescent="0.3">
      <c r="A130" s="117">
        <f t="shared" si="100"/>
        <v>118</v>
      </c>
      <c r="D130" s="100"/>
      <c r="E130" s="100"/>
      <c r="F130" s="100"/>
      <c r="G130" s="100"/>
    </row>
    <row r="131" spans="1:20" x14ac:dyDescent="0.25">
      <c r="A131" s="117">
        <f t="shared" si="100"/>
        <v>119</v>
      </c>
      <c r="B131" s="138" t="s">
        <v>85</v>
      </c>
      <c r="C131" s="118" t="s">
        <v>86</v>
      </c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</row>
    <row r="132" spans="1:20" ht="12.6" customHeight="1" x14ac:dyDescent="0.25">
      <c r="A132" s="117">
        <f t="shared" si="100"/>
        <v>120</v>
      </c>
      <c r="B132" s="139"/>
      <c r="D132" s="88" t="s">
        <v>87</v>
      </c>
      <c r="E132" s="99"/>
      <c r="F132" s="93"/>
      <c r="G132" s="119"/>
      <c r="H132" s="93">
        <v>614.47</v>
      </c>
      <c r="I132" s="119"/>
      <c r="J132" s="94"/>
      <c r="K132" s="94"/>
      <c r="L132" s="93">
        <f>H132*S132</f>
        <v>638.71646637560241</v>
      </c>
      <c r="M132" s="119"/>
      <c r="N132" s="119"/>
      <c r="O132" s="94"/>
      <c r="P132" s="94"/>
      <c r="Q132" s="120"/>
      <c r="R132" s="120"/>
      <c r="S132" s="76">
        <f>1+$O$119</f>
        <v>1.039459154028028</v>
      </c>
      <c r="T132" s="4">
        <f t="shared" ref="T132:T135" si="158">L132/H132-1</f>
        <v>3.9459154028028021E-2</v>
      </c>
    </row>
    <row r="133" spans="1:20" x14ac:dyDescent="0.25">
      <c r="A133" s="117">
        <f t="shared" si="100"/>
        <v>121</v>
      </c>
      <c r="D133" s="88" t="s">
        <v>88</v>
      </c>
      <c r="E133" s="99"/>
      <c r="F133" s="121"/>
      <c r="G133" s="119"/>
      <c r="H133" s="93">
        <v>6.19</v>
      </c>
      <c r="I133" s="119"/>
      <c r="J133" s="94"/>
      <c r="K133" s="94"/>
      <c r="L133" s="93">
        <f>H133*S133</f>
        <v>6.4342521634334942</v>
      </c>
      <c r="M133" s="119"/>
      <c r="N133" s="119"/>
      <c r="O133" s="94"/>
      <c r="P133" s="94"/>
      <c r="Q133" s="120"/>
      <c r="R133" s="120"/>
      <c r="S133" s="76">
        <f t="shared" ref="S133:S135" si="159">1+$O$119</f>
        <v>1.039459154028028</v>
      </c>
      <c r="T133" s="4">
        <f t="shared" si="158"/>
        <v>3.9459154028028021E-2</v>
      </c>
    </row>
    <row r="134" spans="1:20" x14ac:dyDescent="0.25">
      <c r="A134" s="117">
        <f t="shared" si="100"/>
        <v>122</v>
      </c>
      <c r="D134" s="88" t="s">
        <v>89</v>
      </c>
      <c r="E134" s="99"/>
      <c r="F134" s="121"/>
      <c r="G134" s="119"/>
      <c r="H134" s="93">
        <v>8.98</v>
      </c>
      <c r="I134" s="119"/>
      <c r="J134" s="94"/>
      <c r="K134" s="94"/>
      <c r="L134" s="93">
        <f>H134*S134</f>
        <v>9.3343432031716915</v>
      </c>
      <c r="M134" s="119"/>
      <c r="N134" s="119"/>
      <c r="O134" s="94"/>
      <c r="P134" s="94"/>
      <c r="Q134" s="120"/>
      <c r="R134" s="120"/>
      <c r="S134" s="76">
        <f t="shared" si="159"/>
        <v>1.039459154028028</v>
      </c>
      <c r="T134" s="4">
        <f t="shared" si="158"/>
        <v>3.9459154028028021E-2</v>
      </c>
    </row>
    <row r="135" spans="1:20" ht="13.8" thickBot="1" x14ac:dyDescent="0.3">
      <c r="A135" s="117">
        <f t="shared" si="100"/>
        <v>123</v>
      </c>
      <c r="D135" s="88" t="s">
        <v>50</v>
      </c>
      <c r="E135" s="99"/>
      <c r="F135" s="121"/>
      <c r="G135" s="119"/>
      <c r="H135" s="137">
        <v>5.2310000000000002E-2</v>
      </c>
      <c r="I135" s="119"/>
      <c r="J135" s="94"/>
      <c r="K135" s="94"/>
      <c r="L135" s="137">
        <f>H135*S135</f>
        <v>5.437410834720615E-2</v>
      </c>
      <c r="M135" s="119"/>
      <c r="N135" s="119"/>
      <c r="O135" s="94"/>
      <c r="P135" s="94"/>
      <c r="Q135" s="120"/>
      <c r="R135" s="120"/>
      <c r="S135" s="76">
        <f t="shared" si="159"/>
        <v>1.039459154028028</v>
      </c>
      <c r="T135" s="4">
        <f t="shared" si="158"/>
        <v>3.9459154028028021E-2</v>
      </c>
    </row>
    <row r="136" spans="1:20" x14ac:dyDescent="0.25">
      <c r="A136" s="117">
        <f t="shared" si="100"/>
        <v>124</v>
      </c>
      <c r="B136" s="92" t="s">
        <v>91</v>
      </c>
      <c r="C136" s="118" t="s">
        <v>90</v>
      </c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</row>
    <row r="137" spans="1:20" ht="12.6" customHeight="1" x14ac:dyDescent="0.25">
      <c r="A137" s="117">
        <f t="shared" si="100"/>
        <v>125</v>
      </c>
      <c r="D137" s="88" t="s">
        <v>87</v>
      </c>
      <c r="E137" s="99"/>
      <c r="F137" s="93"/>
      <c r="G137" s="119"/>
      <c r="H137" s="93">
        <v>1227.79</v>
      </c>
      <c r="I137" s="119"/>
      <c r="J137" s="94"/>
      <c r="K137" s="94"/>
      <c r="L137" s="93">
        <f>H137*S137</f>
        <v>1276.2375547240724</v>
      </c>
      <c r="M137" s="119"/>
      <c r="N137" s="119"/>
      <c r="O137" s="94"/>
      <c r="P137" s="94"/>
      <c r="Q137" s="120"/>
      <c r="R137" s="120"/>
      <c r="S137" s="76">
        <f>1+$O$119</f>
        <v>1.039459154028028</v>
      </c>
      <c r="T137" s="4">
        <f t="shared" ref="T137:T140" si="160">L137/H137-1</f>
        <v>3.9459154028028021E-2</v>
      </c>
    </row>
    <row r="138" spans="1:20" x14ac:dyDescent="0.25">
      <c r="A138" s="117">
        <f t="shared" si="100"/>
        <v>126</v>
      </c>
      <c r="D138" s="88" t="s">
        <v>88</v>
      </c>
      <c r="E138" s="99"/>
      <c r="F138" s="121"/>
      <c r="G138" s="119"/>
      <c r="H138" s="93">
        <v>6.19</v>
      </c>
      <c r="I138" s="119"/>
      <c r="J138" s="94"/>
      <c r="K138" s="94"/>
      <c r="L138" s="93">
        <f>H138*S138</f>
        <v>6.4342521634334942</v>
      </c>
      <c r="M138" s="119"/>
      <c r="N138" s="119"/>
      <c r="O138" s="94"/>
      <c r="P138" s="94"/>
      <c r="Q138" s="120"/>
      <c r="R138" s="120"/>
      <c r="S138" s="76">
        <f t="shared" ref="S138:S140" si="161">1+$O$119</f>
        <v>1.039459154028028</v>
      </c>
      <c r="T138" s="4">
        <f t="shared" si="160"/>
        <v>3.9459154028028021E-2</v>
      </c>
    </row>
    <row r="139" spans="1:20" x14ac:dyDescent="0.25">
      <c r="A139" s="117">
        <f t="shared" si="100"/>
        <v>127</v>
      </c>
      <c r="D139" s="88" t="s">
        <v>89</v>
      </c>
      <c r="E139" s="99"/>
      <c r="F139" s="121"/>
      <c r="G139" s="119"/>
      <c r="H139" s="93">
        <v>8.98</v>
      </c>
      <c r="I139" s="119"/>
      <c r="J139" s="94"/>
      <c r="K139" s="94"/>
      <c r="L139" s="93">
        <f>H139*S139</f>
        <v>9.3343432031716915</v>
      </c>
      <c r="M139" s="119"/>
      <c r="N139" s="119"/>
      <c r="O139" s="94"/>
      <c r="P139" s="94"/>
      <c r="Q139" s="120"/>
      <c r="R139" s="120"/>
      <c r="S139" s="76">
        <f t="shared" si="161"/>
        <v>1.039459154028028</v>
      </c>
      <c r="T139" s="4">
        <f t="shared" si="160"/>
        <v>3.9459154028028021E-2</v>
      </c>
    </row>
    <row r="140" spans="1:20" ht="13.8" thickBot="1" x14ac:dyDescent="0.3">
      <c r="A140" s="117">
        <f t="shared" si="100"/>
        <v>128</v>
      </c>
      <c r="D140" s="88" t="s">
        <v>50</v>
      </c>
      <c r="E140" s="99"/>
      <c r="F140" s="121"/>
      <c r="G140" s="119"/>
      <c r="H140" s="121">
        <v>4.4999999999999998E-2</v>
      </c>
      <c r="I140" s="119"/>
      <c r="J140" s="94"/>
      <c r="K140" s="94"/>
      <c r="L140" s="121">
        <f>H140*S140</f>
        <v>4.6775661931261259E-2</v>
      </c>
      <c r="M140" s="119"/>
      <c r="N140" s="119"/>
      <c r="O140" s="94"/>
      <c r="P140" s="94"/>
      <c r="Q140" s="120"/>
      <c r="R140" s="120"/>
      <c r="S140" s="76">
        <f t="shared" si="161"/>
        <v>1.039459154028028</v>
      </c>
      <c r="T140" s="4">
        <f t="shared" si="160"/>
        <v>3.9459154028028021E-2</v>
      </c>
    </row>
    <row r="141" spans="1:20" x14ac:dyDescent="0.25">
      <c r="A141" s="117">
        <f t="shared" ref="A141:A144" si="162">A140+1</f>
        <v>129</v>
      </c>
      <c r="B141" s="138" t="s">
        <v>93</v>
      </c>
      <c r="C141" s="118" t="s">
        <v>95</v>
      </c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</row>
    <row r="142" spans="1:20" ht="12.6" customHeight="1" x14ac:dyDescent="0.25">
      <c r="A142" s="117">
        <f t="shared" si="162"/>
        <v>130</v>
      </c>
      <c r="B142" s="139"/>
      <c r="D142" s="88" t="s">
        <v>17</v>
      </c>
      <c r="E142" s="99"/>
      <c r="F142" s="93"/>
      <c r="G142" s="119"/>
      <c r="H142" s="93">
        <v>100</v>
      </c>
      <c r="I142" s="119"/>
      <c r="J142" s="94"/>
      <c r="K142" s="94"/>
      <c r="L142" s="93">
        <f>H142*S142</f>
        <v>103.9459154028028</v>
      </c>
      <c r="M142" s="119"/>
      <c r="N142" s="119"/>
      <c r="O142" s="94"/>
      <c r="P142" s="94"/>
      <c r="Q142" s="120"/>
      <c r="R142" s="120"/>
      <c r="S142" s="76">
        <f>1+$O$119</f>
        <v>1.039459154028028</v>
      </c>
      <c r="T142" s="4">
        <f t="shared" ref="T142:T144" si="163">L142/H142-1</f>
        <v>3.9459154028028021E-2</v>
      </c>
    </row>
    <row r="143" spans="1:20" x14ac:dyDescent="0.25">
      <c r="A143" s="117">
        <f t="shared" si="162"/>
        <v>131</v>
      </c>
      <c r="D143" s="88" t="s">
        <v>53</v>
      </c>
      <c r="E143" s="99"/>
      <c r="F143" s="121"/>
      <c r="G143" s="119"/>
      <c r="H143" s="93">
        <v>6.55</v>
      </c>
      <c r="I143" s="119"/>
      <c r="J143" s="94"/>
      <c r="K143" s="94"/>
      <c r="L143" s="93">
        <f>H143*S143</f>
        <v>6.8084574588835833</v>
      </c>
      <c r="M143" s="119"/>
      <c r="N143" s="119"/>
      <c r="O143" s="94"/>
      <c r="P143" s="94"/>
      <c r="Q143" s="120"/>
      <c r="R143" s="120"/>
      <c r="S143" s="76">
        <f t="shared" ref="S143:S144" si="164">1+$O$119</f>
        <v>1.039459154028028</v>
      </c>
      <c r="T143" s="4">
        <f t="shared" si="163"/>
        <v>3.9459154028028021E-2</v>
      </c>
    </row>
    <row r="144" spans="1:20" x14ac:dyDescent="0.25">
      <c r="A144" s="117">
        <f t="shared" si="162"/>
        <v>132</v>
      </c>
      <c r="D144" s="88" t="s">
        <v>50</v>
      </c>
      <c r="E144" s="99"/>
      <c r="F144" s="121"/>
      <c r="G144" s="119"/>
      <c r="H144" s="121">
        <v>4.7039999999999998E-2</v>
      </c>
      <c r="I144" s="119"/>
      <c r="J144" s="94"/>
      <c r="K144" s="94"/>
      <c r="L144" s="121">
        <f>H144*S144</f>
        <v>4.8896158605478433E-2</v>
      </c>
      <c r="M144" s="119"/>
      <c r="N144" s="119"/>
      <c r="O144" s="94"/>
      <c r="P144" s="94"/>
      <c r="Q144" s="120"/>
      <c r="R144" s="120"/>
      <c r="S144" s="76">
        <f t="shared" si="164"/>
        <v>1.039459154028028</v>
      </c>
      <c r="T144" s="4">
        <f t="shared" si="163"/>
        <v>3.9459154028028021E-2</v>
      </c>
    </row>
  </sheetData>
  <mergeCells count="8">
    <mergeCell ref="B141:B142"/>
    <mergeCell ref="B59:B60"/>
    <mergeCell ref="B7:B8"/>
    <mergeCell ref="B32:B33"/>
    <mergeCell ref="B45:B46"/>
    <mergeCell ref="B73:B74"/>
    <mergeCell ref="B85:B86"/>
    <mergeCell ref="B131:B132"/>
  </mergeCells>
  <phoneticPr fontId="8" type="noConversion"/>
  <printOptions horizontalCentered="1"/>
  <pageMargins left="0.7" right="0.7" top="0.75" bottom="0.75" header="0.3" footer="0.3"/>
  <pageSetup scale="57" fitToHeight="3" orientation="landscape" r:id="rId1"/>
  <headerFooter>
    <oddHeader>&amp;R&amp;"Arial,Bold"&amp;10Exhibit 3
Page &amp;P of &amp;N</oddHeader>
  </headerFooter>
  <rowBreaks count="2" manualBreakCount="2">
    <brk id="57" max="17" man="1"/>
    <brk id="97" max="17" man="1"/>
  </rowBreaks>
  <ignoredErrors>
    <ignoredError sqref="M10:O10 N23:O23 N36:O36 N50:O50 N64:O64 N76:O76 N89:O89 L101 N1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pageSetUpPr fitToPage="1"/>
  </sheetPr>
  <dimension ref="A1:J90"/>
  <sheetViews>
    <sheetView view="pageBreakPreview" topLeftCell="A7" zoomScale="60" zoomScaleNormal="85" workbookViewId="0">
      <selection activeCell="O23" sqref="O23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10" customWidth="1"/>
    <col min="4" max="4" width="28.6640625" style="10" bestFit="1" customWidth="1"/>
    <col min="5" max="5" width="33.77734375" style="2" bestFit="1" customWidth="1"/>
    <col min="6" max="6" width="14.6640625" style="2" customWidth="1"/>
    <col min="7" max="7" width="12.5546875" style="2" customWidth="1"/>
    <col min="8" max="16384" width="8.88671875" style="2"/>
  </cols>
  <sheetData>
    <row r="1" spans="1:10" x14ac:dyDescent="0.25">
      <c r="A1" s="1" t="str">
        <f>Summary!A1</f>
        <v>CUMBERLAND VALLEY ELECTRIC</v>
      </c>
    </row>
    <row r="2" spans="1:10" x14ac:dyDescent="0.25">
      <c r="A2" s="1" t="s">
        <v>120</v>
      </c>
    </row>
    <row r="4" spans="1:10" x14ac:dyDescent="0.25">
      <c r="C4" s="47" t="s">
        <v>64</v>
      </c>
      <c r="D4" s="46"/>
      <c r="E4" s="46" t="s">
        <v>2</v>
      </c>
      <c r="F4" s="50" t="s">
        <v>48</v>
      </c>
      <c r="G4" s="50" t="s">
        <v>49</v>
      </c>
    </row>
    <row r="5" spans="1:10" x14ac:dyDescent="0.25">
      <c r="C5" s="10" t="str">
        <f>'Billing Detail'!C7</f>
        <v>R1</v>
      </c>
      <c r="D5" s="74" t="str">
        <f>'Billing Detail'!B7</f>
        <v>Sch I - Residential, Schools &amp; Churches</v>
      </c>
    </row>
    <row r="6" spans="1:10" x14ac:dyDescent="0.25">
      <c r="D6" s="74"/>
      <c r="E6" s="2" t="str">
        <f>'Billing Detail'!D8</f>
        <v>Customer Charge</v>
      </c>
      <c r="F6" s="48">
        <f>'Billing Detail'!H8</f>
        <v>17</v>
      </c>
      <c r="G6" s="48">
        <f>'Billing Detail'!L8</f>
        <v>17.670000000000002</v>
      </c>
      <c r="J6" s="4">
        <f>G6/F6-1</f>
        <v>3.9411764705882479E-2</v>
      </c>
    </row>
    <row r="7" spans="1:10" x14ac:dyDescent="0.25">
      <c r="D7" s="74"/>
      <c r="E7" s="2" t="str">
        <f>'Billing Detail'!D9</f>
        <v>Energy Charge per kWh</v>
      </c>
      <c r="F7" s="49">
        <f>'Billing Detail'!H9</f>
        <v>8.2150000000000001E-2</v>
      </c>
      <c r="G7" s="49">
        <f>'Billing Detail'!L9</f>
        <v>8.5389999999999994E-2</v>
      </c>
      <c r="J7" s="4">
        <f t="shared" ref="J7:J38" si="0">G7/F7-1</f>
        <v>3.944004869141815E-2</v>
      </c>
    </row>
    <row r="8" spans="1:10" x14ac:dyDescent="0.25">
      <c r="D8" s="74" t="s">
        <v>117</v>
      </c>
      <c r="J8" s="4"/>
    </row>
    <row r="9" spans="1:10" x14ac:dyDescent="0.25">
      <c r="D9" s="74"/>
      <c r="E9" s="2" t="s">
        <v>118</v>
      </c>
      <c r="F9" s="48">
        <f>F6</f>
        <v>17</v>
      </c>
      <c r="G9" s="48">
        <f>G6</f>
        <v>17.670000000000002</v>
      </c>
      <c r="J9" s="4">
        <f t="shared" si="0"/>
        <v>3.9411764705882479E-2</v>
      </c>
    </row>
    <row r="10" spans="1:10" x14ac:dyDescent="0.25">
      <c r="D10" s="74"/>
      <c r="E10" s="2" t="s">
        <v>50</v>
      </c>
      <c r="F10" s="49">
        <f>F7</f>
        <v>8.2150000000000001E-2</v>
      </c>
      <c r="G10" s="49">
        <f>G7</f>
        <v>8.5389999999999994E-2</v>
      </c>
      <c r="J10" s="4">
        <f t="shared" si="0"/>
        <v>3.944004869141815E-2</v>
      </c>
    </row>
    <row r="11" spans="1:10" x14ac:dyDescent="0.25">
      <c r="D11" s="74"/>
      <c r="E11" s="2" t="s">
        <v>119</v>
      </c>
      <c r="F11" s="58">
        <v>0</v>
      </c>
      <c r="G11" s="58">
        <v>0</v>
      </c>
      <c r="J11" s="4"/>
    </row>
    <row r="12" spans="1:10" x14ac:dyDescent="0.25">
      <c r="C12" s="10" t="str">
        <f>'Billing Detail'!C19</f>
        <v>TOD</v>
      </c>
      <c r="D12" s="74" t="str">
        <f>'Billing Detail'!B19</f>
        <v>Sch I - Res TOD</v>
      </c>
      <c r="F12" s="48"/>
      <c r="G12" s="48"/>
      <c r="J12" s="4"/>
    </row>
    <row r="13" spans="1:10" x14ac:dyDescent="0.25">
      <c r="D13" s="74"/>
      <c r="E13" s="2" t="str">
        <f>'Billing Detail'!D20</f>
        <v>Customer Charge</v>
      </c>
      <c r="F13" s="48">
        <f>'Billing Detail'!H20</f>
        <v>20</v>
      </c>
      <c r="G13" s="48">
        <f>'Billing Detail'!L20</f>
        <v>20.79</v>
      </c>
      <c r="J13" s="4">
        <f t="shared" si="0"/>
        <v>3.9499999999999869E-2</v>
      </c>
    </row>
    <row r="14" spans="1:10" x14ac:dyDescent="0.25">
      <c r="D14" s="74"/>
      <c r="E14" s="2" t="str">
        <f>'Billing Detail'!D21</f>
        <v>Energy Charge - On Peak per kWh</v>
      </c>
      <c r="F14" s="49">
        <f>'Billing Detail'!H21</f>
        <v>9.758E-2</v>
      </c>
      <c r="G14" s="49">
        <f>'Billing Detail'!L21</f>
        <v>0.10143000000000001</v>
      </c>
      <c r="J14" s="4">
        <f t="shared" si="0"/>
        <v>3.9454806312769097E-2</v>
      </c>
    </row>
    <row r="15" spans="1:10" x14ac:dyDescent="0.25">
      <c r="D15" s="74"/>
      <c r="E15" s="2" t="str">
        <f>'Billing Detail'!D22</f>
        <v>Energy Charge - Off Peak per kWh</v>
      </c>
      <c r="F15" s="49">
        <f>'Billing Detail'!H22</f>
        <v>5.5919999999999997E-2</v>
      </c>
      <c r="G15" s="49">
        <f>'Billing Detail'!L22</f>
        <v>5.8130000000000001E-2</v>
      </c>
      <c r="J15" s="4">
        <f t="shared" si="0"/>
        <v>3.9520743919885692E-2</v>
      </c>
    </row>
    <row r="16" spans="1:10" x14ac:dyDescent="0.25">
      <c r="C16" s="10" t="str">
        <f>'Billing Detail'!C32</f>
        <v>C1</v>
      </c>
      <c r="D16" s="74" t="str">
        <f>'Billing Detail'!B32</f>
        <v>Sch II - Small Commercial  Small Power</v>
      </c>
      <c r="F16" s="49"/>
      <c r="G16" s="49"/>
      <c r="J16" s="4"/>
    </row>
    <row r="17" spans="3:10" x14ac:dyDescent="0.25">
      <c r="D17" s="74"/>
      <c r="E17" s="2" t="str">
        <f>'Billing Detail'!D33</f>
        <v>Customer Charge</v>
      </c>
      <c r="F17" s="48">
        <f>'Billing Detail'!H33</f>
        <v>19</v>
      </c>
      <c r="G17" s="48">
        <f>'Billing Detail'!L33</f>
        <v>19.75</v>
      </c>
      <c r="J17" s="4">
        <f t="shared" si="0"/>
        <v>3.9473684210526327E-2</v>
      </c>
    </row>
    <row r="18" spans="3:10" x14ac:dyDescent="0.25">
      <c r="D18" s="74"/>
      <c r="E18" s="2" t="str">
        <f>'Billing Detail'!D34</f>
        <v>Energy Charge - First 3000 per kWh</v>
      </c>
      <c r="F18" s="49">
        <f>'Billing Detail'!H34</f>
        <v>8.2320000000000004E-2</v>
      </c>
      <c r="G18" s="49">
        <f>'Billing Detail'!L34</f>
        <v>8.5569999999999993E-2</v>
      </c>
      <c r="J18" s="4">
        <f t="shared" si="0"/>
        <v>3.9480077745383646E-2</v>
      </c>
    </row>
    <row r="19" spans="3:10" x14ac:dyDescent="0.25">
      <c r="D19" s="74"/>
      <c r="E19" s="2" t="str">
        <f>'Billing Detail'!D35</f>
        <v>Energy Charge - Over 3000 per kWh</v>
      </c>
      <c r="F19" s="49">
        <f>'Billing Detail'!H35</f>
        <v>7.8899999999999998E-2</v>
      </c>
      <c r="G19" s="49">
        <f>'Billing Detail'!L35</f>
        <v>8.201E-2</v>
      </c>
      <c r="J19" s="4">
        <f t="shared" si="0"/>
        <v>3.9416983523447469E-2</v>
      </c>
    </row>
    <row r="20" spans="3:10" x14ac:dyDescent="0.25">
      <c r="C20" s="10" t="str">
        <f>'Billing Detail'!C45</f>
        <v>C2</v>
      </c>
      <c r="D20" s="74" t="str">
        <f>'Billing Detail'!B45</f>
        <v>Sch II - Small Commercial  Small Power</v>
      </c>
      <c r="F20" s="48"/>
      <c r="G20" s="48"/>
      <c r="J20" s="4"/>
    </row>
    <row r="21" spans="3:10" x14ac:dyDescent="0.25">
      <c r="D21" s="74"/>
      <c r="E21" s="2" t="str">
        <f>'Billing Detail'!D46</f>
        <v>Customer Charge</v>
      </c>
      <c r="F21" s="48">
        <f>'Billing Detail'!H46</f>
        <v>25.25</v>
      </c>
      <c r="G21" s="48">
        <f>'Billing Detail'!L46</f>
        <v>26.25</v>
      </c>
      <c r="J21" s="4">
        <f t="shared" si="0"/>
        <v>3.9603960396039639E-2</v>
      </c>
    </row>
    <row r="22" spans="3:10" x14ac:dyDescent="0.25">
      <c r="D22" s="74"/>
      <c r="E22" s="2" t="str">
        <f>'Billing Detail'!D47</f>
        <v>Energy Charge - First 3000 per kWh</v>
      </c>
      <c r="F22" s="49">
        <f>'Billing Detail'!H47</f>
        <v>8.7919999999999998E-2</v>
      </c>
      <c r="G22" s="49">
        <f>'Billing Detail'!L47</f>
        <v>9.1389999999999999E-2</v>
      </c>
      <c r="J22" s="4">
        <f t="shared" ref="J22:J24" si="1">G22/F22-1</f>
        <v>3.9467697907188404E-2</v>
      </c>
    </row>
    <row r="23" spans="3:10" x14ac:dyDescent="0.25">
      <c r="D23" s="74"/>
      <c r="E23" s="2" t="str">
        <f>'Billing Detail'!D48</f>
        <v>Energy Charge - Over 3000 per kWh</v>
      </c>
      <c r="F23" s="49">
        <f>'Billing Detail'!H48</f>
        <v>8.4309999999999996E-2</v>
      </c>
      <c r="G23" s="49">
        <f>'Billing Detail'!L48</f>
        <v>8.7639999999999996E-2</v>
      </c>
      <c r="J23" s="4">
        <f t="shared" si="1"/>
        <v>3.9497094057644455E-2</v>
      </c>
    </row>
    <row r="24" spans="3:10" x14ac:dyDescent="0.25">
      <c r="D24" s="74"/>
      <c r="E24" s="2" t="str">
        <f>'Billing Detail'!D49</f>
        <v>Demand Charge per kW</v>
      </c>
      <c r="F24" s="48">
        <f>'Billing Detail'!H49</f>
        <v>4.22</v>
      </c>
      <c r="G24" s="48">
        <f>'Billing Detail'!L49</f>
        <v>4.3899999999999997</v>
      </c>
      <c r="J24" s="4">
        <f t="shared" si="1"/>
        <v>4.0284360189573487E-2</v>
      </c>
    </row>
    <row r="25" spans="3:10" x14ac:dyDescent="0.25">
      <c r="C25" s="10" t="str">
        <f>'Billing Detail'!C59</f>
        <v>IB</v>
      </c>
      <c r="D25" s="74" t="str">
        <f>'Billing Detail'!B59</f>
        <v>Sch VII - Inclining Block Rate</v>
      </c>
      <c r="F25" s="49"/>
      <c r="G25" s="49"/>
      <c r="J25" s="4"/>
    </row>
    <row r="26" spans="3:10" x14ac:dyDescent="0.25">
      <c r="D26" s="74"/>
      <c r="E26" s="2" t="str">
        <f>'Billing Detail'!D60</f>
        <v>Customer Charge</v>
      </c>
      <c r="F26" s="48">
        <f>'Billing Detail'!H60</f>
        <v>9.9</v>
      </c>
      <c r="G26" s="48">
        <f>'Billing Detail'!L60</f>
        <v>10.29</v>
      </c>
      <c r="J26" s="4">
        <f t="shared" si="0"/>
        <v>3.9393939393939315E-2</v>
      </c>
    </row>
    <row r="27" spans="3:10" x14ac:dyDescent="0.25">
      <c r="D27" s="74"/>
      <c r="E27" s="2" t="str">
        <f>'Billing Detail'!D61</f>
        <v>Energy Charge - First 200 per kWh</v>
      </c>
      <c r="F27" s="49">
        <f>'Billing Detail'!H61</f>
        <v>8.4339999999999998E-2</v>
      </c>
      <c r="G27" s="49">
        <f>'Billing Detail'!L61</f>
        <v>8.7669999999999998E-2</v>
      </c>
      <c r="J27" s="4">
        <f t="shared" ref="J27:J29" si="2">G27/F27-1</f>
        <v>3.948304481859144E-2</v>
      </c>
    </row>
    <row r="28" spans="3:10" x14ac:dyDescent="0.25">
      <c r="D28" s="74"/>
      <c r="E28" s="2" t="str">
        <f>'Billing Detail'!D62</f>
        <v>Energy Charge - Next 300 per kWh</v>
      </c>
      <c r="F28" s="49">
        <f>'Billing Detail'!H62</f>
        <v>8.9340000000000003E-2</v>
      </c>
      <c r="G28" s="49">
        <f>'Billing Detail'!L62</f>
        <v>9.2869999999999994E-2</v>
      </c>
      <c r="J28" s="4">
        <f t="shared" si="2"/>
        <v>3.9511976718155317E-2</v>
      </c>
    </row>
    <row r="29" spans="3:10" x14ac:dyDescent="0.25">
      <c r="D29" s="74"/>
      <c r="E29" s="2" t="str">
        <f>'Billing Detail'!D63</f>
        <v>Energy Charge - Over 500 per kWh</v>
      </c>
      <c r="F29" s="49">
        <f>'Billing Detail'!H63</f>
        <v>9.4339999999999993E-2</v>
      </c>
      <c r="G29" s="49">
        <f>'Billing Detail'!L63</f>
        <v>9.8059999999999994E-2</v>
      </c>
      <c r="J29" s="4">
        <f t="shared" si="2"/>
        <v>3.9431842272630968E-2</v>
      </c>
    </row>
    <row r="30" spans="3:10" x14ac:dyDescent="0.25">
      <c r="C30" s="10" t="str">
        <f>'Billing Detail'!C73</f>
        <v>E1</v>
      </c>
      <c r="D30" s="74" t="str">
        <f>'Billing Detail'!B73</f>
        <v>Sch III - All 3Phase Schools &amp; Churches</v>
      </c>
      <c r="F30" s="48"/>
      <c r="G30" s="48"/>
      <c r="J30" s="4"/>
    </row>
    <row r="31" spans="3:10" x14ac:dyDescent="0.25">
      <c r="D31" s="74"/>
      <c r="E31" s="2" t="str">
        <f>'Billing Detail'!D74</f>
        <v>Customer Charge</v>
      </c>
      <c r="F31" s="48">
        <f>'Billing Detail'!H74</f>
        <v>45</v>
      </c>
      <c r="G31" s="48">
        <f>'Billing Detail'!L74</f>
        <v>46.78</v>
      </c>
      <c r="J31" s="4">
        <f t="shared" si="0"/>
        <v>3.9555555555555566E-2</v>
      </c>
    </row>
    <row r="32" spans="3:10" x14ac:dyDescent="0.25">
      <c r="D32" s="74"/>
      <c r="E32" s="2" t="str">
        <f>'Billing Detail'!D75</f>
        <v>Energy Charge per kWh</v>
      </c>
      <c r="F32" s="49">
        <f>'Billing Detail'!H75</f>
        <v>7.5740000000000002E-2</v>
      </c>
      <c r="G32" s="49">
        <f>'Billing Detail'!L75</f>
        <v>7.8729999999999994E-2</v>
      </c>
      <c r="J32" s="4">
        <f t="shared" si="0"/>
        <v>3.9477158700818471E-2</v>
      </c>
    </row>
    <row r="33" spans="3:10" x14ac:dyDescent="0.25">
      <c r="C33" s="10" t="str">
        <f>'Billing Detail'!C85</f>
        <v>L1</v>
      </c>
      <c r="D33" s="74" t="str">
        <f>'Billing Detail'!B85</f>
        <v>Sch IV-A - Large Power 50-2500 kW</v>
      </c>
      <c r="F33" s="48"/>
      <c r="G33" s="48"/>
      <c r="J33" s="4"/>
    </row>
    <row r="34" spans="3:10" x14ac:dyDescent="0.25">
      <c r="D34" s="74"/>
      <c r="E34" s="2" t="str">
        <f>'Billing Detail'!D86</f>
        <v>Customer Charge</v>
      </c>
      <c r="F34" s="58">
        <f>'Billing Detail'!H86</f>
        <v>65</v>
      </c>
      <c r="G34" s="58">
        <f>'Billing Detail'!L86</f>
        <v>67.569999999999993</v>
      </c>
      <c r="J34" s="4">
        <f t="shared" si="0"/>
        <v>3.9538461538461522E-2</v>
      </c>
    </row>
    <row r="35" spans="3:10" x14ac:dyDescent="0.25">
      <c r="D35" s="74"/>
      <c r="E35" s="2" t="str">
        <f>'Billing Detail'!D87</f>
        <v>Energy Charge per kWh</v>
      </c>
      <c r="F35" s="49">
        <f>'Billing Detail'!H87</f>
        <v>5.67E-2</v>
      </c>
      <c r="G35" s="49">
        <f>'Billing Detail'!L87</f>
        <v>5.8939999999999999E-2</v>
      </c>
      <c r="J35" s="4">
        <f t="shared" si="0"/>
        <v>3.9506172839506082E-2</v>
      </c>
    </row>
    <row r="36" spans="3:10" x14ac:dyDescent="0.25">
      <c r="D36" s="74"/>
      <c r="E36" s="2" t="str">
        <f>'Billing Detail'!D88</f>
        <v>Demand Charge per kW</v>
      </c>
      <c r="F36" s="48">
        <f>'Billing Detail'!H88</f>
        <v>4.22</v>
      </c>
      <c r="G36" s="48">
        <f>'Billing Detail'!L88</f>
        <v>4.3865600000000002</v>
      </c>
      <c r="J36" s="4">
        <f t="shared" si="0"/>
        <v>3.9469194312796274E-2</v>
      </c>
    </row>
    <row r="37" spans="3:10" x14ac:dyDescent="0.25">
      <c r="C37" s="10" t="str">
        <f>'Billing Detail'!C98</f>
        <v>VI</v>
      </c>
      <c r="D37" s="74" t="str">
        <f>'Billing Detail'!B98</f>
        <v>Lighting</v>
      </c>
      <c r="F37" s="48"/>
      <c r="G37" s="48"/>
      <c r="J37" s="4"/>
    </row>
    <row r="38" spans="3:10" x14ac:dyDescent="0.25">
      <c r="D38" s="74"/>
      <c r="E38" s="2" t="s">
        <v>106</v>
      </c>
      <c r="F38" s="48">
        <v>9.0299999999999994</v>
      </c>
      <c r="G38" s="48">
        <f>'Billing Detail'!L99</f>
        <v>9.39</v>
      </c>
      <c r="J38" s="4">
        <f t="shared" si="0"/>
        <v>3.9867109634551534E-2</v>
      </c>
    </row>
    <row r="39" spans="3:10" x14ac:dyDescent="0.25">
      <c r="D39" s="2"/>
      <c r="E39" s="2" t="s">
        <v>107</v>
      </c>
      <c r="F39" s="48">
        <v>13.29</v>
      </c>
      <c r="G39" s="48">
        <f>'Billing Detail'!L100</f>
        <v>13.81</v>
      </c>
      <c r="J39" s="4">
        <f t="shared" ref="J39:J47" si="3">G39/F39-1</f>
        <v>3.9127163280662236E-2</v>
      </c>
    </row>
    <row r="40" spans="3:10" x14ac:dyDescent="0.25">
      <c r="D40" s="2"/>
      <c r="E40" s="2" t="s">
        <v>108</v>
      </c>
      <c r="F40" s="48">
        <v>9.0500000000000007</v>
      </c>
      <c r="G40" s="48">
        <f>'Billing Detail'!L102</f>
        <v>9.41</v>
      </c>
      <c r="J40" s="4">
        <f t="shared" si="3"/>
        <v>3.977900552486191E-2</v>
      </c>
    </row>
    <row r="41" spans="3:10" x14ac:dyDescent="0.25">
      <c r="D41" s="2"/>
      <c r="E41" s="2" t="s">
        <v>109</v>
      </c>
      <c r="F41" s="48">
        <v>10.23</v>
      </c>
      <c r="G41" s="48">
        <f>'Billing Detail'!L101</f>
        <v>10.633765769516287</v>
      </c>
      <c r="J41" s="4">
        <f t="shared" si="3"/>
        <v>3.9468794674123897E-2</v>
      </c>
    </row>
    <row r="42" spans="3:10" x14ac:dyDescent="0.25">
      <c r="D42" s="2"/>
      <c r="E42" s="2" t="s">
        <v>110</v>
      </c>
      <c r="F42" s="48">
        <v>11.04</v>
      </c>
      <c r="G42" s="48">
        <f>'Billing Detail'!L103</f>
        <v>11.48</v>
      </c>
      <c r="J42" s="4">
        <f t="shared" si="3"/>
        <v>3.9855072463768293E-2</v>
      </c>
    </row>
    <row r="43" spans="3:10" x14ac:dyDescent="0.25">
      <c r="D43" s="2"/>
      <c r="E43" s="2" t="s">
        <v>111</v>
      </c>
      <c r="F43" s="48">
        <v>17.43</v>
      </c>
      <c r="G43" s="48">
        <f>'Billing Detail'!L106</f>
        <v>18.12</v>
      </c>
      <c r="J43" s="4">
        <f t="shared" si="3"/>
        <v>3.9586919104991569E-2</v>
      </c>
    </row>
    <row r="44" spans="3:10" x14ac:dyDescent="0.25">
      <c r="D44" s="2"/>
      <c r="E44" s="2" t="s">
        <v>112</v>
      </c>
      <c r="F44" s="48">
        <v>17.43</v>
      </c>
      <c r="G44" s="48">
        <f>'Billing Detail'!L105</f>
        <v>18.12</v>
      </c>
      <c r="J44" s="4">
        <f t="shared" si="3"/>
        <v>3.9586919104991569E-2</v>
      </c>
    </row>
    <row r="45" spans="3:10" x14ac:dyDescent="0.25">
      <c r="D45" s="2"/>
      <c r="E45" s="2" t="s">
        <v>113</v>
      </c>
      <c r="F45" s="48">
        <v>8.94</v>
      </c>
      <c r="G45" s="48">
        <f>'Billing Detail'!L107</f>
        <v>9.2899999999999991</v>
      </c>
      <c r="J45" s="4">
        <f t="shared" si="3"/>
        <v>3.9149888143176659E-2</v>
      </c>
    </row>
    <row r="46" spans="3:10" x14ac:dyDescent="0.25">
      <c r="D46" s="2"/>
      <c r="E46" s="2" t="s">
        <v>114</v>
      </c>
      <c r="F46" s="48">
        <v>15.18</v>
      </c>
      <c r="G46" s="48">
        <f>'Billing Detail'!L108</f>
        <v>15.78</v>
      </c>
      <c r="J46" s="4">
        <f t="shared" si="3"/>
        <v>3.9525691699604737E-2</v>
      </c>
    </row>
    <row r="47" spans="3:10" x14ac:dyDescent="0.25">
      <c r="D47" s="2"/>
      <c r="E47" s="2" t="s">
        <v>115</v>
      </c>
      <c r="F47" s="48">
        <v>18.61</v>
      </c>
      <c r="G47" s="48">
        <f>'Billing Detail'!L109</f>
        <v>19.34</v>
      </c>
      <c r="J47" s="4">
        <f t="shared" si="3"/>
        <v>3.9226222461042459E-2</v>
      </c>
    </row>
    <row r="48" spans="3:10" x14ac:dyDescent="0.25">
      <c r="C48" s="10" t="str">
        <f>'Billing Detail'!C131</f>
        <v>V</v>
      </c>
      <c r="D48" s="2" t="str">
        <f>'Billing Detail'!B131</f>
        <v>Sch V - Large Power 1000-2500 kW</v>
      </c>
      <c r="F48" s="48"/>
      <c r="G48" s="48"/>
      <c r="J48" s="4"/>
    </row>
    <row r="49" spans="3:10" x14ac:dyDescent="0.25">
      <c r="D49" s="2"/>
      <c r="E49" s="2" t="str">
        <f>'Billing Detail'!D132</f>
        <v>Consumer Charge</v>
      </c>
      <c r="F49" s="48">
        <f>'Billing Detail'!H132</f>
        <v>614.47</v>
      </c>
      <c r="G49" s="48">
        <f>'Billing Detail'!L132</f>
        <v>638.71646637560241</v>
      </c>
      <c r="J49" s="4">
        <f t="shared" ref="J49:J61" si="4">G49/F49-1</f>
        <v>3.9459154028028021E-2</v>
      </c>
    </row>
    <row r="50" spans="3:10" x14ac:dyDescent="0.25">
      <c r="D50" s="2"/>
      <c r="E50" s="2" t="str">
        <f>'Billing Detail'!D133</f>
        <v>Demand Charge - Contract per kW</v>
      </c>
      <c r="F50" s="58">
        <f>'Billing Detail'!H133</f>
        <v>6.19</v>
      </c>
      <c r="G50" s="58">
        <f>'Billing Detail'!L133</f>
        <v>6.4342521634334942</v>
      </c>
      <c r="J50" s="4">
        <f t="shared" si="4"/>
        <v>3.9459154028028021E-2</v>
      </c>
    </row>
    <row r="51" spans="3:10" x14ac:dyDescent="0.25">
      <c r="D51" s="2"/>
      <c r="E51" s="2" t="str">
        <f>'Billing Detail'!D134</f>
        <v>Demand Charge - Excess per kW</v>
      </c>
      <c r="F51" s="58">
        <f>'Billing Detail'!H134</f>
        <v>8.98</v>
      </c>
      <c r="G51" s="58">
        <f>'Billing Detail'!L134</f>
        <v>9.3343432031716915</v>
      </c>
      <c r="J51" s="4">
        <f t="shared" si="4"/>
        <v>3.9459154028028021E-2</v>
      </c>
    </row>
    <row r="52" spans="3:10" x14ac:dyDescent="0.25">
      <c r="D52" s="2"/>
      <c r="E52" s="2" t="str">
        <f>'Billing Detail'!D135</f>
        <v>Energy Charge per kWh</v>
      </c>
      <c r="F52" s="49">
        <f>'Billing Detail'!H135</f>
        <v>5.2310000000000002E-2</v>
      </c>
      <c r="G52" s="49">
        <f>'Billing Detail'!L135</f>
        <v>5.437410834720615E-2</v>
      </c>
      <c r="J52" s="4">
        <f t="shared" si="4"/>
        <v>3.9459154028028021E-2</v>
      </c>
    </row>
    <row r="53" spans="3:10" x14ac:dyDescent="0.25">
      <c r="C53" s="10" t="str">
        <f>'Billing Detail'!C136</f>
        <v>V-A</v>
      </c>
      <c r="D53" s="2" t="str">
        <f>'Billing Detail'!B136</f>
        <v xml:space="preserve">Sch V-A - Large Power </v>
      </c>
      <c r="F53" s="48"/>
      <c r="G53" s="48"/>
      <c r="J53" s="4"/>
    </row>
    <row r="54" spans="3:10" x14ac:dyDescent="0.25">
      <c r="D54" s="2"/>
      <c r="E54" s="2" t="str">
        <f>'Billing Detail'!D137</f>
        <v>Consumer Charge</v>
      </c>
      <c r="F54" s="48">
        <f>'Billing Detail'!H137</f>
        <v>1227.79</v>
      </c>
      <c r="G54" s="48">
        <f>'Billing Detail'!L137</f>
        <v>1276.2375547240724</v>
      </c>
      <c r="J54" s="4">
        <f t="shared" si="4"/>
        <v>3.9459154028028021E-2</v>
      </c>
    </row>
    <row r="55" spans="3:10" x14ac:dyDescent="0.25">
      <c r="D55" s="2"/>
      <c r="E55" s="2" t="str">
        <f>'Billing Detail'!D138</f>
        <v>Demand Charge - Contract per kW</v>
      </c>
      <c r="F55" s="48">
        <f>'Billing Detail'!H138</f>
        <v>6.19</v>
      </c>
      <c r="G55" s="48">
        <f>'Billing Detail'!L138</f>
        <v>6.4342521634334942</v>
      </c>
      <c r="J55" s="4">
        <f t="shared" si="4"/>
        <v>3.9459154028028021E-2</v>
      </c>
    </row>
    <row r="56" spans="3:10" x14ac:dyDescent="0.25">
      <c r="D56" s="2"/>
      <c r="E56" s="2" t="str">
        <f>'Billing Detail'!D139</f>
        <v>Demand Charge - Excess per kW</v>
      </c>
      <c r="F56" s="48">
        <f>'Billing Detail'!H139</f>
        <v>8.98</v>
      </c>
      <c r="G56" s="48">
        <f>'Billing Detail'!L139</f>
        <v>9.3343432031716915</v>
      </c>
      <c r="J56" s="4">
        <f t="shared" si="4"/>
        <v>3.9459154028028021E-2</v>
      </c>
    </row>
    <row r="57" spans="3:10" x14ac:dyDescent="0.25">
      <c r="D57" s="2"/>
      <c r="E57" s="2" t="str">
        <f>'Billing Detail'!D140</f>
        <v>Energy Charge per kWh</v>
      </c>
      <c r="F57" s="49">
        <f>'Billing Detail'!H140</f>
        <v>4.4999999999999998E-2</v>
      </c>
      <c r="G57" s="49">
        <f>'Billing Detail'!L140</f>
        <v>4.6775661931261259E-2</v>
      </c>
      <c r="J57" s="4">
        <f t="shared" si="4"/>
        <v>3.9459154028028021E-2</v>
      </c>
    </row>
    <row r="58" spans="3:10" x14ac:dyDescent="0.25">
      <c r="C58" s="10" t="str">
        <f>'Billing Detail'!C141</f>
        <v>P1</v>
      </c>
      <c r="D58" s="2" t="str">
        <f>'Billing Detail'!B141</f>
        <v>Sch IV - Large Power Industrial</v>
      </c>
      <c r="F58" s="48"/>
      <c r="G58" s="48"/>
      <c r="J58" s="4"/>
    </row>
    <row r="59" spans="3:10" x14ac:dyDescent="0.25">
      <c r="D59" s="2"/>
      <c r="E59" s="2" t="str">
        <f>'Billing Detail'!D142</f>
        <v>Customer Charge</v>
      </c>
      <c r="F59" s="48">
        <f>'Billing Detail'!H142</f>
        <v>100</v>
      </c>
      <c r="G59" s="48">
        <f>'Billing Detail'!L142</f>
        <v>103.9459154028028</v>
      </c>
      <c r="J59" s="4">
        <f t="shared" si="4"/>
        <v>3.9459154028028021E-2</v>
      </c>
    </row>
    <row r="60" spans="3:10" x14ac:dyDescent="0.25">
      <c r="D60" s="2"/>
      <c r="E60" s="2" t="str">
        <f>'Billing Detail'!D143</f>
        <v>Demand Charge per kW</v>
      </c>
      <c r="F60" s="48">
        <f>'Billing Detail'!H143</f>
        <v>6.55</v>
      </c>
      <c r="G60" s="48">
        <f>'Billing Detail'!L143</f>
        <v>6.8084574588835833</v>
      </c>
      <c r="J60" s="4">
        <f t="shared" si="4"/>
        <v>3.9459154028028021E-2</v>
      </c>
    </row>
    <row r="61" spans="3:10" x14ac:dyDescent="0.25">
      <c r="D61" s="2"/>
      <c r="E61" s="2" t="str">
        <f>'Billing Detail'!D144</f>
        <v>Energy Charge per kWh</v>
      </c>
      <c r="F61" s="49">
        <f>'Billing Detail'!H144</f>
        <v>4.7039999999999998E-2</v>
      </c>
      <c r="G61" s="49">
        <f>'Billing Detail'!L144</f>
        <v>4.8896158605478433E-2</v>
      </c>
      <c r="J61" s="4">
        <f t="shared" si="4"/>
        <v>3.9459154028028021E-2</v>
      </c>
    </row>
    <row r="63" spans="3:10" x14ac:dyDescent="0.25">
      <c r="F63" s="48"/>
      <c r="G63" s="48"/>
    </row>
    <row r="64" spans="3:10" x14ac:dyDescent="0.25">
      <c r="F64" s="48"/>
      <c r="G64" s="48"/>
    </row>
    <row r="65" spans="3:8" x14ac:dyDescent="0.25">
      <c r="F65" s="48"/>
      <c r="G65" s="48"/>
    </row>
    <row r="66" spans="3:8" ht="41.4" customHeight="1" x14ac:dyDescent="0.25">
      <c r="C66" s="140" t="s">
        <v>55</v>
      </c>
      <c r="D66" s="140"/>
      <c r="E66" s="140"/>
      <c r="F66" s="140"/>
      <c r="G66" s="140"/>
    </row>
    <row r="67" spans="3:8" x14ac:dyDescent="0.25">
      <c r="D67" s="2"/>
      <c r="F67" s="141" t="s">
        <v>56</v>
      </c>
      <c r="G67" s="141"/>
    </row>
    <row r="68" spans="3:8" x14ac:dyDescent="0.25">
      <c r="C68" s="70" t="s">
        <v>57</v>
      </c>
      <c r="D68" s="59"/>
      <c r="E68" s="60"/>
      <c r="F68" s="61" t="s">
        <v>58</v>
      </c>
      <c r="G68" s="61" t="s">
        <v>59</v>
      </c>
    </row>
    <row r="69" spans="3:8" x14ac:dyDescent="0.25">
      <c r="C69" s="71" t="str">
        <f>Summary!C8</f>
        <v>R1</v>
      </c>
      <c r="D69" s="3" t="str">
        <f>Summary!B8</f>
        <v>Sch I - Residential, Schools &amp; Churches</v>
      </c>
      <c r="F69" s="62">
        <f>Summary!L8</f>
        <v>1134659.8412799994</v>
      </c>
      <c r="G69" s="63">
        <f>Summary!N8</f>
        <v>3.6551951986754795E-2</v>
      </c>
    </row>
    <row r="70" spans="3:8" x14ac:dyDescent="0.25">
      <c r="C70" s="71" t="str">
        <f>Summary!C9</f>
        <v>TOD</v>
      </c>
      <c r="D70" s="3" t="str">
        <f>Summary!B9</f>
        <v>Sch I - Res TOD</v>
      </c>
      <c r="F70" s="62">
        <f>Summary!L9</f>
        <v>391.19414000000097</v>
      </c>
      <c r="G70" s="63">
        <f>Summary!N9</f>
        <v>3.6615448536996761E-2</v>
      </c>
      <c r="H70" s="1"/>
    </row>
    <row r="71" spans="3:8" x14ac:dyDescent="0.25">
      <c r="C71" s="71" t="str">
        <f>Summary!C10</f>
        <v>C1</v>
      </c>
      <c r="D71" s="3" t="str">
        <f>Summary!B10</f>
        <v>Sch II - Small Commercial  Small Power</v>
      </c>
      <c r="F71" s="62">
        <f>Summary!L10</f>
        <v>58697.672709999839</v>
      </c>
      <c r="G71" s="63">
        <f>Summary!N10</f>
        <v>3.6420024036128214E-2</v>
      </c>
      <c r="H71" s="1"/>
    </row>
    <row r="72" spans="3:8" x14ac:dyDescent="0.25">
      <c r="C72" s="71" t="str">
        <f>Summary!C11</f>
        <v>C2</v>
      </c>
      <c r="D72" s="3" t="str">
        <f>Summary!B11</f>
        <v>Sch II - Small Commercial  Small Power</v>
      </c>
      <c r="F72" s="62">
        <f>Summary!L11</f>
        <v>41727.95166881528</v>
      </c>
      <c r="G72" s="63">
        <f>Summary!N11</f>
        <v>3.5549923847549458E-2</v>
      </c>
      <c r="H72" s="1"/>
    </row>
    <row r="73" spans="3:8" x14ac:dyDescent="0.25">
      <c r="C73" s="71" t="str">
        <f>Summary!C12</f>
        <v>IB</v>
      </c>
      <c r="D73" s="3" t="str">
        <f>Summary!B12</f>
        <v>Sch VII - Inclining Block Rate</v>
      </c>
      <c r="F73" s="62">
        <f>Summary!L12</f>
        <v>141.62354999999968</v>
      </c>
      <c r="G73" s="63">
        <f>Summary!N12</f>
        <v>3.5306289340427718E-2</v>
      </c>
      <c r="H73" s="1"/>
    </row>
    <row r="74" spans="3:8" x14ac:dyDescent="0.25">
      <c r="C74" s="71" t="str">
        <f>Summary!C13</f>
        <v>E1</v>
      </c>
      <c r="D74" s="3" t="str">
        <f>Summary!B13</f>
        <v>Sch III - All 3Phase Schools &amp; Churches</v>
      </c>
      <c r="F74" s="62">
        <f>Summary!L13</f>
        <v>44467.512249999811</v>
      </c>
      <c r="G74" s="63">
        <f>Summary!N13</f>
        <v>3.7044819888137327E-2</v>
      </c>
      <c r="H74" s="1"/>
    </row>
    <row r="75" spans="3:8" x14ac:dyDescent="0.25">
      <c r="C75" s="71" t="str">
        <f>Summary!C14</f>
        <v>L1</v>
      </c>
      <c r="D75" s="3" t="str">
        <f>Summary!B14</f>
        <v>Sch IV-A - Large Power 50-2500 kW</v>
      </c>
      <c r="F75" s="62">
        <f>Summary!L14</f>
        <v>224405.04073592392</v>
      </c>
      <c r="G75" s="63">
        <f>Summary!N14</f>
        <v>3.7791247104394479E-2</v>
      </c>
      <c r="H75" s="1"/>
    </row>
    <row r="76" spans="3:8" x14ac:dyDescent="0.25">
      <c r="C76" s="71" t="str">
        <f>Summary!C15</f>
        <v>VI</v>
      </c>
      <c r="D76" s="3" t="str">
        <f>Summary!B15</f>
        <v>Lighting</v>
      </c>
      <c r="F76" s="62">
        <f>Summary!L15</f>
        <v>61081.629999999888</v>
      </c>
      <c r="G76" s="63">
        <f>Summary!N15</f>
        <v>3.9592051997470332E-2</v>
      </c>
      <c r="H76" s="1"/>
    </row>
    <row r="77" spans="3:8" x14ac:dyDescent="0.25">
      <c r="C77" s="75" t="s">
        <v>60</v>
      </c>
      <c r="D77" s="64"/>
      <c r="E77" s="64"/>
      <c r="F77" s="65">
        <f>Summary!L27</f>
        <v>1565572.4663347378</v>
      </c>
      <c r="G77" s="66">
        <f>Summary!N27</f>
        <v>3.6816455194502606E-2</v>
      </c>
    </row>
    <row r="78" spans="3:8" x14ac:dyDescent="0.25">
      <c r="C78" s="71"/>
      <c r="D78" s="2"/>
      <c r="F78" s="67"/>
      <c r="G78" s="68"/>
    </row>
    <row r="79" spans="3:8" x14ac:dyDescent="0.25">
      <c r="D79" s="2"/>
    </row>
    <row r="80" spans="3:8" ht="40.200000000000003" customHeight="1" x14ac:dyDescent="0.25">
      <c r="C80" s="140" t="s">
        <v>61</v>
      </c>
      <c r="D80" s="140"/>
      <c r="E80" s="140"/>
      <c r="F80" s="140"/>
      <c r="G80" s="140"/>
      <c r="H80" s="140"/>
    </row>
    <row r="81" spans="3:7" x14ac:dyDescent="0.25">
      <c r="D81" s="2"/>
      <c r="E81" s="69" t="s">
        <v>18</v>
      </c>
      <c r="F81" s="141" t="s">
        <v>56</v>
      </c>
      <c r="G81" s="141"/>
    </row>
    <row r="82" spans="3:7" x14ac:dyDescent="0.25">
      <c r="C82" s="70" t="s">
        <v>57</v>
      </c>
      <c r="D82" s="60"/>
      <c r="E82" s="70" t="s">
        <v>62</v>
      </c>
      <c r="F82" s="61" t="s">
        <v>58</v>
      </c>
      <c r="G82" s="61" t="s">
        <v>59</v>
      </c>
    </row>
    <row r="83" spans="3:7" x14ac:dyDescent="0.25">
      <c r="C83" s="10" t="str">
        <f>Summary!C8</f>
        <v>R1</v>
      </c>
      <c r="D83" s="78" t="str">
        <f>Summary!B8</f>
        <v>Sch I - Residential, Schools &amp; Churches</v>
      </c>
      <c r="E83" s="72">
        <f>'Billing Detail'!E17</f>
        <v>1111.1076397382296</v>
      </c>
      <c r="F83" s="48">
        <f>'Billing Detail'!N17</f>
        <v>4.269988752751857</v>
      </c>
      <c r="G83" s="4">
        <f>Summary!N8</f>
        <v>3.6551951986754795E-2</v>
      </c>
    </row>
    <row r="84" spans="3:7" x14ac:dyDescent="0.25">
      <c r="C84" s="10" t="str">
        <f>Summary!C9</f>
        <v>TOD</v>
      </c>
      <c r="D84" s="78" t="str">
        <f>Summary!B9</f>
        <v>Sch I - Res TOD</v>
      </c>
      <c r="E84" s="73">
        <f>'Billing Detail'!E30</f>
        <v>719.04166666666663</v>
      </c>
      <c r="F84" s="48">
        <f>'Billing Detail'!N30</f>
        <v>2.7166259722222179</v>
      </c>
      <c r="G84" s="4">
        <f>Summary!N9</f>
        <v>3.6615448536996761E-2</v>
      </c>
    </row>
    <row r="85" spans="3:7" x14ac:dyDescent="0.25">
      <c r="C85" s="10" t="str">
        <f>Summary!C10</f>
        <v>C1</v>
      </c>
      <c r="D85" s="78" t="str">
        <f>Summary!B10</f>
        <v>Sch II - Small Commercial  Small Power</v>
      </c>
      <c r="E85" s="72">
        <f>'Billing Detail'!E43</f>
        <v>899.37980023574664</v>
      </c>
      <c r="F85" s="48">
        <f>'Billing Detail'!N43</f>
        <v>3.6415207339164795</v>
      </c>
      <c r="G85" s="4">
        <f>Summary!N10</f>
        <v>3.6420024036128214E-2</v>
      </c>
    </row>
    <row r="86" spans="3:7" x14ac:dyDescent="0.25">
      <c r="C86" s="10" t="str">
        <f>Summary!C11</f>
        <v>C2</v>
      </c>
      <c r="D86" s="78" t="str">
        <f>Summary!B11</f>
        <v>Sch II - Small Commercial  Small Power</v>
      </c>
      <c r="E86" s="72">
        <f>'Billing Detail'!E57</f>
        <v>4904.5889935547839</v>
      </c>
      <c r="F86" s="48">
        <f>'Billing Detail'!N57</f>
        <v>20.688126756973475</v>
      </c>
      <c r="G86" s="4">
        <f>Summary!N11</f>
        <v>3.5549923847549458E-2</v>
      </c>
    </row>
    <row r="87" spans="3:7" x14ac:dyDescent="0.25">
      <c r="C87" s="10" t="str">
        <f>Summary!C12</f>
        <v>IB</v>
      </c>
      <c r="D87" s="78" t="str">
        <f>Summary!B12</f>
        <v>Sch VII - Inclining Block Rate</v>
      </c>
      <c r="E87" s="72">
        <f>'Billing Detail'!E71</f>
        <v>45.903846153846153</v>
      </c>
      <c r="F87" s="48">
        <f>'Billing Detail'!N71</f>
        <v>0.54470596153845818</v>
      </c>
      <c r="G87" s="4">
        <f>Summary!N12</f>
        <v>3.5306289340427718E-2</v>
      </c>
    </row>
    <row r="88" spans="3:7" x14ac:dyDescent="0.25">
      <c r="C88" s="10" t="str">
        <f>Summary!C13</f>
        <v>E1</v>
      </c>
      <c r="D88" s="78" t="str">
        <f>Summary!B13</f>
        <v>Sch III - All 3Phase Schools &amp; Churches</v>
      </c>
      <c r="E88" s="72">
        <f>'Billing Detail'!E83</f>
        <v>28451.708984375</v>
      </c>
      <c r="F88" s="48">
        <f>'Billing Detail'!N83</f>
        <v>86.850609863281079</v>
      </c>
      <c r="G88" s="4">
        <f>Summary!N13</f>
        <v>3.7044819888137327E-2</v>
      </c>
    </row>
    <row r="89" spans="3:7" x14ac:dyDescent="0.25">
      <c r="C89" s="10" t="str">
        <f>Summary!C14</f>
        <v>L1</v>
      </c>
      <c r="D89" s="78" t="str">
        <f>Summary!B14</f>
        <v>Sch IV-A - Large Power 50-2500 kW</v>
      </c>
      <c r="E89" s="72">
        <f>'Billing Detail'!E96</f>
        <v>102954.53452685422</v>
      </c>
      <c r="F89" s="48">
        <f>'Billing Detail'!N96</f>
        <v>286.96296769299715</v>
      </c>
      <c r="G89" s="4">
        <f>Summary!N14</f>
        <v>3.7791247104394479E-2</v>
      </c>
    </row>
    <row r="90" spans="3:7" x14ac:dyDescent="0.25">
      <c r="C90" s="10" t="str">
        <f>Summary!C15</f>
        <v>VI</v>
      </c>
      <c r="D90" s="78" t="str">
        <f>Summary!B15</f>
        <v>Lighting</v>
      </c>
      <c r="E90" s="73" t="s">
        <v>63</v>
      </c>
      <c r="F90" s="83" t="s">
        <v>63</v>
      </c>
      <c r="G90" s="4">
        <f>Summary!N15</f>
        <v>3.9592051997470332E-2</v>
      </c>
    </row>
  </sheetData>
  <mergeCells count="4">
    <mergeCell ref="C66:G66"/>
    <mergeCell ref="F67:G67"/>
    <mergeCell ref="C80:H80"/>
    <mergeCell ref="F81:G81"/>
  </mergeCells>
  <printOptions horizontalCentered="1"/>
  <pageMargins left="0.7" right="0.7" top="0.75" bottom="0.75" header="0.3" footer="0.3"/>
  <pageSetup paperSize="9" scale="86" orientation="portrait" r:id="rId1"/>
  <headerFooter>
    <oddHeader>&amp;R&amp;"Arial,Bold"&amp;10Exhibit 2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DA595-7D94-4315-9E9B-D8AB64B4EA73}">
  <dimension ref="A1:C5"/>
  <sheetViews>
    <sheetView tabSelected="1" workbookViewId="0">
      <selection activeCell="G13" sqref="G13"/>
    </sheetView>
  </sheetViews>
  <sheetFormatPr defaultRowHeight="14.4" x14ac:dyDescent="0.3"/>
  <sheetData>
    <row r="1" spans="1:3" x14ac:dyDescent="0.3">
      <c r="A1" s="142" t="s">
        <v>121</v>
      </c>
      <c r="B1" s="2"/>
      <c r="C1" s="2"/>
    </row>
    <row r="2" spans="1:3" x14ac:dyDescent="0.3">
      <c r="A2" s="2"/>
      <c r="B2" s="2"/>
      <c r="C2" s="2"/>
    </row>
    <row r="3" spans="1:3" x14ac:dyDescent="0.3">
      <c r="A3" s="10">
        <v>1</v>
      </c>
      <c r="B3" s="2" t="s">
        <v>122</v>
      </c>
      <c r="C3" s="2"/>
    </row>
    <row r="4" spans="1:3" x14ac:dyDescent="0.3">
      <c r="A4" s="2"/>
      <c r="B4" s="2" t="s">
        <v>123</v>
      </c>
      <c r="C4" s="2"/>
    </row>
    <row r="5" spans="1:3" x14ac:dyDescent="0.3">
      <c r="A5" s="2"/>
      <c r="B5" s="2" t="s">
        <v>124</v>
      </c>
      <c r="C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Billing Detail</vt:lpstr>
      <vt:lpstr>Notice Table</vt:lpstr>
      <vt:lpstr>Notes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2021-03-24T14:42:23Z</cp:lastPrinted>
  <dcterms:created xsi:type="dcterms:W3CDTF">2021-02-09T02:13:44Z</dcterms:created>
  <dcterms:modified xsi:type="dcterms:W3CDTF">2021-05-24T00:26:14Z</dcterms:modified>
</cp:coreProperties>
</file>