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Clark\Analysis\"/>
    </mc:Choice>
  </mc:AlternateContent>
  <xr:revisionPtr revIDLastSave="0" documentId="13_ncr:1_{16C20349-B074-4926-B2EF-3A6ECF2858EA}" xr6:coauthVersionLast="46" xr6:coauthVersionMax="46" xr10:uidLastSave="{00000000-0000-0000-0000-000000000000}"/>
  <bookViews>
    <workbookView xWindow="-108" yWindow="-108" windowWidth="23256" windowHeight="12576" activeTab="3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Detail'!$A$1:$R$123</definedName>
    <definedName name="_xlnm.Print_Area" localSheetId="2">'Notice Table'!$A$1:$G$37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I86" i="1"/>
  <c r="I73" i="1"/>
  <c r="I60" i="1"/>
  <c r="I47" i="1"/>
  <c r="I22" i="1"/>
  <c r="I11" i="1"/>
  <c r="E92" i="1"/>
  <c r="E63" i="3" s="1"/>
  <c r="D32" i="3"/>
  <c r="D30" i="3"/>
  <c r="D28" i="3"/>
  <c r="E26" i="3"/>
  <c r="F26" i="3"/>
  <c r="E27" i="3"/>
  <c r="F27" i="3"/>
  <c r="F25" i="3"/>
  <c r="E25" i="3"/>
  <c r="E22" i="3"/>
  <c r="F22" i="3"/>
  <c r="E23" i="3"/>
  <c r="F23" i="3"/>
  <c r="E19" i="3"/>
  <c r="F19" i="3"/>
  <c r="E20" i="3"/>
  <c r="F20" i="3"/>
  <c r="F18" i="3"/>
  <c r="E18" i="3"/>
  <c r="N119" i="1"/>
  <c r="G116" i="1"/>
  <c r="G117" i="1"/>
  <c r="G118" i="1"/>
  <c r="G119" i="1"/>
  <c r="F69" i="1"/>
  <c r="G69" i="1" s="1"/>
  <c r="I69" i="1"/>
  <c r="O69" i="1" s="1"/>
  <c r="F101" i="1"/>
  <c r="F102" i="1"/>
  <c r="F103" i="1"/>
  <c r="F104" i="1"/>
  <c r="F100" i="1"/>
  <c r="F98" i="1"/>
  <c r="F96" i="1"/>
  <c r="F84" i="1"/>
  <c r="G83" i="1"/>
  <c r="F82" i="1"/>
  <c r="F71" i="1"/>
  <c r="G70" i="1"/>
  <c r="F58" i="1"/>
  <c r="G57" i="1"/>
  <c r="F56" i="1"/>
  <c r="F32" i="1"/>
  <c r="I107" i="1"/>
  <c r="I106" i="1"/>
  <c r="I83" i="1"/>
  <c r="I70" i="1"/>
  <c r="I57" i="1"/>
  <c r="I116" i="1" l="1"/>
  <c r="I82" i="1"/>
  <c r="G82" i="1"/>
  <c r="E79" i="1"/>
  <c r="E62" i="3" s="1"/>
  <c r="E66" i="1"/>
  <c r="E61" i="3" s="1"/>
  <c r="E53" i="1"/>
  <c r="E60" i="3" s="1"/>
  <c r="E41" i="1"/>
  <c r="E59" i="3" s="1"/>
  <c r="E17" i="1" l="1"/>
  <c r="E57" i="3" s="1"/>
  <c r="E29" i="3" l="1"/>
  <c r="F29" i="3"/>
  <c r="E31" i="3"/>
  <c r="F31" i="3"/>
  <c r="E33" i="3"/>
  <c r="F33" i="3"/>
  <c r="E34" i="3"/>
  <c r="F34" i="3"/>
  <c r="E35" i="3"/>
  <c r="F35" i="3"/>
  <c r="E36" i="3"/>
  <c r="F36" i="3"/>
  <c r="E37" i="3"/>
  <c r="F37" i="3"/>
  <c r="C24" i="3"/>
  <c r="D24" i="3"/>
  <c r="C21" i="3"/>
  <c r="D21" i="3"/>
  <c r="C17" i="3"/>
  <c r="D17" i="3"/>
  <c r="E16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F16" i="3" l="1"/>
  <c r="F15" i="3"/>
  <c r="F9" i="3"/>
  <c r="H18" i="2"/>
  <c r="A1" i="3" l="1"/>
  <c r="L28" i="2" l="1"/>
  <c r="C13" i="2" l="1"/>
  <c r="B13" i="2"/>
  <c r="C11" i="2"/>
  <c r="I84" i="1"/>
  <c r="G84" i="1"/>
  <c r="I71" i="1"/>
  <c r="G71" i="1"/>
  <c r="C62" i="3" l="1"/>
  <c r="C48" i="3"/>
  <c r="C60" i="3"/>
  <c r="C46" i="3"/>
  <c r="D62" i="3"/>
  <c r="D48" i="3"/>
  <c r="I58" i="1"/>
  <c r="G58" i="1"/>
  <c r="I20" i="1"/>
  <c r="G20" i="1"/>
  <c r="G77" i="1" l="1"/>
  <c r="I76" i="1"/>
  <c r="M76" i="1" s="1"/>
  <c r="I75" i="1"/>
  <c r="M75" i="1" s="1"/>
  <c r="N75" i="1" s="1"/>
  <c r="I74" i="1"/>
  <c r="M74" i="1" s="1"/>
  <c r="N74" i="1" s="1"/>
  <c r="M73" i="1"/>
  <c r="I45" i="1"/>
  <c r="G45" i="1"/>
  <c r="I32" i="1"/>
  <c r="G32" i="1"/>
  <c r="I72" i="1" l="1"/>
  <c r="G72" i="1"/>
  <c r="N73" i="1"/>
  <c r="M77" i="1"/>
  <c r="I77" i="1"/>
  <c r="J69" i="1" l="1"/>
  <c r="J70" i="1"/>
  <c r="G78" i="1"/>
  <c r="G79" i="1" s="1"/>
  <c r="D13" i="2"/>
  <c r="E13" i="2"/>
  <c r="J71" i="1"/>
  <c r="I78" i="1"/>
  <c r="I79" i="1" s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G13" i="2" l="1"/>
  <c r="J72" i="1"/>
  <c r="I63" i="1"/>
  <c r="M63" i="1" s="1"/>
  <c r="I62" i="1"/>
  <c r="M62" i="1" s="1"/>
  <c r="I61" i="1"/>
  <c r="M61" i="1" s="1"/>
  <c r="I89" i="1"/>
  <c r="M89" i="1" s="1"/>
  <c r="I88" i="1"/>
  <c r="I87" i="1"/>
  <c r="M87" i="1" s="1"/>
  <c r="I50" i="1"/>
  <c r="M50" i="1" s="1"/>
  <c r="I49" i="1"/>
  <c r="M49" i="1" s="1"/>
  <c r="I48" i="1"/>
  <c r="M48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4" i="2"/>
  <c r="I117" i="1" l="1"/>
  <c r="I119" i="1"/>
  <c r="E24" i="2" s="1"/>
  <c r="M13" i="1"/>
  <c r="M12" i="1"/>
  <c r="M14" i="1"/>
  <c r="M119" i="1" s="1"/>
  <c r="M88" i="1"/>
  <c r="I26" i="1"/>
  <c r="I51" i="1"/>
  <c r="M36" i="1"/>
  <c r="G39" i="1"/>
  <c r="I37" i="1"/>
  <c r="M37" i="1" s="1"/>
  <c r="G15" i="1"/>
  <c r="G64" i="1"/>
  <c r="D24" i="2"/>
  <c r="G90" i="1"/>
  <c r="G51" i="1"/>
  <c r="G26" i="1"/>
  <c r="I118" i="1" l="1"/>
  <c r="I120" i="1" s="1"/>
  <c r="J24" i="2"/>
  <c r="I15" i="1"/>
  <c r="I64" i="1"/>
  <c r="I90" i="1"/>
  <c r="I39" i="1"/>
  <c r="I104" i="1"/>
  <c r="G104" i="1"/>
  <c r="I103" i="1"/>
  <c r="G103" i="1"/>
  <c r="I102" i="1"/>
  <c r="G102" i="1"/>
  <c r="I101" i="1"/>
  <c r="G101" i="1"/>
  <c r="I100" i="1"/>
  <c r="G100" i="1"/>
  <c r="I98" i="1"/>
  <c r="G98" i="1"/>
  <c r="I96" i="1"/>
  <c r="G96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B8" i="2"/>
  <c r="N88" i="1"/>
  <c r="N87" i="1"/>
  <c r="M86" i="1"/>
  <c r="N49" i="1"/>
  <c r="N48" i="1"/>
  <c r="M47" i="1"/>
  <c r="I44" i="1"/>
  <c r="G44" i="1"/>
  <c r="N24" i="1"/>
  <c r="N23" i="1"/>
  <c r="M22" i="1"/>
  <c r="N36" i="1"/>
  <c r="M35" i="1"/>
  <c r="I33" i="1"/>
  <c r="G33" i="1"/>
  <c r="I31" i="1"/>
  <c r="G31" i="1"/>
  <c r="N62" i="1"/>
  <c r="N61" i="1"/>
  <c r="M60" i="1"/>
  <c r="I56" i="1"/>
  <c r="G56" i="1"/>
  <c r="G59" i="1" s="1"/>
  <c r="D50" i="3" l="1"/>
  <c r="D64" i="3"/>
  <c r="C50" i="3"/>
  <c r="C64" i="3"/>
  <c r="C45" i="3"/>
  <c r="C59" i="3"/>
  <c r="C58" i="3"/>
  <c r="C44" i="3"/>
  <c r="C57" i="3"/>
  <c r="C43" i="3"/>
  <c r="D59" i="3"/>
  <c r="D45" i="3"/>
  <c r="C49" i="3"/>
  <c r="C63" i="3"/>
  <c r="C61" i="3"/>
  <c r="C47" i="3"/>
  <c r="D61" i="3"/>
  <c r="D47" i="3"/>
  <c r="D63" i="3"/>
  <c r="D49" i="3"/>
  <c r="D60" i="3"/>
  <c r="D46" i="3"/>
  <c r="D44" i="3"/>
  <c r="D58" i="3"/>
  <c r="D43" i="3"/>
  <c r="D57" i="3"/>
  <c r="N22" i="1"/>
  <c r="M26" i="1"/>
  <c r="N60" i="1"/>
  <c r="M64" i="1"/>
  <c r="N86" i="1"/>
  <c r="M90" i="1"/>
  <c r="N47" i="1"/>
  <c r="M51" i="1"/>
  <c r="N35" i="1"/>
  <c r="M39" i="1"/>
  <c r="N39" i="1" s="1"/>
  <c r="O39" i="1" s="1"/>
  <c r="G120" i="1"/>
  <c r="E21" i="2"/>
  <c r="E25" i="2" s="1"/>
  <c r="G46" i="1"/>
  <c r="D11" i="2" s="1"/>
  <c r="D21" i="2"/>
  <c r="D25" i="2" s="1"/>
  <c r="G21" i="1"/>
  <c r="D9" i="2" s="1"/>
  <c r="G85" i="1"/>
  <c r="I85" i="1"/>
  <c r="I46" i="1"/>
  <c r="I21" i="1"/>
  <c r="G34" i="1"/>
  <c r="N37" i="1"/>
  <c r="I34" i="1"/>
  <c r="J33" i="1" s="1"/>
  <c r="I59" i="1"/>
  <c r="J57" i="1" s="1"/>
  <c r="G110" i="1"/>
  <c r="M108" i="1"/>
  <c r="M118" i="1" s="1"/>
  <c r="M107" i="1"/>
  <c r="M117" i="1" s="1"/>
  <c r="M106" i="1"/>
  <c r="B22" i="2"/>
  <c r="B23" i="2"/>
  <c r="B21" i="2"/>
  <c r="M11" i="1"/>
  <c r="M116" i="1" s="1"/>
  <c r="M120" i="1" s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J82" i="1" l="1"/>
  <c r="J83" i="1"/>
  <c r="J84" i="1"/>
  <c r="M15" i="1"/>
  <c r="N106" i="1"/>
  <c r="J20" i="1"/>
  <c r="E11" i="2"/>
  <c r="J45" i="1"/>
  <c r="N107" i="1"/>
  <c r="N108" i="1"/>
  <c r="J23" i="2"/>
  <c r="J32" i="1"/>
  <c r="J58" i="1"/>
  <c r="J44" i="1"/>
  <c r="J31" i="1"/>
  <c r="J56" i="1"/>
  <c r="G52" i="1"/>
  <c r="G53" i="1" s="1"/>
  <c r="G27" i="1"/>
  <c r="N12" i="1"/>
  <c r="J22" i="2"/>
  <c r="N13" i="1"/>
  <c r="N118" i="1" s="1"/>
  <c r="G91" i="1"/>
  <c r="G92" i="1" s="1"/>
  <c r="D14" i="2"/>
  <c r="G40" i="1"/>
  <c r="G41" i="1" s="1"/>
  <c r="D10" i="2"/>
  <c r="I52" i="1"/>
  <c r="I53" i="1" s="1"/>
  <c r="G65" i="1"/>
  <c r="G66" i="1" s="1"/>
  <c r="D12" i="2"/>
  <c r="I65" i="1"/>
  <c r="I66" i="1" s="1"/>
  <c r="E12" i="2"/>
  <c r="I40" i="1"/>
  <c r="I41" i="1" s="1"/>
  <c r="E10" i="2"/>
  <c r="I27" i="1"/>
  <c r="E9" i="2"/>
  <c r="I91" i="1"/>
  <c r="I92" i="1" s="1"/>
  <c r="E14" i="2"/>
  <c r="N51" i="1"/>
  <c r="O51" i="1" s="1"/>
  <c r="N90" i="1"/>
  <c r="O90" i="1" s="1"/>
  <c r="N26" i="1"/>
  <c r="O26" i="1" s="1"/>
  <c r="N64" i="1"/>
  <c r="O64" i="1" s="1"/>
  <c r="G10" i="1"/>
  <c r="I10" i="1"/>
  <c r="I110" i="1"/>
  <c r="I105" i="1"/>
  <c r="G105" i="1"/>
  <c r="N11" i="1"/>
  <c r="I115" i="1" l="1"/>
  <c r="I121" i="1" s="1"/>
  <c r="N116" i="1"/>
  <c r="N117" i="1"/>
  <c r="G115" i="1"/>
  <c r="G121" i="1" s="1"/>
  <c r="G12" i="2"/>
  <c r="G14" i="2"/>
  <c r="G11" i="2"/>
  <c r="G9" i="2"/>
  <c r="G10" i="2"/>
  <c r="D15" i="2"/>
  <c r="J59" i="1"/>
  <c r="J46" i="1"/>
  <c r="J21" i="2"/>
  <c r="J25" i="2" s="1"/>
  <c r="J34" i="1"/>
  <c r="E15" i="2"/>
  <c r="J21" i="1"/>
  <c r="J102" i="1"/>
  <c r="J103" i="1"/>
  <c r="J100" i="1"/>
  <c r="J101" i="1"/>
  <c r="J104" i="1"/>
  <c r="J98" i="1"/>
  <c r="J96" i="1"/>
  <c r="J9" i="1"/>
  <c r="J8" i="1"/>
  <c r="J85" i="1"/>
  <c r="G111" i="1"/>
  <c r="E8" i="2"/>
  <c r="G16" i="1"/>
  <c r="D8" i="2"/>
  <c r="I111" i="1"/>
  <c r="M110" i="1"/>
  <c r="I16" i="1"/>
  <c r="I17" i="1" s="1"/>
  <c r="N15" i="1"/>
  <c r="N120" i="1" l="1"/>
  <c r="G15" i="2"/>
  <c r="G8" i="2"/>
  <c r="D16" i="2"/>
  <c r="D18" i="2" s="1"/>
  <c r="D27" i="2" s="1"/>
  <c r="E16" i="2"/>
  <c r="G17" i="1"/>
  <c r="J105" i="1"/>
  <c r="N110" i="1"/>
  <c r="O110" i="1" s="1"/>
  <c r="J10" i="1"/>
  <c r="G16" i="2" l="1"/>
  <c r="E18" i="2"/>
  <c r="F13" i="2"/>
  <c r="F8" i="2"/>
  <c r="F11" i="2"/>
  <c r="F9" i="2"/>
  <c r="F15" i="2"/>
  <c r="F16" i="2"/>
  <c r="F18" i="2" s="1"/>
  <c r="F10" i="2"/>
  <c r="F12" i="2"/>
  <c r="F14" i="2"/>
  <c r="H8" i="2" l="1"/>
  <c r="I8" i="2" s="1"/>
  <c r="K10" i="1" s="1"/>
  <c r="H9" i="2"/>
  <c r="I9" i="2" s="1"/>
  <c r="K21" i="1" s="1"/>
  <c r="H10" i="2"/>
  <c r="I10" i="2" s="1"/>
  <c r="K34" i="1" s="1"/>
  <c r="H11" i="2"/>
  <c r="I11" i="2" s="1"/>
  <c r="K46" i="1" s="1"/>
  <c r="H15" i="2"/>
  <c r="I15" i="2" s="1"/>
  <c r="K105" i="1" s="1"/>
  <c r="H12" i="2"/>
  <c r="I12" i="2" s="1"/>
  <c r="K59" i="1" s="1"/>
  <c r="G18" i="2"/>
  <c r="H13" i="2"/>
  <c r="I13" i="2" s="1"/>
  <c r="K72" i="1" s="1"/>
  <c r="H14" i="2"/>
  <c r="I14" i="2" s="1"/>
  <c r="K85" i="1" s="1"/>
  <c r="E27" i="2"/>
  <c r="S85" i="1" l="1"/>
  <c r="S21" i="1"/>
  <c r="L20" i="1" s="1"/>
  <c r="S105" i="1"/>
  <c r="S34" i="1"/>
  <c r="L32" i="1" s="1"/>
  <c r="S10" i="1"/>
  <c r="S59" i="1"/>
  <c r="S46" i="1"/>
  <c r="S72" i="1"/>
  <c r="I16" i="2"/>
  <c r="I18" i="2" s="1"/>
  <c r="L57" i="1" l="1"/>
  <c r="L58" i="1"/>
  <c r="G20" i="3" s="1"/>
  <c r="J20" i="3" s="1"/>
  <c r="L69" i="1"/>
  <c r="M69" i="1" s="1"/>
  <c r="L71" i="1"/>
  <c r="G23" i="3" s="1"/>
  <c r="J23" i="3" s="1"/>
  <c r="L70" i="1"/>
  <c r="G22" i="3" s="1"/>
  <c r="J22" i="3" s="1"/>
  <c r="L84" i="1"/>
  <c r="M84" i="1" s="1"/>
  <c r="L83" i="1"/>
  <c r="G26" i="3" s="1"/>
  <c r="J26" i="3" s="1"/>
  <c r="L82" i="1"/>
  <c r="L44" i="1"/>
  <c r="T44" i="1" s="1"/>
  <c r="L45" i="1"/>
  <c r="M57" i="1"/>
  <c r="N57" i="1" s="1"/>
  <c r="O57" i="1" s="1"/>
  <c r="L9" i="1"/>
  <c r="G7" i="3" s="1"/>
  <c r="J7" i="3" s="1"/>
  <c r="L31" i="1"/>
  <c r="G11" i="3" s="1"/>
  <c r="J11" i="3" s="1"/>
  <c r="G12" i="3"/>
  <c r="J12" i="3" s="1"/>
  <c r="L33" i="1"/>
  <c r="G13" i="3" s="1"/>
  <c r="J13" i="3" s="1"/>
  <c r="L100" i="1"/>
  <c r="G33" i="3" s="1"/>
  <c r="J33" i="3" s="1"/>
  <c r="L103" i="1"/>
  <c r="G36" i="3" s="1"/>
  <c r="J36" i="3" s="1"/>
  <c r="L104" i="1"/>
  <c r="G37" i="3" s="1"/>
  <c r="J37" i="3" s="1"/>
  <c r="L8" i="1"/>
  <c r="G6" i="3" s="1"/>
  <c r="J6" i="3" s="1"/>
  <c r="L101" i="1"/>
  <c r="G34" i="3" s="1"/>
  <c r="J34" i="3" s="1"/>
  <c r="L98" i="1"/>
  <c r="G31" i="3" s="1"/>
  <c r="J31" i="3" s="1"/>
  <c r="L102" i="1"/>
  <c r="G35" i="3" s="1"/>
  <c r="J35" i="3" s="1"/>
  <c r="L96" i="1"/>
  <c r="G29" i="3" s="1"/>
  <c r="J29" i="3" s="1"/>
  <c r="L56" i="1"/>
  <c r="G18" i="3" s="1"/>
  <c r="J18" i="3" s="1"/>
  <c r="T58" i="1" l="1"/>
  <c r="T84" i="1"/>
  <c r="M82" i="1"/>
  <c r="N82" i="1" s="1"/>
  <c r="O82" i="1" s="1"/>
  <c r="G25" i="3"/>
  <c r="J25" i="3" s="1"/>
  <c r="G27" i="3"/>
  <c r="J27" i="3" s="1"/>
  <c r="T57" i="1"/>
  <c r="G19" i="3"/>
  <c r="J19" i="3" s="1"/>
  <c r="T69" i="1"/>
  <c r="M83" i="1"/>
  <c r="T83" i="1"/>
  <c r="M70" i="1"/>
  <c r="N70" i="1" s="1"/>
  <c r="O70" i="1" s="1"/>
  <c r="T70" i="1"/>
  <c r="N69" i="1"/>
  <c r="M56" i="1"/>
  <c r="N56" i="1" s="1"/>
  <c r="O56" i="1" s="1"/>
  <c r="T56" i="1"/>
  <c r="M58" i="1"/>
  <c r="N58" i="1" s="1"/>
  <c r="O58" i="1" s="1"/>
  <c r="N84" i="1"/>
  <c r="O84" i="1" s="1"/>
  <c r="M31" i="1"/>
  <c r="N31" i="1" s="1"/>
  <c r="T31" i="1"/>
  <c r="T9" i="1"/>
  <c r="M9" i="1"/>
  <c r="N9" i="1" s="1"/>
  <c r="O9" i="1" s="1"/>
  <c r="G9" i="3"/>
  <c r="J9" i="3" s="1"/>
  <c r="G16" i="3"/>
  <c r="J16" i="3" s="1"/>
  <c r="M100" i="1"/>
  <c r="N100" i="1" s="1"/>
  <c r="O100" i="1" s="1"/>
  <c r="T100" i="1"/>
  <c r="M103" i="1"/>
  <c r="N103" i="1" s="1"/>
  <c r="O103" i="1" s="1"/>
  <c r="T103" i="1"/>
  <c r="T104" i="1"/>
  <c r="T101" i="1"/>
  <c r="M8" i="1"/>
  <c r="N8" i="1" s="1"/>
  <c r="T32" i="1"/>
  <c r="M44" i="1"/>
  <c r="N44" i="1" s="1"/>
  <c r="M104" i="1"/>
  <c r="N104" i="1" s="1"/>
  <c r="O104" i="1" s="1"/>
  <c r="M71" i="1"/>
  <c r="N71" i="1" s="1"/>
  <c r="O71" i="1" s="1"/>
  <c r="M33" i="1"/>
  <c r="N33" i="1" s="1"/>
  <c r="O33" i="1" s="1"/>
  <c r="M102" i="1"/>
  <c r="N102" i="1" s="1"/>
  <c r="O102" i="1" s="1"/>
  <c r="M32" i="1"/>
  <c r="N32" i="1" s="1"/>
  <c r="O32" i="1" s="1"/>
  <c r="T33" i="1"/>
  <c r="T102" i="1"/>
  <c r="M101" i="1"/>
  <c r="N101" i="1" s="1"/>
  <c r="O101" i="1" s="1"/>
  <c r="T71" i="1"/>
  <c r="T8" i="1"/>
  <c r="T98" i="1"/>
  <c r="M98" i="1"/>
  <c r="N98" i="1" s="1"/>
  <c r="O98" i="1" s="1"/>
  <c r="M96" i="1"/>
  <c r="N96" i="1" s="1"/>
  <c r="O96" i="1" s="1"/>
  <c r="T96" i="1"/>
  <c r="O31" i="1"/>
  <c r="M59" i="1"/>
  <c r="M85" i="1" l="1"/>
  <c r="J14" i="2" s="1"/>
  <c r="O14" i="2" s="1"/>
  <c r="N59" i="1"/>
  <c r="L12" i="2" s="1"/>
  <c r="N83" i="1"/>
  <c r="O83" i="1" s="1"/>
  <c r="N10" i="1"/>
  <c r="M45" i="1"/>
  <c r="M46" i="1" s="1"/>
  <c r="P44" i="1" s="1"/>
  <c r="Q44" i="1" s="1"/>
  <c r="T45" i="1"/>
  <c r="R59" i="1"/>
  <c r="P57" i="1"/>
  <c r="Q57" i="1" s="1"/>
  <c r="M72" i="1"/>
  <c r="N72" i="1"/>
  <c r="O8" i="1"/>
  <c r="M34" i="1"/>
  <c r="R34" i="1" s="1"/>
  <c r="G15" i="3"/>
  <c r="J15" i="3" s="1"/>
  <c r="N34" i="1"/>
  <c r="O34" i="1" s="1"/>
  <c r="M10" i="1"/>
  <c r="M105" i="1"/>
  <c r="N105" i="1"/>
  <c r="O105" i="1" s="1"/>
  <c r="O44" i="1"/>
  <c r="P58" i="1"/>
  <c r="Q58" i="1" s="1"/>
  <c r="P56" i="1"/>
  <c r="Q56" i="1" s="1"/>
  <c r="M65" i="1"/>
  <c r="M66" i="1" s="1"/>
  <c r="N66" i="1" s="1"/>
  <c r="J12" i="2"/>
  <c r="O12" i="2" s="1"/>
  <c r="P82" i="1" l="1"/>
  <c r="M91" i="1"/>
  <c r="M92" i="1" s="1"/>
  <c r="N92" i="1" s="1"/>
  <c r="F63" i="3" s="1"/>
  <c r="P83" i="1"/>
  <c r="Q83" i="1" s="1"/>
  <c r="P84" i="1"/>
  <c r="Q84" i="1" s="1"/>
  <c r="R85" i="1"/>
  <c r="N85" i="1"/>
  <c r="L14" i="2" s="1"/>
  <c r="F49" i="3" s="1"/>
  <c r="O10" i="1"/>
  <c r="P8" i="1"/>
  <c r="Q8" i="1" s="1"/>
  <c r="P70" i="1"/>
  <c r="Q70" i="1" s="1"/>
  <c r="P69" i="1"/>
  <c r="Q69" i="1" s="1"/>
  <c r="N45" i="1"/>
  <c r="O45" i="1" s="1"/>
  <c r="R72" i="1"/>
  <c r="Q82" i="1"/>
  <c r="M78" i="1"/>
  <c r="M79" i="1" s="1"/>
  <c r="N79" i="1" s="1"/>
  <c r="P9" i="1"/>
  <c r="Q9" i="1" s="1"/>
  <c r="J8" i="2"/>
  <c r="O8" i="2" s="1"/>
  <c r="J13" i="2"/>
  <c r="O13" i="2" s="1"/>
  <c r="P71" i="1"/>
  <c r="Q71" i="1" s="1"/>
  <c r="P33" i="1"/>
  <c r="Q33" i="1" s="1"/>
  <c r="P32" i="1"/>
  <c r="Q32" i="1" s="1"/>
  <c r="P31" i="1"/>
  <c r="Q31" i="1" s="1"/>
  <c r="M40" i="1"/>
  <c r="M41" i="1" s="1"/>
  <c r="N41" i="1" s="1"/>
  <c r="O41" i="1" s="1"/>
  <c r="J10" i="2"/>
  <c r="O10" i="2" s="1"/>
  <c r="P104" i="1"/>
  <c r="Q104" i="1" s="1"/>
  <c r="J15" i="2"/>
  <c r="L15" i="2" s="1"/>
  <c r="F50" i="3" s="1"/>
  <c r="R10" i="1"/>
  <c r="M16" i="1"/>
  <c r="M17" i="1" s="1"/>
  <c r="N17" i="1" s="1"/>
  <c r="O17" i="1" s="1"/>
  <c r="P101" i="1"/>
  <c r="Q101" i="1" s="1"/>
  <c r="P98" i="1"/>
  <c r="Q98" i="1" s="1"/>
  <c r="P96" i="1"/>
  <c r="Q96" i="1" s="1"/>
  <c r="P100" i="1"/>
  <c r="Q100" i="1" s="1"/>
  <c r="M111" i="1"/>
  <c r="N111" i="1" s="1"/>
  <c r="O111" i="1" s="1"/>
  <c r="N15" i="2" s="1"/>
  <c r="P102" i="1"/>
  <c r="Q102" i="1" s="1"/>
  <c r="R105" i="1"/>
  <c r="P103" i="1"/>
  <c r="Q103" i="1" s="1"/>
  <c r="J11" i="2"/>
  <c r="O11" i="2" s="1"/>
  <c r="O66" i="1"/>
  <c r="F61" i="3"/>
  <c r="M52" i="1"/>
  <c r="M53" i="1" s="1"/>
  <c r="N53" i="1" s="1"/>
  <c r="P45" i="1"/>
  <c r="Q45" i="1" s="1"/>
  <c r="R46" i="1"/>
  <c r="M12" i="2"/>
  <c r="F47" i="3"/>
  <c r="O59" i="1"/>
  <c r="N65" i="1"/>
  <c r="P59" i="1"/>
  <c r="Q59" i="1" s="1"/>
  <c r="L8" i="2"/>
  <c r="L10" i="2"/>
  <c r="O72" i="1"/>
  <c r="L13" i="2"/>
  <c r="M14" i="2" l="1"/>
  <c r="O92" i="1"/>
  <c r="N91" i="1"/>
  <c r="O91" i="1" s="1"/>
  <c r="O85" i="1"/>
  <c r="N14" i="2" s="1"/>
  <c r="G63" i="3" s="1"/>
  <c r="G49" i="3"/>
  <c r="P85" i="1"/>
  <c r="Q85" i="1" s="1"/>
  <c r="N46" i="1"/>
  <c r="O46" i="1" s="1"/>
  <c r="N78" i="1"/>
  <c r="O78" i="1" s="1"/>
  <c r="N13" i="2" s="1"/>
  <c r="P72" i="1"/>
  <c r="Q72" i="1" s="1"/>
  <c r="N40" i="1"/>
  <c r="O40" i="1" s="1"/>
  <c r="N10" i="2" s="1"/>
  <c r="P10" i="1"/>
  <c r="Q10" i="1" s="1"/>
  <c r="M15" i="2"/>
  <c r="O15" i="2"/>
  <c r="P34" i="1"/>
  <c r="Q34" i="1" s="1"/>
  <c r="N16" i="1"/>
  <c r="O16" i="1" s="1"/>
  <c r="N8" i="2" s="1"/>
  <c r="F57" i="3"/>
  <c r="F59" i="3"/>
  <c r="P105" i="1"/>
  <c r="Q105" i="1" s="1"/>
  <c r="P46" i="1"/>
  <c r="Q46" i="1" s="1"/>
  <c r="O53" i="1"/>
  <c r="F60" i="3"/>
  <c r="O79" i="1"/>
  <c r="F62" i="3"/>
  <c r="N52" i="1"/>
  <c r="O52" i="1" s="1"/>
  <c r="N11" i="2" s="1"/>
  <c r="M10" i="2"/>
  <c r="F45" i="3"/>
  <c r="M8" i="2"/>
  <c r="F43" i="3"/>
  <c r="M13" i="2"/>
  <c r="F48" i="3"/>
  <c r="O65" i="1"/>
  <c r="N12" i="2" s="1"/>
  <c r="G50" i="3"/>
  <c r="G64" i="3"/>
  <c r="L11" i="2" l="1"/>
  <c r="M11" i="2" s="1"/>
  <c r="G59" i="3"/>
  <c r="G45" i="3"/>
  <c r="G62" i="3"/>
  <c r="G48" i="3"/>
  <c r="G61" i="3"/>
  <c r="G47" i="3"/>
  <c r="G60" i="3"/>
  <c r="G46" i="3"/>
  <c r="G43" i="3"/>
  <c r="G57" i="3"/>
  <c r="M20" i="1"/>
  <c r="F46" i="3" l="1"/>
  <c r="T20" i="1"/>
  <c r="N20" i="1"/>
  <c r="O20" i="1" s="1"/>
  <c r="N21" i="1" l="1"/>
  <c r="N115" i="1" s="1"/>
  <c r="N121" i="1" s="1"/>
  <c r="M21" i="1"/>
  <c r="M115" i="1" s="1"/>
  <c r="M121" i="1" s="1"/>
  <c r="J9" i="2" l="1"/>
  <c r="O9" i="2" s="1"/>
  <c r="M27" i="1"/>
  <c r="R21" i="1"/>
  <c r="P20" i="1"/>
  <c r="Q20" i="1" s="1"/>
  <c r="J16" i="2" l="1"/>
  <c r="L9" i="2"/>
  <c r="O21" i="1"/>
  <c r="P21" i="1"/>
  <c r="Q21" i="1" s="1"/>
  <c r="N27" i="1"/>
  <c r="O115" i="1"/>
  <c r="O27" i="1" l="1"/>
  <c r="M9" i="2"/>
  <c r="F44" i="3"/>
  <c r="O16" i="2"/>
  <c r="O18" i="2" s="1"/>
  <c r="K9" i="2"/>
  <c r="K12" i="2"/>
  <c r="K10" i="2"/>
  <c r="K15" i="2"/>
  <c r="K13" i="2"/>
  <c r="J18" i="2"/>
  <c r="J27" i="2" s="1"/>
  <c r="L27" i="2" s="1"/>
  <c r="F51" i="3" s="1"/>
  <c r="K16" i="2"/>
  <c r="K18" i="2" s="1"/>
  <c r="K14" i="2"/>
  <c r="K11" i="2"/>
  <c r="K8" i="2"/>
  <c r="L16" i="2"/>
  <c r="L18" i="2" s="1"/>
  <c r="N123" i="1"/>
  <c r="O121" i="1"/>
  <c r="N9" i="2" l="1"/>
  <c r="O28" i="1"/>
  <c r="G58" i="3"/>
  <c r="G44" i="3"/>
  <c r="M16" i="2"/>
  <c r="M18" i="2" s="1"/>
  <c r="L29" i="2"/>
  <c r="L30" i="2" s="1"/>
  <c r="N27" i="2"/>
  <c r="G51" i="3" s="1"/>
</calcChain>
</file>

<file path=xl/sharedStrings.xml><?xml version="1.0" encoding="utf-8"?>
<sst xmlns="http://schemas.openxmlformats.org/spreadsheetml/2006/main" count="194" uniqueCount="101">
  <si>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</si>
  <si>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</si>
  <si>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</si>
  <si>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</si>
  <si>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</si>
  <si>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</si>
  <si>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</si>
  <si>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</si>
  <si>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</si>
  <si>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</si>
  <si>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</si>
  <si>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</si>
  <si>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</si>
  <si>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</si>
  <si>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</si>
  <si>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</si>
  <si>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</si>
  <si>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</si>
  <si>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</si>
  <si>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</si>
  <si>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</si>
  <si>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</si>
  <si>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</si>
  <si>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</si>
  <si>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</si>
  <si>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</si>
  <si>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</si>
  <si>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</si>
  <si>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</si>
  <si>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</si>
  <si>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</si>
  <si>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</si>
  <si>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</si>
  <si>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</si>
  <si>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</si>
  <si>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</si>
  <si>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</si>
  <si>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</si>
  <si>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</si>
  <si>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</si>
  <si>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</si>
  <si>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</si>
  <si>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</si>
  <si>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</si>
  <si>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</si>
  <si>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</si>
  <si>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</si>
  <si>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</si>
  <si>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</si>
  <si>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</si>
  <si>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</si>
  <si>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</si>
  <si>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</si>
  <si>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</si>
  <si>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</si>
  <si>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</si>
  <si>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</si>
  <si>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</si>
  <si>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</si>
  <si>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</si>
  <si>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</si>
  <si>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</si>
  <si>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</si>
  <si>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C</t>
  </si>
  <si>
    <t>D</t>
  </si>
  <si>
    <t>E</t>
  </si>
  <si>
    <t>Residential</t>
  </si>
  <si>
    <t>R</t>
  </si>
  <si>
    <t xml:space="preserve">    Prepay Fees</t>
  </si>
  <si>
    <t>Time of Use Marketing Service</t>
  </si>
  <si>
    <t>General Power Service &lt; 50kW</t>
  </si>
  <si>
    <t>General Power Service 1000-5000kW</t>
  </si>
  <si>
    <t>L</t>
  </si>
  <si>
    <t>General Power Service 500+kW</t>
  </si>
  <si>
    <t>M</t>
  </si>
  <si>
    <t>P</t>
  </si>
  <si>
    <t>S,T,O</t>
  </si>
  <si>
    <t>Rate T - Outdoor Lights</t>
  </si>
  <si>
    <t>400 W</t>
  </si>
  <si>
    <t>Rate S - Outdoor Lights</t>
  </si>
  <si>
    <t>175 W</t>
  </si>
  <si>
    <t>Open Bottom Light  (4,800-6,800 Lumens)</t>
  </si>
  <si>
    <t>Cobra Head Light (7,200 - 10,000 Lumens)</t>
  </si>
  <si>
    <t>Directional Flood Light (15,00 - 18,000 Lumens)</t>
  </si>
  <si>
    <t>Ornamental Light w/Pole (4,80 - 6,800 Lumens)</t>
  </si>
  <si>
    <t>Additional Pole (30' Wood / if no existing pole available)</t>
  </si>
  <si>
    <t>Rate O - LED Outdoor Lighting</t>
  </si>
  <si>
    <t>CLARK ENERGY COOPERATIVE</t>
  </si>
  <si>
    <t>Facility Charge per month</t>
  </si>
  <si>
    <t>Facility Charge Three Phase per month</t>
  </si>
  <si>
    <t xml:space="preserve">Facility Charge Single Phase per month </t>
  </si>
  <si>
    <t>Public Facilities</t>
  </si>
  <si>
    <t>T</t>
  </si>
  <si>
    <t>S</t>
  </si>
  <si>
    <t>O</t>
  </si>
  <si>
    <t>Present &amp; Proposed Rates</t>
  </si>
  <si>
    <t>General Power Service 50-500kW</t>
  </si>
  <si>
    <t>Notes</t>
  </si>
  <si>
    <t xml:space="preserve">The calculation of rates using the method from 2020-00095 and the 2019 test year </t>
  </si>
  <si>
    <t xml:space="preserve">are identical because the last rate order reflected the use of the same test </t>
  </si>
  <si>
    <t>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</si>
</sst>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2" formatCode="&quot;$&quot;#,##0"/>
    <numFmt numFmtId="173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6" fontId="3" fillId="0" borderId="0" xfId="1" applyNumberFormat="1" applyFont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43" fontId="3" fillId="0" borderId="0" xfId="0" applyNumberFormat="1" applyFont="1"/>
    <xf numFmtId="0" fontId="8" fillId="0" borderId="0" xfId="0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11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2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1" fillId="0" borderId="4" xfId="0" applyFont="1" applyBorder="1" applyAlignment="1"/>
    <xf numFmtId="0" fontId="7" fillId="0" borderId="0" xfId="0" applyFont="1" applyFill="1"/>
    <xf numFmtId="6" fontId="7" fillId="0" borderId="1" xfId="0" applyNumberFormat="1" applyFont="1" applyFill="1" applyBorder="1"/>
    <xf numFmtId="10" fontId="7" fillId="0" borderId="0" xfId="3" applyNumberFormat="1" applyFont="1" applyFill="1"/>
    <xf numFmtId="9" fontId="7" fillId="0" borderId="0" xfId="3" applyFont="1" applyFill="1" applyAlignment="1"/>
    <xf numFmtId="0" fontId="11" fillId="0" borderId="0" xfId="0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Fill="1" applyAlignment="1">
      <alignment horizontal="center"/>
    </xf>
    <xf numFmtId="43" fontId="7" fillId="0" borderId="0" xfId="1" applyFont="1" applyFill="1"/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0" fontId="7" fillId="0" borderId="5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5" fontId="7" fillId="0" borderId="0" xfId="2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0" xfId="0" applyNumberFormat="1" applyFont="1" applyFill="1"/>
    <xf numFmtId="166" fontId="7" fillId="0" borderId="0" xfId="1" applyNumberFormat="1" applyFont="1" applyFill="1"/>
    <xf numFmtId="173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8" fontId="7" fillId="0" borderId="0" xfId="3" applyNumberFormat="1" applyFont="1" applyFill="1"/>
    <xf numFmtId="165" fontId="7" fillId="0" borderId="5" xfId="2" applyNumberFormat="1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right"/>
    </xf>
    <xf numFmtId="44" fontId="7" fillId="0" borderId="0" xfId="0" applyNumberFormat="1" applyFont="1" applyFill="1" applyAlignment="1">
      <alignment horizontal="right"/>
    </xf>
    <xf numFmtId="43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view="pageBreakPreview" zoomScaleNormal="75" zoomScaleSheetLayoutView="100" workbookViewId="0">
      <selection activeCell="F6" sqref="F6"/>
    </sheetView>
  </sheetViews>
  <sheetFormatPr defaultColWidth="8.88671875" defaultRowHeight="13.2" x14ac:dyDescent="0.25"/>
  <cols>
    <col min="1" max="1" width="9" style="2" bestFit="1" customWidth="1"/>
    <col min="2" max="2" width="33.5546875" style="2" bestFit="1" customWidth="1"/>
    <col min="3" max="3" width="6" style="14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66406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customWidth="1"/>
    <col min="16" max="16" width="26.1093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87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6" t="s">
        <v>38</v>
      </c>
      <c r="L4" s="111">
        <v>1632580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30" t="s">
        <v>20</v>
      </c>
      <c r="E6" s="30" t="s">
        <v>3</v>
      </c>
      <c r="F6" s="30" t="s">
        <v>21</v>
      </c>
      <c r="G6" s="30" t="s">
        <v>33</v>
      </c>
      <c r="H6" s="30" t="s">
        <v>34</v>
      </c>
      <c r="I6" s="30" t="s">
        <v>35</v>
      </c>
      <c r="J6" s="30" t="s">
        <v>4</v>
      </c>
      <c r="K6" s="30" t="s">
        <v>23</v>
      </c>
      <c r="L6" s="30" t="s">
        <v>46</v>
      </c>
      <c r="M6" s="84" t="s">
        <v>44</v>
      </c>
      <c r="N6" s="84" t="s">
        <v>45</v>
      </c>
      <c r="O6" s="10" t="s">
        <v>37</v>
      </c>
      <c r="Q6" s="2"/>
      <c r="R6" s="2"/>
      <c r="S6" s="2"/>
      <c r="T6" s="2"/>
      <c r="U6" s="2"/>
      <c r="V6" s="2"/>
    </row>
    <row r="7" spans="1:22" s="44" customFormat="1" x14ac:dyDescent="0.25">
      <c r="A7" s="3">
        <v>1</v>
      </c>
      <c r="B7" s="40" t="s">
        <v>5</v>
      </c>
      <c r="C7" s="78"/>
      <c r="D7" s="40"/>
      <c r="E7" s="41"/>
      <c r="F7" s="42"/>
      <c r="G7" s="113"/>
      <c r="H7" s="114"/>
      <c r="I7" s="114"/>
      <c r="J7" s="41"/>
      <c r="K7" s="42"/>
      <c r="L7" s="41"/>
      <c r="M7" s="43"/>
      <c r="N7" s="43"/>
      <c r="Q7" s="2"/>
      <c r="R7" s="2"/>
      <c r="S7" s="2"/>
      <c r="T7" s="2"/>
      <c r="U7" s="2"/>
      <c r="V7" s="2"/>
    </row>
    <row r="8" spans="1:22" s="44" customFormat="1" x14ac:dyDescent="0.25">
      <c r="A8" s="3">
        <f>A7+1</f>
        <v>2</v>
      </c>
      <c r="B8" s="44" t="str">
        <f>'Billing Detail'!B7</f>
        <v>Residential</v>
      </c>
      <c r="C8" s="14" t="str">
        <f>'Billing Detail'!C7</f>
        <v>R</v>
      </c>
      <c r="D8" s="45">
        <f>'Billing Detail'!G10</f>
        <v>32929079.15408</v>
      </c>
      <c r="E8" s="45">
        <f>'Billing Detail'!I10</f>
        <v>33455767.184480634</v>
      </c>
      <c r="F8" s="43">
        <f t="shared" ref="F8:F16" si="0">E8/E$16</f>
        <v>0.75703353061079504</v>
      </c>
      <c r="G8" s="117">
        <f>E8</f>
        <v>33455767.184480634</v>
      </c>
      <c r="H8" s="115">
        <f t="shared" ref="H8:H15" si="1">G8/G$16</f>
        <v>0.75703353061079504</v>
      </c>
      <c r="I8" s="116">
        <f t="shared" ref="I8:I15" si="2">ROUND(L$4*H8,2)</f>
        <v>1235917.8</v>
      </c>
      <c r="J8" s="45">
        <f>'Billing Detail'!M10</f>
        <v>34691818.516147897</v>
      </c>
      <c r="K8" s="43">
        <f t="shared" ref="K8:K16" si="3">J8/J$16</f>
        <v>0.75702875933575831</v>
      </c>
      <c r="L8" s="45">
        <f>'Billing Detail'!N10</f>
        <v>1236051.3316672612</v>
      </c>
      <c r="M8" s="43">
        <f>IF(E8=0,0,L8/E8)</f>
        <v>3.6945837315625424E-2</v>
      </c>
      <c r="N8" s="43">
        <f>'Billing Detail'!O16</f>
        <v>3.4387517753079806E-2</v>
      </c>
      <c r="O8" s="47">
        <f>J8-I8-E8</f>
        <v>133.53166726231575</v>
      </c>
      <c r="Q8" s="2"/>
      <c r="R8" s="2"/>
      <c r="S8" s="2"/>
      <c r="T8" s="2"/>
      <c r="U8" s="2"/>
      <c r="V8" s="2"/>
    </row>
    <row r="9" spans="1:22" s="44" customFormat="1" x14ac:dyDescent="0.25">
      <c r="A9" s="3">
        <f t="shared" ref="A9:A30" si="4">A8+1</f>
        <v>3</v>
      </c>
      <c r="B9" s="44" t="str">
        <f>'Billing Detail'!B19</f>
        <v>Time of Use Marketing Service</v>
      </c>
      <c r="C9" s="14" t="str">
        <f>'Billing Detail'!C19</f>
        <v>D</v>
      </c>
      <c r="D9" s="45">
        <f>'Billing Detail'!G21</f>
        <v>41163.663800000002</v>
      </c>
      <c r="E9" s="45">
        <f>'Billing Detail'!I21</f>
        <v>44921.46168</v>
      </c>
      <c r="F9" s="43">
        <f t="shared" si="0"/>
        <v>1.0164780424339822E-3</v>
      </c>
      <c r="G9" s="117">
        <f t="shared" ref="G9:G15" si="5">E9</f>
        <v>44921.46168</v>
      </c>
      <c r="H9" s="115">
        <f t="shared" si="1"/>
        <v>1.0164780424339822E-3</v>
      </c>
      <c r="I9" s="116">
        <f t="shared" si="2"/>
        <v>1659.48</v>
      </c>
      <c r="J9" s="45">
        <f>'Billing Detail'!M21</f>
        <v>46578.048149999995</v>
      </c>
      <c r="K9" s="43">
        <f t="shared" si="3"/>
        <v>1.0164045446871836E-3</v>
      </c>
      <c r="L9" s="45">
        <f>'Billing Detail'!N21</f>
        <v>1656.5864699999947</v>
      </c>
      <c r="M9" s="43">
        <f t="shared" ref="M9:M15" si="6">IF(E9=0,0,L9/E9)</f>
        <v>3.6877394636015207E-2</v>
      </c>
      <c r="N9" s="43">
        <f>'Billing Detail'!O27</f>
        <v>3.7814287022134116E-2</v>
      </c>
      <c r="O9" s="47">
        <f t="shared" ref="O9:O16" si="7">J9-I9-E9</f>
        <v>-2.8935300000084681</v>
      </c>
      <c r="Q9" s="2"/>
      <c r="R9" s="2"/>
      <c r="S9" s="2"/>
      <c r="T9" s="2"/>
      <c r="U9" s="2"/>
      <c r="V9" s="2"/>
    </row>
    <row r="10" spans="1:22" s="44" customFormat="1" x14ac:dyDescent="0.25">
      <c r="A10" s="3">
        <f t="shared" si="4"/>
        <v>4</v>
      </c>
      <c r="B10" s="44" t="str">
        <f>'Billing Detail'!B30</f>
        <v>General Power Service &lt; 50kW</v>
      </c>
      <c r="C10" s="14" t="str">
        <f>'Billing Detail'!C30</f>
        <v>C</v>
      </c>
      <c r="D10" s="45">
        <f>'Billing Detail'!G34</f>
        <v>3492690.0658999998</v>
      </c>
      <c r="E10" s="45">
        <f>'Billing Detail'!I34</f>
        <v>3444560.2499000002</v>
      </c>
      <c r="F10" s="43">
        <f t="shared" si="0"/>
        <v>7.7943141850683004E-2</v>
      </c>
      <c r="G10" s="117">
        <f t="shared" si="5"/>
        <v>3444560.2499000002</v>
      </c>
      <c r="H10" s="115">
        <f t="shared" si="1"/>
        <v>7.7943141850683004E-2</v>
      </c>
      <c r="I10" s="116">
        <f t="shared" si="2"/>
        <v>127248.41</v>
      </c>
      <c r="J10" s="45">
        <f>'Billing Detail'!M34</f>
        <v>3571883.9923999999</v>
      </c>
      <c r="K10" s="43">
        <f t="shared" si="3"/>
        <v>7.7943994374327641E-2</v>
      </c>
      <c r="L10" s="45">
        <f>'Billing Detail'!N34</f>
        <v>127323.7424999997</v>
      </c>
      <c r="M10" s="43">
        <f t="shared" si="6"/>
        <v>3.6963714745211984E-2</v>
      </c>
      <c r="N10" s="43">
        <f>'Billing Detail'!O40</f>
        <v>3.4253208962948443E-2</v>
      </c>
      <c r="O10" s="47">
        <f t="shared" si="7"/>
        <v>75.332499999552965</v>
      </c>
      <c r="Q10" s="2"/>
      <c r="R10" s="2"/>
      <c r="S10" s="2"/>
      <c r="T10" s="2"/>
      <c r="U10" s="2"/>
      <c r="V10" s="2"/>
    </row>
    <row r="11" spans="1:22" s="44" customFormat="1" x14ac:dyDescent="0.25">
      <c r="A11" s="3">
        <f t="shared" si="4"/>
        <v>5</v>
      </c>
      <c r="B11" s="44" t="str">
        <f>'Billing Detail'!B43</f>
        <v>Public Facilities</v>
      </c>
      <c r="C11" s="14" t="str">
        <f>'Billing Detail'!C43</f>
        <v>E</v>
      </c>
      <c r="D11" s="45">
        <f>'Billing Detail'!G46</f>
        <v>449377.17693999998</v>
      </c>
      <c r="E11" s="45">
        <f>'Billing Detail'!I46</f>
        <v>448124.91054000001</v>
      </c>
      <c r="F11" s="43">
        <f t="shared" si="0"/>
        <v>1.0140122667344216E-2</v>
      </c>
      <c r="G11" s="117">
        <f t="shared" si="5"/>
        <v>448124.91054000001</v>
      </c>
      <c r="H11" s="115">
        <f t="shared" si="1"/>
        <v>1.0140122667344216E-2</v>
      </c>
      <c r="I11" s="116">
        <f t="shared" si="2"/>
        <v>16554.560000000001</v>
      </c>
      <c r="J11" s="45">
        <f>'Billing Detail'!M46</f>
        <v>464665.22862000007</v>
      </c>
      <c r="K11" s="43">
        <f t="shared" si="3"/>
        <v>1.0139708916237129E-2</v>
      </c>
      <c r="L11" s="45">
        <f>'Billing Detail'!N46</f>
        <v>16540.318080000041</v>
      </c>
      <c r="M11" s="43">
        <f t="shared" si="6"/>
        <v>3.6910061661309133E-2</v>
      </c>
      <c r="N11" s="43">
        <f>'Billing Detail'!O52</f>
        <v>3.4055123032901598E-2</v>
      </c>
      <c r="O11" s="47">
        <f t="shared" si="7"/>
        <v>-14.241919999942183</v>
      </c>
      <c r="Q11" s="2"/>
      <c r="R11" s="2"/>
      <c r="S11" s="2"/>
      <c r="T11" s="2"/>
      <c r="U11" s="2"/>
      <c r="V11" s="2"/>
    </row>
    <row r="12" spans="1:22" s="44" customFormat="1" x14ac:dyDescent="0.25">
      <c r="A12" s="3">
        <f t="shared" si="4"/>
        <v>6</v>
      </c>
      <c r="B12" s="44" t="str">
        <f>'Billing Detail'!B55</f>
        <v>General Power Service 50-500kW</v>
      </c>
      <c r="C12" s="14" t="str">
        <f>'Billing Detail'!C55</f>
        <v>L</v>
      </c>
      <c r="D12" s="45">
        <f>'Billing Detail'!G59</f>
        <v>3640085.8079900001</v>
      </c>
      <c r="E12" s="45">
        <f>'Billing Detail'!I59</f>
        <v>3578598.9615900004</v>
      </c>
      <c r="F12" s="43">
        <f t="shared" si="0"/>
        <v>8.0976155518839854E-2</v>
      </c>
      <c r="G12" s="117">
        <f t="shared" si="5"/>
        <v>3578598.9615900004</v>
      </c>
      <c r="H12" s="115">
        <f t="shared" si="1"/>
        <v>8.0976155518839854E-2</v>
      </c>
      <c r="I12" s="116">
        <f t="shared" si="2"/>
        <v>132200.04999999999</v>
      </c>
      <c r="J12" s="45">
        <f>'Billing Detail'!M59</f>
        <v>3710831.6175285471</v>
      </c>
      <c r="K12" s="43">
        <f t="shared" si="3"/>
        <v>8.0976044948867371E-2</v>
      </c>
      <c r="L12" s="45">
        <f>'Billing Detail'!N59</f>
        <v>132232.6559385467</v>
      </c>
      <c r="M12" s="43">
        <f>IF(E12=0,0,L12/E12)</f>
        <v>3.6950956885035996E-2</v>
      </c>
      <c r="N12" s="43">
        <f>'Billing Detail'!O65</f>
        <v>3.4224753815512682E-2</v>
      </c>
      <c r="O12" s="47">
        <f>J12-I12-E12</f>
        <v>32.6059385468252</v>
      </c>
      <c r="Q12" s="2"/>
      <c r="R12" s="2"/>
      <c r="S12" s="2"/>
      <c r="T12" s="2"/>
      <c r="U12" s="2"/>
      <c r="V12" s="2"/>
    </row>
    <row r="13" spans="1:22" s="44" customFormat="1" x14ac:dyDescent="0.25">
      <c r="A13" s="3">
        <f t="shared" si="4"/>
        <v>7</v>
      </c>
      <c r="B13" s="44" t="str">
        <f>'Billing Detail'!B68</f>
        <v>General Power Service 1000-5000kW</v>
      </c>
      <c r="C13" s="14" t="str">
        <f>'Billing Detail'!C68</f>
        <v>M</v>
      </c>
      <c r="D13" s="45">
        <f>'Billing Detail'!G72</f>
        <v>851059.14449999994</v>
      </c>
      <c r="E13" s="45">
        <f>'Billing Detail'!I72</f>
        <v>834262.20050000004</v>
      </c>
      <c r="F13" s="43">
        <f t="shared" si="0"/>
        <v>1.8877596069374079E-2</v>
      </c>
      <c r="G13" s="117">
        <f t="shared" si="5"/>
        <v>834262.20050000004</v>
      </c>
      <c r="H13" s="115">
        <f t="shared" si="1"/>
        <v>1.8877596069374079E-2</v>
      </c>
      <c r="I13" s="116">
        <f t="shared" si="2"/>
        <v>30819.19</v>
      </c>
      <c r="J13" s="45">
        <f>'Billing Detail'!M72</f>
        <v>865008.73903515388</v>
      </c>
      <c r="K13" s="43">
        <f t="shared" si="3"/>
        <v>1.8875819156656964E-2</v>
      </c>
      <c r="L13" s="45">
        <f>'Billing Detail'!N72</f>
        <v>30746.538535153872</v>
      </c>
      <c r="M13" s="43">
        <f t="shared" ref="M13" si="8">IF(E13=0,0,L13/E13)</f>
        <v>3.6854766423225799E-2</v>
      </c>
      <c r="N13" s="43">
        <f>'Billing Detail'!O78</f>
        <v>3.5310136667047291E-2</v>
      </c>
      <c r="O13" s="47">
        <f t="shared" ref="O13" si="9">J13-I13-E13</f>
        <v>-72.65146484610159</v>
      </c>
      <c r="Q13" s="2"/>
      <c r="R13" s="2"/>
      <c r="S13" s="2"/>
      <c r="T13" s="2"/>
      <c r="U13" s="2"/>
      <c r="V13" s="2"/>
    </row>
    <row r="14" spans="1:22" s="44" customFormat="1" x14ac:dyDescent="0.25">
      <c r="A14" s="3">
        <f t="shared" si="4"/>
        <v>8</v>
      </c>
      <c r="B14" s="44" t="str">
        <f>'Billing Detail'!B81</f>
        <v>General Power Service 500+kW</v>
      </c>
      <c r="C14" s="14" t="str">
        <f>'Billing Detail'!C81</f>
        <v>P</v>
      </c>
      <c r="D14" s="45">
        <f>'Billing Detail'!G85</f>
        <v>1223117.1170000001</v>
      </c>
      <c r="E14" s="45">
        <f>'Billing Detail'!I85</f>
        <v>1199470.7489999998</v>
      </c>
      <c r="F14" s="43">
        <f t="shared" si="0"/>
        <v>2.7141496142436793E-2</v>
      </c>
      <c r="G14" s="117">
        <f t="shared" si="5"/>
        <v>1199470.7489999998</v>
      </c>
      <c r="H14" s="115">
        <f t="shared" si="1"/>
        <v>2.7141496142436793E-2</v>
      </c>
      <c r="I14" s="116">
        <f t="shared" si="2"/>
        <v>44310.66</v>
      </c>
      <c r="J14" s="45">
        <f>'Billing Detail'!M85</f>
        <v>1243850.9619851853</v>
      </c>
      <c r="K14" s="43">
        <f t="shared" si="3"/>
        <v>2.7142738283146967E-2</v>
      </c>
      <c r="L14" s="45">
        <f>'Billing Detail'!N85</f>
        <v>44380.212985185273</v>
      </c>
      <c r="M14" s="43">
        <f t="shared" si="6"/>
        <v>3.6999829318209811E-2</v>
      </c>
      <c r="N14" s="43">
        <f>'Billing Detail'!O85</f>
        <v>3.6999829318209811E-2</v>
      </c>
      <c r="O14" s="47">
        <f t="shared" si="7"/>
        <v>69.552985185524449</v>
      </c>
      <c r="Q14" s="2"/>
      <c r="R14" s="2"/>
      <c r="S14" s="2"/>
      <c r="T14" s="2"/>
      <c r="U14" s="2"/>
      <c r="V14" s="2"/>
    </row>
    <row r="15" spans="1:22" s="44" customFormat="1" x14ac:dyDescent="0.25">
      <c r="A15" s="3">
        <f t="shared" si="4"/>
        <v>9</v>
      </c>
      <c r="B15" s="44" t="str">
        <f>'Billing Detail'!B94</f>
        <v>Lighting</v>
      </c>
      <c r="C15" s="14" t="str">
        <f>'Billing Detail'!C94</f>
        <v>S,T,O</v>
      </c>
      <c r="D15" s="45">
        <f>'Billing Detail'!G105</f>
        <v>1187537.8200000003</v>
      </c>
      <c r="E15" s="45">
        <f>'Billing Detail'!I105</f>
        <v>1187537.8200000003</v>
      </c>
      <c r="F15" s="43">
        <f t="shared" si="0"/>
        <v>2.6871479098093298E-2</v>
      </c>
      <c r="G15" s="117">
        <f t="shared" si="5"/>
        <v>1187537.8200000003</v>
      </c>
      <c r="H15" s="115">
        <f t="shared" si="1"/>
        <v>2.6871479098093298E-2</v>
      </c>
      <c r="I15" s="116">
        <f t="shared" si="2"/>
        <v>43869.84</v>
      </c>
      <c r="J15" s="45">
        <f>'Billing Detail'!M105</f>
        <v>1231651.6445126354</v>
      </c>
      <c r="K15" s="43">
        <f t="shared" si="3"/>
        <v>2.6876530440318295E-2</v>
      </c>
      <c r="L15" s="45">
        <f t="shared" ref="L15:L16" si="10">J15-E15</f>
        <v>44113.824512635125</v>
      </c>
      <c r="M15" s="43">
        <f t="shared" si="6"/>
        <v>3.7147300717239568E-2</v>
      </c>
      <c r="N15" s="43">
        <f>'Billing Detail'!O111</f>
        <v>3.7401682957485888E-2</v>
      </c>
      <c r="O15" s="47">
        <f t="shared" si="7"/>
        <v>243.98451263504103</v>
      </c>
      <c r="Q15" s="2"/>
      <c r="R15" s="2"/>
      <c r="S15" s="2"/>
      <c r="T15" s="2"/>
      <c r="U15" s="2"/>
      <c r="V15" s="2"/>
    </row>
    <row r="16" spans="1:22" s="44" customFormat="1" ht="16.2" customHeight="1" x14ac:dyDescent="0.25">
      <c r="A16" s="3">
        <f t="shared" si="4"/>
        <v>10</v>
      </c>
      <c r="B16" s="48" t="s">
        <v>43</v>
      </c>
      <c r="C16" s="79"/>
      <c r="D16" s="49">
        <f>SUM(D8:D15)</f>
        <v>43814109.950210005</v>
      </c>
      <c r="E16" s="49">
        <f>SUM(E8:E15)</f>
        <v>44193243.537690625</v>
      </c>
      <c r="F16" s="50">
        <f t="shared" si="0"/>
        <v>1</v>
      </c>
      <c r="G16" s="49">
        <f>SUM(G8:G15)</f>
        <v>44193243.537690625</v>
      </c>
      <c r="H16" s="50">
        <v>1</v>
      </c>
      <c r="I16" s="49">
        <f>SUM(I8:I15)</f>
        <v>1632579.99</v>
      </c>
      <c r="J16" s="49">
        <f>SUM(J8:J15)</f>
        <v>45826288.748379424</v>
      </c>
      <c r="K16" s="50">
        <f t="shared" si="3"/>
        <v>1</v>
      </c>
      <c r="L16" s="49">
        <f t="shared" si="10"/>
        <v>1633045.2106887996</v>
      </c>
      <c r="M16" s="50">
        <f t="shared" ref="M16" si="11">L16/E16</f>
        <v>3.6952372805495522E-2</v>
      </c>
      <c r="N16" s="50"/>
      <c r="O16" s="51">
        <f t="shared" si="7"/>
        <v>465.22068879753351</v>
      </c>
      <c r="Q16" s="2"/>
      <c r="R16" s="2"/>
      <c r="S16" s="2"/>
      <c r="T16" s="2"/>
      <c r="U16" s="2"/>
      <c r="V16" s="2"/>
    </row>
    <row r="17" spans="1:22" s="44" customFormat="1" ht="16.2" customHeight="1" x14ac:dyDescent="0.25">
      <c r="A17" s="3">
        <f t="shared" si="4"/>
        <v>11</v>
      </c>
      <c r="B17" s="52"/>
      <c r="C17" s="80"/>
      <c r="D17" s="53"/>
      <c r="E17" s="53"/>
      <c r="F17" s="54"/>
      <c r="G17" s="53"/>
      <c r="H17" s="54"/>
      <c r="I17" s="53"/>
      <c r="J17" s="53"/>
      <c r="K17" s="54"/>
      <c r="L17" s="53"/>
      <c r="M17" s="54"/>
      <c r="N17" s="54"/>
      <c r="O17" s="55"/>
      <c r="Q17" s="2"/>
      <c r="R17" s="2"/>
      <c r="S17" s="2"/>
      <c r="T17" s="2"/>
      <c r="U17" s="2"/>
      <c r="V17" s="2"/>
    </row>
    <row r="18" spans="1:22" s="44" customFormat="1" ht="16.2" customHeight="1" x14ac:dyDescent="0.25">
      <c r="A18" s="3">
        <f t="shared" si="4"/>
        <v>12</v>
      </c>
      <c r="B18" s="56" t="s">
        <v>42</v>
      </c>
      <c r="C18" s="81"/>
      <c r="D18" s="57">
        <f>D16</f>
        <v>43814109.950210005</v>
      </c>
      <c r="E18" s="57">
        <f t="shared" ref="E18:O18" si="12">E16</f>
        <v>44193243.537690625</v>
      </c>
      <c r="F18" s="106">
        <f t="shared" si="12"/>
        <v>1</v>
      </c>
      <c r="G18" s="57">
        <f t="shared" si="12"/>
        <v>44193243.537690625</v>
      </c>
      <c r="H18" s="106">
        <f t="shared" si="12"/>
        <v>1</v>
      </c>
      <c r="I18" s="57">
        <f t="shared" si="12"/>
        <v>1632579.99</v>
      </c>
      <c r="J18" s="57">
        <f t="shared" si="12"/>
        <v>45826288.748379424</v>
      </c>
      <c r="K18" s="106">
        <f t="shared" si="12"/>
        <v>1</v>
      </c>
      <c r="L18" s="57">
        <f t="shared" si="12"/>
        <v>1633045.2106887996</v>
      </c>
      <c r="M18" s="106">
        <f t="shared" si="12"/>
        <v>3.6952372805495522E-2</v>
      </c>
      <c r="N18" s="57"/>
      <c r="O18" s="57">
        <f t="shared" si="12"/>
        <v>465.22068879753351</v>
      </c>
      <c r="Q18" s="2"/>
      <c r="R18" s="2"/>
      <c r="S18" s="2"/>
      <c r="T18" s="2"/>
      <c r="U18" s="2"/>
      <c r="V18" s="2"/>
    </row>
    <row r="19" spans="1:22" s="44" customFormat="1" ht="12.6" customHeight="1" x14ac:dyDescent="0.25">
      <c r="A19" s="3">
        <f t="shared" si="4"/>
        <v>13</v>
      </c>
      <c r="C19" s="14"/>
      <c r="S19" s="45"/>
    </row>
    <row r="20" spans="1:22" s="44" customFormat="1" x14ac:dyDescent="0.25">
      <c r="A20" s="3">
        <f t="shared" si="4"/>
        <v>14</v>
      </c>
      <c r="B20" s="40" t="s">
        <v>7</v>
      </c>
      <c r="C20" s="78"/>
      <c r="D20" s="40"/>
    </row>
    <row r="21" spans="1:22" s="44" customFormat="1" x14ac:dyDescent="0.25">
      <c r="A21" s="3">
        <f t="shared" si="4"/>
        <v>15</v>
      </c>
      <c r="B21" s="44" t="str">
        <f>'Billing Detail'!D11</f>
        <v xml:space="preserve">    FAC</v>
      </c>
      <c r="C21" s="14"/>
      <c r="D21" s="45">
        <f>'Billing Detail'!G116</f>
        <v>-1700768.77</v>
      </c>
      <c r="E21" s="45">
        <f>'Billing Detail'!I116</f>
        <v>-1124023.7581652235</v>
      </c>
      <c r="F21" s="58"/>
      <c r="G21" s="59"/>
      <c r="H21" s="59"/>
      <c r="I21" s="59"/>
      <c r="J21" s="45">
        <f>'Billing Detail'!M116</f>
        <v>-1124023.7581652235</v>
      </c>
      <c r="K21" s="60"/>
      <c r="L21" s="60"/>
      <c r="M21" s="59"/>
      <c r="N21" s="59"/>
    </row>
    <row r="22" spans="1:22" s="44" customFormat="1" x14ac:dyDescent="0.25">
      <c r="A22" s="3">
        <f t="shared" si="4"/>
        <v>16</v>
      </c>
      <c r="B22" s="44" t="str">
        <f>'Billing Detail'!D12</f>
        <v xml:space="preserve">    ES</v>
      </c>
      <c r="C22" s="14"/>
      <c r="D22" s="45">
        <f>'Billing Detail'!G117</f>
        <v>4249768.72</v>
      </c>
      <c r="E22" s="45">
        <f>'Billing Detail'!I117</f>
        <v>4249768.72</v>
      </c>
      <c r="F22" s="59"/>
      <c r="G22" s="59"/>
      <c r="H22" s="59"/>
      <c r="I22" s="59"/>
      <c r="J22" s="45">
        <f>'Billing Detail'!M117</f>
        <v>4249768.72</v>
      </c>
      <c r="K22" s="60"/>
      <c r="L22" s="60"/>
      <c r="M22" s="59"/>
      <c r="N22" s="59"/>
    </row>
    <row r="23" spans="1:22" s="44" customFormat="1" x14ac:dyDescent="0.25">
      <c r="A23" s="3">
        <f t="shared" si="4"/>
        <v>17</v>
      </c>
      <c r="B23" s="44" t="str">
        <f>'Billing Detail'!D13</f>
        <v xml:space="preserve">    Prepay Fees</v>
      </c>
      <c r="C23" s="14"/>
      <c r="D23" s="45">
        <f>'Billing Detail'!G118</f>
        <v>143857.88</v>
      </c>
      <c r="E23" s="45">
        <f>'Billing Detail'!I118</f>
        <v>143857.88</v>
      </c>
      <c r="F23" s="59"/>
      <c r="G23" s="59"/>
      <c r="H23" s="59"/>
      <c r="I23" s="59"/>
      <c r="J23" s="45">
        <f>'Billing Detail'!M118</f>
        <v>143857.88</v>
      </c>
      <c r="K23" s="60"/>
      <c r="L23" s="60"/>
      <c r="M23" s="59"/>
      <c r="N23" s="59"/>
    </row>
    <row r="24" spans="1:22" s="44" customFormat="1" x14ac:dyDescent="0.25">
      <c r="A24" s="3">
        <f t="shared" si="4"/>
        <v>18</v>
      </c>
      <c r="B24" s="44" t="str">
        <f>'Billing Detail'!D14</f>
        <v xml:space="preserve">    Other</v>
      </c>
      <c r="C24" s="14"/>
      <c r="D24" s="45">
        <f>'Billing Detail'!G119</f>
        <v>0</v>
      </c>
      <c r="E24" s="45">
        <f>'Billing Detail'!I119</f>
        <v>0</v>
      </c>
      <c r="F24" s="59"/>
      <c r="G24" s="59"/>
      <c r="H24" s="59"/>
      <c r="I24" s="59"/>
      <c r="J24" s="45">
        <f>'Billing Detail'!M119</f>
        <v>0</v>
      </c>
      <c r="K24" s="60"/>
      <c r="L24" s="60"/>
      <c r="M24" s="59"/>
      <c r="N24" s="69"/>
    </row>
    <row r="25" spans="1:22" s="44" customFormat="1" x14ac:dyDescent="0.25">
      <c r="A25" s="3">
        <f t="shared" si="4"/>
        <v>19</v>
      </c>
      <c r="B25" s="48" t="s">
        <v>8</v>
      </c>
      <c r="C25" s="79"/>
      <c r="D25" s="49">
        <f>SUM(D21:D24)</f>
        <v>2692857.8299999996</v>
      </c>
      <c r="E25" s="49">
        <f>SUM(E21:E24)</f>
        <v>3269602.8418347761</v>
      </c>
      <c r="F25" s="61"/>
      <c r="G25" s="61"/>
      <c r="H25" s="61"/>
      <c r="I25" s="61"/>
      <c r="J25" s="49">
        <f>SUM(J21:J24)</f>
        <v>3269602.8418347761</v>
      </c>
      <c r="K25" s="62"/>
      <c r="L25" s="62"/>
      <c r="M25" s="61"/>
      <c r="N25" s="68"/>
    </row>
    <row r="26" spans="1:22" s="44" customFormat="1" x14ac:dyDescent="0.25">
      <c r="A26" s="3">
        <f t="shared" si="4"/>
        <v>20</v>
      </c>
      <c r="C26" s="14"/>
    </row>
    <row r="27" spans="1:22" s="44" customFormat="1" ht="18" customHeight="1" thickBot="1" x14ac:dyDescent="0.3">
      <c r="A27" s="3">
        <f t="shared" si="4"/>
        <v>21</v>
      </c>
      <c r="B27" s="63" t="s">
        <v>9</v>
      </c>
      <c r="C27" s="82"/>
      <c r="D27" s="64">
        <f>D18+D25</f>
        <v>46506967.780210003</v>
      </c>
      <c r="E27" s="64">
        <f>E18+E25</f>
        <v>47462846.379525401</v>
      </c>
      <c r="F27" s="65"/>
      <c r="G27" s="65"/>
      <c r="H27" s="65"/>
      <c r="I27" s="65"/>
      <c r="J27" s="64">
        <f>J18+J25</f>
        <v>49095891.5902142</v>
      </c>
      <c r="K27" s="66"/>
      <c r="L27" s="65">
        <f t="shared" ref="L27" si="13">J27-E27</f>
        <v>1633045.2106887996</v>
      </c>
      <c r="M27" s="63"/>
      <c r="N27" s="67">
        <f>L27/E27</f>
        <v>3.4406811543297271E-2</v>
      </c>
    </row>
    <row r="28" spans="1:22" s="44" customFormat="1" ht="18" customHeight="1" thickTop="1" x14ac:dyDescent="0.25">
      <c r="A28" s="3">
        <f t="shared" si="4"/>
        <v>22</v>
      </c>
      <c r="B28" s="44" t="s">
        <v>10</v>
      </c>
      <c r="C28" s="14"/>
      <c r="D28" s="46"/>
      <c r="L28" s="53">
        <f>L4</f>
        <v>1632580</v>
      </c>
    </row>
    <row r="29" spans="1:22" s="44" customFormat="1" ht="15" customHeight="1" x14ac:dyDescent="0.25">
      <c r="A29" s="3">
        <f t="shared" si="4"/>
        <v>23</v>
      </c>
      <c r="B29" s="48" t="s">
        <v>39</v>
      </c>
      <c r="C29" s="79"/>
      <c r="D29" s="49"/>
      <c r="E29" s="48"/>
      <c r="F29" s="48"/>
      <c r="G29" s="48"/>
      <c r="H29" s="48"/>
      <c r="I29" s="48"/>
      <c r="J29" s="48"/>
      <c r="K29" s="48"/>
      <c r="L29" s="49">
        <f>L27-L28</f>
        <v>465.21068879961967</v>
      </c>
    </row>
    <row r="30" spans="1:22" s="44" customFormat="1" ht="15" customHeight="1" x14ac:dyDescent="0.25">
      <c r="A30" s="3">
        <f t="shared" si="4"/>
        <v>24</v>
      </c>
      <c r="B30" s="44" t="s">
        <v>39</v>
      </c>
      <c r="C30" s="14"/>
      <c r="D30" s="43"/>
      <c r="L30" s="43">
        <f>L29/L28</f>
        <v>2.8495429859462913E-4</v>
      </c>
    </row>
    <row r="31" spans="1:22" x14ac:dyDescent="0.25">
      <c r="A31" s="3"/>
    </row>
  </sheetData>
  <pageMargins left="0.7" right="0.7" top="0.75" bottom="0.75" header="0.3" footer="0.3"/>
  <pageSetup scale="74" orientation="landscape" r:id="rId1"/>
  <headerFooter>
    <oddHeader>&amp;R&amp;"Arial,Bold"&amp;10Exhibit 3
Page &amp;P of &amp;N</oddHeader>
  </headerFooter>
  <ignoredErrors>
    <ignoredError sqref="J16 F16 J8:J11 G8:G14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X124"/>
  <sheetViews>
    <sheetView view="pageBreakPreview" zoomScale="75" zoomScaleNormal="75" zoomScaleSheetLayoutView="75" workbookViewId="0">
      <pane xSplit="4" ySplit="5" topLeftCell="E78" activePane="bottomRight" state="frozen"/>
      <selection activeCell="E5" sqref="E5"/>
      <selection pane="topRight" activeCell="E5" sqref="E5"/>
      <selection pane="bottomLeft" activeCell="E5" sqref="E5"/>
      <selection pane="bottomRight" activeCell="I79" sqref="I79"/>
    </sheetView>
  </sheetViews>
  <sheetFormatPr defaultColWidth="8.88671875" defaultRowHeight="13.2" x14ac:dyDescent="0.25"/>
  <cols>
    <col min="1" max="1" width="7.44140625" style="5" customWidth="1"/>
    <col min="2" max="2" width="30.77734375" style="2" customWidth="1"/>
    <col min="3" max="3" width="6.6640625" style="14" customWidth="1"/>
    <col min="4" max="4" width="30.77734375" style="2" customWidth="1"/>
    <col min="5" max="5" width="12.6640625" style="2" bestFit="1" customWidth="1"/>
    <col min="6" max="6" width="10" style="2" hidden="1" customWidth="1"/>
    <col min="7" max="7" width="12.6640625" style="2" hidden="1" customWidth="1"/>
    <col min="8" max="8" width="12.21875" style="2" bestFit="1" customWidth="1"/>
    <col min="9" max="9" width="15.33203125" style="2" bestFit="1" customWidth="1"/>
    <col min="10" max="10" width="8.5546875" style="2" bestFit="1" customWidth="1"/>
    <col min="11" max="11" width="12.6640625" style="28" bestFit="1" customWidth="1"/>
    <col min="12" max="12" width="9.88671875" style="2" bestFit="1" customWidth="1"/>
    <col min="13" max="13" width="12.6640625" style="2" bestFit="1" customWidth="1"/>
    <col min="14" max="14" width="11.6640625" style="2" bestFit="1" customWidth="1"/>
    <col min="15" max="15" width="6.44140625" style="2" bestFit="1" customWidth="1"/>
    <col min="16" max="16" width="9.88671875" style="2" bestFit="1" customWidth="1"/>
    <col min="17" max="18" width="9.44140625" style="2" bestFit="1" customWidth="1"/>
    <col min="19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1.6640625" style="2" customWidth="1"/>
    <col min="24" max="16384" width="8.88671875" style="2"/>
  </cols>
  <sheetData>
    <row r="1" spans="1:20" x14ac:dyDescent="0.25">
      <c r="A1" s="34" t="str">
        <f>Summary!A1</f>
        <v>CLARK ENERGY COOPERATIVE</v>
      </c>
      <c r="F1" s="12"/>
    </row>
    <row r="2" spans="1:20" ht="14.4" customHeight="1" x14ac:dyDescent="0.25">
      <c r="A2" s="34" t="str">
        <f>Summary!A2</f>
        <v>Billing Analysis for Pass-Through Rate Increase</v>
      </c>
      <c r="F2" s="37"/>
      <c r="G2" s="39"/>
      <c r="H2" s="77"/>
      <c r="I2" s="71"/>
      <c r="P2" s="27"/>
      <c r="R2" s="28"/>
      <c r="S2" s="28"/>
      <c r="T2" s="28"/>
    </row>
    <row r="3" spans="1:20" x14ac:dyDescent="0.25">
      <c r="R3" s="28"/>
      <c r="S3" s="28"/>
      <c r="T3" s="28"/>
    </row>
    <row r="4" spans="1:20" x14ac:dyDescent="0.25">
      <c r="D4" s="28"/>
      <c r="F4" s="28"/>
      <c r="G4" s="28"/>
      <c r="H4" s="28"/>
      <c r="I4" s="28"/>
      <c r="J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38.4" customHeight="1" x14ac:dyDescent="0.25">
      <c r="A5" s="16" t="s">
        <v>1</v>
      </c>
      <c r="B5" s="16" t="s">
        <v>12</v>
      </c>
      <c r="C5" s="8" t="s">
        <v>11</v>
      </c>
      <c r="D5" s="16" t="s">
        <v>13</v>
      </c>
      <c r="E5" s="10" t="s">
        <v>14</v>
      </c>
      <c r="F5" s="30" t="s">
        <v>19</v>
      </c>
      <c r="G5" s="10" t="s">
        <v>24</v>
      </c>
      <c r="H5" s="10" t="s">
        <v>25</v>
      </c>
      <c r="I5" s="10" t="s">
        <v>26</v>
      </c>
      <c r="J5" s="10" t="s">
        <v>52</v>
      </c>
      <c r="K5" s="30" t="s">
        <v>10</v>
      </c>
      <c r="L5" s="10" t="s">
        <v>22</v>
      </c>
      <c r="M5" s="10" t="s">
        <v>4</v>
      </c>
      <c r="N5" s="10" t="s">
        <v>15</v>
      </c>
      <c r="O5" s="8" t="s">
        <v>16</v>
      </c>
      <c r="P5" s="10" t="s">
        <v>23</v>
      </c>
      <c r="Q5" s="10" t="s">
        <v>27</v>
      </c>
      <c r="R5" s="10" t="s">
        <v>40</v>
      </c>
      <c r="T5" s="10" t="s">
        <v>36</v>
      </c>
    </row>
    <row r="6" spans="1:20" ht="30.6" customHeight="1" thickBot="1" x14ac:dyDescent="0.3">
      <c r="A6" s="35"/>
      <c r="B6" s="21"/>
      <c r="C6" s="22"/>
      <c r="D6" s="21"/>
      <c r="E6" s="103"/>
      <c r="F6" s="23"/>
      <c r="G6" s="23"/>
      <c r="H6" s="23"/>
      <c r="I6" s="23"/>
      <c r="J6" s="23"/>
      <c r="K6" s="31"/>
      <c r="L6" s="23"/>
      <c r="M6" s="23"/>
      <c r="N6" s="23"/>
      <c r="O6" s="22"/>
      <c r="P6" s="23"/>
      <c r="Q6" s="23"/>
      <c r="R6" s="23"/>
    </row>
    <row r="7" spans="1:20" x14ac:dyDescent="0.25">
      <c r="A7" s="36">
        <v>1</v>
      </c>
      <c r="B7" s="24" t="s">
        <v>66</v>
      </c>
      <c r="C7" s="25" t="s">
        <v>67</v>
      </c>
      <c r="D7" s="24"/>
      <c r="E7" s="24"/>
      <c r="F7" s="24"/>
      <c r="G7" s="24"/>
      <c r="H7" s="24"/>
      <c r="I7" s="24"/>
      <c r="J7" s="24"/>
      <c r="K7" s="32"/>
      <c r="L7" s="24"/>
      <c r="M7" s="24"/>
      <c r="N7" s="24"/>
      <c r="O7" s="24"/>
      <c r="P7" s="24"/>
      <c r="Q7" s="24"/>
      <c r="R7" s="24"/>
    </row>
    <row r="8" spans="1:20" x14ac:dyDescent="0.25">
      <c r="A8" s="36">
        <f>A7+1</f>
        <v>2</v>
      </c>
      <c r="C8" s="2"/>
      <c r="D8" s="2" t="s">
        <v>88</v>
      </c>
      <c r="E8" s="125">
        <v>294958.02252614644</v>
      </c>
      <c r="F8" s="118">
        <v>12.43</v>
      </c>
      <c r="G8" s="126">
        <f>F8*E8</f>
        <v>3666328.22</v>
      </c>
      <c r="H8" s="118">
        <v>18</v>
      </c>
      <c r="I8" s="126">
        <f>H8*E8</f>
        <v>5309244.4054706357</v>
      </c>
      <c r="J8" s="112">
        <f>I8/I10</f>
        <v>0.15869444500239926</v>
      </c>
      <c r="K8" s="112"/>
      <c r="L8" s="118">
        <f>ROUND(H8*S10,2)</f>
        <v>18.66</v>
      </c>
      <c r="M8" s="126">
        <f>L8*E8</f>
        <v>5503916.7003378924</v>
      </c>
      <c r="N8" s="126">
        <f t="shared" ref="N8:N13" si="0">M8-I8</f>
        <v>194672.29486725666</v>
      </c>
      <c r="O8" s="112">
        <f>IF(I8=0,0,N8/I8)</f>
        <v>3.6666666666666667E-2</v>
      </c>
      <c r="P8" s="112">
        <f>M8/M10</f>
        <v>0.15865172065788366</v>
      </c>
      <c r="Q8" s="128">
        <f>P8-J8</f>
        <v>-4.2724344515604473E-5</v>
      </c>
      <c r="R8" s="128"/>
      <c r="T8" s="4">
        <f>L8/H8-1</f>
        <v>3.6666666666666625E-2</v>
      </c>
    </row>
    <row r="9" spans="1:20" x14ac:dyDescent="0.25">
      <c r="A9" s="36">
        <f t="shared" ref="A9:A72" si="1">A8+1</f>
        <v>3</v>
      </c>
      <c r="B9" s="37"/>
      <c r="D9" s="2" t="s">
        <v>49</v>
      </c>
      <c r="E9" s="125">
        <v>325430949</v>
      </c>
      <c r="F9" s="129">
        <v>8.992E-2</v>
      </c>
      <c r="G9" s="126">
        <f t="shared" ref="G9" si="2">F9*E9</f>
        <v>29262750.934080001</v>
      </c>
      <c r="H9" s="129">
        <v>8.6489999999999997E-2</v>
      </c>
      <c r="I9" s="126">
        <f t="shared" ref="I9" si="3">H9*E9</f>
        <v>28146522.779009998</v>
      </c>
      <c r="J9" s="112">
        <f>I9/I10</f>
        <v>0.84130555499760074</v>
      </c>
      <c r="K9" s="112"/>
      <c r="L9" s="130">
        <f>ROUND(H9*S10,5)</f>
        <v>8.9690000000000006E-2</v>
      </c>
      <c r="M9" s="126">
        <f t="shared" ref="M9" si="4">L9*E9</f>
        <v>29187901.815810002</v>
      </c>
      <c r="N9" s="126">
        <f t="shared" si="0"/>
        <v>1041379.0368000045</v>
      </c>
      <c r="O9" s="112">
        <f t="shared" ref="O9" si="5">IF(I9=0,0,N9/I9)</f>
        <v>3.6998496936062136E-2</v>
      </c>
      <c r="P9" s="112">
        <f>M9/M10</f>
        <v>0.84134827934211631</v>
      </c>
      <c r="Q9" s="128">
        <f t="shared" ref="Q9:Q10" si="6">P9-J9</f>
        <v>4.2724344515576718E-5</v>
      </c>
      <c r="R9" s="128"/>
      <c r="T9" s="4">
        <f>L9/H9-1</f>
        <v>3.6998496936062164E-2</v>
      </c>
    </row>
    <row r="10" spans="1:20" s="5" customFormat="1" ht="20.399999999999999" customHeight="1" x14ac:dyDescent="0.3">
      <c r="A10" s="36">
        <f t="shared" si="1"/>
        <v>4</v>
      </c>
      <c r="C10" s="15"/>
      <c r="D10" s="17" t="s">
        <v>6</v>
      </c>
      <c r="E10" s="127"/>
      <c r="F10" s="127"/>
      <c r="G10" s="18">
        <f>SUM(G8:G9)</f>
        <v>32929079.15408</v>
      </c>
      <c r="H10" s="127"/>
      <c r="I10" s="18">
        <f>SUM(I8:I9)</f>
        <v>33455767.184480634</v>
      </c>
      <c r="J10" s="131">
        <f>SUM(J8:J9)</f>
        <v>1</v>
      </c>
      <c r="K10" s="119">
        <f>I10+Summary!I8</f>
        <v>34691684.984480634</v>
      </c>
      <c r="L10" s="127"/>
      <c r="M10" s="18">
        <f>SUM(M8:M9)</f>
        <v>34691818.516147897</v>
      </c>
      <c r="N10" s="18">
        <f>SUM(N8:N9)</f>
        <v>1236051.3316672612</v>
      </c>
      <c r="O10" s="131">
        <f t="shared" ref="O10" si="7">N10/I10</f>
        <v>3.6945837315625424E-2</v>
      </c>
      <c r="P10" s="131">
        <f>SUM(P8:P9)</f>
        <v>1</v>
      </c>
      <c r="Q10" s="132">
        <f t="shared" si="6"/>
        <v>0</v>
      </c>
      <c r="R10" s="133">
        <f>M10-K10</f>
        <v>133.53166726231575</v>
      </c>
      <c r="S10" s="83">
        <f>K10/I10</f>
        <v>1.0369418460256776</v>
      </c>
    </row>
    <row r="11" spans="1:20" x14ac:dyDescent="0.25">
      <c r="A11" s="36">
        <f t="shared" si="1"/>
        <v>5</v>
      </c>
      <c r="D11" s="2" t="s">
        <v>28</v>
      </c>
      <c r="E11" s="110"/>
      <c r="F11" s="110"/>
      <c r="G11" s="126">
        <v>-1269968.03</v>
      </c>
      <c r="H11" s="110"/>
      <c r="I11" s="120">
        <f>G11+(0.0016*E9)</f>
        <v>-749278.51160000009</v>
      </c>
      <c r="J11" s="110"/>
      <c r="K11" s="120"/>
      <c r="L11" s="110"/>
      <c r="M11" s="126">
        <f>I11</f>
        <v>-749278.51160000009</v>
      </c>
      <c r="N11" s="126">
        <f t="shared" si="0"/>
        <v>0</v>
      </c>
      <c r="O11" s="118">
        <v>0</v>
      </c>
      <c r="P11" s="110"/>
      <c r="Q11" s="110"/>
      <c r="R11" s="134"/>
    </row>
    <row r="12" spans="1:20" x14ac:dyDescent="0.25">
      <c r="A12" s="36">
        <f t="shared" si="1"/>
        <v>6</v>
      </c>
      <c r="D12" s="2" t="s">
        <v>29</v>
      </c>
      <c r="E12" s="110"/>
      <c r="F12" s="110"/>
      <c r="G12" s="126">
        <v>3236453.86</v>
      </c>
      <c r="H12" s="110"/>
      <c r="I12" s="120">
        <f>G12</f>
        <v>3236453.86</v>
      </c>
      <c r="J12" s="110"/>
      <c r="K12" s="110"/>
      <c r="L12" s="110"/>
      <c r="M12" s="126">
        <f t="shared" ref="M12:M14" si="8">I12</f>
        <v>3236453.86</v>
      </c>
      <c r="N12" s="126">
        <f t="shared" si="0"/>
        <v>0</v>
      </c>
      <c r="O12" s="118">
        <v>0</v>
      </c>
      <c r="P12" s="110"/>
      <c r="Q12" s="110"/>
      <c r="R12" s="110"/>
    </row>
    <row r="13" spans="1:20" x14ac:dyDescent="0.25">
      <c r="A13" s="36">
        <f t="shared" si="1"/>
        <v>7</v>
      </c>
      <c r="D13" s="2" t="s">
        <v>68</v>
      </c>
      <c r="E13" s="110"/>
      <c r="F13" s="110"/>
      <c r="G13" s="126">
        <v>1825</v>
      </c>
      <c r="H13" s="110"/>
      <c r="I13" s="120">
        <f>G13</f>
        <v>1825</v>
      </c>
      <c r="J13" s="110"/>
      <c r="K13" s="110"/>
      <c r="L13" s="110"/>
      <c r="M13" s="126">
        <f t="shared" si="8"/>
        <v>1825</v>
      </c>
      <c r="N13" s="126">
        <f t="shared" si="0"/>
        <v>0</v>
      </c>
      <c r="O13" s="118">
        <v>0</v>
      </c>
      <c r="P13" s="110"/>
      <c r="Q13" s="110"/>
      <c r="R13" s="110"/>
    </row>
    <row r="14" spans="1:20" x14ac:dyDescent="0.25">
      <c r="A14" s="36">
        <f t="shared" si="1"/>
        <v>8</v>
      </c>
      <c r="D14" s="2" t="s">
        <v>41</v>
      </c>
      <c r="E14" s="110"/>
      <c r="F14" s="110"/>
      <c r="G14" s="126">
        <v>0</v>
      </c>
      <c r="H14" s="110"/>
      <c r="I14" s="120">
        <f>G14</f>
        <v>0</v>
      </c>
      <c r="J14" s="110"/>
      <c r="K14" s="110"/>
      <c r="L14" s="110"/>
      <c r="M14" s="126">
        <f t="shared" si="8"/>
        <v>0</v>
      </c>
      <c r="N14" s="126"/>
      <c r="O14" s="118">
        <v>0</v>
      </c>
      <c r="P14" s="110"/>
      <c r="Q14" s="110"/>
      <c r="R14" s="110"/>
    </row>
    <row r="15" spans="1:20" x14ac:dyDescent="0.25">
      <c r="A15" s="36">
        <f t="shared" si="1"/>
        <v>9</v>
      </c>
      <c r="D15" s="13" t="s">
        <v>8</v>
      </c>
      <c r="E15" s="121"/>
      <c r="F15" s="121"/>
      <c r="G15" s="135">
        <f>SUM(G11:G14)</f>
        <v>1968310.8299999998</v>
      </c>
      <c r="H15" s="121"/>
      <c r="I15" s="135">
        <f>SUM(I11:I14)</f>
        <v>2489000.3483999996</v>
      </c>
      <c r="J15" s="121"/>
      <c r="K15" s="121"/>
      <c r="L15" s="121"/>
      <c r="M15" s="135">
        <f>SUM(M11:M14)</f>
        <v>2489000.3483999996</v>
      </c>
      <c r="N15" s="135">
        <f>M15-I15</f>
        <v>0</v>
      </c>
      <c r="O15" s="136">
        <v>0</v>
      </c>
      <c r="P15" s="110"/>
      <c r="Q15" s="110"/>
      <c r="R15" s="110"/>
    </row>
    <row r="16" spans="1:20" s="5" customFormat="1" ht="26.4" customHeight="1" thickBot="1" x14ac:dyDescent="0.3">
      <c r="A16" s="36">
        <f t="shared" si="1"/>
        <v>10</v>
      </c>
      <c r="C16" s="15"/>
      <c r="D16" s="6" t="s">
        <v>18</v>
      </c>
      <c r="E16" s="122"/>
      <c r="F16" s="122"/>
      <c r="G16" s="137">
        <f>G10+G15</f>
        <v>34897389.984080002</v>
      </c>
      <c r="H16" s="122"/>
      <c r="I16" s="138">
        <f>I15+I10</f>
        <v>35944767.532880634</v>
      </c>
      <c r="J16" s="122"/>
      <c r="K16" s="122"/>
      <c r="L16" s="122"/>
      <c r="M16" s="137">
        <f>M15+M10</f>
        <v>37180818.864547893</v>
      </c>
      <c r="N16" s="137">
        <f>M16-I16</f>
        <v>1236051.3316672593</v>
      </c>
      <c r="O16" s="139">
        <f>N16/I16</f>
        <v>3.4387517753079806E-2</v>
      </c>
      <c r="P16" s="110"/>
      <c r="Q16" s="110"/>
      <c r="R16" s="110"/>
    </row>
    <row r="17" spans="1:20" ht="13.8" thickTop="1" x14ac:dyDescent="0.25">
      <c r="A17" s="36">
        <f t="shared" si="1"/>
        <v>11</v>
      </c>
      <c r="D17" s="2" t="s">
        <v>17</v>
      </c>
      <c r="E17" s="118">
        <f>E9/E8</f>
        <v>1103.3127568895072</v>
      </c>
      <c r="F17" s="110"/>
      <c r="G17" s="140">
        <f>G16/E8</f>
        <v>118.31307277287749</v>
      </c>
      <c r="H17" s="110"/>
      <c r="I17" s="140">
        <f>I16/E8</f>
        <v>121.86401042776968</v>
      </c>
      <c r="J17" s="110"/>
      <c r="K17" s="110"/>
      <c r="L17" s="110"/>
      <c r="M17" s="140">
        <f>M16/E8</f>
        <v>126.05461124981612</v>
      </c>
      <c r="N17" s="140">
        <f>M17-I17</f>
        <v>4.1906008220464344</v>
      </c>
      <c r="O17" s="112">
        <f>N17/I17</f>
        <v>3.438751775307982E-2</v>
      </c>
      <c r="P17" s="110"/>
      <c r="Q17" s="110"/>
      <c r="R17" s="110"/>
    </row>
    <row r="18" spans="1:20" ht="13.8" thickBot="1" x14ac:dyDescent="0.3">
      <c r="A18" s="36">
        <f t="shared" si="1"/>
        <v>12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20" x14ac:dyDescent="0.25">
      <c r="A19" s="36">
        <f t="shared" si="1"/>
        <v>13</v>
      </c>
      <c r="B19" s="24" t="s">
        <v>69</v>
      </c>
      <c r="C19" s="25" t="s">
        <v>64</v>
      </c>
      <c r="D19" s="24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20" x14ac:dyDescent="0.25">
      <c r="A20" s="36">
        <f t="shared" si="1"/>
        <v>14</v>
      </c>
      <c r="B20" s="37"/>
      <c r="D20" s="2" t="s">
        <v>49</v>
      </c>
      <c r="E20" s="125">
        <v>717137</v>
      </c>
      <c r="F20" s="129">
        <v>5.74E-2</v>
      </c>
      <c r="G20" s="126">
        <f t="shared" ref="G20" si="9">F20*E20</f>
        <v>41163.663800000002</v>
      </c>
      <c r="H20" s="129">
        <v>6.2640000000000001E-2</v>
      </c>
      <c r="I20" s="126">
        <f t="shared" ref="I20" si="10">H20*E20</f>
        <v>44921.46168</v>
      </c>
      <c r="J20" s="112">
        <f>I20/I21</f>
        <v>1</v>
      </c>
      <c r="K20" s="112"/>
      <c r="L20" s="130">
        <f>ROUND(H20*S21,5)</f>
        <v>6.4949999999999994E-2</v>
      </c>
      <c r="M20" s="126">
        <f t="shared" ref="M20" si="11">L20*E20</f>
        <v>46578.048149999995</v>
      </c>
      <c r="N20" s="126">
        <f t="shared" ref="N20" si="12">M20-I20</f>
        <v>1656.5864699999947</v>
      </c>
      <c r="O20" s="112">
        <f t="shared" ref="O20" si="13">IF(I20=0,0,N20/I20)</f>
        <v>3.6877394636015207E-2</v>
      </c>
      <c r="P20" s="112">
        <f>M20/M$21</f>
        <v>1</v>
      </c>
      <c r="Q20" s="128">
        <f t="shared" ref="Q20" si="14">P20-J20</f>
        <v>0</v>
      </c>
      <c r="R20" s="128"/>
      <c r="T20" s="4">
        <f>L20/H20-1</f>
        <v>3.6877394636015248E-2</v>
      </c>
    </row>
    <row r="21" spans="1:20" s="5" customFormat="1" ht="20.399999999999999" customHeight="1" x14ac:dyDescent="0.3">
      <c r="A21" s="36">
        <f t="shared" si="1"/>
        <v>15</v>
      </c>
      <c r="C21" s="15"/>
      <c r="D21" s="17" t="s">
        <v>6</v>
      </c>
      <c r="E21" s="127"/>
      <c r="F21" s="127"/>
      <c r="G21" s="18">
        <f>SUM(G20:G20)</f>
        <v>41163.663800000002</v>
      </c>
      <c r="H21" s="127"/>
      <c r="I21" s="18">
        <f>SUM(I20:I20)</f>
        <v>44921.46168</v>
      </c>
      <c r="J21" s="131">
        <f>SUM(J20:J20)</f>
        <v>1</v>
      </c>
      <c r="K21" s="119">
        <f>I21+Summary!I9</f>
        <v>46580.941680000004</v>
      </c>
      <c r="L21" s="127"/>
      <c r="M21" s="18">
        <f>SUM(M20:M20)</f>
        <v>46578.048149999995</v>
      </c>
      <c r="N21" s="18">
        <f>SUM(N20:N20)</f>
        <v>1656.5864699999947</v>
      </c>
      <c r="O21" s="131">
        <f t="shared" ref="O21" si="15">N21/I21</f>
        <v>3.6877394636015207E-2</v>
      </c>
      <c r="P21" s="131">
        <f>SUM(P20:P20)</f>
        <v>1</v>
      </c>
      <c r="Q21" s="132">
        <f t="shared" ref="Q21" si="16">P21-J21</f>
        <v>0</v>
      </c>
      <c r="R21" s="133">
        <f>M21-K21</f>
        <v>-2.8935300000084681</v>
      </c>
      <c r="S21" s="83">
        <f>K21/I21</f>
        <v>1.0369418077225845</v>
      </c>
    </row>
    <row r="22" spans="1:20" x14ac:dyDescent="0.25">
      <c r="A22" s="36">
        <f t="shared" si="1"/>
        <v>16</v>
      </c>
      <c r="D22" s="2" t="s">
        <v>28</v>
      </c>
      <c r="E22" s="110"/>
      <c r="F22" s="110"/>
      <c r="G22" s="126">
        <v>-2352.25</v>
      </c>
      <c r="H22" s="110"/>
      <c r="I22" s="120">
        <f>G22+(0.0016*E20)</f>
        <v>-1204.8308</v>
      </c>
      <c r="J22" s="110"/>
      <c r="K22" s="120"/>
      <c r="L22" s="110"/>
      <c r="M22" s="126">
        <f>I22</f>
        <v>-1204.8308</v>
      </c>
      <c r="N22" s="126">
        <f t="shared" ref="N22:N27" si="17">M22-I22</f>
        <v>0</v>
      </c>
      <c r="O22" s="118">
        <v>0</v>
      </c>
      <c r="P22" s="110"/>
      <c r="Q22" s="110"/>
      <c r="R22" s="110"/>
    </row>
    <row r="23" spans="1:20" x14ac:dyDescent="0.25">
      <c r="A23" s="36">
        <f t="shared" si="1"/>
        <v>17</v>
      </c>
      <c r="D23" s="2" t="s">
        <v>29</v>
      </c>
      <c r="E23" s="110"/>
      <c r="F23" s="110"/>
      <c r="G23" s="126">
        <v>91.85</v>
      </c>
      <c r="H23" s="110"/>
      <c r="I23" s="120">
        <f t="shared" ref="I23:I25" si="18">G23</f>
        <v>91.85</v>
      </c>
      <c r="J23" s="110"/>
      <c r="K23" s="110"/>
      <c r="L23" s="110"/>
      <c r="M23" s="126">
        <f t="shared" ref="M23:M25" si="19">I23</f>
        <v>91.85</v>
      </c>
      <c r="N23" s="126">
        <f t="shared" si="17"/>
        <v>0</v>
      </c>
      <c r="O23" s="118">
        <v>0</v>
      </c>
      <c r="P23" s="110"/>
      <c r="Q23" s="110"/>
      <c r="R23" s="110"/>
    </row>
    <row r="24" spans="1:20" x14ac:dyDescent="0.25">
      <c r="A24" s="36">
        <f t="shared" si="1"/>
        <v>18</v>
      </c>
      <c r="D24" s="2" t="s">
        <v>31</v>
      </c>
      <c r="E24" s="110"/>
      <c r="F24" s="110"/>
      <c r="G24" s="126">
        <v>0</v>
      </c>
      <c r="H24" s="110"/>
      <c r="I24" s="120">
        <f t="shared" si="18"/>
        <v>0</v>
      </c>
      <c r="J24" s="110"/>
      <c r="K24" s="110"/>
      <c r="L24" s="110"/>
      <c r="M24" s="126">
        <f t="shared" si="19"/>
        <v>0</v>
      </c>
      <c r="N24" s="126">
        <f t="shared" si="17"/>
        <v>0</v>
      </c>
      <c r="O24" s="118">
        <v>0</v>
      </c>
      <c r="P24" s="110"/>
      <c r="Q24" s="110"/>
      <c r="R24" s="110"/>
    </row>
    <row r="25" spans="1:20" x14ac:dyDescent="0.25">
      <c r="A25" s="36">
        <f t="shared" si="1"/>
        <v>19</v>
      </c>
      <c r="D25" s="2" t="s">
        <v>41</v>
      </c>
      <c r="E25" s="110"/>
      <c r="F25" s="110"/>
      <c r="G25" s="126">
        <v>0</v>
      </c>
      <c r="H25" s="110"/>
      <c r="I25" s="120">
        <f t="shared" si="18"/>
        <v>0</v>
      </c>
      <c r="J25" s="110"/>
      <c r="K25" s="110"/>
      <c r="L25" s="110"/>
      <c r="M25" s="126">
        <f t="shared" si="19"/>
        <v>0</v>
      </c>
      <c r="N25" s="126"/>
      <c r="O25" s="118"/>
      <c r="P25" s="110"/>
      <c r="Q25" s="110"/>
      <c r="R25" s="110"/>
    </row>
    <row r="26" spans="1:20" x14ac:dyDescent="0.25">
      <c r="A26" s="36">
        <f t="shared" si="1"/>
        <v>20</v>
      </c>
      <c r="D26" s="13" t="s">
        <v>8</v>
      </c>
      <c r="E26" s="121"/>
      <c r="F26" s="121"/>
      <c r="G26" s="135">
        <f>SUM(G22:G25)</f>
        <v>-2260.4</v>
      </c>
      <c r="H26" s="121"/>
      <c r="I26" s="135">
        <f>SUM(I22:I25)</f>
        <v>-1112.9808</v>
      </c>
      <c r="J26" s="121"/>
      <c r="K26" s="121"/>
      <c r="L26" s="121"/>
      <c r="M26" s="135">
        <f>SUM(M22:M25)</f>
        <v>-1112.9808</v>
      </c>
      <c r="N26" s="135">
        <f t="shared" si="17"/>
        <v>0</v>
      </c>
      <c r="O26" s="136">
        <f t="shared" ref="O26" si="20">N26-J26</f>
        <v>0</v>
      </c>
      <c r="P26" s="110"/>
      <c r="Q26" s="110"/>
      <c r="R26" s="110"/>
    </row>
    <row r="27" spans="1:20" s="5" customFormat="1" ht="26.4" customHeight="1" thickBot="1" x14ac:dyDescent="0.3">
      <c r="A27" s="36">
        <f t="shared" si="1"/>
        <v>21</v>
      </c>
      <c r="C27" s="15"/>
      <c r="D27" s="6" t="s">
        <v>18</v>
      </c>
      <c r="E27" s="122"/>
      <c r="F27" s="122"/>
      <c r="G27" s="137">
        <f>G21+G26</f>
        <v>38903.263800000001</v>
      </c>
      <c r="H27" s="122"/>
      <c r="I27" s="138">
        <f>I26+I21</f>
        <v>43808.480880000003</v>
      </c>
      <c r="J27" s="122"/>
      <c r="K27" s="122"/>
      <c r="L27" s="122"/>
      <c r="M27" s="137">
        <f>M26+M21</f>
        <v>45465.067349999998</v>
      </c>
      <c r="N27" s="137">
        <f t="shared" si="17"/>
        <v>1656.5864699999947</v>
      </c>
      <c r="O27" s="139">
        <f>N27/I27</f>
        <v>3.7814287022134116E-2</v>
      </c>
      <c r="P27" s="110"/>
      <c r="Q27" s="110"/>
      <c r="R27" s="110"/>
    </row>
    <row r="28" spans="1:20" ht="13.8" thickTop="1" x14ac:dyDescent="0.25">
      <c r="A28" s="36">
        <f t="shared" si="1"/>
        <v>22</v>
      </c>
      <c r="D28" s="2" t="s">
        <v>17</v>
      </c>
      <c r="E28" s="141" t="s">
        <v>61</v>
      </c>
      <c r="F28" s="124"/>
      <c r="G28" s="142" t="s">
        <v>61</v>
      </c>
      <c r="H28" s="124"/>
      <c r="I28" s="142" t="s">
        <v>61</v>
      </c>
      <c r="J28" s="124"/>
      <c r="K28" s="124"/>
      <c r="L28" s="124"/>
      <c r="M28" s="142" t="s">
        <v>61</v>
      </c>
      <c r="N28" s="142" t="s">
        <v>61</v>
      </c>
      <c r="O28" s="112">
        <f>O27</f>
        <v>3.7814287022134116E-2</v>
      </c>
      <c r="P28" s="110"/>
      <c r="Q28" s="110"/>
      <c r="R28" s="110"/>
    </row>
    <row r="29" spans="1:20" ht="13.8" thickBot="1" x14ac:dyDescent="0.3">
      <c r="A29" s="36">
        <f t="shared" si="1"/>
        <v>23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20" x14ac:dyDescent="0.25">
      <c r="A30" s="36">
        <f t="shared" si="1"/>
        <v>24</v>
      </c>
      <c r="B30" s="24" t="s">
        <v>70</v>
      </c>
      <c r="C30" s="25" t="s">
        <v>63</v>
      </c>
      <c r="D30" s="24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20" x14ac:dyDescent="0.25">
      <c r="A31" s="36">
        <f t="shared" si="1"/>
        <v>25</v>
      </c>
      <c r="C31" s="2"/>
      <c r="D31" s="2" t="s">
        <v>90</v>
      </c>
      <c r="E31" s="125">
        <v>18178</v>
      </c>
      <c r="F31" s="118">
        <v>25.33</v>
      </c>
      <c r="G31" s="126">
        <f>F31*E31</f>
        <v>460448.74</v>
      </c>
      <c r="H31" s="118">
        <v>25.33</v>
      </c>
      <c r="I31" s="126">
        <f>H31*E31</f>
        <v>460448.74</v>
      </c>
      <c r="J31" s="112">
        <f>I31/I34</f>
        <v>0.13367417220046227</v>
      </c>
      <c r="K31" s="112"/>
      <c r="L31" s="118">
        <f>ROUND(H31*S34,2)</f>
        <v>26.27</v>
      </c>
      <c r="M31" s="126">
        <f>L31*E31</f>
        <v>477536.06</v>
      </c>
      <c r="N31" s="126">
        <f>M31-I31</f>
        <v>17087.320000000007</v>
      </c>
      <c r="O31" s="112">
        <f>IF(I31=0,0,N31/I31)</f>
        <v>3.7110146071851577E-2</v>
      </c>
      <c r="P31" s="112">
        <f>M31/M$34</f>
        <v>0.13369304854694811</v>
      </c>
      <c r="Q31" s="128">
        <f>P31-J31</f>
        <v>1.8876346485841022E-5</v>
      </c>
      <c r="R31" s="128"/>
      <c r="T31" s="4">
        <f>L31/H31-1</f>
        <v>3.7110146071851702E-2</v>
      </c>
    </row>
    <row r="32" spans="1:20" x14ac:dyDescent="0.25">
      <c r="A32" s="36">
        <f t="shared" si="1"/>
        <v>26</v>
      </c>
      <c r="D32" s="2" t="s">
        <v>89</v>
      </c>
      <c r="E32" s="125">
        <v>2677</v>
      </c>
      <c r="F32" s="118">
        <f>H32</f>
        <v>50.14</v>
      </c>
      <c r="G32" s="126">
        <f t="shared" ref="G32" si="21">F32*E32</f>
        <v>134224.78</v>
      </c>
      <c r="H32" s="118">
        <v>50.14</v>
      </c>
      <c r="I32" s="126">
        <f t="shared" ref="I32" si="22">H32*E32</f>
        <v>134224.78</v>
      </c>
      <c r="J32" s="112">
        <f>I32/I34</f>
        <v>3.8967174403146732E-2</v>
      </c>
      <c r="K32" s="112"/>
      <c r="L32" s="130">
        <f>ROUND(H32*S34,2)</f>
        <v>51.99</v>
      </c>
      <c r="M32" s="126">
        <f t="shared" ref="M32" si="23">L32*E32</f>
        <v>139177.23000000001</v>
      </c>
      <c r="N32" s="126">
        <f t="shared" ref="N32" si="24">M32-I32</f>
        <v>4952.4500000000116</v>
      </c>
      <c r="O32" s="112">
        <f t="shared" ref="O32" si="25">IF(I32=0,0,N32/I32)</f>
        <v>3.6896689270043963E-2</v>
      </c>
      <c r="P32" s="112">
        <f t="shared" ref="P32:P33" si="26">M32/M$34</f>
        <v>3.8964655710020647E-2</v>
      </c>
      <c r="Q32" s="128">
        <f t="shared" ref="Q32" si="27">P32-J32</f>
        <v>-2.5186931260842704E-6</v>
      </c>
      <c r="R32" s="128"/>
      <c r="T32" s="4">
        <f>L32/H32-1</f>
        <v>3.689668927004397E-2</v>
      </c>
    </row>
    <row r="33" spans="1:20" x14ac:dyDescent="0.25">
      <c r="A33" s="36">
        <f t="shared" si="1"/>
        <v>27</v>
      </c>
      <c r="D33" s="2" t="s">
        <v>50</v>
      </c>
      <c r="E33" s="125">
        <v>30081135</v>
      </c>
      <c r="F33" s="129">
        <v>9.6339999999999995E-2</v>
      </c>
      <c r="G33" s="126">
        <f t="shared" ref="G33" si="28">F33*E33</f>
        <v>2898016.5458999998</v>
      </c>
      <c r="H33" s="129">
        <v>9.4740000000000005E-2</v>
      </c>
      <c r="I33" s="126">
        <f t="shared" ref="I33" si="29">H33*E33</f>
        <v>2849886.7299000002</v>
      </c>
      <c r="J33" s="112">
        <f>I33/I34</f>
        <v>0.82735865339639103</v>
      </c>
      <c r="K33" s="112"/>
      <c r="L33" s="130">
        <f>ROUND(H33*S34,5)</f>
        <v>9.8239999999999994E-2</v>
      </c>
      <c r="M33" s="126">
        <f t="shared" ref="M33" si="30">L33*E33</f>
        <v>2955170.7023999998</v>
      </c>
      <c r="N33" s="126">
        <f t="shared" ref="N33:N41" si="31">M33-I33</f>
        <v>105283.97249999968</v>
      </c>
      <c r="O33" s="112">
        <f t="shared" ref="O33" si="32">IF(I33=0,0,N33/I33)</f>
        <v>3.6943213004010864E-2</v>
      </c>
      <c r="P33" s="112">
        <f t="shared" si="26"/>
        <v>0.8273422957430312</v>
      </c>
      <c r="Q33" s="128">
        <f t="shared" ref="Q33:Q34" si="33">P33-J33</f>
        <v>-1.635765335983308E-5</v>
      </c>
      <c r="R33" s="128"/>
      <c r="T33" s="4">
        <f>L33/H33-1</f>
        <v>3.6943213004010822E-2</v>
      </c>
    </row>
    <row r="34" spans="1:20" s="5" customFormat="1" ht="20.399999999999999" customHeight="1" x14ac:dyDescent="0.3">
      <c r="A34" s="36">
        <f t="shared" si="1"/>
        <v>28</v>
      </c>
      <c r="C34" s="15"/>
      <c r="D34" s="17" t="s">
        <v>6</v>
      </c>
      <c r="E34" s="127"/>
      <c r="F34" s="127"/>
      <c r="G34" s="18">
        <f>SUM(G31:G33)</f>
        <v>3492690.0658999998</v>
      </c>
      <c r="H34" s="127"/>
      <c r="I34" s="18">
        <f>SUM(I31:I33)</f>
        <v>3444560.2499000002</v>
      </c>
      <c r="J34" s="131">
        <f>SUM(J31:J33)</f>
        <v>1</v>
      </c>
      <c r="K34" s="119">
        <f>I34+Summary!I10</f>
        <v>3571808.6599000003</v>
      </c>
      <c r="L34" s="127"/>
      <c r="M34" s="18">
        <f>SUM(M31:M33)</f>
        <v>3571883.9923999999</v>
      </c>
      <c r="N34" s="18">
        <f>SUM(N31:N33)</f>
        <v>127323.7424999997</v>
      </c>
      <c r="O34" s="131">
        <f t="shared" ref="O34" si="34">N34/I34</f>
        <v>3.6963714745211984E-2</v>
      </c>
      <c r="P34" s="131">
        <f>SUM(P31:P33)</f>
        <v>1</v>
      </c>
      <c r="Q34" s="132">
        <f t="shared" si="33"/>
        <v>0</v>
      </c>
      <c r="R34" s="133">
        <f>M34-K34</f>
        <v>75.332499999552965</v>
      </c>
      <c r="S34" s="83">
        <f>K34/I34</f>
        <v>1.0369418447546952</v>
      </c>
    </row>
    <row r="35" spans="1:20" x14ac:dyDescent="0.25">
      <c r="A35" s="36">
        <f t="shared" si="1"/>
        <v>29</v>
      </c>
      <c r="D35" s="2" t="s">
        <v>28</v>
      </c>
      <c r="E35" s="110"/>
      <c r="F35" s="110"/>
      <c r="G35" s="126">
        <v>-122232.84</v>
      </c>
      <c r="H35" s="110"/>
      <c r="I35" s="120">
        <f>G35+(0.0016*(E33))</f>
        <v>-74103.024000000005</v>
      </c>
      <c r="J35" s="110"/>
      <c r="K35" s="120"/>
      <c r="L35" s="110"/>
      <c r="M35" s="126">
        <f>I35</f>
        <v>-74103.024000000005</v>
      </c>
      <c r="N35" s="126">
        <f t="shared" si="31"/>
        <v>0</v>
      </c>
      <c r="O35" s="118">
        <v>0</v>
      </c>
      <c r="P35" s="110"/>
      <c r="Q35" s="110"/>
      <c r="R35" s="110"/>
    </row>
    <row r="36" spans="1:20" x14ac:dyDescent="0.25">
      <c r="A36" s="36">
        <f t="shared" si="1"/>
        <v>30</v>
      </c>
      <c r="D36" s="2" t="s">
        <v>29</v>
      </c>
      <c r="E36" s="110"/>
      <c r="F36" s="110"/>
      <c r="G36" s="126">
        <v>346676.04</v>
      </c>
      <c r="H36" s="110"/>
      <c r="I36" s="120">
        <f t="shared" ref="I36:I38" si="35">G36</f>
        <v>346676.04</v>
      </c>
      <c r="J36" s="110"/>
      <c r="K36" s="110"/>
      <c r="L36" s="110"/>
      <c r="M36" s="126">
        <f t="shared" ref="M36:M38" si="36">I36</f>
        <v>346676.04</v>
      </c>
      <c r="N36" s="126">
        <f t="shared" si="31"/>
        <v>0</v>
      </c>
      <c r="O36" s="118">
        <v>0</v>
      </c>
      <c r="P36" s="110"/>
      <c r="Q36" s="110"/>
      <c r="R36" s="110"/>
    </row>
    <row r="37" spans="1:20" x14ac:dyDescent="0.25">
      <c r="A37" s="36">
        <f t="shared" si="1"/>
        <v>31</v>
      </c>
      <c r="D37" s="2" t="s">
        <v>31</v>
      </c>
      <c r="E37" s="110"/>
      <c r="F37" s="110"/>
      <c r="G37" s="126">
        <v>0</v>
      </c>
      <c r="H37" s="110"/>
      <c r="I37" s="120">
        <f t="shared" si="35"/>
        <v>0</v>
      </c>
      <c r="J37" s="110"/>
      <c r="K37" s="110"/>
      <c r="L37" s="110"/>
      <c r="M37" s="126">
        <f t="shared" si="36"/>
        <v>0</v>
      </c>
      <c r="N37" s="126">
        <f t="shared" si="31"/>
        <v>0</v>
      </c>
      <c r="O37" s="118">
        <v>0</v>
      </c>
      <c r="P37" s="110"/>
      <c r="Q37" s="110"/>
      <c r="R37" s="110"/>
    </row>
    <row r="38" spans="1:20" x14ac:dyDescent="0.25">
      <c r="A38" s="36">
        <f t="shared" si="1"/>
        <v>32</v>
      </c>
      <c r="D38" s="2" t="s">
        <v>41</v>
      </c>
      <c r="E38" s="110"/>
      <c r="F38" s="110"/>
      <c r="G38" s="126">
        <v>0</v>
      </c>
      <c r="H38" s="110"/>
      <c r="I38" s="120">
        <f t="shared" si="35"/>
        <v>0</v>
      </c>
      <c r="J38" s="110"/>
      <c r="K38" s="110"/>
      <c r="L38" s="110"/>
      <c r="M38" s="126">
        <f t="shared" si="36"/>
        <v>0</v>
      </c>
      <c r="N38" s="126"/>
      <c r="O38" s="118"/>
      <c r="P38" s="110"/>
      <c r="Q38" s="110"/>
      <c r="R38" s="110"/>
    </row>
    <row r="39" spans="1:20" x14ac:dyDescent="0.25">
      <c r="A39" s="36">
        <f t="shared" si="1"/>
        <v>33</v>
      </c>
      <c r="D39" s="13" t="s">
        <v>8</v>
      </c>
      <c r="E39" s="121"/>
      <c r="F39" s="121"/>
      <c r="G39" s="135">
        <f>SUM(G35:G38)</f>
        <v>224443.19999999998</v>
      </c>
      <c r="H39" s="121"/>
      <c r="I39" s="135">
        <f>SUM(I35:I38)</f>
        <v>272573.01599999995</v>
      </c>
      <c r="J39" s="121"/>
      <c r="K39" s="121"/>
      <c r="L39" s="121"/>
      <c r="M39" s="135">
        <f>SUM(M35:M38)</f>
        <v>272573.01599999995</v>
      </c>
      <c r="N39" s="135">
        <f t="shared" si="31"/>
        <v>0</v>
      </c>
      <c r="O39" s="136">
        <f t="shared" ref="O39" si="37">N39-J39</f>
        <v>0</v>
      </c>
      <c r="P39" s="110"/>
      <c r="Q39" s="110"/>
      <c r="R39" s="110"/>
    </row>
    <row r="40" spans="1:20" s="5" customFormat="1" ht="26.4" customHeight="1" thickBot="1" x14ac:dyDescent="0.3">
      <c r="A40" s="36">
        <f t="shared" si="1"/>
        <v>34</v>
      </c>
      <c r="C40" s="15"/>
      <c r="D40" s="6" t="s">
        <v>18</v>
      </c>
      <c r="E40" s="122"/>
      <c r="F40" s="122"/>
      <c r="G40" s="137">
        <f>G34+G39</f>
        <v>3717133.2659</v>
      </c>
      <c r="H40" s="122"/>
      <c r="I40" s="138">
        <f>I39+I34</f>
        <v>3717133.2659</v>
      </c>
      <c r="J40" s="122"/>
      <c r="K40" s="122"/>
      <c r="L40" s="122"/>
      <c r="M40" s="137">
        <f>M39+M34</f>
        <v>3844457.0083999997</v>
      </c>
      <c r="N40" s="137">
        <f t="shared" si="31"/>
        <v>127323.7424999997</v>
      </c>
      <c r="O40" s="139">
        <f>N40/I40</f>
        <v>3.4253208962948443E-2</v>
      </c>
      <c r="P40" s="110"/>
      <c r="Q40" s="110"/>
      <c r="R40" s="110"/>
    </row>
    <row r="41" spans="1:20" ht="13.8" thickTop="1" x14ac:dyDescent="0.25">
      <c r="A41" s="36">
        <f t="shared" si="1"/>
        <v>35</v>
      </c>
      <c r="D41" s="2" t="s">
        <v>17</v>
      </c>
      <c r="E41" s="118">
        <f>(E32+E33)/E31</f>
        <v>1654.9572010122126</v>
      </c>
      <c r="F41" s="110"/>
      <c r="G41" s="140">
        <f>G40/E31</f>
        <v>204.48527153152162</v>
      </c>
      <c r="H41" s="110"/>
      <c r="I41" s="140">
        <f>I40/E31</f>
        <v>204.48527153152162</v>
      </c>
      <c r="J41" s="110"/>
      <c r="K41" s="110"/>
      <c r="L41" s="110"/>
      <c r="M41" s="140">
        <f>M40/E31</f>
        <v>211.48954826713609</v>
      </c>
      <c r="N41" s="140">
        <f t="shared" si="31"/>
        <v>7.004276735614468</v>
      </c>
      <c r="O41" s="112">
        <f>N41/I41</f>
        <v>3.4253208962948471E-2</v>
      </c>
      <c r="P41" s="110"/>
      <c r="Q41" s="110"/>
      <c r="R41" s="110"/>
    </row>
    <row r="42" spans="1:20" ht="13.8" thickBot="1" x14ac:dyDescent="0.3">
      <c r="A42" s="36">
        <f t="shared" si="1"/>
        <v>36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20" x14ac:dyDescent="0.25">
      <c r="A43" s="36">
        <f t="shared" si="1"/>
        <v>37</v>
      </c>
      <c r="B43" s="24" t="s">
        <v>91</v>
      </c>
      <c r="C43" s="25" t="s">
        <v>65</v>
      </c>
      <c r="D43" s="24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20" x14ac:dyDescent="0.25">
      <c r="A44" s="36">
        <f t="shared" si="1"/>
        <v>38</v>
      </c>
      <c r="C44" s="2"/>
      <c r="D44" s="2" t="s">
        <v>88</v>
      </c>
      <c r="E44" s="125">
        <v>3622</v>
      </c>
      <c r="F44" s="118">
        <v>16.57</v>
      </c>
      <c r="G44" s="126">
        <f>F44*E44</f>
        <v>60016.54</v>
      </c>
      <c r="H44" s="118">
        <v>18</v>
      </c>
      <c r="I44" s="126">
        <f>H44*E44</f>
        <v>65196</v>
      </c>
      <c r="J44" s="112">
        <f>I44/I46</f>
        <v>0.1454862215122954</v>
      </c>
      <c r="K44" s="112"/>
      <c r="L44" s="118">
        <f>ROUND(H44*S46,2)</f>
        <v>18.66</v>
      </c>
      <c r="M44" s="126">
        <f>L44*E44</f>
        <v>67586.52</v>
      </c>
      <c r="N44" s="126">
        <f>M44-I44</f>
        <v>2390.5200000000041</v>
      </c>
      <c r="O44" s="112">
        <f>IF(I44=0,0,N44/I44)</f>
        <v>3.6666666666666729E-2</v>
      </c>
      <c r="P44" s="112">
        <f>M44/M$46</f>
        <v>0.14545207137776126</v>
      </c>
      <c r="Q44" s="128">
        <f>P44-J44</f>
        <v>-3.4150134534144394E-5</v>
      </c>
      <c r="R44" s="128"/>
      <c r="T44" s="4">
        <f>L44/H44-1</f>
        <v>3.6666666666666625E-2</v>
      </c>
    </row>
    <row r="45" spans="1:20" x14ac:dyDescent="0.25">
      <c r="A45" s="36">
        <f t="shared" si="1"/>
        <v>39</v>
      </c>
      <c r="D45" s="2" t="s">
        <v>49</v>
      </c>
      <c r="E45" s="125">
        <v>4019829</v>
      </c>
      <c r="F45" s="129">
        <v>9.6860000000000002E-2</v>
      </c>
      <c r="G45" s="126">
        <f t="shared" ref="G45" si="38">F45*E45</f>
        <v>389360.63694</v>
      </c>
      <c r="H45" s="129">
        <v>9.5259999999999997E-2</v>
      </c>
      <c r="I45" s="126">
        <f t="shared" ref="I45" si="39">H45*E45</f>
        <v>382928.91054000001</v>
      </c>
      <c r="J45" s="112">
        <f>I45/I46</f>
        <v>0.8545137784877046</v>
      </c>
      <c r="K45" s="112"/>
      <c r="L45" s="130">
        <f>ROUND(H45*S46,5)</f>
        <v>9.8780000000000007E-2</v>
      </c>
      <c r="M45" s="126">
        <f t="shared" ref="M45" si="40">L45*E45</f>
        <v>397078.70862000005</v>
      </c>
      <c r="N45" s="126">
        <f t="shared" ref="N45" si="41">M45-I45</f>
        <v>14149.798080000037</v>
      </c>
      <c r="O45" s="112">
        <f t="shared" ref="O45" si="42">IF(I45=0,0,N45/I45)</f>
        <v>3.6951501154734508E-2</v>
      </c>
      <c r="P45" s="112">
        <f>M45/M$46</f>
        <v>0.85454792862223872</v>
      </c>
      <c r="Q45" s="128">
        <f t="shared" ref="Q45" si="43">P45-J45</f>
        <v>3.4150134534116638E-5</v>
      </c>
      <c r="R45" s="128"/>
      <c r="T45" s="4">
        <f>L45/H45-1</f>
        <v>3.6951501154734556E-2</v>
      </c>
    </row>
    <row r="46" spans="1:20" s="5" customFormat="1" ht="20.399999999999999" customHeight="1" x14ac:dyDescent="0.3">
      <c r="A46" s="36">
        <f t="shared" si="1"/>
        <v>40</v>
      </c>
      <c r="C46" s="15"/>
      <c r="D46" s="17" t="s">
        <v>6</v>
      </c>
      <c r="E46" s="127"/>
      <c r="F46" s="127"/>
      <c r="G46" s="18">
        <f>SUM(G44:G45)</f>
        <v>449377.17693999998</v>
      </c>
      <c r="H46" s="127"/>
      <c r="I46" s="18">
        <f>SUM(I44:I45)</f>
        <v>448124.91054000001</v>
      </c>
      <c r="J46" s="131">
        <f>SUM(J44:J45)</f>
        <v>1</v>
      </c>
      <c r="K46" s="119">
        <f>I46+Summary!I11</f>
        <v>464679.47054000001</v>
      </c>
      <c r="L46" s="127"/>
      <c r="M46" s="18">
        <f>SUM(M44:M45)</f>
        <v>464665.22862000007</v>
      </c>
      <c r="N46" s="18">
        <f>SUM(N44:N45)</f>
        <v>16540.318080000041</v>
      </c>
      <c r="O46" s="131">
        <f t="shared" ref="O46" si="44">N46/I46</f>
        <v>3.6910061661309133E-2</v>
      </c>
      <c r="P46" s="131">
        <f>SUM(P44:P45)</f>
        <v>1</v>
      </c>
      <c r="Q46" s="132">
        <f t="shared" ref="Q46" si="45">P46-J46</f>
        <v>0</v>
      </c>
      <c r="R46" s="133">
        <f>M46-K46</f>
        <v>-14.241919999942183</v>
      </c>
      <c r="S46" s="83">
        <f>K46/I46</f>
        <v>1.03694184280015</v>
      </c>
    </row>
    <row r="47" spans="1:20" x14ac:dyDescent="0.25">
      <c r="A47" s="36">
        <f t="shared" si="1"/>
        <v>41</v>
      </c>
      <c r="D47" s="2" t="s">
        <v>28</v>
      </c>
      <c r="E47" s="110"/>
      <c r="F47" s="110"/>
      <c r="G47" s="126">
        <v>-15941.140000000001</v>
      </c>
      <c r="H47" s="110"/>
      <c r="I47" s="120">
        <f>G47+(0.0016*E45)</f>
        <v>-9509.4135999999999</v>
      </c>
      <c r="J47" s="110"/>
      <c r="K47" s="120"/>
      <c r="L47" s="110"/>
      <c r="M47" s="126">
        <f>I47</f>
        <v>-9509.4135999999999</v>
      </c>
      <c r="N47" s="126">
        <f t="shared" ref="N47:N53" si="46">M47-I47</f>
        <v>0</v>
      </c>
      <c r="O47" s="118">
        <v>0</v>
      </c>
      <c r="P47" s="110"/>
      <c r="Q47" s="110"/>
      <c r="R47" s="110"/>
    </row>
    <row r="48" spans="1:20" x14ac:dyDescent="0.25">
      <c r="A48" s="36">
        <f t="shared" si="1"/>
        <v>42</v>
      </c>
      <c r="D48" s="2" t="s">
        <v>29</v>
      </c>
      <c r="E48" s="110"/>
      <c r="F48" s="110"/>
      <c r="G48" s="126">
        <v>47077.010000000009</v>
      </c>
      <c r="H48" s="110"/>
      <c r="I48" s="120">
        <f t="shared" ref="I48:I50" si="47">G48</f>
        <v>47077.010000000009</v>
      </c>
      <c r="J48" s="110"/>
      <c r="K48" s="110"/>
      <c r="L48" s="110"/>
      <c r="M48" s="126">
        <f t="shared" ref="M48:M50" si="48">I48</f>
        <v>47077.010000000009</v>
      </c>
      <c r="N48" s="126">
        <f t="shared" si="46"/>
        <v>0</v>
      </c>
      <c r="O48" s="118">
        <v>0</v>
      </c>
      <c r="P48" s="110"/>
      <c r="Q48" s="110"/>
      <c r="R48" s="110"/>
    </row>
    <row r="49" spans="1:20" x14ac:dyDescent="0.25">
      <c r="A49" s="36">
        <f t="shared" si="1"/>
        <v>43</v>
      </c>
      <c r="D49" s="2" t="s">
        <v>31</v>
      </c>
      <c r="E49" s="110"/>
      <c r="F49" s="110"/>
      <c r="G49" s="126">
        <v>0</v>
      </c>
      <c r="H49" s="110"/>
      <c r="I49" s="120">
        <f t="shared" si="47"/>
        <v>0</v>
      </c>
      <c r="J49" s="110"/>
      <c r="K49" s="110"/>
      <c r="L49" s="110"/>
      <c r="M49" s="126">
        <f t="shared" si="48"/>
        <v>0</v>
      </c>
      <c r="N49" s="126">
        <f t="shared" si="46"/>
        <v>0</v>
      </c>
      <c r="O49" s="118">
        <v>0</v>
      </c>
      <c r="P49" s="110"/>
      <c r="Q49" s="110"/>
      <c r="R49" s="110"/>
    </row>
    <row r="50" spans="1:20" x14ac:dyDescent="0.25">
      <c r="A50" s="36">
        <f t="shared" si="1"/>
        <v>44</v>
      </c>
      <c r="D50" s="2" t="s">
        <v>41</v>
      </c>
      <c r="E50" s="110"/>
      <c r="F50" s="110"/>
      <c r="G50" s="126">
        <v>0</v>
      </c>
      <c r="H50" s="110"/>
      <c r="I50" s="120">
        <f t="shared" si="47"/>
        <v>0</v>
      </c>
      <c r="J50" s="110"/>
      <c r="K50" s="110"/>
      <c r="L50" s="110"/>
      <c r="M50" s="126">
        <f t="shared" si="48"/>
        <v>0</v>
      </c>
      <c r="N50" s="126"/>
      <c r="O50" s="118"/>
      <c r="P50" s="110"/>
      <c r="Q50" s="110"/>
      <c r="R50" s="110"/>
    </row>
    <row r="51" spans="1:20" x14ac:dyDescent="0.25">
      <c r="A51" s="36">
        <f t="shared" si="1"/>
        <v>45</v>
      </c>
      <c r="D51" s="13" t="s">
        <v>8</v>
      </c>
      <c r="E51" s="121"/>
      <c r="F51" s="121"/>
      <c r="G51" s="135">
        <f>SUM(G47:G50)</f>
        <v>31135.87000000001</v>
      </c>
      <c r="H51" s="121"/>
      <c r="I51" s="135">
        <f>SUM(I47:I50)</f>
        <v>37567.596400000009</v>
      </c>
      <c r="J51" s="121"/>
      <c r="K51" s="121"/>
      <c r="L51" s="121"/>
      <c r="M51" s="135">
        <f>SUM(M47:M50)</f>
        <v>37567.596400000009</v>
      </c>
      <c r="N51" s="135">
        <f t="shared" si="46"/>
        <v>0</v>
      </c>
      <c r="O51" s="136">
        <f t="shared" ref="O51" si="49">N51-J51</f>
        <v>0</v>
      </c>
      <c r="P51" s="110"/>
      <c r="Q51" s="110"/>
      <c r="R51" s="110"/>
    </row>
    <row r="52" spans="1:20" s="5" customFormat="1" ht="26.4" customHeight="1" thickBot="1" x14ac:dyDescent="0.3">
      <c r="A52" s="36">
        <f t="shared" si="1"/>
        <v>46</v>
      </c>
      <c r="C52" s="15"/>
      <c r="D52" s="6" t="s">
        <v>18</v>
      </c>
      <c r="E52" s="122"/>
      <c r="F52" s="122"/>
      <c r="G52" s="137">
        <f>G46+G51</f>
        <v>480513.04693999997</v>
      </c>
      <c r="H52" s="122"/>
      <c r="I52" s="138">
        <f>I51+I46</f>
        <v>485692.50693999999</v>
      </c>
      <c r="J52" s="122"/>
      <c r="K52" s="122"/>
      <c r="L52" s="122"/>
      <c r="M52" s="137">
        <f>M51+M46</f>
        <v>502232.82502000011</v>
      </c>
      <c r="N52" s="137">
        <f t="shared" si="46"/>
        <v>16540.318080000114</v>
      </c>
      <c r="O52" s="139">
        <f>N52/I52</f>
        <v>3.4055123032901598E-2</v>
      </c>
      <c r="P52" s="110"/>
      <c r="Q52" s="110"/>
      <c r="R52" s="110"/>
    </row>
    <row r="53" spans="1:20" ht="13.8" thickTop="1" x14ac:dyDescent="0.25">
      <c r="A53" s="36">
        <f t="shared" si="1"/>
        <v>47</v>
      </c>
      <c r="D53" s="2" t="s">
        <v>17</v>
      </c>
      <c r="E53" s="118">
        <f>E45/E44</f>
        <v>1109.8368304803976</v>
      </c>
      <c r="F53" s="110"/>
      <c r="G53" s="140">
        <f>G52/E44</f>
        <v>132.66511511319712</v>
      </c>
      <c r="H53" s="110"/>
      <c r="I53" s="140">
        <f>I52/E44</f>
        <v>134.09511511319712</v>
      </c>
      <c r="J53" s="110"/>
      <c r="K53" s="110"/>
      <c r="L53" s="110"/>
      <c r="M53" s="140">
        <f>M52/E44</f>
        <v>138.66174075648814</v>
      </c>
      <c r="N53" s="140">
        <f t="shared" si="46"/>
        <v>4.5666256432910188</v>
      </c>
      <c r="O53" s="112">
        <f>N53/I53</f>
        <v>3.4055123032901508E-2</v>
      </c>
      <c r="P53" s="110"/>
      <c r="Q53" s="110"/>
      <c r="R53" s="110"/>
    </row>
    <row r="54" spans="1:20" ht="13.8" thickBot="1" x14ac:dyDescent="0.3">
      <c r="A54" s="36">
        <f t="shared" si="1"/>
        <v>48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20" x14ac:dyDescent="0.25">
      <c r="A55" s="36">
        <f t="shared" si="1"/>
        <v>49</v>
      </c>
      <c r="B55" s="24" t="s">
        <v>96</v>
      </c>
      <c r="C55" s="25" t="s">
        <v>72</v>
      </c>
      <c r="D55" s="24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20" x14ac:dyDescent="0.25">
      <c r="A56" s="36">
        <f t="shared" si="1"/>
        <v>50</v>
      </c>
      <c r="C56" s="2"/>
      <c r="D56" s="2" t="s">
        <v>88</v>
      </c>
      <c r="E56" s="125">
        <v>1320</v>
      </c>
      <c r="F56" s="118">
        <f>H56</f>
        <v>63.81</v>
      </c>
      <c r="G56" s="126">
        <f>F56*E56</f>
        <v>84229.2</v>
      </c>
      <c r="H56" s="118">
        <v>63.81</v>
      </c>
      <c r="I56" s="126">
        <f>H56*E56</f>
        <v>84229.2</v>
      </c>
      <c r="J56" s="112">
        <f>I56/I59</f>
        <v>2.3536920706693627E-2</v>
      </c>
      <c r="K56" s="112"/>
      <c r="L56" s="118">
        <f>ROUND(H56*S59,2)</f>
        <v>66.17</v>
      </c>
      <c r="M56" s="126">
        <f>L56*E56</f>
        <v>87344.400000000009</v>
      </c>
      <c r="N56" s="126">
        <f>M56-I56</f>
        <v>3115.2000000000116</v>
      </c>
      <c r="O56" s="112">
        <f>IF(I56=0,0,N56/I56)</f>
        <v>3.6984798620905951E-2</v>
      </c>
      <c r="P56" s="112">
        <f>M56/M$59</f>
        <v>2.3537688853198978E-2</v>
      </c>
      <c r="Q56" s="128">
        <f>P56-J56</f>
        <v>7.6814650535120266E-7</v>
      </c>
      <c r="R56" s="128"/>
      <c r="T56" s="4">
        <f>L56/H56-1</f>
        <v>3.6984798620905757E-2</v>
      </c>
    </row>
    <row r="57" spans="1:20" x14ac:dyDescent="0.25">
      <c r="A57" s="36">
        <f t="shared" si="1"/>
        <v>51</v>
      </c>
      <c r="D57" s="2" t="s">
        <v>49</v>
      </c>
      <c r="E57" s="125">
        <v>38429279</v>
      </c>
      <c r="F57" s="129">
        <v>6.8809999999999996E-2</v>
      </c>
      <c r="G57" s="126">
        <f t="shared" ref="G57" si="50">F57*E57</f>
        <v>2644318.68799</v>
      </c>
      <c r="H57" s="129">
        <v>6.7210000000000006E-2</v>
      </c>
      <c r="I57" s="126">
        <f t="shared" ref="I57" si="51">H57*E57</f>
        <v>2582831.8415900003</v>
      </c>
      <c r="J57" s="112">
        <f>I57/I59</f>
        <v>0.72174386381714795</v>
      </c>
      <c r="K57" s="112"/>
      <c r="L57" s="130">
        <f>ROUND(H57*S59,5)</f>
        <v>6.9690000000000002E-2</v>
      </c>
      <c r="M57" s="126">
        <f t="shared" ref="M57" si="52">L57*E57</f>
        <v>2678136.4535099999</v>
      </c>
      <c r="N57" s="126">
        <f t="shared" ref="N57" si="53">M57-I57</f>
        <v>95304.611919999588</v>
      </c>
      <c r="O57" s="112">
        <f t="shared" ref="O57" si="54">IF(I57=0,0,N57/I57)</f>
        <v>3.6899270941823971E-2</v>
      </c>
      <c r="P57" s="112">
        <f>M57/M$59</f>
        <v>0.72170788910483274</v>
      </c>
      <c r="Q57" s="128">
        <f t="shared" ref="Q57" si="55">P57-J57</f>
        <v>-3.5974712315200996E-5</v>
      </c>
      <c r="R57" s="128"/>
      <c r="T57" s="4">
        <f>L57/H57-1</f>
        <v>3.6899270941824103E-2</v>
      </c>
    </row>
    <row r="58" spans="1:20" x14ac:dyDescent="0.25">
      <c r="A58" s="36">
        <f t="shared" si="1"/>
        <v>52</v>
      </c>
      <c r="D58" s="2" t="s">
        <v>51</v>
      </c>
      <c r="E58" s="125">
        <v>140886.85007727976</v>
      </c>
      <c r="F58" s="118">
        <f>H58</f>
        <v>6.47</v>
      </c>
      <c r="G58" s="126">
        <f t="shared" ref="G58" si="56">F58*E58</f>
        <v>911537.92</v>
      </c>
      <c r="H58" s="118">
        <v>6.47</v>
      </c>
      <c r="I58" s="126">
        <f t="shared" ref="I58" si="57">H58*E58</f>
        <v>911537.92</v>
      </c>
      <c r="J58" s="112">
        <f>I58/I59</f>
        <v>0.25471921547615839</v>
      </c>
      <c r="K58" s="112"/>
      <c r="L58" s="118">
        <f>ROUND(H58*S59,2)</f>
        <v>6.71</v>
      </c>
      <c r="M58" s="126">
        <f t="shared" ref="M58" si="58">L58*E58</f>
        <v>945350.76401854714</v>
      </c>
      <c r="N58" s="126">
        <f t="shared" ref="N58" si="59">M58-I58</f>
        <v>33812.844018547097</v>
      </c>
      <c r="O58" s="112">
        <f t="shared" ref="O58" si="60">IF(I58=0,0,N58/I58)</f>
        <v>3.7094281298299794E-2</v>
      </c>
      <c r="P58" s="112">
        <f>M58/M$59</f>
        <v>0.25475442204196824</v>
      </c>
      <c r="Q58" s="128">
        <f t="shared" ref="Q58" si="61">P58-J58</f>
        <v>3.5206565809853263E-5</v>
      </c>
      <c r="R58" s="128"/>
      <c r="T58" s="4">
        <f>L58/H58-1</f>
        <v>3.7094281298299947E-2</v>
      </c>
    </row>
    <row r="59" spans="1:20" s="5" customFormat="1" ht="20.399999999999999" customHeight="1" x14ac:dyDescent="0.3">
      <c r="A59" s="36">
        <f t="shared" si="1"/>
        <v>53</v>
      </c>
      <c r="C59" s="15"/>
      <c r="D59" s="17" t="s">
        <v>6</v>
      </c>
      <c r="E59" s="127"/>
      <c r="F59" s="127"/>
      <c r="G59" s="18">
        <f>SUM(G56:G58)</f>
        <v>3640085.8079900001</v>
      </c>
      <c r="H59" s="127"/>
      <c r="I59" s="18">
        <f>SUM(I56:I58)</f>
        <v>3578598.9615900004</v>
      </c>
      <c r="J59" s="131">
        <f>SUM(J56:J58)</f>
        <v>1</v>
      </c>
      <c r="K59" s="119">
        <f>I59+Summary!I12</f>
        <v>3710799.0115900002</v>
      </c>
      <c r="L59" s="127"/>
      <c r="M59" s="18">
        <f>SUM(M56:M58)</f>
        <v>3710831.6175285471</v>
      </c>
      <c r="N59" s="18">
        <f>SUM(N56:N58)</f>
        <v>132232.6559385467</v>
      </c>
      <c r="O59" s="131">
        <f t="shared" ref="O59" si="62">N59/I59</f>
        <v>3.6950956885035996E-2</v>
      </c>
      <c r="P59" s="131">
        <f>SUM(P56:P58)</f>
        <v>1</v>
      </c>
      <c r="Q59" s="132">
        <f t="shared" ref="Q59" si="63">P59-J59</f>
        <v>0</v>
      </c>
      <c r="R59" s="133">
        <f>M59-K59</f>
        <v>32.6059385468252</v>
      </c>
      <c r="S59" s="83">
        <f>K59/I59</f>
        <v>1.0369418455152242</v>
      </c>
    </row>
    <row r="60" spans="1:20" x14ac:dyDescent="0.25">
      <c r="A60" s="36">
        <f t="shared" si="1"/>
        <v>54</v>
      </c>
      <c r="D60" s="2" t="s">
        <v>28</v>
      </c>
      <c r="E60" s="110"/>
      <c r="F60" s="110"/>
      <c r="G60" s="126">
        <v>-159084.46</v>
      </c>
      <c r="H60" s="110"/>
      <c r="I60" s="120">
        <f>G60+(0.0016*(E58))</f>
        <v>-158859.04103987635</v>
      </c>
      <c r="J60" s="110"/>
      <c r="K60" s="120"/>
      <c r="L60" s="110"/>
      <c r="M60" s="126">
        <f>I60</f>
        <v>-158859.04103987635</v>
      </c>
      <c r="N60" s="126">
        <f t="shared" ref="N60:N66" si="64">M60-I60</f>
        <v>0</v>
      </c>
      <c r="O60" s="118">
        <v>0</v>
      </c>
      <c r="P60" s="110"/>
      <c r="Q60" s="110"/>
      <c r="R60" s="110"/>
    </row>
    <row r="61" spans="1:20" x14ac:dyDescent="0.25">
      <c r="A61" s="36">
        <f t="shared" si="1"/>
        <v>55</v>
      </c>
      <c r="D61" s="2" t="s">
        <v>29</v>
      </c>
      <c r="E61" s="110"/>
      <c r="F61" s="110"/>
      <c r="G61" s="126">
        <v>377828.67999999993</v>
      </c>
      <c r="H61" s="110"/>
      <c r="I61" s="120">
        <f t="shared" ref="I61:I63" si="65">G61</f>
        <v>377828.67999999993</v>
      </c>
      <c r="J61" s="110"/>
      <c r="K61" s="110"/>
      <c r="L61" s="110"/>
      <c r="M61" s="126">
        <f t="shared" ref="M61:M63" si="66">I61</f>
        <v>377828.67999999993</v>
      </c>
      <c r="N61" s="126">
        <f t="shared" si="64"/>
        <v>0</v>
      </c>
      <c r="O61" s="118">
        <v>0</v>
      </c>
      <c r="P61" s="110"/>
      <c r="Q61" s="110"/>
      <c r="R61" s="110"/>
    </row>
    <row r="62" spans="1:20" x14ac:dyDescent="0.25">
      <c r="A62" s="36">
        <f t="shared" si="1"/>
        <v>56</v>
      </c>
      <c r="D62" s="2" t="s">
        <v>31</v>
      </c>
      <c r="E62" s="110"/>
      <c r="F62" s="110"/>
      <c r="G62" s="126">
        <v>66086.829999999987</v>
      </c>
      <c r="H62" s="110"/>
      <c r="I62" s="120">
        <f t="shared" si="65"/>
        <v>66086.829999999987</v>
      </c>
      <c r="J62" s="110"/>
      <c r="K62" s="110"/>
      <c r="L62" s="110"/>
      <c r="M62" s="126">
        <f t="shared" si="66"/>
        <v>66086.829999999987</v>
      </c>
      <c r="N62" s="126">
        <f t="shared" si="64"/>
        <v>0</v>
      </c>
      <c r="O62" s="118">
        <v>0</v>
      </c>
      <c r="P62" s="110"/>
      <c r="Q62" s="110"/>
      <c r="R62" s="110"/>
    </row>
    <row r="63" spans="1:20" x14ac:dyDescent="0.25">
      <c r="A63" s="36">
        <f t="shared" si="1"/>
        <v>57</v>
      </c>
      <c r="D63" s="2" t="s">
        <v>41</v>
      </c>
      <c r="E63" s="110"/>
      <c r="F63" s="110"/>
      <c r="G63" s="126">
        <v>0</v>
      </c>
      <c r="H63" s="110"/>
      <c r="I63" s="120">
        <f t="shared" si="65"/>
        <v>0</v>
      </c>
      <c r="J63" s="110"/>
      <c r="K63" s="110"/>
      <c r="L63" s="110"/>
      <c r="M63" s="126">
        <f t="shared" si="66"/>
        <v>0</v>
      </c>
      <c r="N63" s="126"/>
      <c r="O63" s="118"/>
      <c r="P63" s="110"/>
      <c r="Q63" s="110"/>
      <c r="R63" s="110"/>
    </row>
    <row r="64" spans="1:20" x14ac:dyDescent="0.25">
      <c r="A64" s="36">
        <f t="shared" si="1"/>
        <v>58</v>
      </c>
      <c r="D64" s="13" t="s">
        <v>8</v>
      </c>
      <c r="E64" s="121"/>
      <c r="F64" s="121"/>
      <c r="G64" s="135">
        <f>SUM(G60:G63)</f>
        <v>284831.04999999993</v>
      </c>
      <c r="H64" s="121"/>
      <c r="I64" s="135">
        <f>SUM(I60:I63)</f>
        <v>285056.4689601236</v>
      </c>
      <c r="J64" s="121"/>
      <c r="K64" s="121"/>
      <c r="L64" s="121"/>
      <c r="M64" s="135">
        <f>SUM(M60:M63)</f>
        <v>285056.4689601236</v>
      </c>
      <c r="N64" s="135">
        <f t="shared" si="64"/>
        <v>0</v>
      </c>
      <c r="O64" s="136">
        <f t="shared" ref="O64" si="67">N64-J64</f>
        <v>0</v>
      </c>
      <c r="P64" s="110"/>
      <c r="Q64" s="110"/>
      <c r="R64" s="110"/>
    </row>
    <row r="65" spans="1:20" s="5" customFormat="1" ht="26.4" customHeight="1" thickBot="1" x14ac:dyDescent="0.3">
      <c r="A65" s="36">
        <f t="shared" si="1"/>
        <v>59</v>
      </c>
      <c r="C65" s="15"/>
      <c r="D65" s="6" t="s">
        <v>18</v>
      </c>
      <c r="E65" s="122"/>
      <c r="F65" s="122"/>
      <c r="G65" s="137">
        <f>G59+G64</f>
        <v>3924916.8579899999</v>
      </c>
      <c r="H65" s="122"/>
      <c r="I65" s="138">
        <f>I64+I59</f>
        <v>3863655.430550124</v>
      </c>
      <c r="J65" s="122"/>
      <c r="K65" s="122"/>
      <c r="L65" s="122"/>
      <c r="M65" s="137">
        <f>M64+M59</f>
        <v>3995888.0864886707</v>
      </c>
      <c r="N65" s="137">
        <f t="shared" si="64"/>
        <v>132232.65593854664</v>
      </c>
      <c r="O65" s="139">
        <f>N65/I65</f>
        <v>3.4224753815512682E-2</v>
      </c>
      <c r="P65" s="110"/>
      <c r="Q65" s="110"/>
      <c r="R65" s="110"/>
    </row>
    <row r="66" spans="1:20" ht="13.8" thickTop="1" x14ac:dyDescent="0.25">
      <c r="A66" s="36">
        <f t="shared" si="1"/>
        <v>60</v>
      </c>
      <c r="D66" s="2" t="s">
        <v>17</v>
      </c>
      <c r="E66" s="118">
        <f>E58/E56</f>
        <v>106.73246217975739</v>
      </c>
      <c r="F66" s="110"/>
      <c r="G66" s="140">
        <f>G65/E56</f>
        <v>2973.4218621136365</v>
      </c>
      <c r="H66" s="110"/>
      <c r="I66" s="140">
        <f>I65/E56</f>
        <v>2927.0116898106999</v>
      </c>
      <c r="J66" s="110"/>
      <c r="K66" s="110"/>
      <c r="L66" s="110"/>
      <c r="M66" s="140">
        <f>M65/E56</f>
        <v>3027.1879443095991</v>
      </c>
      <c r="N66" s="140">
        <f t="shared" si="64"/>
        <v>100.1762544988992</v>
      </c>
      <c r="O66" s="112">
        <f>N66/I66</f>
        <v>3.4224753815512758E-2</v>
      </c>
      <c r="P66" s="110"/>
      <c r="Q66" s="110"/>
      <c r="R66" s="110"/>
    </row>
    <row r="67" spans="1:20" ht="13.8" thickBot="1" x14ac:dyDescent="0.3">
      <c r="A67" s="36">
        <f t="shared" si="1"/>
        <v>61</v>
      </c>
      <c r="B67" s="28"/>
      <c r="C67" s="29"/>
      <c r="D67" s="2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20" x14ac:dyDescent="0.25">
      <c r="A68" s="36">
        <f t="shared" si="1"/>
        <v>62</v>
      </c>
      <c r="B68" s="24" t="s">
        <v>71</v>
      </c>
      <c r="C68" s="25" t="s">
        <v>74</v>
      </c>
      <c r="D68" s="24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20" x14ac:dyDescent="0.25">
      <c r="A69" s="36">
        <f t="shared" si="1"/>
        <v>63</v>
      </c>
      <c r="C69" s="2"/>
      <c r="D69" s="2" t="s">
        <v>88</v>
      </c>
      <c r="E69" s="125">
        <v>12</v>
      </c>
      <c r="F69" s="143">
        <f>H69</f>
        <v>0</v>
      </c>
      <c r="G69" s="126">
        <f>F69*E69</f>
        <v>0</v>
      </c>
      <c r="H69" s="118">
        <v>0</v>
      </c>
      <c r="I69" s="126">
        <f>H69*E69</f>
        <v>0</v>
      </c>
      <c r="J69" s="112">
        <f>I69/I72</f>
        <v>0</v>
      </c>
      <c r="K69" s="112"/>
      <c r="L69" s="118">
        <f>ROUND(H69*S72,2)</f>
        <v>0</v>
      </c>
      <c r="M69" s="126">
        <f>L69*E69</f>
        <v>0</v>
      </c>
      <c r="N69" s="126">
        <f>M69-I69</f>
        <v>0</v>
      </c>
      <c r="O69" s="112">
        <f>IF(I69=0,0,N69/I69)</f>
        <v>0</v>
      </c>
      <c r="P69" s="112">
        <f>M69/M$72</f>
        <v>0</v>
      </c>
      <c r="Q69" s="128">
        <f>P69-J69</f>
        <v>0</v>
      </c>
      <c r="R69" s="128"/>
      <c r="T69" s="4" t="e">
        <f>L69/H69-1</f>
        <v>#DIV/0!</v>
      </c>
    </row>
    <row r="70" spans="1:20" x14ac:dyDescent="0.25">
      <c r="A70" s="36">
        <f t="shared" si="1"/>
        <v>64</v>
      </c>
      <c r="D70" s="2" t="s">
        <v>49</v>
      </c>
      <c r="E70" s="125">
        <v>10498090</v>
      </c>
      <c r="F70" s="129">
        <v>6.2050000000000001E-2</v>
      </c>
      <c r="G70" s="126">
        <f t="shared" ref="G70" si="68">F70*E70</f>
        <v>651406.48450000002</v>
      </c>
      <c r="H70" s="129">
        <v>6.0449999999999997E-2</v>
      </c>
      <c r="I70" s="126">
        <f t="shared" ref="I70" si="69">H70*E70</f>
        <v>634609.5405</v>
      </c>
      <c r="J70" s="112">
        <f>I70/I72</f>
        <v>0.76068355982047153</v>
      </c>
      <c r="K70" s="112"/>
      <c r="L70" s="130">
        <f>ROUND(H70*S72,5)</f>
        <v>6.268E-2</v>
      </c>
      <c r="M70" s="126">
        <f t="shared" ref="M70" si="70">L70*E70</f>
        <v>658020.28119999997</v>
      </c>
      <c r="N70" s="126">
        <f t="shared" ref="N70" si="71">M70-I70</f>
        <v>23410.740699999966</v>
      </c>
      <c r="O70" s="112">
        <f t="shared" ref="O70" si="72">IF(I70=0,0,N70/I70)</f>
        <v>3.6889991728701353E-2</v>
      </c>
      <c r="P70" s="112">
        <f>M70/M$72</f>
        <v>0.76070940269802068</v>
      </c>
      <c r="Q70" s="128">
        <f t="shared" ref="Q70" si="73">P70-J70</f>
        <v>2.5842877549142607E-5</v>
      </c>
      <c r="R70" s="128"/>
      <c r="T70" s="4">
        <f>L70/H70-1</f>
        <v>3.6889991728701554E-2</v>
      </c>
    </row>
    <row r="71" spans="1:20" x14ac:dyDescent="0.25">
      <c r="A71" s="36">
        <f t="shared" si="1"/>
        <v>65</v>
      </c>
      <c r="D71" s="2" t="s">
        <v>51</v>
      </c>
      <c r="E71" s="125">
        <v>19826.480635551139</v>
      </c>
      <c r="F71" s="118">
        <f>H71</f>
        <v>10.07</v>
      </c>
      <c r="G71" s="126">
        <f t="shared" ref="G71" si="74">F71*E71</f>
        <v>199652.65999999997</v>
      </c>
      <c r="H71" s="118">
        <v>10.07</v>
      </c>
      <c r="I71" s="126">
        <f t="shared" ref="I71" si="75">H71*E71</f>
        <v>199652.65999999997</v>
      </c>
      <c r="J71" s="112">
        <f>I71/I72</f>
        <v>0.23931644017952838</v>
      </c>
      <c r="K71" s="112"/>
      <c r="L71" s="118">
        <f>ROUND(H71*S72,2)</f>
        <v>10.44</v>
      </c>
      <c r="M71" s="126">
        <f t="shared" ref="M71" si="76">L71*E71</f>
        <v>206988.45783515388</v>
      </c>
      <c r="N71" s="126">
        <f t="shared" ref="N71" si="77">M71-I71</f>
        <v>7335.7978351539059</v>
      </c>
      <c r="O71" s="112">
        <f t="shared" ref="O71" si="78">IF(I71=0,0,N71/I71)</f>
        <v>3.6742800397219388E-2</v>
      </c>
      <c r="P71" s="112">
        <f>M71/M$72</f>
        <v>0.23929059730197927</v>
      </c>
      <c r="Q71" s="128">
        <f t="shared" ref="Q71" si="79">P71-J71</f>
        <v>-2.5842877549114851E-5</v>
      </c>
      <c r="R71" s="128"/>
      <c r="T71" s="4">
        <f>L71/H71-1</f>
        <v>3.6742800397219444E-2</v>
      </c>
    </row>
    <row r="72" spans="1:20" s="5" customFormat="1" ht="20.399999999999999" customHeight="1" x14ac:dyDescent="0.3">
      <c r="A72" s="36">
        <f t="shared" si="1"/>
        <v>66</v>
      </c>
      <c r="C72" s="15"/>
      <c r="D72" s="17" t="s">
        <v>6</v>
      </c>
      <c r="E72" s="127"/>
      <c r="F72" s="127"/>
      <c r="G72" s="18">
        <f>SUM(G69:G71)</f>
        <v>851059.14449999994</v>
      </c>
      <c r="H72" s="127"/>
      <c r="I72" s="18">
        <f>SUM(I69:I71)</f>
        <v>834262.20050000004</v>
      </c>
      <c r="J72" s="131">
        <f>SUM(J69:J71)</f>
        <v>0.99999999999999989</v>
      </c>
      <c r="K72" s="119">
        <f>I72+Summary!I13</f>
        <v>865081.39049999998</v>
      </c>
      <c r="L72" s="127"/>
      <c r="M72" s="18">
        <f>SUM(M69:M71)</f>
        <v>865008.73903515388</v>
      </c>
      <c r="N72" s="18">
        <f>SUM(N69:N71)</f>
        <v>30746.538535153872</v>
      </c>
      <c r="O72" s="131">
        <f t="shared" ref="O72" si="80">N72/I72</f>
        <v>3.6854766423225799E-2</v>
      </c>
      <c r="P72" s="131">
        <f>SUM(P69:P71)</f>
        <v>1</v>
      </c>
      <c r="Q72" s="132">
        <f t="shared" ref="Q72" si="81">P72-J72</f>
        <v>0</v>
      </c>
      <c r="R72" s="133">
        <f>M72-K72</f>
        <v>-72.65146484610159</v>
      </c>
      <c r="S72" s="5">
        <f>K72/I72</f>
        <v>1.0369418511129103</v>
      </c>
    </row>
    <row r="73" spans="1:20" x14ac:dyDescent="0.25">
      <c r="A73" s="36">
        <f t="shared" ref="A73:A123" si="82">A72+1</f>
        <v>67</v>
      </c>
      <c r="D73" s="2" t="s">
        <v>28</v>
      </c>
      <c r="E73" s="110"/>
      <c r="F73" s="110"/>
      <c r="G73" s="126">
        <v>-44448.719999999994</v>
      </c>
      <c r="H73" s="110"/>
      <c r="I73" s="120">
        <f>G73+(0.0016*(E71))</f>
        <v>-44416.997630983111</v>
      </c>
      <c r="J73" s="110"/>
      <c r="K73" s="120"/>
      <c r="L73" s="110"/>
      <c r="M73" s="126">
        <f>I73</f>
        <v>-44416.997630983111</v>
      </c>
      <c r="N73" s="126">
        <f t="shared" ref="N73:N75" si="83">M73-I73</f>
        <v>0</v>
      </c>
      <c r="O73" s="118">
        <v>0</v>
      </c>
      <c r="P73" s="110"/>
      <c r="Q73" s="110"/>
      <c r="R73" s="110"/>
    </row>
    <row r="74" spans="1:20" x14ac:dyDescent="0.25">
      <c r="A74" s="36">
        <f t="shared" si="82"/>
        <v>68</v>
      </c>
      <c r="D74" s="2" t="s">
        <v>29</v>
      </c>
      <c r="E74" s="110"/>
      <c r="F74" s="110"/>
      <c r="G74" s="126">
        <v>80911.509999999995</v>
      </c>
      <c r="H74" s="110"/>
      <c r="I74" s="120">
        <f t="shared" ref="I74:I76" si="84">G74</f>
        <v>80911.509999999995</v>
      </c>
      <c r="J74" s="110"/>
      <c r="K74" s="110"/>
      <c r="L74" s="110"/>
      <c r="M74" s="126">
        <f t="shared" ref="M74:M76" si="85">I74</f>
        <v>80911.509999999995</v>
      </c>
      <c r="N74" s="126">
        <f t="shared" si="83"/>
        <v>0</v>
      </c>
      <c r="O74" s="118">
        <v>0</v>
      </c>
      <c r="P74" s="110"/>
      <c r="Q74" s="110"/>
      <c r="R74" s="110"/>
    </row>
    <row r="75" spans="1:20" x14ac:dyDescent="0.25">
      <c r="A75" s="36">
        <f t="shared" si="82"/>
        <v>69</v>
      </c>
      <c r="D75" s="2" t="s">
        <v>31</v>
      </c>
      <c r="E75" s="110"/>
      <c r="F75" s="110"/>
      <c r="G75" s="126">
        <v>0</v>
      </c>
      <c r="H75" s="110"/>
      <c r="I75" s="120">
        <f t="shared" si="84"/>
        <v>0</v>
      </c>
      <c r="J75" s="110"/>
      <c r="K75" s="110"/>
      <c r="L75" s="110"/>
      <c r="M75" s="126">
        <f t="shared" si="85"/>
        <v>0</v>
      </c>
      <c r="N75" s="126">
        <f t="shared" si="83"/>
        <v>0</v>
      </c>
      <c r="O75" s="118">
        <v>0</v>
      </c>
      <c r="P75" s="110"/>
      <c r="Q75" s="110"/>
      <c r="R75" s="110"/>
    </row>
    <row r="76" spans="1:20" x14ac:dyDescent="0.25">
      <c r="A76" s="36">
        <f t="shared" si="82"/>
        <v>70</v>
      </c>
      <c r="D76" s="2" t="s">
        <v>41</v>
      </c>
      <c r="E76" s="110"/>
      <c r="F76" s="110"/>
      <c r="G76" s="126">
        <v>0</v>
      </c>
      <c r="H76" s="110"/>
      <c r="I76" s="120">
        <f t="shared" si="84"/>
        <v>0</v>
      </c>
      <c r="J76" s="110"/>
      <c r="K76" s="110"/>
      <c r="L76" s="110"/>
      <c r="M76" s="126">
        <f t="shared" si="85"/>
        <v>0</v>
      </c>
      <c r="N76" s="126"/>
      <c r="O76" s="118"/>
      <c r="P76" s="110"/>
      <c r="Q76" s="110"/>
      <c r="R76" s="110"/>
    </row>
    <row r="77" spans="1:20" x14ac:dyDescent="0.25">
      <c r="A77" s="36">
        <f t="shared" si="82"/>
        <v>71</v>
      </c>
      <c r="D77" s="13" t="s">
        <v>8</v>
      </c>
      <c r="E77" s="121"/>
      <c r="F77" s="121"/>
      <c r="G77" s="135">
        <f>SUM(G73:G76)</f>
        <v>36462.79</v>
      </c>
      <c r="H77" s="121"/>
      <c r="I77" s="135">
        <f>SUM(I73:I76)</f>
        <v>36494.512369016884</v>
      </c>
      <c r="J77" s="121"/>
      <c r="K77" s="121"/>
      <c r="L77" s="121"/>
      <c r="M77" s="135">
        <f>SUM(M73:M76)</f>
        <v>36494.512369016884</v>
      </c>
      <c r="N77" s="135">
        <f t="shared" ref="N77:N79" si="86">M77-I77</f>
        <v>0</v>
      </c>
      <c r="O77" s="136">
        <f t="shared" ref="O77" si="87">N77-J77</f>
        <v>0</v>
      </c>
      <c r="P77" s="110"/>
      <c r="Q77" s="110"/>
      <c r="R77" s="110"/>
    </row>
    <row r="78" spans="1:20" s="5" customFormat="1" ht="26.4" customHeight="1" thickBot="1" x14ac:dyDescent="0.3">
      <c r="A78" s="36">
        <f t="shared" si="82"/>
        <v>72</v>
      </c>
      <c r="C78" s="15"/>
      <c r="D78" s="6" t="s">
        <v>18</v>
      </c>
      <c r="E78" s="122"/>
      <c r="F78" s="122"/>
      <c r="G78" s="137">
        <f>G72+G77</f>
        <v>887521.93449999997</v>
      </c>
      <c r="H78" s="122"/>
      <c r="I78" s="138">
        <f>I77+I72</f>
        <v>870756.71286901692</v>
      </c>
      <c r="J78" s="122"/>
      <c r="K78" s="122"/>
      <c r="L78" s="122"/>
      <c r="M78" s="137">
        <f>M77+M72</f>
        <v>901503.25140417076</v>
      </c>
      <c r="N78" s="137">
        <f t="shared" si="86"/>
        <v>30746.538535153843</v>
      </c>
      <c r="O78" s="139">
        <f>N78/I78</f>
        <v>3.5310136667047291E-2</v>
      </c>
      <c r="P78" s="110"/>
      <c r="Q78" s="110"/>
      <c r="R78" s="110"/>
    </row>
    <row r="79" spans="1:20" ht="13.8" thickTop="1" x14ac:dyDescent="0.25">
      <c r="A79" s="36">
        <f t="shared" si="82"/>
        <v>73</v>
      </c>
      <c r="D79" s="2" t="s">
        <v>17</v>
      </c>
      <c r="E79" s="118">
        <f>E71/E69</f>
        <v>1652.2067196292617</v>
      </c>
      <c r="F79" s="110"/>
      <c r="G79" s="140">
        <f>G78/E69</f>
        <v>73960.161208333331</v>
      </c>
      <c r="H79" s="110"/>
      <c r="I79" s="140">
        <f>I78/E69</f>
        <v>72563.05940575141</v>
      </c>
      <c r="J79" s="110"/>
      <c r="K79" s="110"/>
      <c r="L79" s="110"/>
      <c r="M79" s="140">
        <f>M78/E69</f>
        <v>75125.270950347563</v>
      </c>
      <c r="N79" s="140">
        <f t="shared" si="86"/>
        <v>2562.2115445961535</v>
      </c>
      <c r="O79" s="112">
        <f>N79/I79</f>
        <v>3.5310136667047291E-2</v>
      </c>
      <c r="P79" s="110"/>
      <c r="Q79" s="110"/>
      <c r="R79" s="110"/>
    </row>
    <row r="80" spans="1:20" ht="13.8" thickBot="1" x14ac:dyDescent="0.3">
      <c r="A80" s="36">
        <f t="shared" si="82"/>
        <v>74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20" x14ac:dyDescent="0.25">
      <c r="A81" s="36">
        <f t="shared" si="82"/>
        <v>75</v>
      </c>
      <c r="B81" s="24" t="s">
        <v>73</v>
      </c>
      <c r="C81" s="25" t="s">
        <v>75</v>
      </c>
      <c r="D81" s="24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20" x14ac:dyDescent="0.25">
      <c r="A82" s="36">
        <f t="shared" si="82"/>
        <v>76</v>
      </c>
      <c r="C82" s="2"/>
      <c r="D82" s="2" t="s">
        <v>88</v>
      </c>
      <c r="E82" s="125">
        <v>108</v>
      </c>
      <c r="F82" s="118">
        <f>H82</f>
        <v>86.88</v>
      </c>
      <c r="G82" s="126">
        <f>F82*E82</f>
        <v>9383.0399999999991</v>
      </c>
      <c r="H82" s="118">
        <v>86.88</v>
      </c>
      <c r="I82" s="126">
        <f>H82*E82</f>
        <v>9383.0399999999991</v>
      </c>
      <c r="J82" s="112">
        <f>I82/I85</f>
        <v>7.8226501211660655E-3</v>
      </c>
      <c r="K82" s="112"/>
      <c r="L82" s="118">
        <f>ROUND(H82*S85,2)</f>
        <v>90.09</v>
      </c>
      <c r="M82" s="126">
        <f>L82*E82</f>
        <v>9729.7200000000012</v>
      </c>
      <c r="N82" s="126">
        <f>M82-I82</f>
        <v>346.68000000000211</v>
      </c>
      <c r="O82" s="112">
        <f>IF(I82=0,0,N82/I82)</f>
        <v>3.6947513812154928E-2</v>
      </c>
      <c r="P82" s="112">
        <f>M82/M85</f>
        <v>7.8222554770318899E-3</v>
      </c>
      <c r="Q82" s="128">
        <f>P82-J82</f>
        <v>-3.9464413417560074E-7</v>
      </c>
      <c r="R82" s="128"/>
      <c r="T82" s="4"/>
    </row>
    <row r="83" spans="1:20" x14ac:dyDescent="0.25">
      <c r="A83" s="36">
        <f t="shared" si="82"/>
        <v>77</v>
      </c>
      <c r="D83" s="2" t="s">
        <v>49</v>
      </c>
      <c r="E83" s="125">
        <v>14778980</v>
      </c>
      <c r="F83" s="129">
        <v>5.8650000000000001E-2</v>
      </c>
      <c r="G83" s="126">
        <f t="shared" ref="G83" si="88">F83*E83</f>
        <v>866787.17700000003</v>
      </c>
      <c r="H83" s="129">
        <v>5.7049999999999997E-2</v>
      </c>
      <c r="I83" s="126">
        <f t="shared" ref="I83" si="89">H83*E83</f>
        <v>843140.80899999989</v>
      </c>
      <c r="J83" s="112">
        <f>I83/I85</f>
        <v>0.70292736167424452</v>
      </c>
      <c r="K83" s="112"/>
      <c r="L83" s="130">
        <f>ROUND(H83*S85,5)</f>
        <v>5.9159999999999997E-2</v>
      </c>
      <c r="M83" s="126">
        <f t="shared" ref="M83" si="90">L83*E83</f>
        <v>874324.45679999993</v>
      </c>
      <c r="N83" s="126">
        <f t="shared" ref="N83" si="91">M83-I83</f>
        <v>31183.647800000035</v>
      </c>
      <c r="O83" s="112">
        <f t="shared" ref="O83" si="92">IF(I83=0,0,N83/I83)</f>
        <v>3.6985100788781818E-2</v>
      </c>
      <c r="P83" s="112">
        <f>M83/M85</f>
        <v>0.70291737798279197</v>
      </c>
      <c r="Q83" s="128">
        <f t="shared" ref="Q83" si="93">P83-J83</f>
        <v>-9.9836914525530673E-6</v>
      </c>
      <c r="R83" s="128"/>
      <c r="T83" s="4">
        <f>L83/H83-1</f>
        <v>3.6985100788781811E-2</v>
      </c>
    </row>
    <row r="84" spans="1:20" x14ac:dyDescent="0.25">
      <c r="A84" s="36">
        <f t="shared" si="82"/>
        <v>78</v>
      </c>
      <c r="D84" s="2" t="s">
        <v>51</v>
      </c>
      <c r="E84" s="125">
        <v>55869.066022544292</v>
      </c>
      <c r="F84" s="118">
        <f>H84</f>
        <v>6.21</v>
      </c>
      <c r="G84" s="126">
        <f t="shared" ref="G84" si="94">F84*E84</f>
        <v>346946.9</v>
      </c>
      <c r="H84" s="118">
        <v>6.21</v>
      </c>
      <c r="I84" s="126">
        <f t="shared" ref="I84" si="95">H84*E84</f>
        <v>346946.9</v>
      </c>
      <c r="J84" s="112">
        <f>I84/I85</f>
        <v>0.28924998820458947</v>
      </c>
      <c r="K84" s="112"/>
      <c r="L84" s="118">
        <f>ROUND(H84*S85,2)</f>
        <v>6.44</v>
      </c>
      <c r="M84" s="126">
        <f t="shared" ref="M84" si="96">L84*E84</f>
        <v>359796.78518518526</v>
      </c>
      <c r="N84" s="126">
        <f t="shared" ref="N84" si="97">M84-I84</f>
        <v>12849.885185185238</v>
      </c>
      <c r="O84" s="112">
        <f t="shared" ref="O84" si="98">IF(I84=0,0,N84/I84)</f>
        <v>3.7037037037037188E-2</v>
      </c>
      <c r="P84" s="112">
        <f>M84/M85</f>
        <v>0.28926036654017606</v>
      </c>
      <c r="Q84" s="128">
        <f t="shared" ref="Q84" si="99">P84-J84</f>
        <v>1.0378335586591625E-5</v>
      </c>
      <c r="R84" s="128"/>
      <c r="T84" s="4">
        <f>L84/H84-1</f>
        <v>3.7037037037037202E-2</v>
      </c>
    </row>
    <row r="85" spans="1:20" s="5" customFormat="1" ht="20.399999999999999" customHeight="1" x14ac:dyDescent="0.3">
      <c r="A85" s="36">
        <f t="shared" si="82"/>
        <v>79</v>
      </c>
      <c r="C85" s="15"/>
      <c r="D85" s="17" t="s">
        <v>6</v>
      </c>
      <c r="E85" s="127"/>
      <c r="F85" s="127"/>
      <c r="G85" s="18">
        <f>SUM(G82:G84)</f>
        <v>1223117.1170000001</v>
      </c>
      <c r="H85" s="127"/>
      <c r="I85" s="18">
        <f>SUM(I82:I84)</f>
        <v>1199470.7489999998</v>
      </c>
      <c r="J85" s="131">
        <f>SUM(J82:J84)</f>
        <v>1</v>
      </c>
      <c r="K85" s="119">
        <f>I85+Summary!I14</f>
        <v>1243781.4089999998</v>
      </c>
      <c r="L85" s="127"/>
      <c r="M85" s="18">
        <f>SUM(M82:M84)</f>
        <v>1243850.9619851853</v>
      </c>
      <c r="N85" s="18">
        <f>SUM(N82:N84)</f>
        <v>44380.212985185273</v>
      </c>
      <c r="O85" s="131">
        <f>IF(I85=0,0,N85/I85)</f>
        <v>3.6999829318209811E-2</v>
      </c>
      <c r="P85" s="131">
        <f>SUM(P82:P84)</f>
        <v>0.99999999999999989</v>
      </c>
      <c r="Q85" s="132">
        <f t="shared" ref="Q85" si="100">P85-J85</f>
        <v>0</v>
      </c>
      <c r="R85" s="133">
        <f>M85-K85</f>
        <v>69.552985185524449</v>
      </c>
      <c r="S85" s="83">
        <f>IF(I85=0,0,K85/I85)</f>
        <v>1.0369418429227573</v>
      </c>
    </row>
    <row r="86" spans="1:20" x14ac:dyDescent="0.25">
      <c r="A86" s="36">
        <f t="shared" si="82"/>
        <v>80</v>
      </c>
      <c r="D86" s="2" t="s">
        <v>28</v>
      </c>
      <c r="E86" s="110"/>
      <c r="F86" s="110"/>
      <c r="G86" s="126">
        <v>-63330.710000000006</v>
      </c>
      <c r="H86" s="110"/>
      <c r="I86" s="120">
        <f>G86+(0.0016*(E84))</f>
        <v>-63241.319494363939</v>
      </c>
      <c r="J86" s="110"/>
      <c r="K86" s="120"/>
      <c r="L86" s="110"/>
      <c r="M86" s="126">
        <f>I86</f>
        <v>-63241.319494363939</v>
      </c>
      <c r="N86" s="126">
        <f t="shared" ref="N86:N91" si="101">M86-I86</f>
        <v>0</v>
      </c>
      <c r="O86" s="118">
        <v>0</v>
      </c>
      <c r="P86" s="110"/>
      <c r="Q86" s="110"/>
      <c r="R86" s="110"/>
    </row>
    <row r="87" spans="1:20" x14ac:dyDescent="0.25">
      <c r="A87" s="36">
        <f t="shared" si="82"/>
        <v>81</v>
      </c>
      <c r="D87" s="2" t="s">
        <v>29</v>
      </c>
      <c r="E87" s="110"/>
      <c r="F87" s="110"/>
      <c r="G87" s="126">
        <v>145396.01999999999</v>
      </c>
      <c r="H87" s="110"/>
      <c r="I87" s="120">
        <f t="shared" ref="I87:I89" si="102">G87</f>
        <v>145396.01999999999</v>
      </c>
      <c r="J87" s="110"/>
      <c r="K87" s="110"/>
      <c r="L87" s="110"/>
      <c r="M87" s="126">
        <f t="shared" ref="M87:M89" si="103">I87</f>
        <v>145396.01999999999</v>
      </c>
      <c r="N87" s="126">
        <f t="shared" si="101"/>
        <v>0</v>
      </c>
      <c r="O87" s="118">
        <v>0</v>
      </c>
      <c r="P87" s="110"/>
      <c r="Q87" s="110"/>
      <c r="R87" s="110"/>
    </row>
    <row r="88" spans="1:20" x14ac:dyDescent="0.25">
      <c r="A88" s="36">
        <f t="shared" si="82"/>
        <v>82</v>
      </c>
      <c r="D88" s="2" t="s">
        <v>31</v>
      </c>
      <c r="E88" s="110"/>
      <c r="F88" s="118"/>
      <c r="G88" s="126">
        <v>75946.05</v>
      </c>
      <c r="H88" s="110"/>
      <c r="I88" s="120">
        <f t="shared" si="102"/>
        <v>75946.05</v>
      </c>
      <c r="J88" s="110"/>
      <c r="K88" s="110"/>
      <c r="L88" s="110"/>
      <c r="M88" s="126">
        <f t="shared" si="103"/>
        <v>75946.05</v>
      </c>
      <c r="N88" s="126">
        <f t="shared" si="101"/>
        <v>0</v>
      </c>
      <c r="O88" s="118">
        <v>0</v>
      </c>
      <c r="P88" s="110"/>
      <c r="Q88" s="110"/>
      <c r="R88" s="110"/>
    </row>
    <row r="89" spans="1:20" x14ac:dyDescent="0.25">
      <c r="A89" s="36">
        <f t="shared" si="82"/>
        <v>83</v>
      </c>
      <c r="D89" s="2" t="s">
        <v>41</v>
      </c>
      <c r="E89" s="110"/>
      <c r="F89" s="110"/>
      <c r="G89" s="126">
        <v>0</v>
      </c>
      <c r="H89" s="110"/>
      <c r="I89" s="120">
        <f t="shared" si="102"/>
        <v>0</v>
      </c>
      <c r="J89" s="110"/>
      <c r="K89" s="110"/>
      <c r="L89" s="110"/>
      <c r="M89" s="126">
        <f t="shared" si="103"/>
        <v>0</v>
      </c>
      <c r="N89" s="126"/>
      <c r="O89" s="118"/>
      <c r="P89" s="110"/>
      <c r="Q89" s="110"/>
      <c r="R89" s="110"/>
    </row>
    <row r="90" spans="1:20" x14ac:dyDescent="0.25">
      <c r="A90" s="36">
        <f t="shared" si="82"/>
        <v>84</v>
      </c>
      <c r="D90" s="13" t="s">
        <v>8</v>
      </c>
      <c r="E90" s="121"/>
      <c r="F90" s="121"/>
      <c r="G90" s="135">
        <f>SUM(G86:G89)</f>
        <v>158011.35999999999</v>
      </c>
      <c r="H90" s="121"/>
      <c r="I90" s="135">
        <f>SUM(I86:I89)</f>
        <v>158100.75050563604</v>
      </c>
      <c r="J90" s="121"/>
      <c r="K90" s="121"/>
      <c r="L90" s="121"/>
      <c r="M90" s="135">
        <f>SUM(M86:M89)</f>
        <v>158100.75050563604</v>
      </c>
      <c r="N90" s="135">
        <f t="shared" si="101"/>
        <v>0</v>
      </c>
      <c r="O90" s="136">
        <f t="shared" ref="O90" si="104">N90-J90</f>
        <v>0</v>
      </c>
      <c r="P90" s="110"/>
      <c r="Q90" s="110"/>
      <c r="R90" s="110"/>
    </row>
    <row r="91" spans="1:20" s="5" customFormat="1" ht="26.4" customHeight="1" thickBot="1" x14ac:dyDescent="0.3">
      <c r="A91" s="36">
        <f t="shared" si="82"/>
        <v>85</v>
      </c>
      <c r="C91" s="15"/>
      <c r="D91" s="6" t="s">
        <v>18</v>
      </c>
      <c r="E91" s="122"/>
      <c r="F91" s="122"/>
      <c r="G91" s="137">
        <f>G85+G90</f>
        <v>1381128.477</v>
      </c>
      <c r="H91" s="122"/>
      <c r="I91" s="138">
        <f>I90+I85</f>
        <v>1357571.4995056358</v>
      </c>
      <c r="J91" s="122"/>
      <c r="K91" s="122"/>
      <c r="L91" s="122"/>
      <c r="M91" s="137">
        <f>M90+M85</f>
        <v>1401951.7124908213</v>
      </c>
      <c r="N91" s="137">
        <f t="shared" si="101"/>
        <v>44380.212985185441</v>
      </c>
      <c r="O91" s="139">
        <f>IF(I91=0,0,N91/I91)</f>
        <v>3.2690884422180815E-2</v>
      </c>
      <c r="P91" s="110"/>
      <c r="Q91" s="110"/>
      <c r="R91" s="110"/>
    </row>
    <row r="92" spans="1:20" ht="13.8" thickTop="1" x14ac:dyDescent="0.25">
      <c r="A92" s="36">
        <f t="shared" si="82"/>
        <v>86</v>
      </c>
      <c r="D92" s="2" t="s">
        <v>17</v>
      </c>
      <c r="E92" s="118">
        <f>E83/E82</f>
        <v>136842.40740740742</v>
      </c>
      <c r="F92" s="110"/>
      <c r="G92" s="140">
        <f>G91/E82</f>
        <v>12788.226638888889</v>
      </c>
      <c r="H92" s="110"/>
      <c r="I92" s="140">
        <f>I91/E82</f>
        <v>12570.106476904035</v>
      </c>
      <c r="J92" s="110"/>
      <c r="K92" s="110"/>
      <c r="L92" s="110"/>
      <c r="M92" s="140">
        <f>M91/E82</f>
        <v>12981.034374915012</v>
      </c>
      <c r="N92" s="140">
        <f>M92-I92</f>
        <v>410.92789801097751</v>
      </c>
      <c r="O92" s="112">
        <f>N92/I92</f>
        <v>3.2690884422180912E-2</v>
      </c>
      <c r="P92" s="110"/>
      <c r="Q92" s="110"/>
      <c r="R92" s="110"/>
    </row>
    <row r="93" spans="1:20" ht="13.8" thickBot="1" x14ac:dyDescent="0.3">
      <c r="A93" s="36">
        <f t="shared" si="82"/>
        <v>87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20" x14ac:dyDescent="0.25">
      <c r="A94" s="36">
        <f t="shared" si="82"/>
        <v>88</v>
      </c>
      <c r="B94" s="24" t="s">
        <v>32</v>
      </c>
      <c r="C94" s="25" t="s">
        <v>76</v>
      </c>
      <c r="D94" s="2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20" x14ac:dyDescent="0.25">
      <c r="A95" s="36">
        <f t="shared" si="82"/>
        <v>89</v>
      </c>
      <c r="B95" s="108" t="s">
        <v>77</v>
      </c>
      <c r="D95" s="108"/>
      <c r="E95" s="125"/>
      <c r="F95" s="118"/>
      <c r="G95" s="126"/>
      <c r="H95" s="118"/>
      <c r="I95" s="126"/>
      <c r="J95" s="112"/>
      <c r="K95" s="112"/>
      <c r="L95" s="118"/>
      <c r="M95" s="126"/>
      <c r="N95" s="126"/>
      <c r="O95" s="112"/>
      <c r="P95" s="112"/>
      <c r="Q95" s="128"/>
      <c r="R95" s="128"/>
      <c r="T95" s="4"/>
    </row>
    <row r="96" spans="1:20" x14ac:dyDescent="0.25">
      <c r="A96" s="36">
        <f t="shared" si="82"/>
        <v>90</v>
      </c>
      <c r="B96" s="33"/>
      <c r="C96" s="108"/>
      <c r="D96" s="108" t="s">
        <v>78</v>
      </c>
      <c r="E96" s="125">
        <v>5036</v>
      </c>
      <c r="F96" s="118">
        <f>H96</f>
        <v>17.03</v>
      </c>
      <c r="G96" s="126">
        <f t="shared" ref="G96:G98" si="105">F96*E96</f>
        <v>85763.08</v>
      </c>
      <c r="H96" s="118">
        <v>17.03</v>
      </c>
      <c r="I96" s="126">
        <f t="shared" ref="I96:I98" si="106">H96*E96</f>
        <v>85763.08</v>
      </c>
      <c r="J96" s="112">
        <f>I96/I$105</f>
        <v>7.2219240983836613E-2</v>
      </c>
      <c r="K96" s="112"/>
      <c r="L96" s="118">
        <f>ROUND(H96*S$105,2)</f>
        <v>17.66</v>
      </c>
      <c r="M96" s="126">
        <f t="shared" ref="M96:M98" si="107">L96*E96</f>
        <v>88935.76</v>
      </c>
      <c r="N96" s="126">
        <f t="shared" ref="N96:N98" si="108">M96-I96</f>
        <v>3172.679999999993</v>
      </c>
      <c r="O96" s="112">
        <f t="shared" ref="O96:O98" si="109">IF(I96=0,0,N96/I96)</f>
        <v>3.6993540810334624E-2</v>
      </c>
      <c r="P96" s="112">
        <f>M96/M$105</f>
        <v>7.2208534285026577E-2</v>
      </c>
      <c r="Q96" s="128">
        <f t="shared" ref="Q96:Q98" si="110">P96-J96</f>
        <v>-1.070669881003683E-5</v>
      </c>
      <c r="R96" s="128"/>
      <c r="T96" s="4">
        <f t="shared" ref="T96:T104" si="111">L96/H96-1</f>
        <v>3.6993540810334569E-2</v>
      </c>
    </row>
    <row r="97" spans="1:24" x14ac:dyDescent="0.25">
      <c r="A97" s="36">
        <f t="shared" si="82"/>
        <v>91</v>
      </c>
      <c r="B97" s="108" t="s">
        <v>79</v>
      </c>
      <c r="D97" s="108"/>
      <c r="E97" s="125"/>
      <c r="F97" s="118"/>
      <c r="G97" s="126"/>
      <c r="H97" s="118"/>
      <c r="I97" s="126"/>
      <c r="J97" s="112"/>
      <c r="K97" s="112"/>
      <c r="L97" s="118"/>
      <c r="M97" s="126"/>
      <c r="N97" s="126"/>
      <c r="O97" s="112"/>
      <c r="P97" s="112"/>
      <c r="Q97" s="128"/>
      <c r="R97" s="128"/>
      <c r="T97" s="4"/>
    </row>
    <row r="98" spans="1:24" x14ac:dyDescent="0.25">
      <c r="A98" s="36">
        <f t="shared" si="82"/>
        <v>92</v>
      </c>
      <c r="B98" s="33"/>
      <c r="D98" s="108" t="s">
        <v>80</v>
      </c>
      <c r="E98" s="125">
        <v>52537</v>
      </c>
      <c r="F98" s="118">
        <f>H98</f>
        <v>9.34</v>
      </c>
      <c r="G98" s="126">
        <f t="shared" si="105"/>
        <v>490695.58</v>
      </c>
      <c r="H98" s="118">
        <v>9.34</v>
      </c>
      <c r="I98" s="126">
        <f t="shared" si="106"/>
        <v>490695.58</v>
      </c>
      <c r="J98" s="112">
        <f>I98/I$105</f>
        <v>0.41320417062590892</v>
      </c>
      <c r="K98" s="112"/>
      <c r="L98" s="118">
        <f>ROUND(H98*S$105,2)</f>
        <v>9.69</v>
      </c>
      <c r="M98" s="126">
        <f t="shared" si="107"/>
        <v>509083.52999999997</v>
      </c>
      <c r="N98" s="126">
        <f t="shared" si="108"/>
        <v>18387.949999999953</v>
      </c>
      <c r="O98" s="112">
        <f t="shared" si="109"/>
        <v>3.7473233404710822E-2</v>
      </c>
      <c r="P98" s="112">
        <f>M98/M$105</f>
        <v>0.41333402368122063</v>
      </c>
      <c r="Q98" s="128">
        <f t="shared" si="110"/>
        <v>1.2985305531171276E-4</v>
      </c>
      <c r="R98" s="128"/>
      <c r="T98" s="4">
        <f t="shared" si="111"/>
        <v>3.7473233404710982E-2</v>
      </c>
    </row>
    <row r="99" spans="1:24" x14ac:dyDescent="0.25">
      <c r="A99" s="36">
        <f t="shared" si="82"/>
        <v>93</v>
      </c>
      <c r="B99" s="108" t="s">
        <v>86</v>
      </c>
      <c r="D99" s="108"/>
      <c r="E99" s="125"/>
      <c r="F99" s="118"/>
      <c r="G99" s="126"/>
      <c r="H99" s="118"/>
      <c r="I99" s="126"/>
      <c r="J99" s="112"/>
      <c r="K99" s="112"/>
      <c r="L99" s="118"/>
      <c r="M99" s="126"/>
      <c r="N99" s="126"/>
      <c r="O99" s="112"/>
      <c r="P99" s="112"/>
      <c r="Q99" s="128"/>
      <c r="R99" s="128"/>
      <c r="T99" s="4"/>
    </row>
    <row r="100" spans="1:24" x14ac:dyDescent="0.25">
      <c r="A100" s="36">
        <f t="shared" si="82"/>
        <v>94</v>
      </c>
      <c r="B100" s="33"/>
      <c r="C100" s="108"/>
      <c r="D100" s="108" t="s">
        <v>81</v>
      </c>
      <c r="E100" s="125">
        <v>52302</v>
      </c>
      <c r="F100" s="118">
        <f>H100</f>
        <v>9.49</v>
      </c>
      <c r="G100" s="126">
        <f t="shared" ref="G100:G104" si="112">F100*E100</f>
        <v>496345.98000000004</v>
      </c>
      <c r="H100" s="118">
        <v>9.49</v>
      </c>
      <c r="I100" s="126">
        <f t="shared" ref="I100:I104" si="113">H100*E100</f>
        <v>496345.98000000004</v>
      </c>
      <c r="J100" s="112">
        <f>I100/I$105</f>
        <v>0.41796225066751974</v>
      </c>
      <c r="K100" s="112"/>
      <c r="L100" s="118">
        <f>ROUND(H100*S$105,2)</f>
        <v>9.84</v>
      </c>
      <c r="M100" s="126">
        <f t="shared" ref="M100:M104" si="114">L100*E100</f>
        <v>514651.68</v>
      </c>
      <c r="N100" s="126">
        <f t="shared" ref="N100:N104" si="115">M100-I100</f>
        <v>18305.699999999953</v>
      </c>
      <c r="O100" s="112">
        <f t="shared" ref="O100:O104" si="116">IF(I100=0,0,N100/I100)</f>
        <v>3.6880927291886099E-2</v>
      </c>
      <c r="P100" s="112">
        <f>M100/M$105</f>
        <v>0.41785490426040689</v>
      </c>
      <c r="Q100" s="128">
        <f t="shared" ref="Q100:Q104" si="117">P100-J100</f>
        <v>-1.0734640711285159E-4</v>
      </c>
      <c r="R100" s="128"/>
      <c r="T100" s="4">
        <f t="shared" si="111"/>
        <v>3.688092729188619E-2</v>
      </c>
    </row>
    <row r="101" spans="1:24" x14ac:dyDescent="0.25">
      <c r="A101" s="36">
        <f t="shared" si="82"/>
        <v>95</v>
      </c>
      <c r="B101" s="33"/>
      <c r="C101" s="108"/>
      <c r="D101" s="108" t="s">
        <v>82</v>
      </c>
      <c r="E101" s="125">
        <v>2650</v>
      </c>
      <c r="F101" s="118">
        <f t="shared" ref="F101:F104" si="118">H101</f>
        <v>14.6</v>
      </c>
      <c r="G101" s="126">
        <f t="shared" si="112"/>
        <v>38690</v>
      </c>
      <c r="H101" s="118">
        <v>14.6</v>
      </c>
      <c r="I101" s="126">
        <f t="shared" si="113"/>
        <v>38690</v>
      </c>
      <c r="J101" s="112">
        <f>I101/I$105</f>
        <v>3.2580015009543016E-2</v>
      </c>
      <c r="K101" s="112"/>
      <c r="L101" s="118">
        <f>ROUND(H101*S$105,2)</f>
        <v>15.14</v>
      </c>
      <c r="M101" s="126">
        <f t="shared" si="114"/>
        <v>40121</v>
      </c>
      <c r="N101" s="126">
        <f t="shared" si="115"/>
        <v>1431</v>
      </c>
      <c r="O101" s="112">
        <f t="shared" si="116"/>
        <v>3.6986301369863014E-2</v>
      </c>
      <c r="P101" s="112">
        <f>M101/M$105</f>
        <v>3.2574957520456915E-2</v>
      </c>
      <c r="Q101" s="128">
        <f t="shared" si="117"/>
        <v>-5.0574890861007638E-6</v>
      </c>
      <c r="R101" s="128"/>
      <c r="T101" s="4">
        <f t="shared" si="111"/>
        <v>3.6986301369863028E-2</v>
      </c>
    </row>
    <row r="102" spans="1:24" x14ac:dyDescent="0.25">
      <c r="A102" s="36">
        <f t="shared" si="82"/>
        <v>96</v>
      </c>
      <c r="B102" s="33"/>
      <c r="C102" s="108"/>
      <c r="D102" s="108" t="s">
        <v>83</v>
      </c>
      <c r="E102" s="125">
        <v>3034</v>
      </c>
      <c r="F102" s="118">
        <f t="shared" si="118"/>
        <v>21.81</v>
      </c>
      <c r="G102" s="126">
        <f t="shared" si="112"/>
        <v>66171.539999999994</v>
      </c>
      <c r="H102" s="118">
        <v>21.81</v>
      </c>
      <c r="I102" s="126">
        <f t="shared" si="113"/>
        <v>66171.539999999994</v>
      </c>
      <c r="J102" s="112">
        <f>I102/I$105</f>
        <v>5.5721627459410075E-2</v>
      </c>
      <c r="K102" s="112"/>
      <c r="L102" s="118">
        <f>ROUND(H102*S$105,2)</f>
        <v>22.62</v>
      </c>
      <c r="M102" s="126">
        <f t="shared" si="114"/>
        <v>68629.08</v>
      </c>
      <c r="N102" s="126">
        <f t="shared" si="115"/>
        <v>2457.5400000000081</v>
      </c>
      <c r="O102" s="112">
        <f t="shared" si="116"/>
        <v>3.7138927097661749E-2</v>
      </c>
      <c r="P102" s="112">
        <f>M102/M$105</f>
        <v>5.5721177579522926E-2</v>
      </c>
      <c r="Q102" s="128">
        <f t="shared" si="117"/>
        <v>-4.4987988714884075E-7</v>
      </c>
      <c r="R102" s="128"/>
      <c r="T102" s="4">
        <f t="shared" si="111"/>
        <v>3.7138927097661645E-2</v>
      </c>
    </row>
    <row r="103" spans="1:24" x14ac:dyDescent="0.25">
      <c r="A103" s="36">
        <f t="shared" si="82"/>
        <v>97</v>
      </c>
      <c r="B103" s="33"/>
      <c r="C103" s="108"/>
      <c r="D103" s="108" t="s">
        <v>84</v>
      </c>
      <c r="E103" s="125">
        <v>120</v>
      </c>
      <c r="F103" s="118">
        <f t="shared" si="118"/>
        <v>20.18</v>
      </c>
      <c r="G103" s="126">
        <f t="shared" si="112"/>
        <v>2421.6</v>
      </c>
      <c r="H103" s="118">
        <v>20.18</v>
      </c>
      <c r="I103" s="126">
        <f t="shared" si="113"/>
        <v>2421.6</v>
      </c>
      <c r="J103" s="112">
        <f>I103/I$105</f>
        <v>2.0391771606903426E-3</v>
      </c>
      <c r="K103" s="112"/>
      <c r="L103" s="118">
        <f>ROUND(H103*S$105,2)</f>
        <v>20.93</v>
      </c>
      <c r="M103" s="126">
        <f t="shared" si="114"/>
        <v>2511.6</v>
      </c>
      <c r="N103" s="126">
        <f t="shared" si="115"/>
        <v>90</v>
      </c>
      <c r="O103" s="112">
        <f t="shared" si="116"/>
        <v>3.7165510406342916E-2</v>
      </c>
      <c r="P103" s="112">
        <f>M103/M$105</f>
        <v>2.0392129634949174E-3</v>
      </c>
      <c r="Q103" s="128">
        <f t="shared" si="117"/>
        <v>3.5802804574779773E-8</v>
      </c>
      <c r="R103" s="128"/>
      <c r="T103" s="4">
        <f t="shared" si="111"/>
        <v>3.7165510406342861E-2</v>
      </c>
    </row>
    <row r="104" spans="1:24" x14ac:dyDescent="0.25">
      <c r="A104" s="36">
        <f t="shared" si="82"/>
        <v>98</v>
      </c>
      <c r="B104" s="33"/>
      <c r="C104" s="108"/>
      <c r="D104" s="108" t="s">
        <v>85</v>
      </c>
      <c r="E104" s="125">
        <v>1344.7725631768953</v>
      </c>
      <c r="F104" s="118">
        <f t="shared" si="118"/>
        <v>5.54</v>
      </c>
      <c r="G104" s="126">
        <f t="shared" si="112"/>
        <v>7450.04</v>
      </c>
      <c r="H104" s="118">
        <v>5.54</v>
      </c>
      <c r="I104" s="126">
        <f t="shared" si="113"/>
        <v>7450.04</v>
      </c>
      <c r="J104" s="112">
        <f>I104/I$105</f>
        <v>6.2735180930911308E-3</v>
      </c>
      <c r="K104" s="112"/>
      <c r="L104" s="118">
        <f>ROUND(H104*S$105,2)</f>
        <v>5.74</v>
      </c>
      <c r="M104" s="126">
        <f t="shared" si="114"/>
        <v>7718.9945126353796</v>
      </c>
      <c r="N104" s="126">
        <f t="shared" si="115"/>
        <v>268.95451263537961</v>
      </c>
      <c r="O104" s="112">
        <f t="shared" si="116"/>
        <v>3.6101083032491051E-2</v>
      </c>
      <c r="P104" s="112">
        <f>M104/M$105</f>
        <v>6.267189709871078E-3</v>
      </c>
      <c r="Q104" s="128">
        <f t="shared" si="117"/>
        <v>-6.3283832200528023E-6</v>
      </c>
      <c r="R104" s="128"/>
      <c r="T104" s="4">
        <f t="shared" si="111"/>
        <v>3.6101083032491044E-2</v>
      </c>
    </row>
    <row r="105" spans="1:24" s="5" customFormat="1" ht="24.6" customHeight="1" x14ac:dyDescent="0.3">
      <c r="A105" s="36">
        <f t="shared" si="82"/>
        <v>99</v>
      </c>
      <c r="C105" s="15"/>
      <c r="D105" s="17" t="s">
        <v>6</v>
      </c>
      <c r="E105" s="127"/>
      <c r="F105" s="127"/>
      <c r="G105" s="18">
        <f>SUM(G95:G104)</f>
        <v>1187537.8200000003</v>
      </c>
      <c r="H105" s="127"/>
      <c r="I105" s="18">
        <f>SUM(I95:I104)</f>
        <v>1187537.8200000003</v>
      </c>
      <c r="J105" s="131">
        <f>SUM(J95:J104)</f>
        <v>1</v>
      </c>
      <c r="K105" s="119">
        <f>I105+Summary!I15</f>
        <v>1231407.6600000004</v>
      </c>
      <c r="L105" s="127"/>
      <c r="M105" s="18">
        <f>SUM(M95:M104)</f>
        <v>1231651.6445126354</v>
      </c>
      <c r="N105" s="18">
        <f>SUM(N95:N104)</f>
        <v>44113.824512635285</v>
      </c>
      <c r="O105" s="131">
        <f t="shared" ref="O105" si="119">N105/I105</f>
        <v>3.7147300717239706E-2</v>
      </c>
      <c r="P105" s="131">
        <f>SUM(P95:P104)</f>
        <v>0.99999999999999989</v>
      </c>
      <c r="Q105" s="132">
        <f t="shared" ref="Q105" si="120">P105-J105</f>
        <v>0</v>
      </c>
      <c r="R105" s="133">
        <f>M105-K105</f>
        <v>243.98451263504103</v>
      </c>
      <c r="S105" s="83">
        <f>K105/I105</f>
        <v>1.0369418466184093</v>
      </c>
    </row>
    <row r="106" spans="1:24" x14ac:dyDescent="0.25">
      <c r="A106" s="36">
        <f t="shared" si="82"/>
        <v>100</v>
      </c>
      <c r="D106" s="2" t="s">
        <v>28</v>
      </c>
      <c r="E106" s="110"/>
      <c r="F106" s="110"/>
      <c r="G106" s="126">
        <v>-23410.62</v>
      </c>
      <c r="H106" s="110"/>
      <c r="I106" s="120">
        <f>G106</f>
        <v>-23410.62</v>
      </c>
      <c r="J106" s="110"/>
      <c r="K106" s="120"/>
      <c r="L106" s="110"/>
      <c r="M106" s="126">
        <f>I106</f>
        <v>-23410.62</v>
      </c>
      <c r="N106" s="126">
        <f>M106-I106</f>
        <v>0</v>
      </c>
      <c r="O106" s="118">
        <v>0</v>
      </c>
      <c r="P106" s="110"/>
      <c r="Q106" s="110"/>
      <c r="R106" s="110"/>
    </row>
    <row r="107" spans="1:24" x14ac:dyDescent="0.25">
      <c r="A107" s="36">
        <f t="shared" si="82"/>
        <v>101</v>
      </c>
      <c r="D107" s="2" t="s">
        <v>29</v>
      </c>
      <c r="E107" s="110"/>
      <c r="F107" s="110"/>
      <c r="G107" s="126">
        <v>15333.75</v>
      </c>
      <c r="H107" s="110"/>
      <c r="I107" s="120">
        <f>G107</f>
        <v>15333.75</v>
      </c>
      <c r="J107" s="110"/>
      <c r="K107" s="110"/>
      <c r="L107" s="110"/>
      <c r="M107" s="126">
        <f t="shared" ref="M107:M108" si="121">I107</f>
        <v>15333.75</v>
      </c>
      <c r="N107" s="126">
        <f>M107-I107</f>
        <v>0</v>
      </c>
      <c r="O107" s="118">
        <v>0</v>
      </c>
      <c r="P107" s="110"/>
      <c r="Q107" s="110"/>
      <c r="R107" s="110"/>
    </row>
    <row r="108" spans="1:24" x14ac:dyDescent="0.25">
      <c r="A108" s="36">
        <f t="shared" si="82"/>
        <v>102</v>
      </c>
      <c r="D108" s="2" t="s">
        <v>31</v>
      </c>
      <c r="E108" s="110"/>
      <c r="F108" s="110"/>
      <c r="G108" s="126">
        <v>0</v>
      </c>
      <c r="H108" s="110"/>
      <c r="I108" s="120">
        <v>0</v>
      </c>
      <c r="J108" s="110"/>
      <c r="K108" s="110"/>
      <c r="L108" s="110"/>
      <c r="M108" s="126">
        <f t="shared" si="121"/>
        <v>0</v>
      </c>
      <c r="N108" s="126">
        <f>M108-I108</f>
        <v>0</v>
      </c>
      <c r="O108" s="118">
        <v>0</v>
      </c>
      <c r="P108" s="110"/>
      <c r="Q108" s="110"/>
      <c r="R108" s="110"/>
    </row>
    <row r="109" spans="1:24" x14ac:dyDescent="0.25">
      <c r="A109" s="36">
        <f t="shared" si="82"/>
        <v>103</v>
      </c>
      <c r="D109" s="2" t="s">
        <v>41</v>
      </c>
      <c r="E109" s="110"/>
      <c r="F109" s="110"/>
      <c r="G109" s="126"/>
      <c r="H109" s="110"/>
      <c r="I109" s="120"/>
      <c r="J109" s="110"/>
      <c r="K109" s="110"/>
      <c r="L109" s="110"/>
      <c r="M109" s="126"/>
      <c r="N109" s="126"/>
      <c r="O109" s="118"/>
      <c r="P109" s="110"/>
      <c r="Q109" s="110"/>
      <c r="R109" s="110"/>
    </row>
    <row r="110" spans="1:24" x14ac:dyDescent="0.25">
      <c r="A110" s="36">
        <f t="shared" si="82"/>
        <v>104</v>
      </c>
      <c r="D110" s="13" t="s">
        <v>8</v>
      </c>
      <c r="E110" s="121"/>
      <c r="F110" s="121"/>
      <c r="G110" s="135">
        <f>SUM(G106:G108)</f>
        <v>-8076.869999999999</v>
      </c>
      <c r="H110" s="121"/>
      <c r="I110" s="135">
        <f>SUM(I106:I108)</f>
        <v>-8076.869999999999</v>
      </c>
      <c r="J110" s="121"/>
      <c r="K110" s="121"/>
      <c r="L110" s="121"/>
      <c r="M110" s="135">
        <f>SUM(M106:M108)</f>
        <v>-8076.869999999999</v>
      </c>
      <c r="N110" s="135">
        <f>M110-I110</f>
        <v>0</v>
      </c>
      <c r="O110" s="136">
        <f>N110-J110</f>
        <v>0</v>
      </c>
      <c r="P110" s="110"/>
      <c r="Q110" s="110"/>
      <c r="R110" s="110"/>
    </row>
    <row r="111" spans="1:24" s="5" customFormat="1" ht="26.4" customHeight="1" thickBot="1" x14ac:dyDescent="0.3">
      <c r="A111" s="36">
        <f t="shared" si="82"/>
        <v>105</v>
      </c>
      <c r="C111" s="15"/>
      <c r="D111" s="6" t="s">
        <v>18</v>
      </c>
      <c r="E111" s="122"/>
      <c r="F111" s="122"/>
      <c r="G111" s="137">
        <f>G105+G110</f>
        <v>1179460.9500000002</v>
      </c>
      <c r="H111" s="122"/>
      <c r="I111" s="138">
        <f>I110+I105</f>
        <v>1179460.9500000002</v>
      </c>
      <c r="J111" s="122"/>
      <c r="K111" s="122"/>
      <c r="L111" s="122"/>
      <c r="M111" s="137">
        <f>M110+M105</f>
        <v>1223574.7745126353</v>
      </c>
      <c r="N111" s="137">
        <f>M111-I111</f>
        <v>44113.824512635125</v>
      </c>
      <c r="O111" s="139">
        <f>N111/I111</f>
        <v>3.7401682957485888E-2</v>
      </c>
      <c r="P111" s="110"/>
      <c r="Q111" s="110"/>
      <c r="R111" s="110"/>
    </row>
    <row r="112" spans="1:24" ht="13.8" thickTop="1" x14ac:dyDescent="0.25">
      <c r="A112" s="36">
        <f t="shared" si="82"/>
        <v>106</v>
      </c>
      <c r="E112" s="110"/>
      <c r="F112" s="110"/>
      <c r="G112" s="140"/>
      <c r="H112" s="110"/>
      <c r="I112" s="140"/>
      <c r="J112" s="110"/>
      <c r="K112" s="110"/>
      <c r="L112" s="110"/>
      <c r="M112" s="140"/>
      <c r="N112" s="140"/>
      <c r="O112" s="112"/>
      <c r="P112" s="110"/>
      <c r="Q112" s="110"/>
      <c r="R112" s="110"/>
      <c r="W112" s="5"/>
      <c r="X112" s="5"/>
    </row>
    <row r="113" spans="1:18" x14ac:dyDescent="0.25">
      <c r="A113" s="36">
        <f t="shared" si="82"/>
        <v>107</v>
      </c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10"/>
      <c r="Q113" s="110"/>
      <c r="R113" s="110"/>
    </row>
    <row r="114" spans="1:18" x14ac:dyDescent="0.25">
      <c r="A114" s="36">
        <f t="shared" si="82"/>
        <v>108</v>
      </c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s="5" customFormat="1" ht="19.95" customHeight="1" x14ac:dyDescent="0.3">
      <c r="A115" s="36">
        <f t="shared" si="82"/>
        <v>109</v>
      </c>
      <c r="B115" s="5" t="s">
        <v>30</v>
      </c>
      <c r="C115" s="38"/>
      <c r="D115" s="17" t="s">
        <v>6</v>
      </c>
      <c r="E115" s="127"/>
      <c r="F115" s="127"/>
      <c r="G115" s="144">
        <f>G10+G21+G34+G46+G85+G59+G105+G72</f>
        <v>43814109.950210005</v>
      </c>
      <c r="H115" s="144"/>
      <c r="I115" s="144">
        <f>I10+I21+I34+I46+I85+I59+I105+I72</f>
        <v>44193243.537690625</v>
      </c>
      <c r="J115" s="127"/>
      <c r="K115" s="127"/>
      <c r="L115" s="127"/>
      <c r="M115" s="144">
        <f t="shared" ref="M115:N119" si="122">M10+M21+M34+M46+M85+M59+M105+M72</f>
        <v>45826288.748379424</v>
      </c>
      <c r="N115" s="144">
        <f t="shared" si="122"/>
        <v>1633045.2106887822</v>
      </c>
      <c r="O115" s="131">
        <f>N115/I115</f>
        <v>3.6952372805495126E-2</v>
      </c>
      <c r="P115" s="145"/>
      <c r="Q115" s="145"/>
      <c r="R115" s="145"/>
    </row>
    <row r="116" spans="1:18" x14ac:dyDescent="0.25">
      <c r="A116" s="36">
        <f t="shared" si="82"/>
        <v>110</v>
      </c>
      <c r="C116" s="29"/>
      <c r="D116" s="2" t="s">
        <v>28</v>
      </c>
      <c r="E116" s="110"/>
      <c r="F116" s="110"/>
      <c r="G116" s="120">
        <f>G11+G22+G35+G47+G86+G60+G106+G73</f>
        <v>-1700768.77</v>
      </c>
      <c r="H116" s="120"/>
      <c r="I116" s="120">
        <f>I11+I22+I35+I47+I86+I60+I106+I73</f>
        <v>-1124023.7581652235</v>
      </c>
      <c r="J116" s="110"/>
      <c r="K116" s="110"/>
      <c r="L116" s="110"/>
      <c r="M116" s="120">
        <f t="shared" si="122"/>
        <v>-1124023.7581652235</v>
      </c>
      <c r="N116" s="120">
        <f t="shared" si="122"/>
        <v>0</v>
      </c>
      <c r="O116" s="110"/>
      <c r="P116" s="110"/>
      <c r="Q116" s="110"/>
      <c r="R116" s="110"/>
    </row>
    <row r="117" spans="1:18" x14ac:dyDescent="0.25">
      <c r="A117" s="36">
        <f t="shared" si="82"/>
        <v>111</v>
      </c>
      <c r="C117" s="29"/>
      <c r="D117" s="2" t="s">
        <v>29</v>
      </c>
      <c r="E117" s="110"/>
      <c r="F117" s="110"/>
      <c r="G117" s="120">
        <f>G12+G23+G36+G48+G87+G61+G107+G74</f>
        <v>4249768.72</v>
      </c>
      <c r="H117" s="120"/>
      <c r="I117" s="120">
        <f>I12+I23+I36+I48+I87+I61+I107+I74</f>
        <v>4249768.72</v>
      </c>
      <c r="J117" s="110"/>
      <c r="K117" s="110"/>
      <c r="L117" s="110"/>
      <c r="M117" s="120">
        <f t="shared" si="122"/>
        <v>4249768.72</v>
      </c>
      <c r="N117" s="120">
        <f t="shared" si="122"/>
        <v>0</v>
      </c>
      <c r="O117" s="110"/>
      <c r="P117" s="110"/>
      <c r="Q117" s="110"/>
      <c r="R117" s="110"/>
    </row>
    <row r="118" spans="1:18" x14ac:dyDescent="0.25">
      <c r="A118" s="36">
        <f t="shared" si="82"/>
        <v>112</v>
      </c>
      <c r="C118" s="29"/>
      <c r="D118" s="2" t="s">
        <v>31</v>
      </c>
      <c r="E118" s="110"/>
      <c r="F118" s="110"/>
      <c r="G118" s="120">
        <f>G13+G24+G37+G49+G88+G62+G108+G75</f>
        <v>143857.88</v>
      </c>
      <c r="H118" s="120"/>
      <c r="I118" s="120">
        <f>I13+I24+I37+I49+I88+I62+I108+I75</f>
        <v>143857.88</v>
      </c>
      <c r="J118" s="110"/>
      <c r="K118" s="110"/>
      <c r="L118" s="110"/>
      <c r="M118" s="120">
        <f t="shared" si="122"/>
        <v>143857.88</v>
      </c>
      <c r="N118" s="120">
        <f t="shared" si="122"/>
        <v>0</v>
      </c>
      <c r="O118" s="110"/>
      <c r="P118" s="110"/>
      <c r="Q118" s="110"/>
      <c r="R118" s="110"/>
    </row>
    <row r="119" spans="1:18" x14ac:dyDescent="0.25">
      <c r="A119" s="36">
        <f t="shared" si="82"/>
        <v>113</v>
      </c>
      <c r="C119" s="29"/>
      <c r="D119" s="2" t="s">
        <v>41</v>
      </c>
      <c r="E119" s="110"/>
      <c r="F119" s="110"/>
      <c r="G119" s="120">
        <f>G14+G25+G38+G50+G89+G63+G109+G76</f>
        <v>0</v>
      </c>
      <c r="H119" s="110"/>
      <c r="I119" s="120">
        <f>I14+I25+I38+I50+I89+I63+I109+I76</f>
        <v>0</v>
      </c>
      <c r="J119" s="110"/>
      <c r="K119" s="110"/>
      <c r="L119" s="110"/>
      <c r="M119" s="120">
        <f t="shared" si="122"/>
        <v>0</v>
      </c>
      <c r="N119" s="120">
        <f t="shared" si="122"/>
        <v>0</v>
      </c>
      <c r="O119" s="118"/>
      <c r="P119" s="110"/>
      <c r="Q119" s="110"/>
      <c r="R119" s="110"/>
    </row>
    <row r="120" spans="1:18" x14ac:dyDescent="0.25">
      <c r="A120" s="36">
        <f t="shared" si="82"/>
        <v>114</v>
      </c>
      <c r="C120" s="29"/>
      <c r="D120" s="13" t="s">
        <v>8</v>
      </c>
      <c r="E120" s="121"/>
      <c r="F120" s="121"/>
      <c r="G120" s="146">
        <f>SUM(G116:G119)</f>
        <v>2692857.8299999996</v>
      </c>
      <c r="H120" s="146"/>
      <c r="I120" s="146">
        <f>SUM(I116:I119)</f>
        <v>3269602.8418347761</v>
      </c>
      <c r="J120" s="121"/>
      <c r="K120" s="121"/>
      <c r="L120" s="121"/>
      <c r="M120" s="146">
        <f>SUM(M116:M119)</f>
        <v>3269602.8418347761</v>
      </c>
      <c r="N120" s="146">
        <f>SUM(N116:N119)</f>
        <v>0</v>
      </c>
      <c r="O120" s="121"/>
      <c r="P120" s="110"/>
      <c r="Q120" s="110"/>
      <c r="R120" s="110"/>
    </row>
    <row r="121" spans="1:18" s="5" customFormat="1" ht="21" customHeight="1" thickBot="1" x14ac:dyDescent="0.35">
      <c r="A121" s="36">
        <f t="shared" si="82"/>
        <v>115</v>
      </c>
      <c r="C121" s="38"/>
      <c r="D121" s="6" t="s">
        <v>18</v>
      </c>
      <c r="E121" s="122"/>
      <c r="F121" s="122"/>
      <c r="G121" s="138">
        <f>G120+G115</f>
        <v>46506967.780210003</v>
      </c>
      <c r="H121" s="138"/>
      <c r="I121" s="138">
        <f>I120+I115</f>
        <v>47462846.379525401</v>
      </c>
      <c r="J121" s="122"/>
      <c r="K121" s="122"/>
      <c r="L121" s="122"/>
      <c r="M121" s="138">
        <f>M120+M115</f>
        <v>49095891.5902142</v>
      </c>
      <c r="N121" s="138">
        <f>N120+N115</f>
        <v>1633045.2106887822</v>
      </c>
      <c r="O121" s="139">
        <f>N121/I121</f>
        <v>3.4406811543296903E-2</v>
      </c>
      <c r="P121" s="145"/>
      <c r="Q121" s="145"/>
      <c r="R121" s="145"/>
    </row>
    <row r="122" spans="1:18" ht="13.8" thickTop="1" x14ac:dyDescent="0.25">
      <c r="A122" s="36">
        <f t="shared" si="82"/>
        <v>116</v>
      </c>
      <c r="C122" s="2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x14ac:dyDescent="0.25">
      <c r="A123" s="36">
        <f t="shared" si="82"/>
        <v>117</v>
      </c>
      <c r="D123" s="2" t="s">
        <v>39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20">
        <f>N121-Summary!L4</f>
        <v>465.21068878215738</v>
      </c>
      <c r="O123" s="110"/>
      <c r="P123" s="110"/>
      <c r="Q123" s="110"/>
      <c r="R123" s="110"/>
    </row>
    <row r="124" spans="1:18" x14ac:dyDescent="0.25">
      <c r="A124" s="36"/>
      <c r="N124" s="11"/>
    </row>
  </sheetData>
  <phoneticPr fontId="9" type="noConversion"/>
  <printOptions horizontalCentered="1"/>
  <pageMargins left="0.7" right="0.7" top="0.75" bottom="0.75" header="0.3" footer="0.3"/>
  <pageSetup scale="55" fitToHeight="4" orientation="landscape" r:id="rId1"/>
  <headerFooter>
    <oddHeader>&amp;R&amp;"Arial,Bold"&amp;10Exhibit 3
Page &amp;P of &amp;N</oddHeader>
  </headerFooter>
  <rowBreaks count="2" manualBreakCount="2">
    <brk id="53" max="17" man="1"/>
    <brk id="93" max="17" man="1"/>
  </rowBreaks>
  <ignoredErrors>
    <ignoredError sqref="M10:N10 N105:O105 N34 N59 N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64"/>
  <sheetViews>
    <sheetView view="pageBreakPreview" zoomScale="60" zoomScaleNormal="85" workbookViewId="0">
      <selection activeCell="H25" sqref="H25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4" customWidth="1"/>
    <col min="4" max="4" width="25" style="14" customWidth="1"/>
    <col min="5" max="5" width="47.55468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CLARK ENERGY COOPERATIVE</v>
      </c>
    </row>
    <row r="2" spans="1:10" x14ac:dyDescent="0.25">
      <c r="A2" s="1" t="s">
        <v>95</v>
      </c>
    </row>
    <row r="4" spans="1:10" x14ac:dyDescent="0.25">
      <c r="C4" s="73" t="s">
        <v>62</v>
      </c>
      <c r="D4" s="72"/>
      <c r="E4" s="72" t="s">
        <v>2</v>
      </c>
      <c r="F4" s="76" t="s">
        <v>47</v>
      </c>
      <c r="G4" s="76" t="s">
        <v>48</v>
      </c>
    </row>
    <row r="5" spans="1:10" x14ac:dyDescent="0.25">
      <c r="C5" s="14" t="str">
        <f>'Billing Detail'!C7</f>
        <v>R</v>
      </c>
      <c r="D5" s="101" t="str">
        <f>'Billing Detail'!B7</f>
        <v>Residential</v>
      </c>
    </row>
    <row r="6" spans="1:10" x14ac:dyDescent="0.25">
      <c r="D6" s="101"/>
      <c r="E6" s="2" t="str">
        <f>'Billing Detail'!D8</f>
        <v>Facility Charge per month</v>
      </c>
      <c r="F6" s="74">
        <f>'Billing Detail'!H8</f>
        <v>18</v>
      </c>
      <c r="G6" s="74">
        <f>'Billing Detail'!L8</f>
        <v>18.66</v>
      </c>
      <c r="J6" s="4">
        <f>G6/F6-1</f>
        <v>3.6666666666666625E-2</v>
      </c>
    </row>
    <row r="7" spans="1:10" x14ac:dyDescent="0.25">
      <c r="D7" s="101"/>
      <c r="E7" s="2" t="str">
        <f>'Billing Detail'!D9</f>
        <v>Energy Charge per kWh</v>
      </c>
      <c r="F7" s="75">
        <f>'Billing Detail'!H9</f>
        <v>8.6489999999999997E-2</v>
      </c>
      <c r="G7" s="75">
        <f>'Billing Detail'!L9</f>
        <v>8.9690000000000006E-2</v>
      </c>
      <c r="J7" s="4">
        <f t="shared" ref="J7:J27" si="0">G7/F7-1</f>
        <v>3.6998496936062164E-2</v>
      </c>
    </row>
    <row r="8" spans="1:10" x14ac:dyDescent="0.25">
      <c r="C8" s="14" t="str">
        <f>'Billing Detail'!C19</f>
        <v>D</v>
      </c>
      <c r="D8" s="101" t="str">
        <f>'Billing Detail'!B19</f>
        <v>Time of Use Marketing Service</v>
      </c>
      <c r="F8" s="74"/>
      <c r="G8" s="74"/>
      <c r="J8" s="4"/>
    </row>
    <row r="9" spans="1:10" x14ac:dyDescent="0.25">
      <c r="D9" s="101"/>
      <c r="E9" s="2" t="str">
        <f>'Billing Detail'!D20</f>
        <v>Energy Charge per kWh</v>
      </c>
      <c r="F9" s="75">
        <f>'Billing Detail'!H20</f>
        <v>6.2640000000000001E-2</v>
      </c>
      <c r="G9" s="75">
        <f>'Billing Detail'!L20</f>
        <v>6.4949999999999994E-2</v>
      </c>
      <c r="J9" s="4">
        <f t="shared" si="0"/>
        <v>3.6877394636015248E-2</v>
      </c>
    </row>
    <row r="10" spans="1:10" x14ac:dyDescent="0.25">
      <c r="C10" s="14" t="str">
        <f>'Billing Detail'!C30</f>
        <v>C</v>
      </c>
      <c r="D10" s="101" t="str">
        <f>'Billing Detail'!B30</f>
        <v>General Power Service &lt; 50kW</v>
      </c>
      <c r="F10" s="75"/>
      <c r="G10" s="75"/>
      <c r="J10" s="4"/>
    </row>
    <row r="11" spans="1:10" x14ac:dyDescent="0.25">
      <c r="D11" s="101"/>
      <c r="E11" s="2" t="str">
        <f>'Billing Detail'!D31</f>
        <v xml:space="preserve">Facility Charge Single Phase per month </v>
      </c>
      <c r="F11" s="74">
        <f>'Billing Detail'!H31</f>
        <v>25.33</v>
      </c>
      <c r="G11" s="74">
        <f>'Billing Detail'!L31</f>
        <v>26.27</v>
      </c>
      <c r="J11" s="4">
        <f t="shared" si="0"/>
        <v>3.7110146071851702E-2</v>
      </c>
    </row>
    <row r="12" spans="1:10" x14ac:dyDescent="0.25">
      <c r="D12" s="101"/>
      <c r="E12" s="2" t="str">
        <f>'Billing Detail'!D32</f>
        <v>Facility Charge Three Phase per month</v>
      </c>
      <c r="F12" s="74">
        <f>'Billing Detail'!H32</f>
        <v>50.14</v>
      </c>
      <c r="G12" s="74">
        <f>'Billing Detail'!L32</f>
        <v>51.99</v>
      </c>
      <c r="J12" s="4">
        <f t="shared" si="0"/>
        <v>3.689668927004397E-2</v>
      </c>
    </row>
    <row r="13" spans="1:10" x14ac:dyDescent="0.25">
      <c r="D13" s="101"/>
      <c r="E13" s="2" t="str">
        <f>'Billing Detail'!D33</f>
        <v>Energy Charge - Off Peak per kWh</v>
      </c>
      <c r="F13" s="75">
        <f>'Billing Detail'!H33</f>
        <v>9.4740000000000005E-2</v>
      </c>
      <c r="G13" s="75">
        <f>'Billing Detail'!L33</f>
        <v>9.8239999999999994E-2</v>
      </c>
      <c r="J13" s="4">
        <f t="shared" si="0"/>
        <v>3.6943213004010822E-2</v>
      </c>
    </row>
    <row r="14" spans="1:10" x14ac:dyDescent="0.25">
      <c r="C14" s="14" t="str">
        <f>'Billing Detail'!C43</f>
        <v>E</v>
      </c>
      <c r="D14" s="101" t="str">
        <f>'Billing Detail'!B43</f>
        <v>Public Facilities</v>
      </c>
      <c r="F14" s="74"/>
      <c r="G14" s="74"/>
      <c r="J14" s="4"/>
    </row>
    <row r="15" spans="1:10" x14ac:dyDescent="0.25">
      <c r="D15" s="101"/>
      <c r="E15" s="2" t="str">
        <f>'Billing Detail'!D44</f>
        <v>Facility Charge per month</v>
      </c>
      <c r="F15" s="74">
        <f>'Billing Detail'!H44</f>
        <v>18</v>
      </c>
      <c r="G15" s="74">
        <f>'Billing Detail'!L44</f>
        <v>18.66</v>
      </c>
      <c r="J15" s="4">
        <f t="shared" si="0"/>
        <v>3.6666666666666625E-2</v>
      </c>
    </row>
    <row r="16" spans="1:10" x14ac:dyDescent="0.25">
      <c r="D16" s="101"/>
      <c r="E16" s="2" t="str">
        <f>'Billing Detail'!D45</f>
        <v>Energy Charge per kWh</v>
      </c>
      <c r="F16" s="75">
        <f>'Billing Detail'!H45</f>
        <v>9.5259999999999997E-2</v>
      </c>
      <c r="G16" s="75">
        <f>'Billing Detail'!L45</f>
        <v>9.8780000000000007E-2</v>
      </c>
      <c r="J16" s="4">
        <f t="shared" si="0"/>
        <v>3.6951501154734556E-2</v>
      </c>
    </row>
    <row r="17" spans="3:10" x14ac:dyDescent="0.25">
      <c r="C17" s="14" t="str">
        <f>'Billing Detail'!C55</f>
        <v>L</v>
      </c>
      <c r="D17" s="101" t="str">
        <f>'Billing Detail'!B55</f>
        <v>General Power Service 50-500kW</v>
      </c>
      <c r="F17" s="75"/>
      <c r="G17" s="75"/>
      <c r="J17" s="4"/>
    </row>
    <row r="18" spans="3:10" x14ac:dyDescent="0.25">
      <c r="D18" s="101"/>
      <c r="E18" s="70" t="str">
        <f>'Billing Detail'!D56</f>
        <v>Facility Charge per month</v>
      </c>
      <c r="F18" s="85">
        <f>'Billing Detail'!H56</f>
        <v>63.81</v>
      </c>
      <c r="G18" s="85">
        <f>'Billing Detail'!L56</f>
        <v>66.17</v>
      </c>
      <c r="J18" s="4">
        <f t="shared" si="0"/>
        <v>3.6984798620905757E-2</v>
      </c>
    </row>
    <row r="19" spans="3:10" x14ac:dyDescent="0.25">
      <c r="D19" s="101"/>
      <c r="E19" s="70" t="str">
        <f>'Billing Detail'!D57</f>
        <v>Energy Charge per kWh</v>
      </c>
      <c r="F19" s="75">
        <f>'Billing Detail'!H57</f>
        <v>6.7210000000000006E-2</v>
      </c>
      <c r="G19" s="75">
        <f>'Billing Detail'!L57</f>
        <v>6.9690000000000002E-2</v>
      </c>
      <c r="J19" s="4">
        <f t="shared" si="0"/>
        <v>3.6899270941824103E-2</v>
      </c>
    </row>
    <row r="20" spans="3:10" x14ac:dyDescent="0.25">
      <c r="D20" s="101"/>
      <c r="E20" s="70" t="str">
        <f>'Billing Detail'!D58</f>
        <v>Demand Charge per kW</v>
      </c>
      <c r="F20" s="85">
        <f>'Billing Detail'!H58</f>
        <v>6.47</v>
      </c>
      <c r="G20" s="85">
        <f>'Billing Detail'!L58</f>
        <v>6.71</v>
      </c>
      <c r="J20" s="4">
        <f t="shared" si="0"/>
        <v>3.7094281298299947E-2</v>
      </c>
    </row>
    <row r="21" spans="3:10" x14ac:dyDescent="0.25">
      <c r="C21" s="14" t="str">
        <f>'Billing Detail'!C68</f>
        <v>M</v>
      </c>
      <c r="D21" s="101" t="str">
        <f>'Billing Detail'!B68</f>
        <v>General Power Service 1000-5000kW</v>
      </c>
      <c r="F21" s="74"/>
      <c r="G21" s="74"/>
      <c r="J21" s="4"/>
    </row>
    <row r="22" spans="3:10" x14ac:dyDescent="0.25">
      <c r="D22" s="101"/>
      <c r="E22" s="2" t="str">
        <f>'Billing Detail'!D70</f>
        <v>Energy Charge per kWh</v>
      </c>
      <c r="F22" s="75">
        <f>'Billing Detail'!H70</f>
        <v>6.0449999999999997E-2</v>
      </c>
      <c r="G22" s="75">
        <f>'Billing Detail'!L70</f>
        <v>6.268E-2</v>
      </c>
      <c r="J22" s="4">
        <f t="shared" si="0"/>
        <v>3.6889991728701554E-2</v>
      </c>
    </row>
    <row r="23" spans="3:10" x14ac:dyDescent="0.25">
      <c r="D23" s="101"/>
      <c r="E23" s="2" t="str">
        <f>'Billing Detail'!D71</f>
        <v>Demand Charge per kW</v>
      </c>
      <c r="F23" s="74">
        <f>'Billing Detail'!H71</f>
        <v>10.07</v>
      </c>
      <c r="G23" s="74">
        <f>'Billing Detail'!L71</f>
        <v>10.44</v>
      </c>
      <c r="J23" s="4">
        <f t="shared" si="0"/>
        <v>3.6742800397219444E-2</v>
      </c>
    </row>
    <row r="24" spans="3:10" x14ac:dyDescent="0.25">
      <c r="C24" s="14" t="str">
        <f>'Billing Detail'!C81</f>
        <v>P</v>
      </c>
      <c r="D24" s="101" t="str">
        <f>'Billing Detail'!B81</f>
        <v>General Power Service 500+kW</v>
      </c>
      <c r="F24" s="75"/>
      <c r="G24" s="75"/>
      <c r="J24" s="4"/>
    </row>
    <row r="25" spans="3:10" x14ac:dyDescent="0.25">
      <c r="D25" s="101"/>
      <c r="E25" s="2" t="str">
        <f>'Billing Detail'!D82</f>
        <v>Facility Charge per month</v>
      </c>
      <c r="F25" s="74">
        <f>'Billing Detail'!H82</f>
        <v>86.88</v>
      </c>
      <c r="G25" s="74">
        <f>'Billing Detail'!L82</f>
        <v>90.09</v>
      </c>
      <c r="J25" s="4">
        <f t="shared" si="0"/>
        <v>3.6947513812154886E-2</v>
      </c>
    </row>
    <row r="26" spans="3:10" x14ac:dyDescent="0.25">
      <c r="D26" s="101"/>
      <c r="E26" s="2" t="str">
        <f>'Billing Detail'!D83</f>
        <v>Energy Charge per kWh</v>
      </c>
      <c r="F26" s="75">
        <f>'Billing Detail'!H83</f>
        <v>5.7049999999999997E-2</v>
      </c>
      <c r="G26" s="75">
        <f>'Billing Detail'!L83</f>
        <v>5.9159999999999997E-2</v>
      </c>
      <c r="J26" s="4">
        <f t="shared" si="0"/>
        <v>3.6985100788781811E-2</v>
      </c>
    </row>
    <row r="27" spans="3:10" x14ac:dyDescent="0.25">
      <c r="D27" s="101"/>
      <c r="E27" s="2" t="str">
        <f>'Billing Detail'!D84</f>
        <v>Demand Charge per kW</v>
      </c>
      <c r="F27" s="74">
        <f>'Billing Detail'!H84</f>
        <v>6.21</v>
      </c>
      <c r="G27" s="74">
        <f>'Billing Detail'!L84</f>
        <v>6.44</v>
      </c>
      <c r="J27" s="4">
        <f t="shared" si="0"/>
        <v>3.7037037037037202E-2</v>
      </c>
    </row>
    <row r="28" spans="3:10" x14ac:dyDescent="0.25">
      <c r="C28" s="14" t="s">
        <v>92</v>
      </c>
      <c r="D28" s="101" t="str">
        <f>'Billing Detail'!B95</f>
        <v>Rate T - Outdoor Lights</v>
      </c>
    </row>
    <row r="29" spans="3:10" x14ac:dyDescent="0.25">
      <c r="D29" s="2"/>
      <c r="E29" s="2" t="str">
        <f>'Billing Detail'!D96</f>
        <v>400 W</v>
      </c>
      <c r="F29" s="74">
        <f>'Billing Detail'!H96</f>
        <v>17.03</v>
      </c>
      <c r="G29" s="74">
        <f>'Billing Detail'!L96</f>
        <v>17.66</v>
      </c>
      <c r="J29" s="4">
        <f>G29/F29-1</f>
        <v>3.6993540810334569E-2</v>
      </c>
    </row>
    <row r="30" spans="3:10" x14ac:dyDescent="0.25">
      <c r="C30" s="14" t="s">
        <v>93</v>
      </c>
      <c r="D30" s="101" t="str">
        <f>'Billing Detail'!B97</f>
        <v>Rate S - Outdoor Lights</v>
      </c>
      <c r="F30" s="74"/>
      <c r="G30" s="74"/>
      <c r="J30" s="4"/>
    </row>
    <row r="31" spans="3:10" x14ac:dyDescent="0.25">
      <c r="D31" s="2"/>
      <c r="E31" s="2" t="str">
        <f>'Billing Detail'!D98</f>
        <v>175 W</v>
      </c>
      <c r="F31" s="74">
        <f>'Billing Detail'!H98</f>
        <v>9.34</v>
      </c>
      <c r="G31" s="74">
        <f>'Billing Detail'!L98</f>
        <v>9.69</v>
      </c>
      <c r="J31" s="4">
        <f>G31/F31-1</f>
        <v>3.7473233404710982E-2</v>
      </c>
    </row>
    <row r="32" spans="3:10" x14ac:dyDescent="0.25">
      <c r="C32" s="14" t="s">
        <v>94</v>
      </c>
      <c r="D32" s="101" t="str">
        <f>'Billing Detail'!B99</f>
        <v>Rate O - LED Outdoor Lighting</v>
      </c>
      <c r="F32" s="74"/>
      <c r="G32" s="74"/>
      <c r="J32" s="4"/>
    </row>
    <row r="33" spans="3:10" x14ac:dyDescent="0.25">
      <c r="D33" s="2"/>
      <c r="E33" s="2" t="str">
        <f>'Billing Detail'!D100</f>
        <v>Open Bottom Light  (4,800-6,800 Lumens)</v>
      </c>
      <c r="F33" s="74">
        <f>'Billing Detail'!H100</f>
        <v>9.49</v>
      </c>
      <c r="G33" s="74">
        <f>'Billing Detail'!L100</f>
        <v>9.84</v>
      </c>
      <c r="J33" s="4">
        <f>G33/F33-1</f>
        <v>3.688092729188619E-2</v>
      </c>
    </row>
    <row r="34" spans="3:10" x14ac:dyDescent="0.25">
      <c r="D34" s="2"/>
      <c r="E34" s="2" t="str">
        <f>'Billing Detail'!D101</f>
        <v>Cobra Head Light (7,200 - 10,000 Lumens)</v>
      </c>
      <c r="F34" s="74">
        <f>'Billing Detail'!H101</f>
        <v>14.6</v>
      </c>
      <c r="G34" s="74">
        <f>'Billing Detail'!L101</f>
        <v>15.14</v>
      </c>
      <c r="J34" s="4">
        <f>G34/F34-1</f>
        <v>3.6986301369863028E-2</v>
      </c>
    </row>
    <row r="35" spans="3:10" x14ac:dyDescent="0.25">
      <c r="D35" s="2"/>
      <c r="E35" s="2" t="str">
        <f>'Billing Detail'!D102</f>
        <v>Directional Flood Light (15,00 - 18,000 Lumens)</v>
      </c>
      <c r="F35" s="74">
        <f>'Billing Detail'!H102</f>
        <v>21.81</v>
      </c>
      <c r="G35" s="74">
        <f>'Billing Detail'!L102</f>
        <v>22.62</v>
      </c>
      <c r="J35" s="4">
        <f>G35/F35-1</f>
        <v>3.7138927097661645E-2</v>
      </c>
    </row>
    <row r="36" spans="3:10" x14ac:dyDescent="0.25">
      <c r="D36" s="2"/>
      <c r="E36" s="2" t="str">
        <f>'Billing Detail'!D103</f>
        <v>Ornamental Light w/Pole (4,80 - 6,800 Lumens)</v>
      </c>
      <c r="F36" s="74">
        <f>'Billing Detail'!H103</f>
        <v>20.18</v>
      </c>
      <c r="G36" s="74">
        <f>'Billing Detail'!L103</f>
        <v>20.93</v>
      </c>
      <c r="J36" s="4">
        <f>G36/F36-1</f>
        <v>3.7165510406342861E-2</v>
      </c>
    </row>
    <row r="37" spans="3:10" x14ac:dyDescent="0.25">
      <c r="D37" s="2"/>
      <c r="E37" s="2" t="str">
        <f>'Billing Detail'!D104</f>
        <v>Additional Pole (30' Wood / if no existing pole available)</v>
      </c>
      <c r="F37" s="74">
        <f>'Billing Detail'!H104</f>
        <v>5.54</v>
      </c>
      <c r="G37" s="74">
        <f>'Billing Detail'!L104</f>
        <v>5.74</v>
      </c>
      <c r="J37" s="4">
        <f>G37/F37-1</f>
        <v>3.6101083032491044E-2</v>
      </c>
    </row>
    <row r="38" spans="3:10" x14ac:dyDescent="0.25">
      <c r="D38" s="2"/>
      <c r="F38" s="74"/>
      <c r="G38" s="74"/>
      <c r="J38" s="4"/>
    </row>
    <row r="40" spans="3:10" ht="41.4" customHeight="1" x14ac:dyDescent="0.25">
      <c r="C40" s="147" t="s">
        <v>53</v>
      </c>
      <c r="D40" s="147"/>
      <c r="E40" s="147"/>
      <c r="F40" s="147"/>
      <c r="G40" s="147"/>
    </row>
    <row r="41" spans="3:10" x14ac:dyDescent="0.25">
      <c r="D41" s="2"/>
      <c r="F41" s="148" t="s">
        <v>54</v>
      </c>
      <c r="G41" s="148"/>
    </row>
    <row r="42" spans="3:10" x14ac:dyDescent="0.25">
      <c r="C42" s="109" t="s">
        <v>55</v>
      </c>
      <c r="D42" s="86"/>
      <c r="E42" s="87"/>
      <c r="F42" s="88" t="s">
        <v>56</v>
      </c>
      <c r="G42" s="88" t="s">
        <v>57</v>
      </c>
    </row>
    <row r="43" spans="3:10" x14ac:dyDescent="0.25">
      <c r="C43" s="98" t="str">
        <f>Summary!C8</f>
        <v>R</v>
      </c>
      <c r="D43" s="3" t="str">
        <f>Summary!B8</f>
        <v>Residential</v>
      </c>
      <c r="F43" s="89">
        <f>Summary!L8</f>
        <v>1236051.3316672612</v>
      </c>
      <c r="G43" s="90">
        <f>Summary!N8</f>
        <v>3.4387517753079806E-2</v>
      </c>
    </row>
    <row r="44" spans="3:10" x14ac:dyDescent="0.25">
      <c r="C44" s="98" t="str">
        <f>Summary!C9</f>
        <v>D</v>
      </c>
      <c r="D44" s="3" t="str">
        <f>Summary!B9</f>
        <v>Time of Use Marketing Service</v>
      </c>
      <c r="F44" s="89">
        <f>Summary!L9</f>
        <v>1656.5864699999947</v>
      </c>
      <c r="G44" s="90">
        <f>Summary!N9</f>
        <v>3.7814287022134116E-2</v>
      </c>
      <c r="H44" s="1"/>
    </row>
    <row r="45" spans="3:10" x14ac:dyDescent="0.25">
      <c r="C45" s="98" t="str">
        <f>Summary!C10</f>
        <v>C</v>
      </c>
      <c r="D45" s="3" t="str">
        <f>Summary!B10</f>
        <v>General Power Service &lt; 50kW</v>
      </c>
      <c r="F45" s="89">
        <f>Summary!L10</f>
        <v>127323.7424999997</v>
      </c>
      <c r="G45" s="90">
        <f>Summary!N10</f>
        <v>3.4253208962948443E-2</v>
      </c>
      <c r="H45" s="1"/>
    </row>
    <row r="46" spans="3:10" x14ac:dyDescent="0.25">
      <c r="C46" s="98" t="str">
        <f>Summary!C11</f>
        <v>E</v>
      </c>
      <c r="D46" s="3" t="str">
        <f>Summary!B11</f>
        <v>Public Facilities</v>
      </c>
      <c r="F46" s="89">
        <f>Summary!L11</f>
        <v>16540.318080000041</v>
      </c>
      <c r="G46" s="90">
        <f>Summary!N11</f>
        <v>3.4055123032901598E-2</v>
      </c>
      <c r="H46" s="1"/>
    </row>
    <row r="47" spans="3:10" x14ac:dyDescent="0.25">
      <c r="C47" s="98" t="str">
        <f>Summary!C12</f>
        <v>L</v>
      </c>
      <c r="D47" s="3" t="str">
        <f>Summary!B12</f>
        <v>General Power Service 50-500kW</v>
      </c>
      <c r="F47" s="89">
        <f>Summary!L12</f>
        <v>132232.6559385467</v>
      </c>
      <c r="G47" s="90">
        <f>Summary!N12</f>
        <v>3.4224753815512682E-2</v>
      </c>
      <c r="H47" s="1"/>
    </row>
    <row r="48" spans="3:10" x14ac:dyDescent="0.25">
      <c r="C48" s="98" t="str">
        <f>Summary!C13</f>
        <v>M</v>
      </c>
      <c r="D48" s="3" t="str">
        <f>Summary!B13</f>
        <v>General Power Service 1000-5000kW</v>
      </c>
      <c r="F48" s="89">
        <f>Summary!L13</f>
        <v>30746.538535153872</v>
      </c>
      <c r="G48" s="90">
        <f>Summary!N13</f>
        <v>3.5310136667047291E-2</v>
      </c>
      <c r="H48" s="1"/>
    </row>
    <row r="49" spans="3:8" x14ac:dyDescent="0.25">
      <c r="C49" s="98" t="str">
        <f>Summary!C14</f>
        <v>P</v>
      </c>
      <c r="D49" s="3" t="str">
        <f>Summary!B14</f>
        <v>General Power Service 500+kW</v>
      </c>
      <c r="F49" s="89">
        <f>Summary!L14</f>
        <v>44380.212985185273</v>
      </c>
      <c r="G49" s="90">
        <f>Summary!N14</f>
        <v>3.6999829318209811E-2</v>
      </c>
      <c r="H49" s="1"/>
    </row>
    <row r="50" spans="3:8" x14ac:dyDescent="0.25">
      <c r="C50" s="98" t="str">
        <f>Summary!C15</f>
        <v>S,T,O</v>
      </c>
      <c r="D50" s="3" t="str">
        <f>Summary!B15</f>
        <v>Lighting</v>
      </c>
      <c r="F50" s="89">
        <f>Summary!L15</f>
        <v>44113.824512635125</v>
      </c>
      <c r="G50" s="90">
        <f>Summary!N15</f>
        <v>3.7401682957485888E-2</v>
      </c>
      <c r="H50" s="1"/>
    </row>
    <row r="51" spans="3:8" x14ac:dyDescent="0.25">
      <c r="C51" s="102" t="s">
        <v>58</v>
      </c>
      <c r="D51" s="91"/>
      <c r="E51" s="91"/>
      <c r="F51" s="92">
        <f>Summary!L27</f>
        <v>1633045.2106887996</v>
      </c>
      <c r="G51" s="93">
        <f>Summary!N27</f>
        <v>3.4406811543297271E-2</v>
      </c>
    </row>
    <row r="52" spans="3:8" x14ac:dyDescent="0.25">
      <c r="C52" s="98"/>
      <c r="D52" s="2"/>
      <c r="F52" s="94"/>
      <c r="G52" s="95"/>
    </row>
    <row r="53" spans="3:8" x14ac:dyDescent="0.25">
      <c r="D53" s="2"/>
    </row>
    <row r="54" spans="3:8" ht="40.200000000000003" customHeight="1" x14ac:dyDescent="0.25">
      <c r="C54" s="147" t="s">
        <v>59</v>
      </c>
      <c r="D54" s="147"/>
      <c r="E54" s="147"/>
      <c r="F54" s="147"/>
      <c r="G54" s="147"/>
      <c r="H54" s="147"/>
    </row>
    <row r="55" spans="3:8" x14ac:dyDescent="0.25">
      <c r="D55" s="2"/>
      <c r="E55" s="96" t="s">
        <v>17</v>
      </c>
      <c r="F55" s="148" t="s">
        <v>54</v>
      </c>
      <c r="G55" s="148"/>
    </row>
    <row r="56" spans="3:8" x14ac:dyDescent="0.25">
      <c r="C56" s="109" t="s">
        <v>55</v>
      </c>
      <c r="D56" s="87"/>
      <c r="E56" s="97" t="s">
        <v>60</v>
      </c>
      <c r="F56" s="88" t="s">
        <v>56</v>
      </c>
      <c r="G56" s="88" t="s">
        <v>57</v>
      </c>
    </row>
    <row r="57" spans="3:8" x14ac:dyDescent="0.25">
      <c r="C57" s="14" t="str">
        <f>Summary!C8</f>
        <v>R</v>
      </c>
      <c r="D57" s="107" t="str">
        <f>Summary!B8</f>
        <v>Residential</v>
      </c>
      <c r="E57" s="99">
        <f>'Billing Detail'!E17</f>
        <v>1103.3127568895072</v>
      </c>
      <c r="F57" s="74">
        <f>'Billing Detail'!N17</f>
        <v>4.1906008220464344</v>
      </c>
      <c r="G57" s="4">
        <f>Summary!N8</f>
        <v>3.4387517753079806E-2</v>
      </c>
    </row>
    <row r="58" spans="3:8" x14ac:dyDescent="0.25">
      <c r="C58" s="14" t="str">
        <f>Summary!C9</f>
        <v>D</v>
      </c>
      <c r="D58" s="107" t="str">
        <f>Summary!B9</f>
        <v>Time of Use Marketing Service</v>
      </c>
      <c r="E58" s="100" t="s">
        <v>61</v>
      </c>
      <c r="F58" s="74">
        <v>0</v>
      </c>
      <c r="G58" s="4">
        <f>Summary!N9</f>
        <v>3.7814287022134116E-2</v>
      </c>
    </row>
    <row r="59" spans="3:8" x14ac:dyDescent="0.25">
      <c r="C59" s="14" t="str">
        <f>Summary!C10</f>
        <v>C</v>
      </c>
      <c r="D59" s="107" t="str">
        <f>Summary!B10</f>
        <v>General Power Service &lt; 50kW</v>
      </c>
      <c r="E59" s="99">
        <f>'Billing Detail'!E41</f>
        <v>1654.9572010122126</v>
      </c>
      <c r="F59" s="74">
        <f>'Billing Detail'!N41</f>
        <v>7.004276735614468</v>
      </c>
      <c r="G59" s="4">
        <f>Summary!N10</f>
        <v>3.4253208962948443E-2</v>
      </c>
    </row>
    <row r="60" spans="3:8" x14ac:dyDescent="0.25">
      <c r="C60" s="14" t="str">
        <f>Summary!C11</f>
        <v>E</v>
      </c>
      <c r="D60" s="107" t="str">
        <f>Summary!B11</f>
        <v>Public Facilities</v>
      </c>
      <c r="E60" s="99">
        <f>'Billing Detail'!E53</f>
        <v>1109.8368304803976</v>
      </c>
      <c r="F60" s="74">
        <f>'Billing Detail'!N53</f>
        <v>4.5666256432910188</v>
      </c>
      <c r="G60" s="4">
        <f>Summary!N11</f>
        <v>3.4055123032901598E-2</v>
      </c>
    </row>
    <row r="61" spans="3:8" x14ac:dyDescent="0.25">
      <c r="C61" s="14" t="str">
        <f>Summary!C12</f>
        <v>L</v>
      </c>
      <c r="D61" s="107" t="str">
        <f>Summary!B12</f>
        <v>General Power Service 50-500kW</v>
      </c>
      <c r="E61" s="99">
        <f>'Billing Detail'!E66</f>
        <v>106.73246217975739</v>
      </c>
      <c r="F61" s="74">
        <f>'Billing Detail'!N66</f>
        <v>100.1762544988992</v>
      </c>
      <c r="G61" s="4">
        <f>Summary!N12</f>
        <v>3.4224753815512682E-2</v>
      </c>
    </row>
    <row r="62" spans="3:8" x14ac:dyDescent="0.25">
      <c r="C62" s="14" t="str">
        <f>Summary!C13</f>
        <v>M</v>
      </c>
      <c r="D62" s="107" t="str">
        <f>Summary!B13</f>
        <v>General Power Service 1000-5000kW</v>
      </c>
      <c r="E62" s="99">
        <f>'Billing Detail'!E79</f>
        <v>1652.2067196292617</v>
      </c>
      <c r="F62" s="74">
        <f>'Billing Detail'!N79</f>
        <v>2562.2115445961535</v>
      </c>
      <c r="G62" s="4">
        <f>Summary!N13</f>
        <v>3.5310136667047291E-2</v>
      </c>
    </row>
    <row r="63" spans="3:8" x14ac:dyDescent="0.25">
      <c r="C63" s="14" t="str">
        <f>Summary!C14</f>
        <v>P</v>
      </c>
      <c r="D63" s="107" t="str">
        <f>Summary!B14</f>
        <v>General Power Service 500+kW</v>
      </c>
      <c r="E63" s="99">
        <f>'Billing Detail'!E92</f>
        <v>136842.40740740742</v>
      </c>
      <c r="F63" s="74">
        <f>'Billing Detail'!N92</f>
        <v>410.92789801097751</v>
      </c>
      <c r="G63" s="4">
        <f>Summary!N14</f>
        <v>3.6999829318209811E-2</v>
      </c>
    </row>
    <row r="64" spans="3:8" x14ac:dyDescent="0.25">
      <c r="C64" s="14" t="str">
        <f>Summary!C15</f>
        <v>S,T,O</v>
      </c>
      <c r="D64" s="107" t="str">
        <f>Summary!B15</f>
        <v>Lighting</v>
      </c>
      <c r="E64" s="105" t="s">
        <v>61</v>
      </c>
      <c r="F64" s="104" t="s">
        <v>61</v>
      </c>
      <c r="G64" s="4">
        <f>Summary!N15</f>
        <v>3.7401682957485888E-2</v>
      </c>
    </row>
  </sheetData>
  <mergeCells count="4">
    <mergeCell ref="C40:G40"/>
    <mergeCell ref="F41:G41"/>
    <mergeCell ref="C54:H54"/>
    <mergeCell ref="F55:G55"/>
  </mergeCells>
  <pageMargins left="0.7" right="0.7" top="0.75" bottom="0.75" header="0.3" footer="0.3"/>
  <pageSetup paperSize="9" scale="79" orientation="portrait" r:id="rId1"/>
  <headerFooter>
    <oddHeader>&amp;R&amp;"Arial,Bold"&amp;12Exhibit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5FA4-ECAE-47E5-B508-8FCBED2B61E3}">
  <dimension ref="A1:C5"/>
  <sheetViews>
    <sheetView tabSelected="1" workbookViewId="0"/>
  </sheetViews>
  <sheetFormatPr defaultRowHeight="14.4" x14ac:dyDescent="0.3"/>
  <sheetData>
    <row r="1" spans="1:3" x14ac:dyDescent="0.3">
      <c r="A1" s="149" t="s">
        <v>97</v>
      </c>
      <c r="B1" s="2"/>
      <c r="C1" s="2"/>
    </row>
    <row r="2" spans="1:3" x14ac:dyDescent="0.3">
      <c r="A2" s="2"/>
      <c r="B2" s="2"/>
      <c r="C2" s="2"/>
    </row>
    <row r="3" spans="1:3" x14ac:dyDescent="0.3">
      <c r="A3" s="14">
        <v>1</v>
      </c>
      <c r="B3" s="2" t="s">
        <v>98</v>
      </c>
      <c r="C3" s="2"/>
    </row>
    <row r="4" spans="1:3" x14ac:dyDescent="0.3">
      <c r="A4" s="2"/>
      <c r="B4" s="2" t="s">
        <v>99</v>
      </c>
      <c r="C4" s="2"/>
    </row>
    <row r="5" spans="1:3" x14ac:dyDescent="0.3">
      <c r="A5" s="2"/>
      <c r="B5" s="2" t="s">
        <v>100</v>
      </c>
      <c r="C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2021-03-25T16:57:12Z</cp:lastPrinted>
  <dcterms:created xsi:type="dcterms:W3CDTF">2021-02-09T02:13:44Z</dcterms:created>
  <dcterms:modified xsi:type="dcterms:W3CDTF">2021-05-24T00:25:05Z</dcterms:modified>
</cp:coreProperties>
</file>