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Blue Grass\Analysis\"/>
    </mc:Choice>
  </mc:AlternateContent>
  <xr:revisionPtr revIDLastSave="0" documentId="13_ncr:1_{C92170E9-1E80-4915-AF05-5D488A579EE4}" xr6:coauthVersionLast="46" xr6:coauthVersionMax="46" xr10:uidLastSave="{00000000-0000-0000-0000-000000000000}"/>
  <bookViews>
    <workbookView xWindow="-108" yWindow="-108" windowWidth="23256" windowHeight="12576" activeTab="1" xr2:uid="{5A56C961-47FC-4CB4-AEDD-3C6FC9A16749}"/>
  </bookViews>
  <sheets>
    <sheet name="Summary" sheetId="2" r:id="rId1"/>
    <sheet name="Billing Detail" sheetId="1" r:id="rId2"/>
    <sheet name="Notice Table" sheetId="3" r:id="rId3"/>
    <sheet name="Notes" sheetId="4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Detail'!$A$1:$R$183</definedName>
    <definedName name="_xlnm.Print_Area" localSheetId="2">'Notice Table'!$A$1:$G$65</definedName>
    <definedName name="_xlnm.Print_Area" localSheetId="0">Summary!$A$1:$O$36</definedName>
    <definedName name="_xlnm.Print_Titles" localSheetId="1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0" i="1" l="1"/>
  <c r="I161" i="1"/>
  <c r="I162" i="1"/>
  <c r="M160" i="1"/>
  <c r="E161" i="1"/>
  <c r="M161" i="1" s="1"/>
  <c r="I164" i="1"/>
  <c r="I122" i="1"/>
  <c r="I107" i="1"/>
  <c r="I93" i="1"/>
  <c r="I79" i="1"/>
  <c r="I64" i="1"/>
  <c r="I51" i="1"/>
  <c r="I38" i="1"/>
  <c r="I25" i="1"/>
  <c r="I11" i="1"/>
  <c r="G57" i="3"/>
  <c r="F57" i="3"/>
  <c r="E57" i="3"/>
  <c r="G61" i="3"/>
  <c r="G60" i="3"/>
  <c r="G59" i="3"/>
  <c r="G58" i="3"/>
  <c r="G56" i="3"/>
  <c r="G55" i="3"/>
  <c r="G54" i="3"/>
  <c r="G53" i="3"/>
  <c r="G52" i="3"/>
  <c r="G51" i="3"/>
  <c r="G50" i="3"/>
  <c r="F61" i="3"/>
  <c r="F60" i="3"/>
  <c r="F59" i="3"/>
  <c r="F58" i="3"/>
  <c r="F56" i="3"/>
  <c r="F55" i="3"/>
  <c r="F54" i="3"/>
  <c r="F53" i="3"/>
  <c r="F52" i="3"/>
  <c r="F51" i="3"/>
  <c r="F50" i="3"/>
  <c r="E61" i="3"/>
  <c r="E60" i="3"/>
  <c r="E59" i="3"/>
  <c r="E58" i="3"/>
  <c r="E56" i="3"/>
  <c r="E55" i="3"/>
  <c r="E54" i="3"/>
  <c r="E53" i="3"/>
  <c r="E52" i="3"/>
  <c r="E51" i="3"/>
  <c r="E50" i="3"/>
  <c r="E64" i="3"/>
  <c r="F64" i="3"/>
  <c r="G64" i="3"/>
  <c r="E65" i="3"/>
  <c r="F65" i="3"/>
  <c r="G65" i="3"/>
  <c r="J65" i="3"/>
  <c r="E66" i="3"/>
  <c r="F66" i="3"/>
  <c r="G66" i="3"/>
  <c r="L161" i="1"/>
  <c r="T161" i="1" s="1"/>
  <c r="G161" i="1" l="1"/>
  <c r="J57" i="3"/>
  <c r="J60" i="3"/>
  <c r="J61" i="3"/>
  <c r="J54" i="3"/>
  <c r="J53" i="3"/>
  <c r="J52" i="3"/>
  <c r="J50" i="3"/>
  <c r="J56" i="3"/>
  <c r="J64" i="3"/>
  <c r="J51" i="3"/>
  <c r="J59" i="3"/>
  <c r="J55" i="3"/>
  <c r="J58" i="3"/>
  <c r="J66" i="3"/>
  <c r="N161" i="1"/>
  <c r="O161" i="1" s="1"/>
  <c r="G32" i="3" l="1"/>
  <c r="G31" i="3"/>
  <c r="G30" i="3"/>
  <c r="F32" i="3"/>
  <c r="F31" i="3"/>
  <c r="F30" i="3"/>
  <c r="E32" i="3"/>
  <c r="E31" i="3"/>
  <c r="E30" i="3"/>
  <c r="D29" i="3"/>
  <c r="C29" i="3"/>
  <c r="T189" i="1"/>
  <c r="T188" i="1"/>
  <c r="T187" i="1"/>
  <c r="L120" i="1"/>
  <c r="L89" i="1"/>
  <c r="G11" i="2"/>
  <c r="G12" i="2"/>
  <c r="G13" i="2"/>
  <c r="G14" i="2"/>
  <c r="G15" i="2"/>
  <c r="G16" i="2"/>
  <c r="G17" i="2"/>
  <c r="G18" i="2"/>
  <c r="G19" i="2"/>
  <c r="G10" i="2"/>
  <c r="S11" i="2"/>
  <c r="S12" i="2"/>
  <c r="S13" i="2"/>
  <c r="S14" i="2"/>
  <c r="S15" i="2"/>
  <c r="S16" i="2"/>
  <c r="S17" i="2"/>
  <c r="S18" i="2"/>
  <c r="S19" i="2"/>
  <c r="S20" i="2"/>
  <c r="S10" i="2"/>
  <c r="R20" i="2"/>
  <c r="E170" i="1"/>
  <c r="E98" i="3" s="1"/>
  <c r="E113" i="1"/>
  <c r="E85" i="1"/>
  <c r="E93" i="3" s="1"/>
  <c r="E70" i="1"/>
  <c r="E92" i="3" s="1"/>
  <c r="E57" i="1"/>
  <c r="E91" i="3" s="1"/>
  <c r="E44" i="1"/>
  <c r="E90" i="3" s="1"/>
  <c r="E31" i="1"/>
  <c r="E89" i="3" s="1"/>
  <c r="E17" i="1"/>
  <c r="E88" i="3" s="1"/>
  <c r="F95" i="3"/>
  <c r="E95" i="3"/>
  <c r="J32" i="3" l="1"/>
  <c r="J31" i="3"/>
  <c r="J30" i="3"/>
  <c r="L162" i="1"/>
  <c r="L159" i="1"/>
  <c r="G123" i="1"/>
  <c r="G122" i="1"/>
  <c r="E120" i="1"/>
  <c r="E128" i="1" s="1"/>
  <c r="E96" i="3" s="1"/>
  <c r="E119" i="1"/>
  <c r="E118" i="1"/>
  <c r="E117" i="1"/>
  <c r="E116" i="1"/>
  <c r="G94" i="1"/>
  <c r="G93" i="1"/>
  <c r="E91" i="1"/>
  <c r="E90" i="1"/>
  <c r="E99" i="1" s="1"/>
  <c r="E94" i="3" s="1"/>
  <c r="E88" i="1"/>
  <c r="E46" i="3" l="1"/>
  <c r="F46" i="3"/>
  <c r="G63" i="3"/>
  <c r="F63" i="3"/>
  <c r="E63" i="3"/>
  <c r="C62" i="3"/>
  <c r="D62" i="3"/>
  <c r="C49" i="3"/>
  <c r="D49" i="3"/>
  <c r="E44" i="3"/>
  <c r="F44" i="3"/>
  <c r="E45" i="3"/>
  <c r="F45" i="3"/>
  <c r="E48" i="3"/>
  <c r="F48" i="3"/>
  <c r="G48" i="3"/>
  <c r="F43" i="3"/>
  <c r="E43" i="3"/>
  <c r="C42" i="3"/>
  <c r="D42" i="3"/>
  <c r="E39" i="3"/>
  <c r="F39" i="3"/>
  <c r="E40" i="3"/>
  <c r="F40" i="3"/>
  <c r="E41" i="3"/>
  <c r="F41" i="3"/>
  <c r="F38" i="3"/>
  <c r="E38" i="3"/>
  <c r="C37" i="3"/>
  <c r="D37" i="3"/>
  <c r="F36" i="3"/>
  <c r="E36" i="3"/>
  <c r="E35" i="3"/>
  <c r="F35" i="3"/>
  <c r="F34" i="3"/>
  <c r="E34" i="3"/>
  <c r="C33" i="3"/>
  <c r="D33" i="3"/>
  <c r="F28" i="3"/>
  <c r="E28" i="3"/>
  <c r="F27" i="3"/>
  <c r="E27" i="3"/>
  <c r="F26" i="3"/>
  <c r="E26" i="3"/>
  <c r="C25" i="3"/>
  <c r="D25" i="3"/>
  <c r="E23" i="3"/>
  <c r="F23" i="3"/>
  <c r="E24" i="3"/>
  <c r="F24" i="3"/>
  <c r="F22" i="3"/>
  <c r="E22" i="3"/>
  <c r="C21" i="3"/>
  <c r="D21" i="3"/>
  <c r="E19" i="3"/>
  <c r="F19" i="3"/>
  <c r="E20" i="3"/>
  <c r="F20" i="3"/>
  <c r="F18" i="3"/>
  <c r="E18" i="3"/>
  <c r="C17" i="3"/>
  <c r="D17" i="3"/>
  <c r="E15" i="3"/>
  <c r="F15" i="3"/>
  <c r="E16" i="3"/>
  <c r="F16" i="3"/>
  <c r="F14" i="3"/>
  <c r="E14" i="3"/>
  <c r="C13" i="3"/>
  <c r="D13" i="3"/>
  <c r="E10" i="3"/>
  <c r="F10" i="3"/>
  <c r="E11" i="3"/>
  <c r="F11" i="3"/>
  <c r="E12" i="3"/>
  <c r="F12" i="3"/>
  <c r="F9" i="3"/>
  <c r="E9" i="3"/>
  <c r="C8" i="3"/>
  <c r="D8" i="3"/>
  <c r="E7" i="3"/>
  <c r="F7" i="3"/>
  <c r="F6" i="3"/>
  <c r="E6" i="3"/>
  <c r="C5" i="3"/>
  <c r="D5" i="3"/>
  <c r="A1" i="3"/>
  <c r="J63" i="3" l="1"/>
  <c r="J48" i="3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N178" i="1" l="1"/>
  <c r="G178" i="1"/>
  <c r="G176" i="1"/>
  <c r="G175" i="1"/>
  <c r="L34" i="2"/>
  <c r="G22" i="2"/>
  <c r="I22" i="2" s="1"/>
  <c r="L6" i="2"/>
  <c r="C22" i="2"/>
  <c r="B22" i="2"/>
  <c r="G168" i="1"/>
  <c r="I167" i="1"/>
  <c r="M167" i="1" s="1"/>
  <c r="I166" i="1"/>
  <c r="M166" i="1" s="1"/>
  <c r="N166" i="1" s="1"/>
  <c r="I165" i="1"/>
  <c r="M165" i="1" s="1"/>
  <c r="N165" i="1" s="1"/>
  <c r="G162" i="1"/>
  <c r="G160" i="1"/>
  <c r="I159" i="1"/>
  <c r="G159" i="1"/>
  <c r="M164" i="1" l="1"/>
  <c r="N164" i="1" s="1"/>
  <c r="D82" i="3"/>
  <c r="D98" i="3"/>
  <c r="C98" i="3"/>
  <c r="C82" i="3"/>
  <c r="G163" i="1"/>
  <c r="I163" i="1"/>
  <c r="J161" i="1" s="1"/>
  <c r="M168" i="1"/>
  <c r="I168" i="1"/>
  <c r="G169" i="1" l="1"/>
  <c r="G170" i="1" s="1"/>
  <c r="D22" i="2"/>
  <c r="K163" i="1"/>
  <c r="E22" i="2"/>
  <c r="J162" i="1"/>
  <c r="J160" i="1"/>
  <c r="J159" i="1"/>
  <c r="I169" i="1"/>
  <c r="I170" i="1" s="1"/>
  <c r="N168" i="1"/>
  <c r="O168" i="1" s="1"/>
  <c r="T162" i="1" l="1"/>
  <c r="J163" i="1"/>
  <c r="T159" i="1" l="1"/>
  <c r="M159" i="1"/>
  <c r="M162" i="1"/>
  <c r="N162" i="1" s="1"/>
  <c r="O162" i="1" s="1"/>
  <c r="N159" i="1" l="1"/>
  <c r="O159" i="1" s="1"/>
  <c r="G95" i="1" l="1"/>
  <c r="G177" i="1" s="1"/>
  <c r="H77" i="1"/>
  <c r="F77" i="1"/>
  <c r="E77" i="1" s="1"/>
  <c r="H90" i="1" l="1"/>
  <c r="C15" i="2"/>
  <c r="B15" i="2"/>
  <c r="C13" i="2"/>
  <c r="I77" i="1"/>
  <c r="H75" i="1"/>
  <c r="I119" i="1"/>
  <c r="G119" i="1"/>
  <c r="I117" i="1"/>
  <c r="G117" i="1"/>
  <c r="F90" i="1"/>
  <c r="I89" i="1"/>
  <c r="G89" i="1"/>
  <c r="I76" i="1"/>
  <c r="G76" i="1"/>
  <c r="F75" i="1"/>
  <c r="I74" i="1"/>
  <c r="G74" i="1"/>
  <c r="C75" i="3" l="1"/>
  <c r="Q13" i="2"/>
  <c r="C91" i="3"/>
  <c r="D93" i="3"/>
  <c r="D77" i="3"/>
  <c r="C93" i="3"/>
  <c r="C77" i="3"/>
  <c r="Q15" i="2"/>
  <c r="I61" i="1"/>
  <c r="G61" i="1"/>
  <c r="I21" i="1"/>
  <c r="G21" i="1"/>
  <c r="I22" i="1"/>
  <c r="G22" i="1"/>
  <c r="G83" i="1" l="1"/>
  <c r="I82" i="1"/>
  <c r="M82" i="1" s="1"/>
  <c r="I81" i="1"/>
  <c r="M81" i="1" s="1"/>
  <c r="N81" i="1" s="1"/>
  <c r="I80" i="1"/>
  <c r="M80" i="1" s="1"/>
  <c r="N80" i="1" s="1"/>
  <c r="M79" i="1"/>
  <c r="I75" i="1"/>
  <c r="G75" i="1"/>
  <c r="I73" i="1"/>
  <c r="G73" i="1"/>
  <c r="I118" i="1"/>
  <c r="G118" i="1"/>
  <c r="I48" i="1"/>
  <c r="G48" i="1"/>
  <c r="I35" i="1"/>
  <c r="G35" i="1"/>
  <c r="I78" i="1" l="1"/>
  <c r="G78" i="1"/>
  <c r="N79" i="1"/>
  <c r="M83" i="1"/>
  <c r="I83" i="1"/>
  <c r="G84" i="1" l="1"/>
  <c r="G85" i="1" s="1"/>
  <c r="D15" i="2"/>
  <c r="E15" i="2"/>
  <c r="T15" i="2" s="1"/>
  <c r="J77" i="1"/>
  <c r="J75" i="1"/>
  <c r="I84" i="1"/>
  <c r="I85" i="1" s="1"/>
  <c r="N83" i="1"/>
  <c r="O83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2" i="1" l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61" i="1"/>
  <c r="I67" i="1"/>
  <c r="M67" i="1" s="1"/>
  <c r="I66" i="1"/>
  <c r="M66" i="1" s="1"/>
  <c r="I65" i="1"/>
  <c r="M65" i="1" s="1"/>
  <c r="I125" i="1"/>
  <c r="M125" i="1" s="1"/>
  <c r="I123" i="1"/>
  <c r="M123" i="1" s="1"/>
  <c r="I110" i="1"/>
  <c r="M110" i="1" s="1"/>
  <c r="I109" i="1"/>
  <c r="I108" i="1"/>
  <c r="I96" i="1"/>
  <c r="M96" i="1" s="1"/>
  <c r="I95" i="1"/>
  <c r="I94" i="1"/>
  <c r="M94" i="1" s="1"/>
  <c r="I54" i="1"/>
  <c r="M54" i="1" s="1"/>
  <c r="I53" i="1"/>
  <c r="M53" i="1" s="1"/>
  <c r="I52" i="1"/>
  <c r="M52" i="1" s="1"/>
  <c r="I41" i="1"/>
  <c r="M41" i="1" s="1"/>
  <c r="I39" i="1"/>
  <c r="I28" i="1"/>
  <c r="M28" i="1" s="1"/>
  <c r="I27" i="1"/>
  <c r="M27" i="1" s="1"/>
  <c r="I26" i="1"/>
  <c r="M26" i="1" s="1"/>
  <c r="I14" i="1"/>
  <c r="I13" i="1"/>
  <c r="I12" i="1"/>
  <c r="B30" i="2"/>
  <c r="I176" i="1" l="1"/>
  <c r="I178" i="1"/>
  <c r="M13" i="1"/>
  <c r="M12" i="1"/>
  <c r="M109" i="1"/>
  <c r="J105" i="1"/>
  <c r="M14" i="1"/>
  <c r="E30" i="2"/>
  <c r="M108" i="1"/>
  <c r="J104" i="1"/>
  <c r="M95" i="1"/>
  <c r="I29" i="1"/>
  <c r="I55" i="1"/>
  <c r="M39" i="1"/>
  <c r="G42" i="1"/>
  <c r="G126" i="1"/>
  <c r="I40" i="1"/>
  <c r="M40" i="1" s="1"/>
  <c r="I124" i="1"/>
  <c r="G15" i="1"/>
  <c r="G68" i="1"/>
  <c r="D30" i="2"/>
  <c r="G111" i="1"/>
  <c r="G97" i="1"/>
  <c r="G55" i="1"/>
  <c r="G29" i="1"/>
  <c r="M178" i="1" l="1"/>
  <c r="J30" i="2" s="1"/>
  <c r="I175" i="1"/>
  <c r="I177" i="1"/>
  <c r="I111" i="1"/>
  <c r="J103" i="1"/>
  <c r="I15" i="1"/>
  <c r="I68" i="1"/>
  <c r="I97" i="1"/>
  <c r="I126" i="1"/>
  <c r="M124" i="1"/>
  <c r="I42" i="1"/>
  <c r="I148" i="1"/>
  <c r="G148" i="1"/>
  <c r="I147" i="1"/>
  <c r="G147" i="1"/>
  <c r="I146" i="1"/>
  <c r="G146" i="1"/>
  <c r="I145" i="1"/>
  <c r="G145" i="1"/>
  <c r="I144" i="1"/>
  <c r="G144" i="1"/>
  <c r="I143" i="1"/>
  <c r="G143" i="1"/>
  <c r="I142" i="1"/>
  <c r="G142" i="1"/>
  <c r="I141" i="1"/>
  <c r="G141" i="1"/>
  <c r="I140" i="1"/>
  <c r="G140" i="1"/>
  <c r="I139" i="1"/>
  <c r="G139" i="1"/>
  <c r="I138" i="1"/>
  <c r="G138" i="1"/>
  <c r="I137" i="1"/>
  <c r="G137" i="1"/>
  <c r="I136" i="1"/>
  <c r="G136" i="1"/>
  <c r="I149" i="1"/>
  <c r="G149" i="1"/>
  <c r="I135" i="1"/>
  <c r="G135" i="1"/>
  <c r="I134" i="1"/>
  <c r="G134" i="1"/>
  <c r="I133" i="1"/>
  <c r="G133" i="1"/>
  <c r="I132" i="1"/>
  <c r="G132" i="1"/>
  <c r="I179" i="1" l="1"/>
  <c r="E29" i="2"/>
  <c r="E28" i="2"/>
  <c r="D29" i="2"/>
  <c r="D28" i="2"/>
  <c r="C12" i="2"/>
  <c r="C16" i="2"/>
  <c r="C17" i="2"/>
  <c r="C18" i="2"/>
  <c r="C14" i="2"/>
  <c r="C19" i="2"/>
  <c r="B19" i="2"/>
  <c r="B14" i="2"/>
  <c r="B18" i="2"/>
  <c r="B17" i="2"/>
  <c r="B16" i="2"/>
  <c r="B13" i="2"/>
  <c r="B12" i="2"/>
  <c r="C11" i="2"/>
  <c r="C10" i="2"/>
  <c r="B11" i="2"/>
  <c r="B10" i="2"/>
  <c r="I104" i="1"/>
  <c r="G104" i="1"/>
  <c r="N95" i="1"/>
  <c r="N94" i="1"/>
  <c r="M93" i="1"/>
  <c r="I91" i="1"/>
  <c r="G91" i="1"/>
  <c r="I90" i="1"/>
  <c r="G90" i="1"/>
  <c r="I88" i="1"/>
  <c r="G88" i="1"/>
  <c r="N53" i="1"/>
  <c r="N52" i="1"/>
  <c r="M51" i="1"/>
  <c r="I49" i="1"/>
  <c r="G49" i="1"/>
  <c r="I47" i="1"/>
  <c r="G47" i="1"/>
  <c r="N27" i="1"/>
  <c r="N26" i="1"/>
  <c r="M25" i="1"/>
  <c r="I23" i="1"/>
  <c r="G23" i="1"/>
  <c r="I20" i="1"/>
  <c r="G20" i="1"/>
  <c r="N39" i="1"/>
  <c r="M38" i="1"/>
  <c r="I36" i="1"/>
  <c r="G36" i="1"/>
  <c r="I34" i="1"/>
  <c r="G34" i="1"/>
  <c r="N109" i="1"/>
  <c r="N108" i="1"/>
  <c r="M107" i="1"/>
  <c r="I105" i="1"/>
  <c r="G105" i="1"/>
  <c r="I103" i="1"/>
  <c r="G103" i="1"/>
  <c r="I102" i="1"/>
  <c r="G102" i="1"/>
  <c r="N124" i="1"/>
  <c r="N123" i="1"/>
  <c r="M122" i="1"/>
  <c r="I120" i="1"/>
  <c r="G120" i="1"/>
  <c r="I116" i="1"/>
  <c r="G116" i="1"/>
  <c r="N66" i="1"/>
  <c r="N65" i="1"/>
  <c r="M64" i="1"/>
  <c r="I62" i="1"/>
  <c r="G62" i="1"/>
  <c r="I60" i="1"/>
  <c r="G60" i="1"/>
  <c r="D78" i="3" l="1"/>
  <c r="D94" i="3"/>
  <c r="Q17" i="2"/>
  <c r="C79" i="3"/>
  <c r="C95" i="3"/>
  <c r="D79" i="3"/>
  <c r="D95" i="3"/>
  <c r="C94" i="3"/>
  <c r="Q16" i="2"/>
  <c r="C78" i="3"/>
  <c r="D88" i="3"/>
  <c r="D72" i="3"/>
  <c r="D96" i="3"/>
  <c r="D80" i="3"/>
  <c r="Q12" i="2"/>
  <c r="C90" i="3"/>
  <c r="C74" i="3"/>
  <c r="D89" i="3"/>
  <c r="D73" i="3"/>
  <c r="D92" i="3"/>
  <c r="D76" i="3"/>
  <c r="Q10" i="2"/>
  <c r="C88" i="3"/>
  <c r="C72" i="3"/>
  <c r="D97" i="3"/>
  <c r="D81" i="3"/>
  <c r="Q11" i="2"/>
  <c r="C89" i="3"/>
  <c r="C73" i="3"/>
  <c r="Q19" i="2"/>
  <c r="C97" i="3"/>
  <c r="C81" i="3"/>
  <c r="D74" i="3"/>
  <c r="D90" i="3"/>
  <c r="C76" i="3"/>
  <c r="C92" i="3"/>
  <c r="Q14" i="2"/>
  <c r="D75" i="3"/>
  <c r="D91" i="3"/>
  <c r="Q18" i="2"/>
  <c r="C80" i="3"/>
  <c r="C96" i="3"/>
  <c r="N25" i="1"/>
  <c r="M29" i="1"/>
  <c r="N64" i="1"/>
  <c r="M68" i="1"/>
  <c r="N122" i="1"/>
  <c r="M126" i="1"/>
  <c r="N107" i="1"/>
  <c r="M111" i="1"/>
  <c r="N93" i="1"/>
  <c r="M97" i="1"/>
  <c r="N51" i="1"/>
  <c r="M55" i="1"/>
  <c r="N38" i="1"/>
  <c r="M42" i="1"/>
  <c r="N42" i="1" s="1"/>
  <c r="O42" i="1" s="1"/>
  <c r="G179" i="1"/>
  <c r="E27" i="2"/>
  <c r="E31" i="2" s="1"/>
  <c r="G50" i="1"/>
  <c r="D13" i="2" s="1"/>
  <c r="D27" i="2"/>
  <c r="D31" i="2" s="1"/>
  <c r="G24" i="1"/>
  <c r="D11" i="2" s="1"/>
  <c r="G92" i="1"/>
  <c r="I92" i="1"/>
  <c r="I50" i="1"/>
  <c r="I24" i="1"/>
  <c r="G37" i="1"/>
  <c r="N40" i="1"/>
  <c r="I37" i="1"/>
  <c r="G106" i="1"/>
  <c r="I63" i="1"/>
  <c r="G121" i="1"/>
  <c r="I106" i="1"/>
  <c r="I121" i="1"/>
  <c r="G63" i="1"/>
  <c r="G131" i="1"/>
  <c r="I131" i="1"/>
  <c r="G155" i="1"/>
  <c r="M153" i="1"/>
  <c r="M177" i="1" s="1"/>
  <c r="M152" i="1"/>
  <c r="M176" i="1" s="1"/>
  <c r="M151" i="1"/>
  <c r="B28" i="2"/>
  <c r="B29" i="2"/>
  <c r="B27" i="2"/>
  <c r="M11" i="1"/>
  <c r="M15" i="1" s="1"/>
  <c r="I9" i="1"/>
  <c r="I8" i="1"/>
  <c r="G9" i="1"/>
  <c r="G8" i="1"/>
  <c r="A2" i="1"/>
  <c r="A1" i="1"/>
  <c r="A10" i="2"/>
  <c r="A11" i="2" s="1"/>
  <c r="A12" i="2" s="1"/>
  <c r="A13" i="2" s="1"/>
  <c r="A14" i="2" s="1"/>
  <c r="A15" i="2" s="1"/>
  <c r="A16" i="2" s="1"/>
  <c r="A17" i="2" s="1"/>
  <c r="N151" i="1" l="1"/>
  <c r="M175" i="1"/>
  <c r="A18" i="2"/>
  <c r="A19" i="2" s="1"/>
  <c r="J119" i="1"/>
  <c r="J118" i="1"/>
  <c r="J21" i="1"/>
  <c r="J22" i="1"/>
  <c r="E13" i="2"/>
  <c r="T13" i="2" s="1"/>
  <c r="N152" i="1"/>
  <c r="J23" i="1"/>
  <c r="S106" i="1"/>
  <c r="O106" i="1"/>
  <c r="J102" i="1"/>
  <c r="N153" i="1"/>
  <c r="J29" i="2"/>
  <c r="J20" i="1"/>
  <c r="G56" i="1"/>
  <c r="G57" i="1" s="1"/>
  <c r="G30" i="1"/>
  <c r="G31" i="1" s="1"/>
  <c r="N12" i="1"/>
  <c r="J28" i="2"/>
  <c r="N13" i="1"/>
  <c r="G98" i="1"/>
  <c r="G99" i="1" s="1"/>
  <c r="D16" i="2"/>
  <c r="G43" i="1"/>
  <c r="G44" i="1" s="1"/>
  <c r="D12" i="2"/>
  <c r="I56" i="1"/>
  <c r="I57" i="1" s="1"/>
  <c r="G69" i="1"/>
  <c r="G70" i="1" s="1"/>
  <c r="D14" i="2"/>
  <c r="I69" i="1"/>
  <c r="I70" i="1" s="1"/>
  <c r="E14" i="2"/>
  <c r="T14" i="2" s="1"/>
  <c r="I43" i="1"/>
  <c r="I44" i="1" s="1"/>
  <c r="E12" i="2"/>
  <c r="T12" i="2" s="1"/>
  <c r="I112" i="1"/>
  <c r="O112" i="1" s="1"/>
  <c r="N17" i="2" s="1"/>
  <c r="E17" i="2"/>
  <c r="T17" i="2" s="1"/>
  <c r="I127" i="1"/>
  <c r="I128" i="1" s="1"/>
  <c r="E18" i="2"/>
  <c r="T18" i="2" s="1"/>
  <c r="G127" i="1"/>
  <c r="G128" i="1" s="1"/>
  <c r="D18" i="2"/>
  <c r="G112" i="1"/>
  <c r="D17" i="2"/>
  <c r="I30" i="1"/>
  <c r="I31" i="1" s="1"/>
  <c r="E11" i="2"/>
  <c r="T11" i="2" s="1"/>
  <c r="I98" i="1"/>
  <c r="I99" i="1" s="1"/>
  <c r="E16" i="2"/>
  <c r="T16" i="2" s="1"/>
  <c r="N55" i="1"/>
  <c r="O55" i="1" s="1"/>
  <c r="N97" i="1"/>
  <c r="O97" i="1" s="1"/>
  <c r="N29" i="1"/>
  <c r="O29" i="1" s="1"/>
  <c r="N111" i="1"/>
  <c r="O111" i="1" s="1"/>
  <c r="N126" i="1"/>
  <c r="O126" i="1" s="1"/>
  <c r="N68" i="1"/>
  <c r="O68" i="1" s="1"/>
  <c r="G10" i="1"/>
  <c r="I10" i="1"/>
  <c r="I155" i="1"/>
  <c r="I150" i="1"/>
  <c r="I174" i="1" s="1"/>
  <c r="G150" i="1"/>
  <c r="D19" i="2" s="1"/>
  <c r="N11" i="1"/>
  <c r="G95" i="3" l="1"/>
  <c r="G79" i="3"/>
  <c r="N176" i="1"/>
  <c r="N177" i="1"/>
  <c r="N175" i="1"/>
  <c r="N179" i="1" s="1"/>
  <c r="G174" i="1"/>
  <c r="G180" i="1" s="1"/>
  <c r="A20" i="2"/>
  <c r="A21" i="2" s="1"/>
  <c r="A22" i="2" s="1"/>
  <c r="J63" i="1"/>
  <c r="I180" i="1"/>
  <c r="J121" i="1"/>
  <c r="M179" i="1"/>
  <c r="J50" i="1"/>
  <c r="J27" i="2"/>
  <c r="J31" i="2" s="1"/>
  <c r="J37" i="1"/>
  <c r="E19" i="2"/>
  <c r="T19" i="2" s="1"/>
  <c r="J24" i="1"/>
  <c r="J106" i="1"/>
  <c r="J145" i="1"/>
  <c r="J138" i="1"/>
  <c r="J142" i="1"/>
  <c r="J139" i="1"/>
  <c r="J146" i="1"/>
  <c r="J147" i="1"/>
  <c r="J136" i="1"/>
  <c r="J148" i="1"/>
  <c r="J137" i="1"/>
  <c r="J143" i="1"/>
  <c r="J140" i="1"/>
  <c r="J144" i="1"/>
  <c r="J141" i="1"/>
  <c r="J135" i="1"/>
  <c r="J149" i="1"/>
  <c r="J133" i="1"/>
  <c r="J134" i="1"/>
  <c r="J132" i="1"/>
  <c r="J92" i="1"/>
  <c r="G156" i="1"/>
  <c r="E10" i="2"/>
  <c r="T10" i="2" s="1"/>
  <c r="G16" i="1"/>
  <c r="D10" i="2"/>
  <c r="D20" i="2" s="1"/>
  <c r="D24" i="2" s="1"/>
  <c r="D33" i="2" s="1"/>
  <c r="J131" i="1"/>
  <c r="I156" i="1"/>
  <c r="M155" i="1"/>
  <c r="I16" i="1"/>
  <c r="I17" i="1" s="1"/>
  <c r="N15" i="1"/>
  <c r="T20" i="2" l="1"/>
  <c r="G20" i="2"/>
  <c r="G24" i="2" s="1"/>
  <c r="E20" i="2"/>
  <c r="E24" i="2" s="1"/>
  <c r="G17" i="1"/>
  <c r="J150" i="1"/>
  <c r="N155" i="1"/>
  <c r="O155" i="1" s="1"/>
  <c r="J10" i="1"/>
  <c r="U16" i="2" l="1"/>
  <c r="V16" i="2" s="1"/>
  <c r="U13" i="2"/>
  <c r="V13" i="2" s="1"/>
  <c r="U15" i="2"/>
  <c r="V15" i="2" s="1"/>
  <c r="U17" i="2"/>
  <c r="V17" i="2" s="1"/>
  <c r="U18" i="2"/>
  <c r="V18" i="2" s="1"/>
  <c r="U11" i="2"/>
  <c r="V11" i="2" s="1"/>
  <c r="U19" i="2"/>
  <c r="V19" i="2" s="1"/>
  <c r="U12" i="2"/>
  <c r="V12" i="2" s="1"/>
  <c r="U20" i="2"/>
  <c r="V20" i="2" s="1"/>
  <c r="U14" i="2"/>
  <c r="V14" i="2" s="1"/>
  <c r="U10" i="2"/>
  <c r="V10" i="2" s="1"/>
  <c r="E33" i="2"/>
  <c r="H19" i="2"/>
  <c r="I19" i="2" s="1"/>
  <c r="K150" i="1" s="1"/>
  <c r="S150" i="1" s="1"/>
  <c r="L133" i="1" s="1"/>
  <c r="H10" i="2"/>
  <c r="I10" i="2" s="1"/>
  <c r="K10" i="1" s="1"/>
  <c r="F15" i="2"/>
  <c r="H15" i="2"/>
  <c r="I15" i="2" s="1"/>
  <c r="K78" i="1" s="1"/>
  <c r="H11" i="2"/>
  <c r="I11" i="2" s="1"/>
  <c r="K24" i="1" s="1"/>
  <c r="H18" i="2"/>
  <c r="I18" i="2" s="1"/>
  <c r="K121" i="1" s="1"/>
  <c r="H17" i="2"/>
  <c r="I17" i="2" s="1"/>
  <c r="H13" i="2"/>
  <c r="I13" i="2" s="1"/>
  <c r="K50" i="1" s="1"/>
  <c r="H12" i="2"/>
  <c r="I12" i="2" s="1"/>
  <c r="K37" i="1" s="1"/>
  <c r="H14" i="2"/>
  <c r="I14" i="2" s="1"/>
  <c r="K63" i="1" s="1"/>
  <c r="H16" i="2"/>
  <c r="I16" i="2" s="1"/>
  <c r="K92" i="1" s="1"/>
  <c r="F10" i="2"/>
  <c r="F13" i="2"/>
  <c r="F11" i="2"/>
  <c r="F19" i="2"/>
  <c r="F20" i="2"/>
  <c r="F12" i="2"/>
  <c r="F18" i="2"/>
  <c r="F14" i="2"/>
  <c r="F17" i="2"/>
  <c r="F16" i="2"/>
  <c r="S78" i="1" l="1"/>
  <c r="S187" i="1" s="1"/>
  <c r="S188" i="1" s="1"/>
  <c r="S189" i="1" s="1"/>
  <c r="L76" i="1"/>
  <c r="L74" i="1"/>
  <c r="L73" i="1"/>
  <c r="S63" i="1"/>
  <c r="L62" i="1"/>
  <c r="L61" i="1"/>
  <c r="L60" i="1"/>
  <c r="S92" i="1"/>
  <c r="K93" i="1"/>
  <c r="L91" i="1"/>
  <c r="L88" i="1"/>
  <c r="S37" i="1"/>
  <c r="L36" i="1"/>
  <c r="L35" i="1"/>
  <c r="L34" i="1"/>
  <c r="S121" i="1"/>
  <c r="S102" i="1" s="1"/>
  <c r="L117" i="1"/>
  <c r="L104" i="1" s="1"/>
  <c r="L116" i="1"/>
  <c r="L118" i="1"/>
  <c r="L105" i="1" s="1"/>
  <c r="S50" i="1"/>
  <c r="L47" i="1"/>
  <c r="L49" i="1"/>
  <c r="G20" i="3" s="1"/>
  <c r="J20" i="3" s="1"/>
  <c r="L48" i="1"/>
  <c r="S10" i="1"/>
  <c r="L8" i="1"/>
  <c r="G6" i="3" s="1"/>
  <c r="J6" i="3" s="1"/>
  <c r="L9" i="1"/>
  <c r="G7" i="3" s="1"/>
  <c r="J7" i="3" s="1"/>
  <c r="M133" i="1"/>
  <c r="N133" i="1" s="1"/>
  <c r="O133" i="1" s="1"/>
  <c r="G45" i="3"/>
  <c r="J45" i="3" s="1"/>
  <c r="G44" i="3"/>
  <c r="J44" i="3" s="1"/>
  <c r="L146" i="1"/>
  <c r="L148" i="1"/>
  <c r="L134" i="1"/>
  <c r="L136" i="1"/>
  <c r="L135" i="1"/>
  <c r="L145" i="1"/>
  <c r="L139" i="1"/>
  <c r="L138" i="1"/>
  <c r="T133" i="1"/>
  <c r="L132" i="1"/>
  <c r="L137" i="1"/>
  <c r="L149" i="1"/>
  <c r="L147" i="1"/>
  <c r="L142" i="1"/>
  <c r="L144" i="1"/>
  <c r="L140" i="1"/>
  <c r="L143" i="1"/>
  <c r="L131" i="1"/>
  <c r="L141" i="1"/>
  <c r="G28" i="3"/>
  <c r="J28" i="3" s="1"/>
  <c r="G27" i="3"/>
  <c r="J27" i="3" s="1"/>
  <c r="G26" i="3"/>
  <c r="J26" i="3" s="1"/>
  <c r="G36" i="3"/>
  <c r="J36" i="3" s="1"/>
  <c r="G35" i="3"/>
  <c r="J35" i="3" s="1"/>
  <c r="G34" i="3"/>
  <c r="J34" i="3" s="1"/>
  <c r="G23" i="3"/>
  <c r="J23" i="3" s="1"/>
  <c r="G24" i="3"/>
  <c r="J24" i="3" s="1"/>
  <c r="G22" i="3"/>
  <c r="J22" i="3" s="1"/>
  <c r="G15" i="3"/>
  <c r="J15" i="3" s="1"/>
  <c r="G14" i="3"/>
  <c r="J14" i="3" s="1"/>
  <c r="G16" i="3"/>
  <c r="J16" i="3" s="1"/>
  <c r="I20" i="2"/>
  <c r="I24" i="2" s="1"/>
  <c r="G19" i="3"/>
  <c r="J19" i="3" s="1"/>
  <c r="G46" i="3"/>
  <c r="J46" i="3" s="1"/>
  <c r="L102" i="1" l="1"/>
  <c r="S103" i="1"/>
  <c r="T131" i="1"/>
  <c r="M47" i="1"/>
  <c r="N47" i="1" s="1"/>
  <c r="O47" i="1" s="1"/>
  <c r="G18" i="3"/>
  <c r="J18" i="3" s="1"/>
  <c r="T146" i="1"/>
  <c r="T149" i="1"/>
  <c r="G38" i="3"/>
  <c r="J38" i="3" s="1"/>
  <c r="G43" i="3"/>
  <c r="J43" i="3" s="1"/>
  <c r="M136" i="1"/>
  <c r="N136" i="1" s="1"/>
  <c r="O136" i="1" s="1"/>
  <c r="M142" i="1"/>
  <c r="N142" i="1" s="1"/>
  <c r="O142" i="1" s="1"/>
  <c r="M147" i="1"/>
  <c r="N147" i="1" s="1"/>
  <c r="O147" i="1" s="1"/>
  <c r="M119" i="1"/>
  <c r="M146" i="1"/>
  <c r="N146" i="1" s="1"/>
  <c r="O146" i="1" s="1"/>
  <c r="M102" i="1"/>
  <c r="M149" i="1"/>
  <c r="N149" i="1" s="1"/>
  <c r="O149" i="1" s="1"/>
  <c r="T142" i="1"/>
  <c r="T147" i="1"/>
  <c r="T136" i="1"/>
  <c r="M131" i="1"/>
  <c r="N131" i="1" s="1"/>
  <c r="O131" i="1" s="1"/>
  <c r="M144" i="1"/>
  <c r="N144" i="1" s="1"/>
  <c r="O144" i="1" s="1"/>
  <c r="T144" i="1"/>
  <c r="M139" i="1"/>
  <c r="N139" i="1" s="1"/>
  <c r="O139" i="1" s="1"/>
  <c r="T139" i="1"/>
  <c r="M145" i="1"/>
  <c r="N145" i="1" s="1"/>
  <c r="O145" i="1" s="1"/>
  <c r="T145" i="1"/>
  <c r="T140" i="1"/>
  <c r="M140" i="1"/>
  <c r="N140" i="1" s="1"/>
  <c r="O140" i="1" s="1"/>
  <c r="M138" i="1"/>
  <c r="N138" i="1" s="1"/>
  <c r="O138" i="1" s="1"/>
  <c r="T138" i="1"/>
  <c r="M135" i="1"/>
  <c r="N135" i="1" s="1"/>
  <c r="O135" i="1" s="1"/>
  <c r="T135" i="1"/>
  <c r="M132" i="1"/>
  <c r="N132" i="1" s="1"/>
  <c r="O132" i="1" s="1"/>
  <c r="T132" i="1"/>
  <c r="T134" i="1"/>
  <c r="M134" i="1"/>
  <c r="N134" i="1" s="1"/>
  <c r="O134" i="1" s="1"/>
  <c r="M137" i="1"/>
  <c r="N137" i="1" s="1"/>
  <c r="O137" i="1" s="1"/>
  <c r="T137" i="1"/>
  <c r="T148" i="1"/>
  <c r="M148" i="1"/>
  <c r="N148" i="1" s="1"/>
  <c r="O148" i="1" s="1"/>
  <c r="T141" i="1"/>
  <c r="M141" i="1"/>
  <c r="T143" i="1"/>
  <c r="M143" i="1"/>
  <c r="N143" i="1" s="1"/>
  <c r="O143" i="1" s="1"/>
  <c r="T160" i="1"/>
  <c r="M120" i="1"/>
  <c r="T120" i="1"/>
  <c r="M61" i="1"/>
  <c r="T61" i="1"/>
  <c r="T118" i="1"/>
  <c r="M118" i="1"/>
  <c r="T36" i="1"/>
  <c r="M36" i="1"/>
  <c r="T88" i="1"/>
  <c r="M88" i="1"/>
  <c r="T34" i="1"/>
  <c r="M34" i="1"/>
  <c r="L90" i="1"/>
  <c r="M89" i="1"/>
  <c r="T89" i="1"/>
  <c r="M117" i="1"/>
  <c r="T117" i="1"/>
  <c r="M35" i="1"/>
  <c r="T35" i="1"/>
  <c r="T91" i="1"/>
  <c r="M91" i="1"/>
  <c r="T9" i="1"/>
  <c r="M9" i="1"/>
  <c r="N9" i="1" s="1"/>
  <c r="O9" i="1" s="1"/>
  <c r="T73" i="1"/>
  <c r="M73" i="1"/>
  <c r="M48" i="1"/>
  <c r="T48" i="1"/>
  <c r="T8" i="1"/>
  <c r="M8" i="1"/>
  <c r="T74" i="1"/>
  <c r="L75" i="1"/>
  <c r="M74" i="1"/>
  <c r="M49" i="1"/>
  <c r="T49" i="1"/>
  <c r="T60" i="1"/>
  <c r="M60" i="1"/>
  <c r="L77" i="1"/>
  <c r="M76" i="1"/>
  <c r="T76" i="1"/>
  <c r="M116" i="1"/>
  <c r="T116" i="1"/>
  <c r="T62" i="1"/>
  <c r="M62" i="1"/>
  <c r="S104" i="1" l="1"/>
  <c r="S105" i="1" s="1"/>
  <c r="L103" i="1"/>
  <c r="T102" i="1"/>
  <c r="M105" i="1"/>
  <c r="N105" i="1" s="1"/>
  <c r="O105" i="1" s="1"/>
  <c r="G41" i="3"/>
  <c r="J41" i="3" s="1"/>
  <c r="M104" i="1"/>
  <c r="N104" i="1" s="1"/>
  <c r="O104" i="1" s="1"/>
  <c r="G40" i="3"/>
  <c r="J40" i="3" s="1"/>
  <c r="T104" i="1"/>
  <c r="T105" i="1"/>
  <c r="T119" i="1"/>
  <c r="N102" i="1"/>
  <c r="O102" i="1" s="1"/>
  <c r="N141" i="1"/>
  <c r="O141" i="1" s="1"/>
  <c r="M150" i="1"/>
  <c r="M50" i="1"/>
  <c r="J13" i="2" s="1"/>
  <c r="O13" i="2" s="1"/>
  <c r="N160" i="1"/>
  <c r="O160" i="1" s="1"/>
  <c r="M163" i="1"/>
  <c r="P161" i="1" s="1"/>
  <c r="Q161" i="1" s="1"/>
  <c r="N48" i="1"/>
  <c r="O48" i="1" s="1"/>
  <c r="N89" i="1"/>
  <c r="N36" i="1"/>
  <c r="O36" i="1" s="1"/>
  <c r="N91" i="1"/>
  <c r="O91" i="1" s="1"/>
  <c r="T90" i="1"/>
  <c r="M90" i="1"/>
  <c r="M92" i="1" s="1"/>
  <c r="P89" i="1" s="1"/>
  <c r="Q89" i="1" s="1"/>
  <c r="N76" i="1"/>
  <c r="O76" i="1" s="1"/>
  <c r="N74" i="1"/>
  <c r="O74" i="1" s="1"/>
  <c r="N34" i="1"/>
  <c r="O34" i="1" s="1"/>
  <c r="M37" i="1"/>
  <c r="P36" i="1" s="1"/>
  <c r="Q36" i="1" s="1"/>
  <c r="N118" i="1"/>
  <c r="O118" i="1" s="1"/>
  <c r="M77" i="1"/>
  <c r="T77" i="1"/>
  <c r="T75" i="1"/>
  <c r="M75" i="1"/>
  <c r="N73" i="1"/>
  <c r="O73" i="1" s="1"/>
  <c r="M63" i="1"/>
  <c r="P60" i="1" s="1"/>
  <c r="N60" i="1"/>
  <c r="O60" i="1" s="1"/>
  <c r="N35" i="1"/>
  <c r="O35" i="1" s="1"/>
  <c r="N117" i="1"/>
  <c r="O117" i="1" s="1"/>
  <c r="N88" i="1"/>
  <c r="O88" i="1" s="1"/>
  <c r="M121" i="1"/>
  <c r="N116" i="1"/>
  <c r="O116" i="1" s="1"/>
  <c r="N8" i="1"/>
  <c r="O8" i="1" s="1"/>
  <c r="M10" i="1"/>
  <c r="N61" i="1"/>
  <c r="O61" i="1" s="1"/>
  <c r="N62" i="1"/>
  <c r="O62" i="1" s="1"/>
  <c r="N49" i="1"/>
  <c r="O49" i="1" s="1"/>
  <c r="N119" i="1"/>
  <c r="O119" i="1" s="1"/>
  <c r="N120" i="1"/>
  <c r="O120" i="1" s="1"/>
  <c r="G39" i="3" s="1"/>
  <c r="J39" i="3" s="1"/>
  <c r="O89" i="1" l="1"/>
  <c r="T103" i="1"/>
  <c r="M103" i="1"/>
  <c r="P49" i="1"/>
  <c r="Q49" i="1" s="1"/>
  <c r="P48" i="1"/>
  <c r="Q48" i="1" s="1"/>
  <c r="P159" i="1"/>
  <c r="P162" i="1"/>
  <c r="Q162" i="1" s="1"/>
  <c r="P160" i="1"/>
  <c r="Q160" i="1" s="1"/>
  <c r="J22" i="2"/>
  <c r="O22" i="2" s="1"/>
  <c r="R50" i="1"/>
  <c r="M56" i="1"/>
  <c r="M57" i="1" s="1"/>
  <c r="N57" i="1" s="1"/>
  <c r="P47" i="1"/>
  <c r="Q47" i="1" s="1"/>
  <c r="N50" i="1"/>
  <c r="O50" i="1" s="1"/>
  <c r="P141" i="1"/>
  <c r="Q141" i="1" s="1"/>
  <c r="P136" i="1"/>
  <c r="Q136" i="1" s="1"/>
  <c r="P144" i="1"/>
  <c r="Q144" i="1" s="1"/>
  <c r="R150" i="1"/>
  <c r="P146" i="1"/>
  <c r="Q146" i="1" s="1"/>
  <c r="P143" i="1"/>
  <c r="Q143" i="1" s="1"/>
  <c r="P145" i="1"/>
  <c r="Q145" i="1" s="1"/>
  <c r="P148" i="1"/>
  <c r="Q148" i="1" s="1"/>
  <c r="P138" i="1"/>
  <c r="Q138" i="1" s="1"/>
  <c r="P133" i="1"/>
  <c r="Q133" i="1" s="1"/>
  <c r="P137" i="1"/>
  <c r="Q137" i="1" s="1"/>
  <c r="P142" i="1"/>
  <c r="Q142" i="1" s="1"/>
  <c r="N150" i="1"/>
  <c r="O150" i="1" s="1"/>
  <c r="P147" i="1"/>
  <c r="Q147" i="1" s="1"/>
  <c r="P132" i="1"/>
  <c r="Q132" i="1" s="1"/>
  <c r="M156" i="1"/>
  <c r="N156" i="1" s="1"/>
  <c r="O156" i="1" s="1"/>
  <c r="N19" i="2" s="1"/>
  <c r="P139" i="1"/>
  <c r="Q139" i="1" s="1"/>
  <c r="P140" i="1"/>
  <c r="Q140" i="1" s="1"/>
  <c r="P135" i="1"/>
  <c r="Q135" i="1" s="1"/>
  <c r="P134" i="1"/>
  <c r="Q134" i="1" s="1"/>
  <c r="J19" i="2"/>
  <c r="P131" i="1"/>
  <c r="P149" i="1"/>
  <c r="Q149" i="1" s="1"/>
  <c r="P35" i="1"/>
  <c r="Q35" i="1" s="1"/>
  <c r="P117" i="1"/>
  <c r="Q117" i="1" s="1"/>
  <c r="P62" i="1"/>
  <c r="Q62" i="1" s="1"/>
  <c r="R163" i="1"/>
  <c r="N163" i="1"/>
  <c r="M169" i="1"/>
  <c r="M170" i="1" s="1"/>
  <c r="P91" i="1"/>
  <c r="Q91" i="1" s="1"/>
  <c r="M16" i="1"/>
  <c r="N10" i="1"/>
  <c r="J10" i="2"/>
  <c r="R10" i="1"/>
  <c r="N77" i="1"/>
  <c r="O77" i="1" s="1"/>
  <c r="N121" i="1"/>
  <c r="J18" i="2"/>
  <c r="O18" i="2" s="1"/>
  <c r="R121" i="1"/>
  <c r="M127" i="1"/>
  <c r="J14" i="2"/>
  <c r="O14" i="2" s="1"/>
  <c r="N63" i="1"/>
  <c r="R63" i="1"/>
  <c r="M69" i="1"/>
  <c r="P116" i="1"/>
  <c r="P118" i="1"/>
  <c r="Q118" i="1" s="1"/>
  <c r="P120" i="1"/>
  <c r="Q120" i="1" s="1"/>
  <c r="P9" i="1"/>
  <c r="Q9" i="1" s="1"/>
  <c r="J16" i="2"/>
  <c r="O16" i="2" s="1"/>
  <c r="M98" i="1"/>
  <c r="R92" i="1"/>
  <c r="R37" i="1"/>
  <c r="M43" i="1"/>
  <c r="J12" i="2"/>
  <c r="O12" i="2" s="1"/>
  <c r="N37" i="1"/>
  <c r="P90" i="1"/>
  <c r="Q90" i="1" s="1"/>
  <c r="N90" i="1"/>
  <c r="O90" i="1" s="1"/>
  <c r="Q60" i="1"/>
  <c r="P119" i="1"/>
  <c r="Q119" i="1" s="1"/>
  <c r="P61" i="1"/>
  <c r="Q61" i="1" s="1"/>
  <c r="P88" i="1"/>
  <c r="M78" i="1"/>
  <c r="N75" i="1"/>
  <c r="O75" i="1" s="1"/>
  <c r="P34" i="1"/>
  <c r="P8" i="1"/>
  <c r="N92" i="1" l="1"/>
  <c r="O92" i="1" s="1"/>
  <c r="G97" i="3"/>
  <c r="G81" i="3"/>
  <c r="O57" i="1"/>
  <c r="F91" i="3"/>
  <c r="N103" i="1"/>
  <c r="O103" i="1" s="1"/>
  <c r="M106" i="1"/>
  <c r="P50" i="1"/>
  <c r="Q50" i="1" s="1"/>
  <c r="N56" i="1"/>
  <c r="O56" i="1" s="1"/>
  <c r="N13" i="2" s="1"/>
  <c r="L13" i="2"/>
  <c r="K22" i="2"/>
  <c r="O163" i="1"/>
  <c r="L22" i="2"/>
  <c r="F82" i="3" s="1"/>
  <c r="P150" i="1"/>
  <c r="Q150" i="1" s="1"/>
  <c r="Q131" i="1"/>
  <c r="L19" i="2"/>
  <c r="O19" i="2"/>
  <c r="P163" i="1"/>
  <c r="Q163" i="1" s="1"/>
  <c r="Q159" i="1"/>
  <c r="N169" i="1"/>
  <c r="J15" i="2"/>
  <c r="O15" i="2" s="1"/>
  <c r="M84" i="1"/>
  <c r="N78" i="1"/>
  <c r="R78" i="1"/>
  <c r="P73" i="1"/>
  <c r="P76" i="1"/>
  <c r="Q76" i="1" s="1"/>
  <c r="P74" i="1"/>
  <c r="P63" i="1"/>
  <c r="Q63" i="1" s="1"/>
  <c r="M99" i="1"/>
  <c r="N99" i="1" s="1"/>
  <c r="N98" i="1"/>
  <c r="O98" i="1" s="1"/>
  <c r="N16" i="2" s="1"/>
  <c r="Q88" i="1"/>
  <c r="P92" i="1"/>
  <c r="Q92" i="1" s="1"/>
  <c r="P121" i="1"/>
  <c r="Q121" i="1" s="1"/>
  <c r="Q116" i="1"/>
  <c r="O121" i="1"/>
  <c r="L18" i="2"/>
  <c r="O37" i="1"/>
  <c r="L12" i="2"/>
  <c r="M70" i="1"/>
  <c r="N70" i="1" s="1"/>
  <c r="N69" i="1"/>
  <c r="O69" i="1" s="1"/>
  <c r="N14" i="2" s="1"/>
  <c r="O10" i="2"/>
  <c r="Q8" i="1"/>
  <c r="P10" i="1"/>
  <c r="Q10" i="1" s="1"/>
  <c r="P37" i="1"/>
  <c r="Q37" i="1" s="1"/>
  <c r="Q34" i="1"/>
  <c r="M44" i="1"/>
  <c r="N44" i="1" s="1"/>
  <c r="N43" i="1"/>
  <c r="O43" i="1" s="1"/>
  <c r="N12" i="2" s="1"/>
  <c r="O63" i="1"/>
  <c r="L14" i="2"/>
  <c r="P77" i="1"/>
  <c r="Q77" i="1" s="1"/>
  <c r="O10" i="1"/>
  <c r="L10" i="2"/>
  <c r="P75" i="1"/>
  <c r="Q75" i="1" s="1"/>
  <c r="M128" i="1"/>
  <c r="N128" i="1" s="1"/>
  <c r="N127" i="1"/>
  <c r="O127" i="1" s="1"/>
  <c r="N18" i="2" s="1"/>
  <c r="M17" i="1"/>
  <c r="N17" i="1" s="1"/>
  <c r="N16" i="1"/>
  <c r="O16" i="1" s="1"/>
  <c r="N10" i="2" s="1"/>
  <c r="O169" i="1" l="1"/>
  <c r="N170" i="1"/>
  <c r="F98" i="3" s="1"/>
  <c r="L16" i="2"/>
  <c r="F78" i="3" s="1"/>
  <c r="M14" i="2"/>
  <c r="F76" i="3"/>
  <c r="G74" i="3"/>
  <c r="G90" i="3"/>
  <c r="G75" i="3"/>
  <c r="G91" i="3"/>
  <c r="O128" i="1"/>
  <c r="F96" i="3"/>
  <c r="O44" i="1"/>
  <c r="F90" i="3"/>
  <c r="M12" i="2"/>
  <c r="F74" i="3"/>
  <c r="M19" i="2"/>
  <c r="F81" i="3"/>
  <c r="G80" i="3"/>
  <c r="G96" i="3"/>
  <c r="M10" i="2"/>
  <c r="F72" i="3"/>
  <c r="M18" i="2"/>
  <c r="F80" i="3"/>
  <c r="G88" i="3"/>
  <c r="G72" i="3"/>
  <c r="O17" i="1"/>
  <c r="F88" i="3"/>
  <c r="O70" i="1"/>
  <c r="F92" i="3"/>
  <c r="G94" i="3"/>
  <c r="G78" i="3"/>
  <c r="O99" i="1"/>
  <c r="F94" i="3"/>
  <c r="G92" i="3"/>
  <c r="G76" i="3"/>
  <c r="M13" i="2"/>
  <c r="F75" i="3"/>
  <c r="R106" i="1"/>
  <c r="P102" i="1"/>
  <c r="P105" i="1"/>
  <c r="Q105" i="1" s="1"/>
  <c r="N106" i="1"/>
  <c r="L17" i="2" s="1"/>
  <c r="P103" i="1"/>
  <c r="Q103" i="1" s="1"/>
  <c r="P104" i="1"/>
  <c r="Q104" i="1" s="1"/>
  <c r="J17" i="2"/>
  <c r="O17" i="2" s="1"/>
  <c r="M112" i="1"/>
  <c r="N112" i="1" s="1"/>
  <c r="M22" i="2"/>
  <c r="P78" i="1"/>
  <c r="Q73" i="1"/>
  <c r="O78" i="1"/>
  <c r="L15" i="2"/>
  <c r="M85" i="1"/>
  <c r="N85" i="1" s="1"/>
  <c r="N84" i="1"/>
  <c r="O84" i="1" s="1"/>
  <c r="N15" i="2" s="1"/>
  <c r="N22" i="2" l="1"/>
  <c r="O170" i="1"/>
  <c r="M16" i="2"/>
  <c r="M15" i="2"/>
  <c r="F77" i="3"/>
  <c r="M17" i="2"/>
  <c r="F79" i="3"/>
  <c r="O85" i="1"/>
  <c r="F93" i="3"/>
  <c r="G93" i="3"/>
  <c r="G77" i="3"/>
  <c r="P106" i="1"/>
  <c r="Q106" i="1" s="1"/>
  <c r="Q102" i="1"/>
  <c r="G98" i="3" l="1"/>
  <c r="G82" i="3"/>
  <c r="L20" i="1"/>
  <c r="M20" i="1" s="1"/>
  <c r="L21" i="1"/>
  <c r="M21" i="1" s="1"/>
  <c r="L22" i="1"/>
  <c r="M22" i="1" s="1"/>
  <c r="N22" i="1" s="1"/>
  <c r="O22" i="1" s="1"/>
  <c r="L23" i="1"/>
  <c r="M23" i="1" s="1"/>
  <c r="T22" i="1" l="1"/>
  <c r="G11" i="3"/>
  <c r="J11" i="3" s="1"/>
  <c r="G10" i="3"/>
  <c r="J10" i="3" s="1"/>
  <c r="G9" i="3"/>
  <c r="J9" i="3" s="1"/>
  <c r="T21" i="1"/>
  <c r="N20" i="1"/>
  <c r="O20" i="1" s="1"/>
  <c r="M24" i="1"/>
  <c r="P23" i="1" s="1"/>
  <c r="Q23" i="1" s="1"/>
  <c r="N21" i="1"/>
  <c r="O21" i="1" s="1"/>
  <c r="N23" i="1"/>
  <c r="O23" i="1" s="1"/>
  <c r="T23" i="1"/>
  <c r="G12" i="3"/>
  <c r="J12" i="3" s="1"/>
  <c r="M174" i="1" l="1"/>
  <c r="M180" i="1" s="1"/>
  <c r="R24" i="1"/>
  <c r="N24" i="1"/>
  <c r="M30" i="1"/>
  <c r="J11" i="2"/>
  <c r="P22" i="1"/>
  <c r="Q22" i="1" s="1"/>
  <c r="P20" i="1"/>
  <c r="P21" i="1"/>
  <c r="Q21" i="1" s="1"/>
  <c r="M31" i="1" l="1"/>
  <c r="N31" i="1" s="1"/>
  <c r="N30" i="1"/>
  <c r="O30" i="1" s="1"/>
  <c r="N11" i="2" s="1"/>
  <c r="Q20" i="1"/>
  <c r="P24" i="1"/>
  <c r="Q24" i="1" s="1"/>
  <c r="O11" i="2"/>
  <c r="J20" i="2"/>
  <c r="O24" i="1"/>
  <c r="L11" i="2"/>
  <c r="N174" i="1"/>
  <c r="G89" i="3" l="1"/>
  <c r="G73" i="3"/>
  <c r="M11" i="2"/>
  <c r="F73" i="3"/>
  <c r="O31" i="1"/>
  <c r="F89" i="3"/>
  <c r="K16" i="2"/>
  <c r="O20" i="2"/>
  <c r="K17" i="2"/>
  <c r="J24" i="2"/>
  <c r="K15" i="2"/>
  <c r="K18" i="2"/>
  <c r="K19" i="2"/>
  <c r="K12" i="2"/>
  <c r="L20" i="2"/>
  <c r="K10" i="2"/>
  <c r="K13" i="2"/>
  <c r="K20" i="2"/>
  <c r="K14" i="2"/>
  <c r="O174" i="1"/>
  <c r="N180" i="1"/>
  <c r="K11" i="2"/>
  <c r="O24" i="2" l="1"/>
  <c r="J33" i="2"/>
  <c r="L33" i="2" s="1"/>
  <c r="F83" i="3" s="1"/>
  <c r="N182" i="1"/>
  <c r="O180" i="1"/>
  <c r="L24" i="2"/>
  <c r="M24" i="2" s="1"/>
  <c r="M20" i="2"/>
  <c r="L35" i="2" l="1"/>
  <c r="L36" i="2" s="1"/>
  <c r="N33" i="2"/>
  <c r="G83" i="3" s="1"/>
  <c r="Q74" i="1" l="1"/>
  <c r="J78" i="1"/>
  <c r="Q78" i="1" s="1"/>
</calcChain>
</file>

<file path=xl/sharedStrings.xml><?xml version="1.0" encoding="utf-8"?>
<sst xmlns="http://schemas.openxmlformats.org/spreadsheetml/2006/main" count="276" uniqueCount="134">
  <si>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</si>
  <si>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</si>
  <si>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</si>
  <si>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</si>
  <si>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</si>
  <si>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</si>
  <si>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</si>
  <si>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</si>
  <si>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</si>
  <si>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</si>
  <si>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</si>
  <si>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</si>
  <si>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</si>
  <si>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</si>
  <si>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</si>
  <si>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</si>
  <si>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</si>
  <si>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</si>
  <si>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</si>
  <si>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</si>
  <si>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Rate</t>
  </si>
  <si>
    <t>2019 Revenue</t>
  </si>
  <si>
    <t>Present Share</t>
  </si>
  <si>
    <t>Proposed Rate</t>
  </si>
  <si>
    <t>Proposed Share</t>
  </si>
  <si>
    <t xml:space="preserve">          2019 Revenue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</si>
  <si>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</si>
  <si>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</si>
  <si>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</si>
  <si>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</si>
  <si>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</si>
  <si>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L</t>
  </si>
  <si>
    <t>TOTALS</t>
  </si>
  <si>
    <t xml:space="preserve">    Misc Adj</t>
  </si>
  <si>
    <t>Residential Off Peak ETS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</si>
  <si>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</si>
  <si>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</si>
  <si>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</si>
  <si>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</si>
  <si>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</si>
  <si>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</si>
  <si>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</si>
  <si>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</si>
  <si>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</si>
  <si>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>BLUE GRASS ENERGY</t>
  </si>
  <si>
    <t>GS-1</t>
  </si>
  <si>
    <t>GS-2</t>
  </si>
  <si>
    <t>Residential , Farm &amp; Non-Farm</t>
  </si>
  <si>
    <t>Residential Time of Day</t>
  </si>
  <si>
    <t>GS-3</t>
  </si>
  <si>
    <t>Small Commercial (0-100 kW)</t>
  </si>
  <si>
    <t>SC-1</t>
  </si>
  <si>
    <t>Large Power (101 - 500 kW)</t>
  </si>
  <si>
    <t>LP-1</t>
  </si>
  <si>
    <t>LP-2</t>
  </si>
  <si>
    <t>B-2</t>
  </si>
  <si>
    <t>B-1</t>
  </si>
  <si>
    <t>Large Industrial (over 4,000 kW)</t>
  </si>
  <si>
    <t>Open Bottom Light- 6000-9500 Lumens</t>
  </si>
  <si>
    <t>Open Bottom Light- 25,000 Lumens</t>
  </si>
  <si>
    <t>Ornamental Light 6000-9500 Lumens</t>
  </si>
  <si>
    <t>Ornamental light- approx 25000 Lumens</t>
  </si>
  <si>
    <t>Cobra Head- 25000 Lumens</t>
  </si>
  <si>
    <t>Colonial Fixture- 15ft Mounting height</t>
  </si>
  <si>
    <t>Directional Flood Light</t>
  </si>
  <si>
    <t>Cobra Head Aluminum Pole</t>
  </si>
  <si>
    <t>Shoebox Fixture</t>
  </si>
  <si>
    <t>Acorn Fixture</t>
  </si>
  <si>
    <t>Colonial Fixture</t>
  </si>
  <si>
    <t>Cobra Head- 50,000 Lumens</t>
  </si>
  <si>
    <t>Open Bottom Lights</t>
  </si>
  <si>
    <t xml:space="preserve">    Other</t>
  </si>
  <si>
    <t>SC-2</t>
  </si>
  <si>
    <t>General Service 0-100 KW Time of Day Rate</t>
  </si>
  <si>
    <t>Energy Charge w/Pri Discount</t>
  </si>
  <si>
    <t>Demand Charge Minimums</t>
  </si>
  <si>
    <t>Large Power (over 500 kW)</t>
  </si>
  <si>
    <t xml:space="preserve">    Prepay Daily Charges</t>
  </si>
  <si>
    <t>Special</t>
  </si>
  <si>
    <t>Essity - EKPC Rate G</t>
  </si>
  <si>
    <t>TOTAL Base Rates</t>
  </si>
  <si>
    <t>SubTotal Base Rates</t>
  </si>
  <si>
    <t xml:space="preserve">Total Rate G Revenue Increase Allocated by East Kentucky Power Cooperative:   </t>
  </si>
  <si>
    <t xml:space="preserve">Remaining Revenue Increase Allocated by East Kentucky Power Cooperative:   </t>
  </si>
  <si>
    <t>Large Industrial (1,000 - 3,999 kW)</t>
  </si>
  <si>
    <t>Base %</t>
  </si>
  <si>
    <t>Total %</t>
  </si>
  <si>
    <t>Base Rate Increase</t>
  </si>
  <si>
    <t>Notice Table</t>
  </si>
  <si>
    <t xml:space="preserve">Rate </t>
  </si>
  <si>
    <t>Present</t>
  </si>
  <si>
    <t>Proposed</t>
  </si>
  <si>
    <t>Energy Charge per kWh</t>
  </si>
  <si>
    <t>Energy Charge - First 200 per kWh</t>
  </si>
  <si>
    <t>Energy Charge - Next 300 per kWh</t>
  </si>
  <si>
    <t>Energy Charge - Over 500 per kWh</t>
  </si>
  <si>
    <t>Energy Charge - On Peak per kWh</t>
  </si>
  <si>
    <t>Energy Charge - Off Peak per kWh</t>
  </si>
  <si>
    <t>Demand Charge over 10 KW per kW</t>
  </si>
  <si>
    <t>Demand Charge per kW</t>
  </si>
  <si>
    <t>Demand Charge Contract per kW</t>
  </si>
  <si>
    <t>Demand Charge Excess per kW</t>
  </si>
  <si>
    <t>Interruptible Credit per kW</t>
  </si>
  <si>
    <t>&lt; Set to match B2</t>
  </si>
  <si>
    <t>&lt; Set to match system % increase</t>
  </si>
  <si>
    <t>The amount of the change requested in both dollar amounts and percentage change for each customer classification to which the proposed rates will apply is set forth below:</t>
  </si>
  <si>
    <t>Increase</t>
  </si>
  <si>
    <t>Rate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</si>
  <si>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</si>
  <si>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</si>
  <si>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</si>
  <si>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</si>
  <si>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</si>
  <si>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</si>
  <si>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Allocation Shares</t>
  </si>
  <si>
    <t>Last Rate Order</t>
  </si>
  <si>
    <t>DIFF</t>
  </si>
  <si>
    <t>Target Share</t>
  </si>
  <si>
    <t>DATA FOR SOLVING</t>
  </si>
  <si>
    <t>&lt; Set to match B2 %</t>
  </si>
  <si>
    <t>RATES WITH NO CURRENT MEMBERS</t>
  </si>
  <si>
    <t>Large Power (101 - 500 kW) (Time of Day)</t>
  </si>
  <si>
    <t xml:space="preserve"> </t>
  </si>
  <si>
    <t>Same as LP1</t>
  </si>
  <si>
    <t>Interruptible Service Rider</t>
  </si>
  <si>
    <t>NOTES</t>
  </si>
  <si>
    <t>The specific results from using the Last Rate Order / 2020-00095 method that yield unreasonable results</t>
  </si>
  <si>
    <t>The target shares for each rate class as a percentage of total revenue are noted in green highlight on the Summary tab</t>
  </si>
  <si>
    <t xml:space="preserve">These are calculated from the last rate order using the billing determinants from the last rate case filing and </t>
  </si>
  <si>
    <t>per-unit charges approved by the Commission in that case</t>
  </si>
  <si>
    <t>The target shares from the last rate order for each billing component are noted in blue highlight on the Billing Detail tab</t>
  </si>
  <si>
    <t>Set to LRO</t>
  </si>
  <si>
    <t>Alert</t>
  </si>
  <si>
    <r>
      <t>are noted on the Notice Table tab in the cells marked</t>
    </r>
    <r>
      <rPr>
        <sz val="10"/>
        <color rgb="FFFF0000"/>
        <rFont val="Arial"/>
        <family val="2"/>
      </rPr>
      <t xml:space="preserve"> red</t>
    </r>
    <r>
      <rPr>
        <sz val="10"/>
        <color theme="1"/>
        <rFont val="Arial"/>
        <family val="2"/>
      </rPr>
      <t xml:space="preserve"> in the Alert column.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</si>
</sst>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"/>
    <numFmt numFmtId="168" formatCode="_(* #,##0.00000_);_(* \(#,##0.00000\);_(* &quot;-&quot;??_);_(@_)"/>
    <numFmt numFmtId="169" formatCode="_(* #,##0.000000_);_(* \(#,##0.000000\);_(* &quot;-&quot;??_);_(@_)"/>
    <numFmt numFmtId="170" formatCode="0.00000%"/>
    <numFmt numFmtId="171" formatCode="_(* #,##0.0000_);_(* \(#,##0.0000\);_(* &quot;-&quot;??_);_(@_)"/>
    <numFmt numFmtId="172" formatCode="_(&quot;$&quot;* #,##0.00000_);_(&quot;$&quot;* \(#,##0.00000\);_(&quot;$&quot;* &quot;-&quot;??_);_(@_)"/>
    <numFmt numFmtId="173" formatCode="&quot;$&quot;#,##0.00"/>
    <numFmt numFmtId="17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rgb="FF7030A0"/>
      <name val="Arial"/>
      <family val="2"/>
    </font>
    <font>
      <b/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6" fontId="4" fillId="2" borderId="1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165" fontId="3" fillId="0" borderId="0" xfId="2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3" xfId="2" applyNumberFormat="1" applyFont="1" applyBorder="1" applyAlignment="1">
      <alignment vertical="center"/>
    </xf>
    <xf numFmtId="10" fontId="3" fillId="0" borderId="3" xfId="3" applyNumberFormat="1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4" fontId="3" fillId="0" borderId="0" xfId="0" applyNumberFormat="1" applyFont="1"/>
    <xf numFmtId="10" fontId="3" fillId="0" borderId="0" xfId="0" applyNumberFormat="1" applyFont="1"/>
    <xf numFmtId="43" fontId="3" fillId="0" borderId="0" xfId="1" applyFont="1"/>
    <xf numFmtId="43" fontId="8" fillId="0" borderId="0" xfId="1" applyFont="1"/>
    <xf numFmtId="43" fontId="4" fillId="0" borderId="0" xfId="1" applyFont="1"/>
    <xf numFmtId="0" fontId="4" fillId="0" borderId="0" xfId="0" applyFont="1"/>
    <xf numFmtId="165" fontId="4" fillId="0" borderId="0" xfId="0" applyNumberFormat="1" applyFont="1"/>
    <xf numFmtId="165" fontId="4" fillId="0" borderId="0" xfId="2" applyNumberFormat="1" applyFont="1"/>
    <xf numFmtId="164" fontId="4" fillId="0" borderId="0" xfId="1" applyNumberFormat="1" applyFont="1"/>
    <xf numFmtId="166" fontId="8" fillId="0" borderId="0" xfId="0" applyNumberFormat="1" applyFont="1"/>
    <xf numFmtId="0" fontId="3" fillId="0" borderId="5" xfId="0" applyFont="1" applyBorder="1"/>
    <xf numFmtId="165" fontId="3" fillId="0" borderId="5" xfId="2" applyNumberFormat="1" applyFont="1" applyBorder="1"/>
    <xf numFmtId="165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165" fontId="3" fillId="0" borderId="5" xfId="2" applyNumberFormat="1" applyFont="1" applyBorder="1" applyAlignment="1">
      <alignment vertical="center"/>
    </xf>
    <xf numFmtId="10" fontId="3" fillId="0" borderId="5" xfId="3" applyNumberFormat="1" applyFont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43" fontId="3" fillId="0" borderId="5" xfId="1" applyFont="1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7" fontId="4" fillId="0" borderId="0" xfId="0" applyNumberFormat="1" applyFont="1"/>
    <xf numFmtId="167" fontId="8" fillId="0" borderId="0" xfId="0" applyNumberFormat="1" applyFont="1"/>
    <xf numFmtId="165" fontId="3" fillId="0" borderId="5" xfId="0" applyNumberFormat="1" applyFont="1" applyBorder="1"/>
    <xf numFmtId="165" fontId="3" fillId="0" borderId="5" xfId="0" applyNumberFormat="1" applyFont="1" applyBorder="1" applyAlignment="1">
      <alignment vertical="center"/>
    </xf>
    <xf numFmtId="44" fontId="3" fillId="0" borderId="5" xfId="2" applyFont="1" applyBorder="1" applyAlignment="1">
      <alignment vertical="center"/>
    </xf>
    <xf numFmtId="0" fontId="3" fillId="0" borderId="0" xfId="0" applyFont="1" applyFill="1"/>
    <xf numFmtId="170" fontId="3" fillId="0" borderId="0" xfId="3" applyNumberFormat="1" applyFont="1"/>
    <xf numFmtId="165" fontId="7" fillId="0" borderId="0" xfId="0" applyNumberFormat="1" applyFont="1"/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3" fillId="0" borderId="6" xfId="0" applyFont="1" applyFill="1" applyBorder="1"/>
    <xf numFmtId="10" fontId="3" fillId="0" borderId="0" xfId="3" applyNumberFormat="1" applyFont="1" applyFill="1"/>
    <xf numFmtId="165" fontId="3" fillId="0" borderId="5" xfId="3" applyNumberFormat="1" applyFont="1" applyFill="1" applyBorder="1" applyAlignment="1">
      <alignment vertical="center"/>
    </xf>
    <xf numFmtId="0" fontId="3" fillId="0" borderId="5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65" fontId="7" fillId="0" borderId="0" xfId="0" applyNumberFormat="1" applyFont="1" applyAlignment="1">
      <alignment horizontal="right"/>
    </xf>
    <xf numFmtId="165" fontId="8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43" fontId="4" fillId="0" borderId="0" xfId="1" applyFont="1" applyFill="1"/>
    <xf numFmtId="168" fontId="4" fillId="0" borderId="0" xfId="1" applyNumberFormat="1" applyFont="1" applyFill="1"/>
    <xf numFmtId="0" fontId="9" fillId="0" borderId="5" xfId="0" applyFont="1" applyBorder="1" applyAlignment="1">
      <alignment vertical="center"/>
    </xf>
    <xf numFmtId="167" fontId="3" fillId="0" borderId="0" xfId="0" applyNumberFormat="1" applyFont="1"/>
    <xf numFmtId="169" fontId="3" fillId="0" borderId="0" xfId="1" applyNumberFormat="1" applyFont="1"/>
    <xf numFmtId="166" fontId="3" fillId="0" borderId="0" xfId="0" applyNumberFormat="1" applyFont="1"/>
    <xf numFmtId="0" fontId="3" fillId="0" borderId="0" xfId="0" applyFont="1" applyFill="1" applyAlignment="1">
      <alignment horizontal="center" vertical="center"/>
    </xf>
    <xf numFmtId="164" fontId="10" fillId="0" borderId="0" xfId="1" applyNumberFormat="1" applyFont="1"/>
    <xf numFmtId="166" fontId="4" fillId="0" borderId="0" xfId="0" applyNumberFormat="1" applyFont="1"/>
    <xf numFmtId="168" fontId="3" fillId="0" borderId="0" xfId="1" applyNumberFormat="1" applyFont="1"/>
    <xf numFmtId="165" fontId="3" fillId="0" borderId="0" xfId="0" applyNumberFormat="1" applyFont="1" applyFill="1"/>
    <xf numFmtId="6" fontId="7" fillId="0" borderId="1" xfId="0" applyNumberFormat="1" applyFont="1" applyFill="1" applyBorder="1"/>
    <xf numFmtId="0" fontId="3" fillId="0" borderId="6" xfId="0" applyFont="1" applyBorder="1" applyAlignment="1"/>
    <xf numFmtId="0" fontId="6" fillId="0" borderId="0" xfId="0" applyFont="1" applyAlignme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0" fontId="3" fillId="0" borderId="0" xfId="0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165" fontId="3" fillId="5" borderId="0" xfId="2" applyNumberFormat="1" applyFont="1" applyFill="1" applyAlignment="1"/>
    <xf numFmtId="165" fontId="3" fillId="0" borderId="0" xfId="0" applyNumberFormat="1" applyFont="1" applyAlignment="1"/>
    <xf numFmtId="0" fontId="3" fillId="0" borderId="2" xfId="0" applyFont="1" applyBorder="1" applyAlignment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 applyAlignment="1"/>
    <xf numFmtId="0" fontId="3" fillId="0" borderId="0" xfId="0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0" xfId="0" applyNumberFormat="1" applyFont="1" applyBorder="1" applyAlignment="1"/>
    <xf numFmtId="0" fontId="3" fillId="0" borderId="5" xfId="0" applyFont="1" applyBorder="1" applyAlignment="1"/>
    <xf numFmtId="165" fontId="3" fillId="0" borderId="5" xfId="2" applyNumberFormat="1" applyFont="1" applyBorder="1" applyAlignment="1"/>
    <xf numFmtId="10" fontId="3" fillId="0" borderId="5" xfId="3" applyNumberFormat="1" applyFont="1" applyBorder="1" applyAlignment="1"/>
    <xf numFmtId="165" fontId="3" fillId="0" borderId="5" xfId="0" applyNumberFormat="1" applyFont="1" applyBorder="1" applyAlignment="1"/>
    <xf numFmtId="164" fontId="3" fillId="3" borderId="0" xfId="1" applyNumberFormat="1" applyFont="1" applyFill="1" applyAlignment="1"/>
    <xf numFmtId="0" fontId="3" fillId="3" borderId="0" xfId="0" applyFont="1" applyFill="1" applyAlignment="1"/>
    <xf numFmtId="165" fontId="3" fillId="3" borderId="0" xfId="2" applyNumberFormat="1" applyFont="1" applyFill="1" applyAlignment="1"/>
    <xf numFmtId="0" fontId="3" fillId="3" borderId="2" xfId="0" applyFont="1" applyFill="1" applyBorder="1" applyAlignment="1"/>
    <xf numFmtId="165" fontId="3" fillId="3" borderId="2" xfId="2" applyNumberFormat="1" applyFont="1" applyFill="1" applyBorder="1" applyAlignment="1"/>
    <xf numFmtId="0" fontId="3" fillId="0" borderId="3" xfId="0" applyFont="1" applyBorder="1" applyAlignment="1"/>
    <xf numFmtId="165" fontId="3" fillId="0" borderId="3" xfId="0" applyNumberFormat="1" applyFont="1" applyBorder="1" applyAlignment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8" fillId="0" borderId="0" xfId="0" applyFont="1" applyAlignment="1">
      <alignment horizontal="center"/>
    </xf>
    <xf numFmtId="165" fontId="3" fillId="0" borderId="0" xfId="2" applyNumberFormat="1" applyFont="1" applyFill="1"/>
    <xf numFmtId="165" fontId="4" fillId="0" borderId="0" xfId="2" applyNumberFormat="1" applyFont="1" applyAlignment="1">
      <alignment horizontal="center"/>
    </xf>
    <xf numFmtId="0" fontId="3" fillId="3" borderId="0" xfId="0" applyFont="1" applyFill="1" applyBorder="1" applyAlignment="1"/>
    <xf numFmtId="0" fontId="3" fillId="3" borderId="4" xfId="0" applyFont="1" applyFill="1" applyBorder="1" applyAlignment="1"/>
    <xf numFmtId="43" fontId="3" fillId="0" borderId="0" xfId="0" applyNumberFormat="1" applyFont="1" applyAlignment="1">
      <alignment horizontal="center"/>
    </xf>
    <xf numFmtId="43" fontId="8" fillId="2" borderId="0" xfId="1" applyFont="1" applyFill="1"/>
    <xf numFmtId="168" fontId="8" fillId="2" borderId="0" xfId="1" applyNumberFormat="1" applyFont="1" applyFill="1"/>
    <xf numFmtId="0" fontId="3" fillId="2" borderId="0" xfId="0" applyFont="1" applyFill="1"/>
    <xf numFmtId="10" fontId="3" fillId="0" borderId="0" xfId="3" applyNumberFormat="1" applyFont="1" applyFill="1" applyAlignment="1"/>
    <xf numFmtId="43" fontId="3" fillId="0" borderId="0" xfId="0" applyNumberFormat="1" applyFont="1"/>
    <xf numFmtId="43" fontId="7" fillId="0" borderId="0" xfId="1" applyFont="1"/>
    <xf numFmtId="0" fontId="3" fillId="0" borderId="0" xfId="0" applyFont="1" applyFill="1" applyBorder="1"/>
    <xf numFmtId="167" fontId="8" fillId="2" borderId="0" xfId="0" applyNumberFormat="1" applyFont="1" applyFill="1"/>
    <xf numFmtId="0" fontId="8" fillId="0" borderId="0" xfId="0" applyFont="1" applyAlignment="1"/>
    <xf numFmtId="171" fontId="5" fillId="0" borderId="0" xfId="1" applyNumberFormat="1" applyFont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2" fontId="3" fillId="0" borderId="0" xfId="2" applyNumberFormat="1" applyFont="1"/>
    <xf numFmtId="0" fontId="2" fillId="0" borderId="4" xfId="0" applyFont="1" applyBorder="1" applyAlignment="1">
      <alignment horizontal="right"/>
    </xf>
    <xf numFmtId="164" fontId="4" fillId="0" borderId="0" xfId="1" applyNumberFormat="1" applyFont="1" applyFill="1"/>
    <xf numFmtId="165" fontId="4" fillId="0" borderId="0" xfId="2" applyNumberFormat="1" applyFont="1" applyFill="1"/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0" fontId="7" fillId="0" borderId="0" xfId="0" applyFont="1" applyAlignment="1">
      <alignment horizontal="left"/>
    </xf>
    <xf numFmtId="165" fontId="3" fillId="0" borderId="0" xfId="2" applyNumberFormat="1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3" fillId="0" borderId="2" xfId="0" applyFont="1" applyBorder="1"/>
    <xf numFmtId="165" fontId="3" fillId="0" borderId="2" xfId="2" applyNumberFormat="1" applyFont="1" applyBorder="1"/>
    <xf numFmtId="10" fontId="3" fillId="0" borderId="2" xfId="3" applyNumberFormat="1" applyFont="1" applyBorder="1"/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43" fontId="7" fillId="0" borderId="0" xfId="1" applyFont="1" applyAlignment="1">
      <alignment horizontal="center"/>
    </xf>
    <xf numFmtId="173" fontId="3" fillId="0" borderId="0" xfId="0" applyNumberFormat="1" applyFont="1"/>
    <xf numFmtId="0" fontId="7" fillId="0" borderId="0" xfId="0" applyFont="1"/>
    <xf numFmtId="173" fontId="3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6" borderId="0" xfId="0" applyFont="1" applyFill="1"/>
    <xf numFmtId="0" fontId="13" fillId="6" borderId="0" xfId="0" applyFont="1" applyFill="1" applyAlignment="1">
      <alignment horizontal="right"/>
    </xf>
    <xf numFmtId="0" fontId="2" fillId="6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3" fillId="6" borderId="0" xfId="0" applyFont="1" applyFill="1"/>
    <xf numFmtId="0" fontId="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/>
    </xf>
    <xf numFmtId="165" fontId="3" fillId="6" borderId="0" xfId="0" applyNumberFormat="1" applyFont="1" applyFill="1" applyAlignment="1">
      <alignment horizontal="center"/>
    </xf>
    <xf numFmtId="174" fontId="3" fillId="6" borderId="0" xfId="3" applyNumberFormat="1" applyFont="1" applyFill="1" applyAlignment="1">
      <alignment horizontal="right"/>
    </xf>
    <xf numFmtId="174" fontId="3" fillId="6" borderId="0" xfId="0" applyNumberFormat="1" applyFont="1" applyFill="1" applyAlignment="1">
      <alignment horizontal="center"/>
    </xf>
    <xf numFmtId="10" fontId="3" fillId="6" borderId="0" xfId="0" applyNumberFormat="1" applyFont="1" applyFill="1" applyAlignment="1">
      <alignment horizontal="center"/>
    </xf>
    <xf numFmtId="165" fontId="5" fillId="6" borderId="0" xfId="0" applyNumberFormat="1" applyFont="1" applyFill="1" applyAlignment="1">
      <alignment horizontal="center"/>
    </xf>
    <xf numFmtId="165" fontId="3" fillId="6" borderId="2" xfId="2" applyNumberFormat="1" applyFont="1" applyFill="1" applyBorder="1" applyAlignment="1"/>
    <xf numFmtId="165" fontId="3" fillId="6" borderId="2" xfId="0" applyNumberFormat="1" applyFont="1" applyFill="1" applyBorder="1" applyAlignment="1">
      <alignment horizontal="center"/>
    </xf>
    <xf numFmtId="10" fontId="3" fillId="6" borderId="2" xfId="0" applyNumberFormat="1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10" fontId="4" fillId="7" borderId="0" xfId="3" applyNumberFormat="1" applyFont="1" applyFill="1"/>
    <xf numFmtId="0" fontId="3" fillId="5" borderId="0" xfId="0" applyFont="1" applyFill="1"/>
    <xf numFmtId="167" fontId="14" fillId="0" borderId="0" xfId="0" applyNumberFormat="1" applyFont="1"/>
    <xf numFmtId="0" fontId="3" fillId="8" borderId="0" xfId="0" applyFont="1" applyFill="1"/>
    <xf numFmtId="164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right"/>
    </xf>
    <xf numFmtId="165" fontId="3" fillId="4" borderId="0" xfId="0" applyNumberFormat="1" applyFont="1" applyFill="1"/>
    <xf numFmtId="171" fontId="7" fillId="0" borderId="0" xfId="1" applyNumberFormat="1" applyFont="1" applyAlignment="1">
      <alignment vertical="center"/>
    </xf>
    <xf numFmtId="168" fontId="4" fillId="0" borderId="0" xfId="1" applyNumberFormat="1" applyFont="1"/>
    <xf numFmtId="0" fontId="2" fillId="0" borderId="4" xfId="0" applyFont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1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7"/>
  <sheetViews>
    <sheetView zoomScale="75" zoomScaleNormal="75" workbookViewId="0">
      <selection activeCell="A6" sqref="A6"/>
    </sheetView>
  </sheetViews>
  <sheetFormatPr defaultColWidth="8.88671875" defaultRowHeight="13.2" x14ac:dyDescent="0.25"/>
  <cols>
    <col min="1" max="1" width="9" style="2" bestFit="1" customWidth="1"/>
    <col min="2" max="2" width="40.109375" style="2" bestFit="1" customWidth="1"/>
    <col min="3" max="3" width="7.33203125" style="2" bestFit="1" customWidth="1"/>
    <col min="4" max="4" width="15.109375" style="2" customWidth="1"/>
    <col min="5" max="5" width="14.88671875" style="2" customWidth="1"/>
    <col min="6" max="6" width="10.33203125" style="2" customWidth="1"/>
    <col min="7" max="7" width="16" style="2" bestFit="1" customWidth="1"/>
    <col min="8" max="8" width="10.5546875" style="2" customWidth="1"/>
    <col min="9" max="9" width="14.6640625" style="2" customWidth="1"/>
    <col min="10" max="10" width="14.5546875" style="2" bestFit="1" customWidth="1"/>
    <col min="11" max="11" width="10.6640625" style="2" customWidth="1"/>
    <col min="12" max="12" width="14.5546875" style="2" customWidth="1"/>
    <col min="13" max="13" width="7" style="2" bestFit="1" customWidth="1"/>
    <col min="14" max="14" width="7" style="2" customWidth="1"/>
    <col min="15" max="15" width="10" style="2" bestFit="1" customWidth="1"/>
    <col min="16" max="16" width="8.88671875" style="2"/>
    <col min="17" max="17" width="9" style="2" bestFit="1" customWidth="1"/>
    <col min="18" max="18" width="14.5546875" style="2" customWidth="1"/>
    <col min="19" max="19" width="15.109375" style="2" customWidth="1"/>
    <col min="20" max="20" width="15.5546875" style="2" bestFit="1" customWidth="1"/>
    <col min="21" max="21" width="15.21875" style="2" bestFit="1" customWidth="1"/>
    <col min="22" max="16384" width="8.88671875" style="2"/>
  </cols>
  <sheetData>
    <row r="1" spans="1:22" x14ac:dyDescent="0.25">
      <c r="A1" s="1" t="s">
        <v>44</v>
      </c>
    </row>
    <row r="2" spans="1:22" x14ac:dyDescent="0.25">
      <c r="A2" s="1" t="s">
        <v>0</v>
      </c>
    </row>
    <row r="3" spans="1:22" x14ac:dyDescent="0.25">
      <c r="A3" s="1"/>
    </row>
    <row r="4" spans="1:22" x14ac:dyDescent="0.25">
      <c r="A4" s="1"/>
      <c r="K4" s="46" t="s">
        <v>41</v>
      </c>
      <c r="L4" s="3">
        <v>4707979</v>
      </c>
    </row>
    <row r="5" spans="1:22" x14ac:dyDescent="0.25">
      <c r="K5" s="46" t="s">
        <v>82</v>
      </c>
      <c r="L5" s="3">
        <v>292114</v>
      </c>
      <c r="M5" s="6"/>
      <c r="N5" s="6"/>
    </row>
    <row r="6" spans="1:22" x14ac:dyDescent="0.25">
      <c r="B6" s="4"/>
      <c r="C6" s="4"/>
      <c r="K6" s="46" t="s">
        <v>83</v>
      </c>
      <c r="L6" s="81">
        <f>L4-L5</f>
        <v>4415865</v>
      </c>
      <c r="M6" s="6"/>
      <c r="N6" s="6"/>
    </row>
    <row r="7" spans="1:22" x14ac:dyDescent="0.25">
      <c r="M7" s="6"/>
      <c r="N7" s="6"/>
      <c r="R7" s="156" t="s">
        <v>114</v>
      </c>
      <c r="S7" s="157"/>
      <c r="T7" s="156"/>
      <c r="U7" s="156"/>
      <c r="V7" s="156"/>
    </row>
    <row r="8" spans="1:22" s="14" customFormat="1" ht="31.95" customHeight="1" x14ac:dyDescent="0.25">
      <c r="A8" s="12" t="s">
        <v>1</v>
      </c>
      <c r="B8" s="12" t="s">
        <v>2</v>
      </c>
      <c r="C8" s="12" t="s">
        <v>11</v>
      </c>
      <c r="D8" s="15" t="s">
        <v>21</v>
      </c>
      <c r="E8" s="15" t="s">
        <v>3</v>
      </c>
      <c r="F8" s="15" t="s">
        <v>22</v>
      </c>
      <c r="G8" s="15" t="s">
        <v>36</v>
      </c>
      <c r="H8" s="15" t="s">
        <v>37</v>
      </c>
      <c r="I8" s="15" t="s">
        <v>38</v>
      </c>
      <c r="J8" s="15" t="s">
        <v>4</v>
      </c>
      <c r="K8" s="15" t="s">
        <v>24</v>
      </c>
      <c r="L8" s="15" t="s">
        <v>87</v>
      </c>
      <c r="M8" s="13" t="s">
        <v>85</v>
      </c>
      <c r="N8" s="13" t="s">
        <v>86</v>
      </c>
      <c r="O8" s="15" t="s">
        <v>40</v>
      </c>
      <c r="R8" s="158" t="s">
        <v>115</v>
      </c>
      <c r="S8" s="159"/>
      <c r="T8" s="160" t="s">
        <v>90</v>
      </c>
      <c r="U8" s="161"/>
      <c r="V8" s="162" t="s">
        <v>116</v>
      </c>
    </row>
    <row r="9" spans="1:22" s="87" customFormat="1" x14ac:dyDescent="0.25">
      <c r="A9" s="5">
        <v>1</v>
      </c>
      <c r="B9" s="83" t="s">
        <v>5</v>
      </c>
      <c r="C9" s="83"/>
      <c r="D9" s="83"/>
      <c r="E9" s="84"/>
      <c r="F9" s="85"/>
      <c r="G9" s="85"/>
      <c r="H9" s="14"/>
      <c r="I9" s="14"/>
      <c r="J9" s="84"/>
      <c r="K9" s="85"/>
      <c r="L9" s="84"/>
      <c r="M9" s="86"/>
      <c r="N9" s="86"/>
      <c r="Q9" s="174"/>
      <c r="R9" s="163"/>
      <c r="S9" s="164"/>
      <c r="T9" s="165"/>
      <c r="U9" s="165"/>
      <c r="V9" s="165"/>
    </row>
    <row r="10" spans="1:22" s="87" customFormat="1" x14ac:dyDescent="0.25">
      <c r="A10" s="5">
        <f>A9+1</f>
        <v>2</v>
      </c>
      <c r="B10" s="87" t="str">
        <f>'Billing Detail'!B7</f>
        <v>Residential , Farm &amp; Non-Farm</v>
      </c>
      <c r="C10" s="30" t="str">
        <f>'Billing Detail'!C7</f>
        <v>GS-1</v>
      </c>
      <c r="D10" s="88">
        <f>'Billing Detail'!G10</f>
        <v>80001205.266179994</v>
      </c>
      <c r="E10" s="88">
        <f>'Billing Detail'!I10</f>
        <v>78668941.621380001</v>
      </c>
      <c r="F10" s="86">
        <f t="shared" ref="F10:F20" si="0">E10/E$20</f>
        <v>0.72053044818256939</v>
      </c>
      <c r="G10" s="116">
        <f>R10</f>
        <v>78267191.003399998</v>
      </c>
      <c r="H10" s="86">
        <f t="shared" ref="H10:H19" si="1">G10/G$20</f>
        <v>0.7167924013803143</v>
      </c>
      <c r="I10" s="90">
        <f>ROUND(L$6*H10,2)</f>
        <v>3165258.48</v>
      </c>
      <c r="J10" s="88">
        <f>'Billing Detail'!M10</f>
        <v>81830990.169065997</v>
      </c>
      <c r="K10" s="86">
        <f t="shared" ref="K10:K20" si="2">J10/J$20</f>
        <v>0.72033283237676415</v>
      </c>
      <c r="L10" s="88">
        <f>'Billing Detail'!N10</f>
        <v>3162048.5476859957</v>
      </c>
      <c r="M10" s="86">
        <f>IF(E10=0,0,L10/E10)</f>
        <v>4.0194370008235121E-2</v>
      </c>
      <c r="N10" s="86">
        <f>'Billing Detail'!O16</f>
        <v>3.6643787076428624E-2</v>
      </c>
      <c r="O10" s="91">
        <f>J10-I10-E10</f>
        <v>-3209.9323140084743</v>
      </c>
      <c r="Q10" s="165" t="str">
        <f>C10</f>
        <v>GS-1</v>
      </c>
      <c r="R10" s="166">
        <v>78267191.003399998</v>
      </c>
      <c r="S10" s="167">
        <f>R10/R$20</f>
        <v>0.7167924013803143</v>
      </c>
      <c r="T10" s="166">
        <f>E10</f>
        <v>78668941.621380001</v>
      </c>
      <c r="U10" s="168">
        <f>T10/T$20</f>
        <v>0.72053044818256939</v>
      </c>
      <c r="V10" s="169">
        <f>U10-S10</f>
        <v>3.7380468022550906E-3</v>
      </c>
    </row>
    <row r="11" spans="1:22" s="87" customFormat="1" x14ac:dyDescent="0.25">
      <c r="A11" s="5">
        <f t="shared" ref="A11:A18" si="3">A10+1</f>
        <v>3</v>
      </c>
      <c r="B11" s="87" t="str">
        <f>'Billing Detail'!B19</f>
        <v>Residential Off Peak ETS</v>
      </c>
      <c r="C11" s="30" t="str">
        <f>'Billing Detail'!C19</f>
        <v>GS-2</v>
      </c>
      <c r="D11" s="88">
        <f>'Billing Detail'!G24</f>
        <v>27084.259259999999</v>
      </c>
      <c r="E11" s="88">
        <f>'Billing Detail'!I24</f>
        <v>26920.756860000001</v>
      </c>
      <c r="F11" s="86">
        <f t="shared" si="0"/>
        <v>2.4656776366847882E-4</v>
      </c>
      <c r="G11" s="116">
        <f t="shared" ref="G11:G19" si="4">R11</f>
        <v>0</v>
      </c>
      <c r="H11" s="86">
        <f t="shared" si="1"/>
        <v>0</v>
      </c>
      <c r="I11" s="90">
        <f t="shared" ref="I11:I19" si="5">ROUND(L$6*H11,2)</f>
        <v>0</v>
      </c>
      <c r="J11" s="88">
        <f>'Billing Detail'!M24</f>
        <v>28010.618549999999</v>
      </c>
      <c r="K11" s="86">
        <f t="shared" si="2"/>
        <v>2.4656878958766393E-4</v>
      </c>
      <c r="L11" s="88">
        <f>'Billing Detail'!N24</f>
        <v>1089.8616899999979</v>
      </c>
      <c r="M11" s="86">
        <f t="shared" ref="M11:M19" si="6">IF(E11=0,0,L11/E11)</f>
        <v>4.0484065721768783E-2</v>
      </c>
      <c r="N11" s="86">
        <f>'Billing Detail'!O30</f>
        <v>3.6548563511050132E-2</v>
      </c>
      <c r="O11" s="91">
        <f t="shared" ref="O11:O20" si="7">J11-I11-E11</f>
        <v>1089.8616899999979</v>
      </c>
      <c r="Q11" s="165" t="str">
        <f t="shared" ref="Q11:Q19" si="8">C11</f>
        <v>GS-2</v>
      </c>
      <c r="R11" s="166"/>
      <c r="S11" s="167">
        <f t="shared" ref="S11:S20" si="9">R11/R$20</f>
        <v>0</v>
      </c>
      <c r="T11" s="166">
        <f t="shared" ref="T11:T19" si="10">E11</f>
        <v>26920.756860000001</v>
      </c>
      <c r="U11" s="168">
        <f t="shared" ref="U11:U20" si="11">T11/T$20</f>
        <v>2.4656776366847882E-4</v>
      </c>
      <c r="V11" s="169">
        <f t="shared" ref="V11:V20" si="12">U11-S11</f>
        <v>2.4656776366847882E-4</v>
      </c>
    </row>
    <row r="12" spans="1:22" s="87" customFormat="1" x14ac:dyDescent="0.25">
      <c r="A12" s="5">
        <f t="shared" si="3"/>
        <v>4</v>
      </c>
      <c r="B12" s="87" t="str">
        <f>'Billing Detail'!B33</f>
        <v>Residential Time of Day</v>
      </c>
      <c r="C12" s="30" t="str">
        <f>'Billing Detail'!C33</f>
        <v>GS-3</v>
      </c>
      <c r="D12" s="88">
        <f>'Billing Detail'!G37</f>
        <v>33667.636299999998</v>
      </c>
      <c r="E12" s="88">
        <f>'Billing Detail'!I37</f>
        <v>33071.330699999999</v>
      </c>
      <c r="F12" s="86">
        <f t="shared" si="0"/>
        <v>3.0290099549005426E-4</v>
      </c>
      <c r="G12" s="116">
        <f t="shared" si="4"/>
        <v>38504.946759999999</v>
      </c>
      <c r="H12" s="86">
        <f t="shared" si="1"/>
        <v>3.5263886309555402E-4</v>
      </c>
      <c r="I12" s="90">
        <f t="shared" si="5"/>
        <v>1557.21</v>
      </c>
      <c r="J12" s="88">
        <f>'Billing Detail'!M37</f>
        <v>34629.861722999995</v>
      </c>
      <c r="K12" s="86">
        <f t="shared" si="2"/>
        <v>3.0483593475047639E-4</v>
      </c>
      <c r="L12" s="88">
        <f>'Billing Detail'!N37</f>
        <v>1558.5310229999959</v>
      </c>
      <c r="M12" s="86">
        <f t="shared" si="6"/>
        <v>4.7126347504365645E-2</v>
      </c>
      <c r="N12" s="86">
        <f>'Billing Detail'!O43</f>
        <v>4.3658060011188625E-2</v>
      </c>
      <c r="O12" s="91">
        <f t="shared" si="7"/>
        <v>1.3210229999967851</v>
      </c>
      <c r="Q12" s="165" t="str">
        <f t="shared" si="8"/>
        <v>GS-3</v>
      </c>
      <c r="R12" s="166">
        <v>38504.946759999999</v>
      </c>
      <c r="S12" s="167">
        <f t="shared" si="9"/>
        <v>3.5263886309555402E-4</v>
      </c>
      <c r="T12" s="166">
        <f t="shared" si="10"/>
        <v>33071.330699999999</v>
      </c>
      <c r="U12" s="168">
        <f t="shared" si="11"/>
        <v>3.0290099549005426E-4</v>
      </c>
      <c r="V12" s="169">
        <f t="shared" si="12"/>
        <v>-4.9737867605499761E-5</v>
      </c>
    </row>
    <row r="13" spans="1:22" s="87" customFormat="1" x14ac:dyDescent="0.25">
      <c r="A13" s="5">
        <f t="shared" si="3"/>
        <v>5</v>
      </c>
      <c r="B13" s="87" t="str">
        <f>'Billing Detail'!B46</f>
        <v>Small Commercial (0-100 kW)</v>
      </c>
      <c r="C13" s="30" t="str">
        <f>'Billing Detail'!C46</f>
        <v>SC-1</v>
      </c>
      <c r="D13" s="88">
        <f>'Billing Detail'!G50</f>
        <v>8882404.8224999998</v>
      </c>
      <c r="E13" s="88">
        <f>'Billing Detail'!I50</f>
        <v>8757605.7664999999</v>
      </c>
      <c r="F13" s="86">
        <f t="shared" si="0"/>
        <v>8.0211090652674885E-2</v>
      </c>
      <c r="G13" s="116">
        <f t="shared" si="4"/>
        <v>8259770.633750001</v>
      </c>
      <c r="H13" s="86">
        <f t="shared" si="1"/>
        <v>7.5645244853096483E-2</v>
      </c>
      <c r="I13" s="90">
        <f t="shared" si="5"/>
        <v>334039.19</v>
      </c>
      <c r="J13" s="88">
        <f>'Billing Detail'!M50</f>
        <v>9090663.7470790017</v>
      </c>
      <c r="K13" s="86">
        <f t="shared" si="2"/>
        <v>8.0022294140510056E-2</v>
      </c>
      <c r="L13" s="88">
        <f>'Billing Detail'!N50</f>
        <v>333057.98057900183</v>
      </c>
      <c r="M13" s="86">
        <f t="shared" si="6"/>
        <v>3.8030711756063589E-2</v>
      </c>
      <c r="N13" s="86">
        <f>'Billing Detail'!O56</f>
        <v>3.4950375527264321E-2</v>
      </c>
      <c r="O13" s="91">
        <f t="shared" si="7"/>
        <v>-981.20942099764943</v>
      </c>
      <c r="Q13" s="165" t="str">
        <f t="shared" si="8"/>
        <v>SC-1</v>
      </c>
      <c r="R13" s="166">
        <v>8259770.633750001</v>
      </c>
      <c r="S13" s="167">
        <f t="shared" si="9"/>
        <v>7.5645244853096483E-2</v>
      </c>
      <c r="T13" s="166">
        <f t="shared" si="10"/>
        <v>8757605.7664999999</v>
      </c>
      <c r="U13" s="168">
        <f t="shared" si="11"/>
        <v>8.0211090652674885E-2</v>
      </c>
      <c r="V13" s="169">
        <f t="shared" si="12"/>
        <v>4.5658457995784024E-3</v>
      </c>
    </row>
    <row r="14" spans="1:22" s="87" customFormat="1" x14ac:dyDescent="0.25">
      <c r="A14" s="5">
        <f t="shared" si="3"/>
        <v>6</v>
      </c>
      <c r="B14" s="87" t="str">
        <f>'Billing Detail'!B59</f>
        <v>General Service 0-100 KW Time of Day Rate</v>
      </c>
      <c r="C14" s="30" t="str">
        <f>'Billing Detail'!C59</f>
        <v>SC-2</v>
      </c>
      <c r="D14" s="88">
        <f>'Billing Detail'!G63</f>
        <v>146124.85649999999</v>
      </c>
      <c r="E14" s="88">
        <f>'Billing Detail'!I63</f>
        <v>144000.75090000001</v>
      </c>
      <c r="F14" s="86">
        <f t="shared" si="0"/>
        <v>1.3189058279691581E-3</v>
      </c>
      <c r="G14" s="116">
        <f t="shared" si="4"/>
        <v>80983.866999999998</v>
      </c>
      <c r="H14" s="86">
        <f t="shared" si="1"/>
        <v>7.4167246525395675E-4</v>
      </c>
      <c r="I14" s="90">
        <f>ROUND(L$6*H14,2)</f>
        <v>3275.13</v>
      </c>
      <c r="J14" s="88">
        <f>'Billing Detail'!M63</f>
        <v>147275.900826</v>
      </c>
      <c r="K14" s="86">
        <f t="shared" si="2"/>
        <v>1.2964240877893665E-3</v>
      </c>
      <c r="L14" s="88">
        <f>'Billing Detail'!N63</f>
        <v>3275.1499259999837</v>
      </c>
      <c r="M14" s="86">
        <f>IF(E14=0,0,L14/E14)</f>
        <v>2.2743978107964042E-2</v>
      </c>
      <c r="N14" s="86">
        <f>'Billing Detail'!O69</f>
        <v>2.0828623252265463E-2</v>
      </c>
      <c r="O14" s="91">
        <f>J14-I14-E14</f>
        <v>1.992599997902289E-2</v>
      </c>
      <c r="Q14" s="165" t="str">
        <f t="shared" si="8"/>
        <v>SC-2</v>
      </c>
      <c r="R14" s="166">
        <v>80983.866999999998</v>
      </c>
      <c r="S14" s="167">
        <f t="shared" si="9"/>
        <v>7.4167246525395675E-4</v>
      </c>
      <c r="T14" s="166">
        <f t="shared" si="10"/>
        <v>144000.75090000001</v>
      </c>
      <c r="U14" s="168">
        <f t="shared" si="11"/>
        <v>1.3189058279691581E-3</v>
      </c>
      <c r="V14" s="169">
        <f t="shared" si="12"/>
        <v>5.7723336271520132E-4</v>
      </c>
    </row>
    <row r="15" spans="1:22" s="87" customFormat="1" x14ac:dyDescent="0.25">
      <c r="A15" s="5">
        <f t="shared" si="3"/>
        <v>7</v>
      </c>
      <c r="B15" s="87" t="str">
        <f>'Billing Detail'!B72</f>
        <v>Large Power (101 - 500 kW)</v>
      </c>
      <c r="C15" s="30" t="str">
        <f>'Billing Detail'!C72</f>
        <v>LP-1</v>
      </c>
      <c r="D15" s="88">
        <f>'Billing Detail'!G78</f>
        <v>2956630.2665599999</v>
      </c>
      <c r="E15" s="88">
        <f>'Billing Detail'!I78</f>
        <v>2897593.5753599997</v>
      </c>
      <c r="F15" s="86">
        <f t="shared" si="0"/>
        <v>2.653911892641591E-2</v>
      </c>
      <c r="G15" s="116">
        <f t="shared" si="4"/>
        <v>3052922.6646399996</v>
      </c>
      <c r="H15" s="86">
        <f t="shared" si="1"/>
        <v>2.7959503081190572E-2</v>
      </c>
      <c r="I15" s="90">
        <f t="shared" ref="I15" si="13">ROUND(L$6*H15,2)</f>
        <v>123465.39</v>
      </c>
      <c r="J15" s="88">
        <f>'Billing Detail'!M78</f>
        <v>3028441.1670309687</v>
      </c>
      <c r="K15" s="86">
        <f t="shared" si="2"/>
        <v>2.6658428536997746E-2</v>
      </c>
      <c r="L15" s="88">
        <f>'Billing Detail'!N78</f>
        <v>130847.59167096904</v>
      </c>
      <c r="M15" s="86">
        <f t="shared" ref="M15" si="14">IF(E15=0,0,L15/E15)</f>
        <v>4.5157330822253913E-2</v>
      </c>
      <c r="N15" s="86">
        <f>'Billing Detail'!O84</f>
        <v>4.1983168421753161E-2</v>
      </c>
      <c r="O15" s="91">
        <f t="shared" ref="O15" si="15">J15-I15-E15</f>
        <v>7382.2016709689051</v>
      </c>
      <c r="Q15" s="165" t="str">
        <f t="shared" si="8"/>
        <v>LP-1</v>
      </c>
      <c r="R15" s="166">
        <v>3052922.6646399996</v>
      </c>
      <c r="S15" s="167">
        <f t="shared" si="9"/>
        <v>2.7959503081190572E-2</v>
      </c>
      <c r="T15" s="166">
        <f t="shared" si="10"/>
        <v>2897593.5753599997</v>
      </c>
      <c r="U15" s="168">
        <f t="shared" si="11"/>
        <v>2.653911892641591E-2</v>
      </c>
      <c r="V15" s="169">
        <f t="shared" si="12"/>
        <v>-1.4203841547746621E-3</v>
      </c>
    </row>
    <row r="16" spans="1:22" s="87" customFormat="1" x14ac:dyDescent="0.25">
      <c r="A16" s="5">
        <f t="shared" si="3"/>
        <v>8</v>
      </c>
      <c r="B16" s="87" t="str">
        <f>'Billing Detail'!B87</f>
        <v>Large Power (over 500 kW)</v>
      </c>
      <c r="C16" s="30" t="str">
        <f>'Billing Detail'!C87</f>
        <v>LP-2</v>
      </c>
      <c r="D16" s="88">
        <f>'Billing Detail'!G92</f>
        <v>5611207.0406400003</v>
      </c>
      <c r="E16" s="88">
        <f>'Billing Detail'!I92</f>
        <v>5484399.1910399999</v>
      </c>
      <c r="F16" s="86">
        <f t="shared" si="0"/>
        <v>5.0231724562291781E-2</v>
      </c>
      <c r="G16" s="116">
        <f t="shared" si="4"/>
        <v>5579013.4770950004</v>
      </c>
      <c r="H16" s="86">
        <f t="shared" si="1"/>
        <v>5.1094135567051877E-2</v>
      </c>
      <c r="I16" s="90">
        <f t="shared" si="5"/>
        <v>225624.8</v>
      </c>
      <c r="J16" s="88">
        <f>'Billing Detail'!M92</f>
        <v>5710003.0689920001</v>
      </c>
      <c r="K16" s="86">
        <f t="shared" si="2"/>
        <v>5.0263386463602532E-2</v>
      </c>
      <c r="L16" s="88">
        <f>'Billing Detail'!N92</f>
        <v>225603.87795199995</v>
      </c>
      <c r="M16" s="86">
        <f t="shared" si="6"/>
        <v>4.1135568381049765E-2</v>
      </c>
      <c r="N16" s="86">
        <f>'Billing Detail'!O98</f>
        <v>3.8304145843445547E-2</v>
      </c>
      <c r="O16" s="91">
        <f t="shared" si="7"/>
        <v>-20.922047999687493</v>
      </c>
      <c r="Q16" s="165" t="str">
        <f t="shared" si="8"/>
        <v>LP-2</v>
      </c>
      <c r="R16" s="166">
        <v>5579013.4770950004</v>
      </c>
      <c r="S16" s="167">
        <f t="shared" si="9"/>
        <v>5.1094135567051877E-2</v>
      </c>
      <c r="T16" s="166">
        <f t="shared" si="10"/>
        <v>5484399.1910399999</v>
      </c>
      <c r="U16" s="168">
        <f t="shared" si="11"/>
        <v>5.0231724562291781E-2</v>
      </c>
      <c r="V16" s="169">
        <f t="shared" si="12"/>
        <v>-8.6241100476009552E-4</v>
      </c>
    </row>
    <row r="17" spans="1:22" s="87" customFormat="1" x14ac:dyDescent="0.25">
      <c r="A17" s="5">
        <f t="shared" si="3"/>
        <v>9</v>
      </c>
      <c r="B17" s="87" t="str">
        <f>'Billing Detail'!B101</f>
        <v>Large Industrial (1,000 - 3,999 kW)</v>
      </c>
      <c r="C17" s="30" t="str">
        <f>'Billing Detail'!C101</f>
        <v>B-1</v>
      </c>
      <c r="D17" s="88">
        <f>'Billing Detail'!G106</f>
        <v>0</v>
      </c>
      <c r="E17" s="88">
        <f>'Billing Detail'!I106</f>
        <v>0</v>
      </c>
      <c r="F17" s="86">
        <f t="shared" si="0"/>
        <v>0</v>
      </c>
      <c r="G17" s="116">
        <f t="shared" si="4"/>
        <v>0</v>
      </c>
      <c r="H17" s="86">
        <f t="shared" si="1"/>
        <v>0</v>
      </c>
      <c r="I17" s="90">
        <f t="shared" si="5"/>
        <v>0</v>
      </c>
      <c r="J17" s="88">
        <f>'Billing Detail'!M106</f>
        <v>0</v>
      </c>
      <c r="K17" s="86">
        <f t="shared" si="2"/>
        <v>0</v>
      </c>
      <c r="L17" s="88">
        <f>'Billing Detail'!N106</f>
        <v>0</v>
      </c>
      <c r="M17" s="86">
        <f t="shared" ref="M17:M18" si="16">IF(E17=0,0,L17/E17)</f>
        <v>0</v>
      </c>
      <c r="N17" s="123">
        <f>'Billing Detail'!O112</f>
        <v>0</v>
      </c>
      <c r="O17" s="91">
        <f t="shared" si="7"/>
        <v>0</v>
      </c>
      <c r="Q17" s="165" t="str">
        <f t="shared" si="8"/>
        <v>B-1</v>
      </c>
      <c r="R17" s="170"/>
      <c r="S17" s="167">
        <f t="shared" si="9"/>
        <v>0</v>
      </c>
      <c r="T17" s="166">
        <f t="shared" si="10"/>
        <v>0</v>
      </c>
      <c r="U17" s="168">
        <f t="shared" si="11"/>
        <v>0</v>
      </c>
      <c r="V17" s="169">
        <f t="shared" si="12"/>
        <v>0</v>
      </c>
    </row>
    <row r="18" spans="1:22" s="87" customFormat="1" x14ac:dyDescent="0.25">
      <c r="A18" s="5">
        <f t="shared" si="3"/>
        <v>10</v>
      </c>
      <c r="B18" s="87" t="str">
        <f>'Billing Detail'!B115</f>
        <v>Large Industrial (over 4,000 kW)</v>
      </c>
      <c r="C18" s="30" t="str">
        <f>'Billing Detail'!C115</f>
        <v>B-2</v>
      </c>
      <c r="D18" s="88">
        <f>'Billing Detail'!G121</f>
        <v>11238448.59584</v>
      </c>
      <c r="E18" s="88">
        <f>'Billing Detail'!I121</f>
        <v>10917288.77344</v>
      </c>
      <c r="F18" s="86">
        <f t="shared" si="0"/>
        <v>9.9991671563653461E-2</v>
      </c>
      <c r="G18" s="116">
        <f t="shared" si="4"/>
        <v>11707249.37466</v>
      </c>
      <c r="H18" s="86">
        <f t="shared" si="1"/>
        <v>0.1072182006947992</v>
      </c>
      <c r="I18" s="90">
        <f t="shared" si="5"/>
        <v>473461.1</v>
      </c>
      <c r="J18" s="88">
        <f>'Billing Detail'!M121</f>
        <v>11390940.739027999</v>
      </c>
      <c r="K18" s="86">
        <f t="shared" si="2"/>
        <v>0.10027091923276875</v>
      </c>
      <c r="L18" s="88">
        <f>'Billing Detail'!N121</f>
        <v>473651.96558799967</v>
      </c>
      <c r="M18" s="86">
        <f t="shared" si="16"/>
        <v>4.3385493909469393E-2</v>
      </c>
      <c r="N18" s="86">
        <f>'Billing Detail'!O127</f>
        <v>4.0979082251204703E-2</v>
      </c>
      <c r="O18" s="91">
        <f t="shared" si="7"/>
        <v>190.86558800004423</v>
      </c>
      <c r="Q18" s="165" t="str">
        <f t="shared" si="8"/>
        <v>B-2</v>
      </c>
      <c r="R18" s="166">
        <v>11707249.37466</v>
      </c>
      <c r="S18" s="167">
        <f t="shared" si="9"/>
        <v>0.1072182006947992</v>
      </c>
      <c r="T18" s="166">
        <f t="shared" si="10"/>
        <v>10917288.77344</v>
      </c>
      <c r="U18" s="168">
        <f t="shared" si="11"/>
        <v>9.9991671563653461E-2</v>
      </c>
      <c r="V18" s="169">
        <f t="shared" si="12"/>
        <v>-7.2265291311457425E-3</v>
      </c>
    </row>
    <row r="19" spans="1:22" s="87" customFormat="1" x14ac:dyDescent="0.25">
      <c r="A19" s="5">
        <f>A18+1</f>
        <v>11</v>
      </c>
      <c r="B19" s="87" t="str">
        <f>'Billing Detail'!B130</f>
        <v>Lighting</v>
      </c>
      <c r="C19" s="30" t="str">
        <f>'Billing Detail'!C130</f>
        <v>L</v>
      </c>
      <c r="D19" s="88">
        <f>'Billing Detail'!G150</f>
        <v>2260159.3199999998</v>
      </c>
      <c r="E19" s="88">
        <f>'Billing Detail'!I150</f>
        <v>2252159.12</v>
      </c>
      <c r="F19" s="86">
        <f t="shared" si="0"/>
        <v>2.0627571525266886E-2</v>
      </c>
      <c r="G19" s="116">
        <f t="shared" si="4"/>
        <v>2205241.1300000004</v>
      </c>
      <c r="H19" s="86">
        <f t="shared" si="1"/>
        <v>2.0196203095198231E-2</v>
      </c>
      <c r="I19" s="90">
        <f t="shared" si="5"/>
        <v>89183.71</v>
      </c>
      <c r="J19" s="88">
        <f>'Billing Detail'!M150</f>
        <v>2340683.4300000002</v>
      </c>
      <c r="K19" s="86">
        <f t="shared" si="2"/>
        <v>2.0604310437228872E-2</v>
      </c>
      <c r="L19" s="88">
        <f t="shared" ref="L19:L20" si="17">J19-E19</f>
        <v>88524.310000000056</v>
      </c>
      <c r="M19" s="86">
        <f t="shared" si="6"/>
        <v>3.9306418988725826E-2</v>
      </c>
      <c r="N19" s="86">
        <f>'Billing Detail'!O156</f>
        <v>3.9306418988725826E-2</v>
      </c>
      <c r="O19" s="91">
        <f t="shared" si="7"/>
        <v>-659.39999999990687</v>
      </c>
      <c r="Q19" s="165" t="str">
        <f t="shared" si="8"/>
        <v>L</v>
      </c>
      <c r="R19" s="166">
        <v>2205241.1300000004</v>
      </c>
      <c r="S19" s="167">
        <f t="shared" si="9"/>
        <v>2.0196203095198231E-2</v>
      </c>
      <c r="T19" s="166">
        <f t="shared" si="10"/>
        <v>2252159.12</v>
      </c>
      <c r="U19" s="168">
        <f t="shared" si="11"/>
        <v>2.0627571525266886E-2</v>
      </c>
      <c r="V19" s="169">
        <f t="shared" si="12"/>
        <v>4.3136843006865572E-4</v>
      </c>
    </row>
    <row r="20" spans="1:22" s="87" customFormat="1" ht="16.2" customHeight="1" x14ac:dyDescent="0.25">
      <c r="A20" s="5">
        <f>A19+1</f>
        <v>12</v>
      </c>
      <c r="B20" s="92" t="s">
        <v>81</v>
      </c>
      <c r="C20" s="92"/>
      <c r="D20" s="93">
        <f>SUM(D10:D19)</f>
        <v>111156932.06377998</v>
      </c>
      <c r="E20" s="93">
        <f>SUM(E10:E19)</f>
        <v>109181980.88618</v>
      </c>
      <c r="F20" s="94">
        <f t="shared" si="0"/>
        <v>1</v>
      </c>
      <c r="G20" s="93">
        <f>SUM(G10:G19)</f>
        <v>109190877.09730498</v>
      </c>
      <c r="H20" s="94">
        <v>1</v>
      </c>
      <c r="I20" s="93">
        <f>SUM(I10:I19)</f>
        <v>4415865.01</v>
      </c>
      <c r="J20" s="93">
        <f>SUM(J10:J19)</f>
        <v>113601638.70229501</v>
      </c>
      <c r="K20" s="94">
        <f t="shared" si="2"/>
        <v>1</v>
      </c>
      <c r="L20" s="93">
        <f t="shared" si="17"/>
        <v>4419657.8161150068</v>
      </c>
      <c r="M20" s="94">
        <f t="shared" ref="M20" si="18">L20/E20</f>
        <v>4.0479736493537428E-2</v>
      </c>
      <c r="N20" s="94"/>
      <c r="O20" s="95">
        <f t="shared" si="7"/>
        <v>3792.80611500144</v>
      </c>
      <c r="R20" s="171">
        <f>SUM(R10:R19)</f>
        <v>109190877.09730498</v>
      </c>
      <c r="S20" s="167">
        <f t="shared" si="9"/>
        <v>1</v>
      </c>
      <c r="T20" s="172">
        <f>SUM(T10:T19)</f>
        <v>109181980.88618</v>
      </c>
      <c r="U20" s="168">
        <f t="shared" si="11"/>
        <v>1</v>
      </c>
      <c r="V20" s="173">
        <f t="shared" si="12"/>
        <v>0</v>
      </c>
    </row>
    <row r="21" spans="1:22" s="87" customFormat="1" ht="16.2" customHeight="1" x14ac:dyDescent="0.25">
      <c r="A21" s="5">
        <f t="shared" ref="A21:A36" si="19">A20+1</f>
        <v>13</v>
      </c>
      <c r="B21" s="96"/>
      <c r="C21" s="96"/>
      <c r="D21" s="97"/>
      <c r="E21" s="97"/>
      <c r="F21" s="98"/>
      <c r="G21" s="97"/>
      <c r="H21" s="98"/>
      <c r="I21" s="97"/>
      <c r="J21" s="97"/>
      <c r="K21" s="98"/>
      <c r="L21" s="97"/>
      <c r="M21" s="98"/>
      <c r="N21" s="98"/>
      <c r="O21" s="99"/>
      <c r="R21" s="2"/>
      <c r="S21" s="2"/>
      <c r="T21" s="2"/>
      <c r="U21" s="2"/>
      <c r="V21" s="2"/>
    </row>
    <row r="22" spans="1:22" s="87" customFormat="1" ht="16.2" customHeight="1" x14ac:dyDescent="0.25">
      <c r="A22" s="5">
        <f t="shared" si="19"/>
        <v>14</v>
      </c>
      <c r="B22" s="96" t="str">
        <f>'Billing Detail'!B158</f>
        <v>Essity - EKPC Rate G</v>
      </c>
      <c r="C22" s="96" t="str">
        <f>'Billing Detail'!C158</f>
        <v>Special</v>
      </c>
      <c r="D22" s="97">
        <f>'Billing Detail'!G163</f>
        <v>5763981.0589040006</v>
      </c>
      <c r="E22" s="97">
        <f>'Billing Detail'!I163</f>
        <v>5063509.9883999992</v>
      </c>
      <c r="F22" s="98">
        <v>1</v>
      </c>
      <c r="G22" s="89">
        <f>L5</f>
        <v>292114</v>
      </c>
      <c r="H22" s="98">
        <v>1</v>
      </c>
      <c r="I22" s="97">
        <f>H22*G22</f>
        <v>292114</v>
      </c>
      <c r="J22" s="97">
        <f>'Billing Detail'!M163</f>
        <v>5357414.7955280002</v>
      </c>
      <c r="K22" s="98">
        <f>J22/J22</f>
        <v>1</v>
      </c>
      <c r="L22" s="97">
        <f>'Billing Detail'!N163</f>
        <v>293904.807128001</v>
      </c>
      <c r="M22" s="86">
        <f t="shared" ref="M22:M24" si="20">IF(E22=0,0,L22/E22)</f>
        <v>5.8043690602232023E-2</v>
      </c>
      <c r="N22" s="86">
        <f>'Billing Detail'!O169</f>
        <v>5.4536342809229116E-2</v>
      </c>
      <c r="O22" s="91">
        <f>J22-I22-E22</f>
        <v>1790.8071280010045</v>
      </c>
      <c r="R22" s="2"/>
      <c r="S22" s="2"/>
      <c r="T22" s="2"/>
      <c r="U22" s="2"/>
      <c r="V22" s="2"/>
    </row>
    <row r="23" spans="1:22" s="87" customFormat="1" ht="16.2" customHeight="1" x14ac:dyDescent="0.25">
      <c r="A23" s="5">
        <f t="shared" si="19"/>
        <v>15</v>
      </c>
      <c r="B23" s="96"/>
      <c r="C23" s="96"/>
      <c r="D23" s="97"/>
      <c r="E23" s="97"/>
      <c r="F23" s="98"/>
      <c r="G23" s="89"/>
      <c r="H23" s="98"/>
      <c r="I23" s="97"/>
      <c r="J23" s="97"/>
      <c r="K23" s="98"/>
      <c r="L23" s="97"/>
      <c r="M23" s="86"/>
      <c r="N23" s="86"/>
      <c r="O23" s="91"/>
      <c r="R23" s="2"/>
      <c r="S23" s="2"/>
      <c r="T23" s="2"/>
      <c r="U23" s="2"/>
      <c r="V23" s="2"/>
    </row>
    <row r="24" spans="1:22" s="87" customFormat="1" ht="16.2" customHeight="1" x14ac:dyDescent="0.25">
      <c r="A24" s="5">
        <f t="shared" si="19"/>
        <v>16</v>
      </c>
      <c r="B24" s="100" t="s">
        <v>80</v>
      </c>
      <c r="C24" s="100"/>
      <c r="D24" s="101">
        <f>D22+D20</f>
        <v>116920913.12268399</v>
      </c>
      <c r="E24" s="101">
        <f t="shared" ref="E24:L24" si="21">E22+E20</f>
        <v>114245490.87458</v>
      </c>
      <c r="F24" s="101"/>
      <c r="G24" s="101">
        <f t="shared" si="21"/>
        <v>109482991.09730498</v>
      </c>
      <c r="H24" s="101"/>
      <c r="I24" s="101">
        <f t="shared" si="21"/>
        <v>4707979.01</v>
      </c>
      <c r="J24" s="101">
        <f t="shared" si="21"/>
        <v>118959053.497823</v>
      </c>
      <c r="K24" s="101"/>
      <c r="L24" s="101">
        <f t="shared" si="21"/>
        <v>4713562.6232430078</v>
      </c>
      <c r="M24" s="102">
        <f t="shared" si="20"/>
        <v>4.125819397474173E-2</v>
      </c>
      <c r="N24" s="102"/>
      <c r="O24" s="103">
        <f t="shared" ref="O24" si="22">J24-I24-E24</f>
        <v>5583.6132429987192</v>
      </c>
    </row>
    <row r="25" spans="1:22" s="87" customFormat="1" ht="12.6" customHeight="1" x14ac:dyDescent="0.25">
      <c r="A25" s="5">
        <f t="shared" si="19"/>
        <v>17</v>
      </c>
      <c r="S25" s="88"/>
    </row>
    <row r="26" spans="1:22" s="87" customFormat="1" x14ac:dyDescent="0.25">
      <c r="A26" s="5">
        <f t="shared" si="19"/>
        <v>18</v>
      </c>
      <c r="B26" s="83" t="s">
        <v>7</v>
      </c>
      <c r="C26" s="83"/>
      <c r="D26" s="83"/>
    </row>
    <row r="27" spans="1:22" s="87" customFormat="1" x14ac:dyDescent="0.25">
      <c r="A27" s="5">
        <f t="shared" si="19"/>
        <v>19</v>
      </c>
      <c r="B27" s="87" t="str">
        <f>'Billing Detail'!D11</f>
        <v xml:space="preserve">    FAC</v>
      </c>
      <c r="D27" s="88">
        <f>'Billing Detail'!G175</f>
        <v>-5406675.29</v>
      </c>
      <c r="E27" s="88">
        <f>'Billing Detail'!I175</f>
        <v>-3262682.6740000001</v>
      </c>
      <c r="F27" s="104"/>
      <c r="G27" s="105"/>
      <c r="H27" s="105"/>
      <c r="I27" s="105"/>
      <c r="J27" s="88">
        <f>'Billing Detail'!M175</f>
        <v>-3262682.6740000001</v>
      </c>
      <c r="K27" s="106"/>
      <c r="L27" s="106"/>
      <c r="M27" s="105"/>
      <c r="N27" s="105"/>
    </row>
    <row r="28" spans="1:22" s="87" customFormat="1" x14ac:dyDescent="0.25">
      <c r="A28" s="5">
        <f t="shared" si="19"/>
        <v>20</v>
      </c>
      <c r="B28" s="87" t="str">
        <f>'Billing Detail'!D12</f>
        <v xml:space="preserve">    ES</v>
      </c>
      <c r="D28" s="88">
        <f>'Billing Detail'!G176</f>
        <v>12310611.730000002</v>
      </c>
      <c r="E28" s="88">
        <f>'Billing Detail'!I176</f>
        <v>12310611.730000002</v>
      </c>
      <c r="F28" s="105"/>
      <c r="G28" s="105"/>
      <c r="H28" s="105"/>
      <c r="I28" s="105"/>
      <c r="J28" s="88">
        <f>'Billing Detail'!M176</f>
        <v>12310611.730000002</v>
      </c>
      <c r="K28" s="106"/>
      <c r="L28" s="106"/>
      <c r="M28" s="105"/>
      <c r="N28" s="105"/>
    </row>
    <row r="29" spans="1:22" s="87" customFormat="1" x14ac:dyDescent="0.25">
      <c r="A29" s="5">
        <f t="shared" si="19"/>
        <v>21</v>
      </c>
      <c r="B29" s="87" t="str">
        <f>'Billing Detail'!D13</f>
        <v xml:space="preserve">    Prepay Daily Charges</v>
      </c>
      <c r="D29" s="88">
        <f>'Billing Detail'!G177</f>
        <v>956496.21</v>
      </c>
      <c r="E29" s="88">
        <f>'Billing Detail'!I177</f>
        <v>956496.21</v>
      </c>
      <c r="F29" s="105"/>
      <c r="G29" s="105"/>
      <c r="H29" s="105"/>
      <c r="I29" s="105"/>
      <c r="J29" s="88">
        <f>'Billing Detail'!M177</f>
        <v>956496.21</v>
      </c>
      <c r="K29" s="106"/>
      <c r="L29" s="106"/>
      <c r="M29" s="105"/>
      <c r="N29" s="105"/>
    </row>
    <row r="30" spans="1:22" s="87" customFormat="1" x14ac:dyDescent="0.25">
      <c r="A30" s="5">
        <f t="shared" si="19"/>
        <v>22</v>
      </c>
      <c r="B30" s="87" t="str">
        <f>'Billing Detail'!D14</f>
        <v xml:space="preserve">    Other</v>
      </c>
      <c r="D30" s="88">
        <f>'Billing Detail'!G178</f>
        <v>0</v>
      </c>
      <c r="E30" s="88">
        <f>'Billing Detail'!I178</f>
        <v>0</v>
      </c>
      <c r="F30" s="105"/>
      <c r="G30" s="105"/>
      <c r="H30" s="105"/>
      <c r="I30" s="105"/>
      <c r="J30" s="88">
        <f>'Billing Detail'!M178</f>
        <v>0</v>
      </c>
      <c r="K30" s="106"/>
      <c r="L30" s="106"/>
      <c r="M30" s="105"/>
      <c r="N30" s="118"/>
    </row>
    <row r="31" spans="1:22" s="87" customFormat="1" x14ac:dyDescent="0.25">
      <c r="A31" s="5">
        <f t="shared" si="19"/>
        <v>23</v>
      </c>
      <c r="B31" s="92" t="s">
        <v>8</v>
      </c>
      <c r="C31" s="92"/>
      <c r="D31" s="93">
        <f>SUM(D27:D30)</f>
        <v>7860432.6500000022</v>
      </c>
      <c r="E31" s="93">
        <f>SUM(E27:E30)</f>
        <v>10004425.266000003</v>
      </c>
      <c r="F31" s="107"/>
      <c r="G31" s="107"/>
      <c r="H31" s="107"/>
      <c r="I31" s="107"/>
      <c r="J31" s="93">
        <f>SUM(J27:J30)</f>
        <v>10004425.266000003</v>
      </c>
      <c r="K31" s="108"/>
      <c r="L31" s="108"/>
      <c r="M31" s="107"/>
      <c r="N31" s="117"/>
    </row>
    <row r="32" spans="1:22" s="87" customFormat="1" x14ac:dyDescent="0.25">
      <c r="A32" s="5">
        <f t="shared" si="19"/>
        <v>24</v>
      </c>
    </row>
    <row r="33" spans="1:14" s="87" customFormat="1" ht="18" customHeight="1" thickBot="1" x14ac:dyDescent="0.3">
      <c r="A33" s="5">
        <f t="shared" si="19"/>
        <v>25</v>
      </c>
      <c r="B33" s="109" t="s">
        <v>9</v>
      </c>
      <c r="C33" s="109"/>
      <c r="D33" s="110">
        <f>D24+D31</f>
        <v>124781345.77268399</v>
      </c>
      <c r="E33" s="110">
        <f>E24+E31</f>
        <v>124249916.14058</v>
      </c>
      <c r="F33" s="111"/>
      <c r="G33" s="111"/>
      <c r="H33" s="111"/>
      <c r="I33" s="111"/>
      <c r="J33" s="110">
        <f>J24+J31</f>
        <v>128963478.763823</v>
      </c>
      <c r="K33" s="112"/>
      <c r="L33" s="111">
        <f t="shared" ref="L33" si="23">J33-E33</f>
        <v>4713562.6232430041</v>
      </c>
      <c r="M33" s="109"/>
      <c r="N33" s="113">
        <f>L33/E33</f>
        <v>3.7936143296144691E-2</v>
      </c>
    </row>
    <row r="34" spans="1:14" s="87" customFormat="1" ht="18" customHeight="1" thickTop="1" x14ac:dyDescent="0.25">
      <c r="A34" s="5">
        <f t="shared" si="19"/>
        <v>26</v>
      </c>
      <c r="B34" s="87" t="s">
        <v>10</v>
      </c>
      <c r="D34" s="89"/>
      <c r="L34" s="97">
        <f>L4</f>
        <v>4707979</v>
      </c>
    </row>
    <row r="35" spans="1:14" s="87" customFormat="1" ht="15" customHeight="1" x14ac:dyDescent="0.25">
      <c r="A35" s="5">
        <f t="shared" si="19"/>
        <v>27</v>
      </c>
      <c r="B35" s="92" t="s">
        <v>42</v>
      </c>
      <c r="C35" s="92"/>
      <c r="D35" s="93"/>
      <c r="E35" s="92"/>
      <c r="F35" s="92"/>
      <c r="G35" s="92"/>
      <c r="H35" s="92"/>
      <c r="I35" s="92"/>
      <c r="J35" s="92"/>
      <c r="K35" s="92"/>
      <c r="L35" s="93">
        <f>L33-L34</f>
        <v>5583.6232430040836</v>
      </c>
    </row>
    <row r="36" spans="1:14" s="87" customFormat="1" ht="15" customHeight="1" x14ac:dyDescent="0.25">
      <c r="A36" s="5">
        <f t="shared" si="19"/>
        <v>28</v>
      </c>
      <c r="B36" s="87" t="s">
        <v>42</v>
      </c>
      <c r="D36" s="86"/>
      <c r="L36" s="86">
        <f>L35/L34</f>
        <v>1.185991535434649E-3</v>
      </c>
    </row>
    <row r="37" spans="1:14" x14ac:dyDescent="0.25">
      <c r="A37" s="5"/>
    </row>
  </sheetData>
  <pageMargins left="0.7" right="0.7" top="0.75" bottom="0.75" header="0.3" footer="0.3"/>
  <pageSetup scale="65" orientation="landscape" r:id="rId1"/>
  <ignoredErrors>
    <ignoredError sqref="J20 F20 J16:J18 J10:J13 G10:G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AB197"/>
  <sheetViews>
    <sheetView tabSelected="1" zoomScale="75" zoomScaleNormal="75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8.88671875" defaultRowHeight="13.2" x14ac:dyDescent="0.25"/>
  <cols>
    <col min="1" max="1" width="7.44140625" style="8" customWidth="1"/>
    <col min="2" max="2" width="27.6640625" style="2" bestFit="1" customWidth="1"/>
    <col min="3" max="3" width="6.6640625" style="30" customWidth="1"/>
    <col min="4" max="4" width="30.44140625" style="2" customWidth="1"/>
    <col min="5" max="5" width="17.44140625" style="2" customWidth="1"/>
    <col min="6" max="6" width="17.6640625" style="2" bestFit="1" customWidth="1"/>
    <col min="7" max="7" width="16.6640625" style="2" customWidth="1"/>
    <col min="8" max="8" width="13.44140625" style="2" bestFit="1" customWidth="1"/>
    <col min="9" max="9" width="17.44140625" style="2" customWidth="1"/>
    <col min="10" max="10" width="12.109375" style="2" customWidth="1"/>
    <col min="11" max="11" width="13.109375" style="53" bestFit="1" customWidth="1"/>
    <col min="12" max="12" width="11.44140625" style="2" bestFit="1" customWidth="1"/>
    <col min="13" max="13" width="14.33203125" style="2" bestFit="1" customWidth="1"/>
    <col min="14" max="14" width="12.44140625" style="2" customWidth="1"/>
    <col min="15" max="15" width="10.33203125" style="2" customWidth="1"/>
    <col min="16" max="16" width="11.44140625" style="2" bestFit="1" customWidth="1"/>
    <col min="17" max="17" width="10.88671875" style="2" bestFit="1" customWidth="1"/>
    <col min="18" max="18" width="14.33203125" style="2" customWidth="1"/>
    <col min="19" max="19" width="8.88671875" style="2"/>
    <col min="20" max="20" width="14.109375" style="2" customWidth="1"/>
    <col min="21" max="21" width="8.88671875" style="2"/>
    <col min="22" max="22" width="9.33203125" style="2" bestFit="1" customWidth="1"/>
    <col min="23" max="23" width="15.33203125" style="2" customWidth="1"/>
    <col min="24" max="24" width="11.6640625" style="2" customWidth="1"/>
    <col min="25" max="16384" width="8.88671875" style="2"/>
  </cols>
  <sheetData>
    <row r="1" spans="1:20" x14ac:dyDescent="0.25">
      <c r="A1" s="67" t="str">
        <f>Summary!A1</f>
        <v>BLUE GRASS ENERGY</v>
      </c>
      <c r="F1" s="19"/>
    </row>
    <row r="2" spans="1:20" ht="14.4" customHeight="1" x14ac:dyDescent="0.25">
      <c r="A2" s="67" t="str">
        <f>Summary!A2</f>
        <v>Billing Analysis for Pass-Through Rate Increase</v>
      </c>
      <c r="F2" s="74"/>
      <c r="G2" s="74"/>
      <c r="H2" s="114"/>
      <c r="I2" s="128"/>
      <c r="P2" s="47"/>
      <c r="R2" s="53"/>
      <c r="S2" s="53"/>
      <c r="T2" s="53"/>
    </row>
    <row r="3" spans="1:20" x14ac:dyDescent="0.25">
      <c r="J3" s="185" t="s">
        <v>131</v>
      </c>
      <c r="R3" s="53"/>
      <c r="S3" s="53"/>
      <c r="T3" s="53"/>
    </row>
    <row r="4" spans="1:20" x14ac:dyDescent="0.25">
      <c r="D4" s="53"/>
      <c r="E4" s="53"/>
      <c r="F4" s="53"/>
      <c r="G4" s="53"/>
      <c r="H4" s="53"/>
      <c r="I4" s="53"/>
      <c r="J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38.4" customHeight="1" x14ac:dyDescent="0.25">
      <c r="A5" s="32" t="s">
        <v>1</v>
      </c>
      <c r="B5" s="32" t="s">
        <v>12</v>
      </c>
      <c r="C5" s="13" t="s">
        <v>11</v>
      </c>
      <c r="D5" s="32" t="s">
        <v>13</v>
      </c>
      <c r="E5" s="15" t="s">
        <v>14</v>
      </c>
      <c r="F5" s="15" t="s">
        <v>20</v>
      </c>
      <c r="G5" s="15" t="s">
        <v>25</v>
      </c>
      <c r="H5" s="15" t="s">
        <v>26</v>
      </c>
      <c r="I5" s="15" t="s">
        <v>27</v>
      </c>
      <c r="J5" s="15" t="s">
        <v>117</v>
      </c>
      <c r="K5" s="57" t="s">
        <v>10</v>
      </c>
      <c r="L5" s="15" t="s">
        <v>23</v>
      </c>
      <c r="M5" s="15" t="s">
        <v>4</v>
      </c>
      <c r="N5" s="15" t="s">
        <v>15</v>
      </c>
      <c r="O5" s="13" t="s">
        <v>16</v>
      </c>
      <c r="P5" s="15" t="s">
        <v>24</v>
      </c>
      <c r="Q5" s="15" t="s">
        <v>28</v>
      </c>
      <c r="R5" s="15" t="s">
        <v>43</v>
      </c>
      <c r="T5" s="15" t="s">
        <v>39</v>
      </c>
    </row>
    <row r="6" spans="1:20" ht="30.6" customHeight="1" thickBot="1" x14ac:dyDescent="0.3">
      <c r="A6" s="68"/>
      <c r="B6" s="41"/>
      <c r="C6" s="42"/>
      <c r="D6" s="41"/>
      <c r="E6" s="43"/>
      <c r="F6" s="43"/>
      <c r="G6" s="43"/>
      <c r="H6" s="43"/>
      <c r="I6" s="43"/>
      <c r="J6" s="43"/>
      <c r="K6" s="58"/>
      <c r="L6" s="43"/>
      <c r="M6" s="43"/>
      <c r="N6" s="43"/>
      <c r="O6" s="42"/>
      <c r="P6" s="43"/>
      <c r="Q6" s="43"/>
      <c r="R6" s="43"/>
    </row>
    <row r="7" spans="1:20" x14ac:dyDescent="0.25">
      <c r="A7" s="69">
        <v>1</v>
      </c>
      <c r="B7" s="44" t="s">
        <v>47</v>
      </c>
      <c r="C7" s="45" t="s">
        <v>45</v>
      </c>
      <c r="D7" s="44"/>
      <c r="E7" s="44"/>
      <c r="F7" s="44"/>
      <c r="G7" s="44"/>
      <c r="H7" s="44"/>
      <c r="I7" s="44"/>
      <c r="J7" s="44"/>
      <c r="K7" s="59"/>
      <c r="L7" s="44"/>
      <c r="M7" s="44"/>
      <c r="N7" s="44"/>
      <c r="O7" s="44"/>
      <c r="P7" s="44"/>
      <c r="Q7" s="44"/>
      <c r="R7" s="44"/>
    </row>
    <row r="8" spans="1:20" x14ac:dyDescent="0.25">
      <c r="A8" s="69">
        <f>A7+1</f>
        <v>2</v>
      </c>
      <c r="C8" s="2"/>
      <c r="D8" s="2" t="s">
        <v>17</v>
      </c>
      <c r="E8" s="25">
        <v>669590</v>
      </c>
      <c r="F8" s="70">
        <v>16.5</v>
      </c>
      <c r="G8" s="7">
        <f>F8*E8</f>
        <v>11048235</v>
      </c>
      <c r="H8" s="21">
        <v>16.5</v>
      </c>
      <c r="I8" s="7">
        <f>H8*E8</f>
        <v>11048235</v>
      </c>
      <c r="J8" s="175">
        <v>0.1321</v>
      </c>
      <c r="K8" s="60"/>
      <c r="L8" s="20">
        <f>ROUND(J8*K10/E8,2)</f>
        <v>16.14</v>
      </c>
      <c r="M8" s="7">
        <f>L8*E8</f>
        <v>10807182.6</v>
      </c>
      <c r="N8" s="7">
        <f t="shared" ref="N8:N13" si="0">M8-I8</f>
        <v>-241052.40000000037</v>
      </c>
      <c r="O8" s="6">
        <f>IF(I8=0,0,N8/I8)</f>
        <v>-2.1818181818181851E-2</v>
      </c>
      <c r="P8" s="6">
        <f>M8/M10</f>
        <v>0.13206711268764978</v>
      </c>
      <c r="Q8" s="18">
        <f>P8-J8</f>
        <v>-3.2887312350210474E-5</v>
      </c>
      <c r="R8" s="18"/>
      <c r="T8" s="6">
        <f>L8/H8-1</f>
        <v>-2.1818181818181737E-2</v>
      </c>
    </row>
    <row r="9" spans="1:20" x14ac:dyDescent="0.25">
      <c r="A9" s="69">
        <f t="shared" ref="A9:A72" si="1">A8+1</f>
        <v>3</v>
      </c>
      <c r="B9" s="19"/>
      <c r="D9" s="2" t="s">
        <v>92</v>
      </c>
      <c r="E9" s="25">
        <v>832664778</v>
      </c>
      <c r="F9" s="71">
        <v>8.2809999999999995E-2</v>
      </c>
      <c r="G9" s="7">
        <f t="shared" ref="G9" si="2">F9*E9</f>
        <v>68952970.266179994</v>
      </c>
      <c r="H9" s="49">
        <v>8.1210000000000004E-2</v>
      </c>
      <c r="I9" s="7">
        <f t="shared" ref="I9" si="3">H9*E9</f>
        <v>67620706.621380001</v>
      </c>
      <c r="J9" s="175">
        <v>0.8679</v>
      </c>
      <c r="K9" s="60"/>
      <c r="L9" s="49">
        <f>ROUND(J9*K10/E9,6)</f>
        <v>8.5296999999999998E-2</v>
      </c>
      <c r="M9" s="7">
        <f t="shared" ref="M9" si="4">L9*E9</f>
        <v>71023807.569066003</v>
      </c>
      <c r="N9" s="7">
        <f t="shared" si="0"/>
        <v>3403100.9476860017</v>
      </c>
      <c r="O9" s="6">
        <f t="shared" ref="O9" si="5">IF(I9=0,0,N9/I9)</f>
        <v>5.0326314493289025E-2</v>
      </c>
      <c r="P9" s="6">
        <f>M9/M10</f>
        <v>0.8679328873123503</v>
      </c>
      <c r="Q9" s="18">
        <f t="shared" ref="Q9:Q10" si="6">P9-J9</f>
        <v>3.288731235029374E-5</v>
      </c>
      <c r="R9" s="18"/>
      <c r="T9" s="6">
        <f>L9/H9-1</f>
        <v>5.0326314493288837E-2</v>
      </c>
    </row>
    <row r="10" spans="1:20" s="8" customFormat="1" ht="20.399999999999999" customHeight="1" x14ac:dyDescent="0.3">
      <c r="A10" s="69">
        <f t="shared" si="1"/>
        <v>4</v>
      </c>
      <c r="C10" s="31"/>
      <c r="D10" s="33" t="s">
        <v>6</v>
      </c>
      <c r="E10" s="33"/>
      <c r="F10" s="33"/>
      <c r="G10" s="34">
        <f>SUM(G8:G9)</f>
        <v>80001205.266179994</v>
      </c>
      <c r="H10" s="33"/>
      <c r="I10" s="35">
        <f>SUM(I8:I9)</f>
        <v>78668941.621380001</v>
      </c>
      <c r="J10" s="36">
        <f>SUM(J8:J9)</f>
        <v>1</v>
      </c>
      <c r="K10" s="61">
        <f>I10+Summary!I10</f>
        <v>81834200.101380005</v>
      </c>
      <c r="L10" s="33"/>
      <c r="M10" s="34">
        <f>SUM(M8:M9)</f>
        <v>81830990.169065997</v>
      </c>
      <c r="N10" s="34">
        <f t="shared" si="0"/>
        <v>3162048.5476859957</v>
      </c>
      <c r="O10" s="36">
        <f t="shared" ref="O10" si="7">N10/I10</f>
        <v>4.0194370008235121E-2</v>
      </c>
      <c r="P10" s="36">
        <f>SUM(P8:P9)</f>
        <v>1</v>
      </c>
      <c r="Q10" s="37">
        <f t="shared" si="6"/>
        <v>0</v>
      </c>
      <c r="R10" s="52">
        <f>M10-K10</f>
        <v>-3209.9323140084743</v>
      </c>
      <c r="S10" s="8">
        <f>K10/I10</f>
        <v>1.0402351730525858</v>
      </c>
    </row>
    <row r="11" spans="1:20" x14ac:dyDescent="0.25">
      <c r="A11" s="69">
        <f t="shared" si="1"/>
        <v>5</v>
      </c>
      <c r="D11" s="2" t="s">
        <v>29</v>
      </c>
      <c r="G11" s="24">
        <v>-3340074.11</v>
      </c>
      <c r="I11" s="66">
        <f>G11+(0.0016*E9)</f>
        <v>-2007810.4651999997</v>
      </c>
      <c r="M11" s="7">
        <f>I11</f>
        <v>-2007810.4651999997</v>
      </c>
      <c r="N11" s="7">
        <f t="shared" si="0"/>
        <v>0</v>
      </c>
      <c r="O11" s="19">
        <v>0</v>
      </c>
      <c r="R11" s="54"/>
    </row>
    <row r="12" spans="1:20" x14ac:dyDescent="0.25">
      <c r="A12" s="69">
        <f t="shared" si="1"/>
        <v>6</v>
      </c>
      <c r="D12" s="2" t="s">
        <v>30</v>
      </c>
      <c r="G12" s="24">
        <v>8686835.0500000007</v>
      </c>
      <c r="I12" s="23">
        <f>G12</f>
        <v>8686835.0500000007</v>
      </c>
      <c r="M12" s="7">
        <f t="shared" ref="M12:M14" si="8">I12</f>
        <v>8686835.0500000007</v>
      </c>
      <c r="N12" s="7">
        <f t="shared" si="0"/>
        <v>0</v>
      </c>
      <c r="O12" s="19">
        <v>0</v>
      </c>
    </row>
    <row r="13" spans="1:20" x14ac:dyDescent="0.25">
      <c r="A13" s="69">
        <f t="shared" si="1"/>
        <v>7</v>
      </c>
      <c r="D13" s="2" t="s">
        <v>77</v>
      </c>
      <c r="G13" s="24">
        <v>943566.40999999992</v>
      </c>
      <c r="I13" s="23">
        <f>G13</f>
        <v>943566.40999999992</v>
      </c>
      <c r="M13" s="7">
        <f t="shared" si="8"/>
        <v>943566.40999999992</v>
      </c>
      <c r="N13" s="7">
        <f t="shared" si="0"/>
        <v>0</v>
      </c>
      <c r="O13" s="19">
        <v>0</v>
      </c>
    </row>
    <row r="14" spans="1:20" x14ac:dyDescent="0.25">
      <c r="A14" s="69">
        <f t="shared" si="1"/>
        <v>8</v>
      </c>
      <c r="D14" s="2" t="s">
        <v>71</v>
      </c>
      <c r="G14" s="24">
        <v>0</v>
      </c>
      <c r="I14" s="23">
        <f>G14</f>
        <v>0</v>
      </c>
      <c r="M14" s="7">
        <f t="shared" si="8"/>
        <v>0</v>
      </c>
      <c r="N14" s="7"/>
      <c r="O14" s="19">
        <v>0</v>
      </c>
    </row>
    <row r="15" spans="1:20" x14ac:dyDescent="0.25">
      <c r="A15" s="69">
        <f t="shared" si="1"/>
        <v>9</v>
      </c>
      <c r="D15" s="27" t="s">
        <v>8</v>
      </c>
      <c r="E15" s="27"/>
      <c r="F15" s="27"/>
      <c r="G15" s="28">
        <f>SUM(G11:G14)</f>
        <v>6290327.3500000015</v>
      </c>
      <c r="H15" s="27"/>
      <c r="I15" s="28">
        <f>SUM(I11:I14)</f>
        <v>7622590.9948000014</v>
      </c>
      <c r="J15" s="27"/>
      <c r="K15" s="62"/>
      <c r="L15" s="27"/>
      <c r="M15" s="28">
        <f>SUM(M11:M14)</f>
        <v>7622590.9948000014</v>
      </c>
      <c r="N15" s="28">
        <f>M15-I15</f>
        <v>0</v>
      </c>
      <c r="O15" s="38">
        <v>0</v>
      </c>
    </row>
    <row r="16" spans="1:20" s="8" customFormat="1" ht="26.4" customHeight="1" thickBot="1" x14ac:dyDescent="0.3">
      <c r="A16" s="69">
        <f t="shared" si="1"/>
        <v>10</v>
      </c>
      <c r="C16" s="31"/>
      <c r="D16" s="9" t="s">
        <v>19</v>
      </c>
      <c r="E16" s="9"/>
      <c r="F16" s="9"/>
      <c r="G16" s="10">
        <f>G10+G15</f>
        <v>86291532.616180003</v>
      </c>
      <c r="H16" s="9"/>
      <c r="I16" s="29">
        <f>I15+I10</f>
        <v>86291532.616180003</v>
      </c>
      <c r="J16" s="9"/>
      <c r="K16" s="63"/>
      <c r="L16" s="9"/>
      <c r="M16" s="10">
        <f>M15+M10</f>
        <v>89453581.163865998</v>
      </c>
      <c r="N16" s="10">
        <f>M16-I16</f>
        <v>3162048.5476859957</v>
      </c>
      <c r="O16" s="11">
        <f>N16/I16</f>
        <v>3.6643787076428624E-2</v>
      </c>
      <c r="P16" s="2"/>
      <c r="Q16" s="2"/>
      <c r="R16" s="2"/>
    </row>
    <row r="17" spans="1:23" ht="13.8" thickTop="1" x14ac:dyDescent="0.25">
      <c r="A17" s="69">
        <f t="shared" si="1"/>
        <v>11</v>
      </c>
      <c r="D17" s="2" t="s">
        <v>18</v>
      </c>
      <c r="E17" s="19">
        <f>E9/E8</f>
        <v>1243.5442255708717</v>
      </c>
      <c r="G17" s="17">
        <f>G16/E8</f>
        <v>128.87219435203633</v>
      </c>
      <c r="I17" s="17">
        <f>I16/E8</f>
        <v>128.87219435203633</v>
      </c>
      <c r="M17" s="17">
        <f>M16/E8</f>
        <v>133.59455960194447</v>
      </c>
      <c r="N17" s="17">
        <f>M17-I17</f>
        <v>4.7223652499081368</v>
      </c>
      <c r="O17" s="6">
        <f>N17/I17</f>
        <v>3.6643787076428548E-2</v>
      </c>
    </row>
    <row r="18" spans="1:23" ht="13.8" thickBot="1" x14ac:dyDescent="0.3">
      <c r="A18" s="69">
        <f t="shared" si="1"/>
        <v>12</v>
      </c>
    </row>
    <row r="19" spans="1:23" x14ac:dyDescent="0.25">
      <c r="A19" s="69">
        <f t="shared" si="1"/>
        <v>13</v>
      </c>
      <c r="B19" s="44" t="s">
        <v>34</v>
      </c>
      <c r="C19" s="45" t="s">
        <v>46</v>
      </c>
      <c r="D19" s="44"/>
      <c r="E19" s="44"/>
      <c r="F19" s="44"/>
      <c r="G19" s="44"/>
      <c r="H19" s="44"/>
      <c r="I19" s="44"/>
      <c r="J19" s="44"/>
      <c r="K19" s="59"/>
      <c r="L19" s="44"/>
      <c r="M19" s="44"/>
      <c r="N19" s="44"/>
      <c r="O19" s="44"/>
      <c r="P19" s="44"/>
      <c r="Q19" s="44"/>
      <c r="R19" s="44"/>
    </row>
    <row r="20" spans="1:23" x14ac:dyDescent="0.25">
      <c r="A20" s="69">
        <f t="shared" si="1"/>
        <v>14</v>
      </c>
      <c r="C20" s="2"/>
      <c r="D20" s="2" t="s">
        <v>17</v>
      </c>
      <c r="E20" s="25">
        <v>1358</v>
      </c>
      <c r="F20" s="21">
        <v>13.85</v>
      </c>
      <c r="G20" s="7">
        <f>F20*E20</f>
        <v>18808.3</v>
      </c>
      <c r="H20" s="21">
        <v>13.85</v>
      </c>
      <c r="I20" s="7">
        <f>H20*E20</f>
        <v>18808.3</v>
      </c>
      <c r="J20" s="6">
        <f>I20/I24</f>
        <v>0.69865420566782677</v>
      </c>
      <c r="K20" s="60"/>
      <c r="L20" s="120">
        <f>ROUND(H20*S24,2)</f>
        <v>14.41</v>
      </c>
      <c r="M20" s="7">
        <f>L20*E20</f>
        <v>19568.78</v>
      </c>
      <c r="N20" s="7">
        <f>M20-I20</f>
        <v>760.47999999999956</v>
      </c>
      <c r="O20" s="6">
        <f>IF(I20=0,0,N20/I20)</f>
        <v>4.043321299638987E-2</v>
      </c>
      <c r="P20" s="6">
        <f>M20/M$24</f>
        <v>0.69862005957023032</v>
      </c>
      <c r="Q20" s="18">
        <f>P20-J20</f>
        <v>-3.4146097596443603E-5</v>
      </c>
      <c r="R20" s="18"/>
      <c r="W20" s="122" t="s">
        <v>104</v>
      </c>
    </row>
    <row r="21" spans="1:23" x14ac:dyDescent="0.25">
      <c r="A21" s="69">
        <f t="shared" si="1"/>
        <v>15</v>
      </c>
      <c r="D21" s="2" t="s">
        <v>93</v>
      </c>
      <c r="E21" s="25">
        <v>70447</v>
      </c>
      <c r="F21" s="48">
        <v>7.5340000000000004E-2</v>
      </c>
      <c r="G21" s="7">
        <f t="shared" ref="G21" si="9">F21*E21</f>
        <v>5307.4769800000004</v>
      </c>
      <c r="H21" s="48">
        <v>7.374E-2</v>
      </c>
      <c r="I21" s="7">
        <f t="shared" ref="I21" si="10">H21*E21</f>
        <v>5194.7617799999998</v>
      </c>
      <c r="J21" s="6">
        <f>I21/I24</f>
        <v>0.19296492320089992</v>
      </c>
      <c r="K21" s="60"/>
      <c r="L21" s="127">
        <f>ROUND(H21*S24,6)</f>
        <v>7.6733999999999997E-2</v>
      </c>
      <c r="M21" s="7">
        <f t="shared" ref="M21" si="11">L21*E21</f>
        <v>5405.6800979999998</v>
      </c>
      <c r="N21" s="7">
        <f t="shared" ref="N21" si="12">M21-I21</f>
        <v>210.918318</v>
      </c>
      <c r="O21" s="6">
        <f t="shared" ref="O21" si="13">IF(I21=0,0,N21/I21)</f>
        <v>4.060211554109032E-2</v>
      </c>
      <c r="P21" s="6">
        <f t="shared" ref="P21:P23" si="14">M21/M$24</f>
        <v>0.19298681635147252</v>
      </c>
      <c r="Q21" s="18">
        <f t="shared" ref="Q21" si="15">P21-J21</f>
        <v>2.1893150572604991E-5</v>
      </c>
      <c r="R21" s="18"/>
      <c r="T21" s="6">
        <f>L21/H21-1</f>
        <v>4.0602115541090278E-2</v>
      </c>
      <c r="W21" s="122" t="s">
        <v>104</v>
      </c>
    </row>
    <row r="22" spans="1:23" x14ac:dyDescent="0.25">
      <c r="A22" s="69">
        <f t="shared" si="1"/>
        <v>16</v>
      </c>
      <c r="D22" s="2" t="s">
        <v>94</v>
      </c>
      <c r="E22" s="25">
        <v>21651</v>
      </c>
      <c r="F22" s="48">
        <v>9.0340000000000004E-2</v>
      </c>
      <c r="G22" s="7">
        <f t="shared" ref="G22" si="16">F22*E22</f>
        <v>1955.9513400000001</v>
      </c>
      <c r="H22" s="48">
        <v>8.8739999999999999E-2</v>
      </c>
      <c r="I22" s="7">
        <f t="shared" ref="I22" si="17">H22*E22</f>
        <v>1921.3097399999999</v>
      </c>
      <c r="J22" s="6">
        <f>I22/I24</f>
        <v>7.1369083343075068E-2</v>
      </c>
      <c r="K22" s="60"/>
      <c r="L22" s="127">
        <f>ROUND(H22*S24,6)</f>
        <v>9.2342999999999995E-2</v>
      </c>
      <c r="M22" s="7">
        <f t="shared" ref="M22" si="18">L22*E22</f>
        <v>1999.3182929999998</v>
      </c>
      <c r="N22" s="7">
        <f t="shared" ref="N22" si="19">M22-I22</f>
        <v>78.008552999999893</v>
      </c>
      <c r="O22" s="6">
        <f t="shared" ref="O22" si="20">IF(I22=0,0,N22/I22)</f>
        <v>4.0601757944557081E-2</v>
      </c>
      <c r="P22" s="6">
        <f t="shared" si="14"/>
        <v>7.1377156110677881E-2</v>
      </c>
      <c r="Q22" s="18">
        <f t="shared" ref="Q22" si="21">P22-J22</f>
        <v>8.0727676028125028E-6</v>
      </c>
      <c r="R22" s="18"/>
      <c r="T22" s="6">
        <f>L22/H22-1</f>
        <v>4.0601757944557004E-2</v>
      </c>
      <c r="W22" s="122" t="s">
        <v>104</v>
      </c>
    </row>
    <row r="23" spans="1:23" x14ac:dyDescent="0.25">
      <c r="A23" s="69">
        <f t="shared" si="1"/>
        <v>17</v>
      </c>
      <c r="D23" s="2" t="s">
        <v>95</v>
      </c>
      <c r="E23" s="25">
        <v>10091</v>
      </c>
      <c r="F23" s="48">
        <v>0.10034</v>
      </c>
      <c r="G23" s="7">
        <f t="shared" ref="G23" si="22">F23*E23</f>
        <v>1012.53094</v>
      </c>
      <c r="H23" s="48">
        <v>9.8739999999999994E-2</v>
      </c>
      <c r="I23" s="7">
        <f t="shared" ref="I23" si="23">H23*E23</f>
        <v>996.38533999999993</v>
      </c>
      <c r="J23" s="6">
        <f>I23/I24</f>
        <v>3.7011787788198164E-2</v>
      </c>
      <c r="K23" s="60"/>
      <c r="L23" s="127">
        <f>ROUND(H23*S24,6)</f>
        <v>0.10274899999999999</v>
      </c>
      <c r="M23" s="7">
        <f t="shared" ref="M23" si="24">L23*E23</f>
        <v>1036.8401589999999</v>
      </c>
      <c r="N23" s="7">
        <f t="shared" ref="N23:N31" si="25">M23-I23</f>
        <v>40.454818999999929</v>
      </c>
      <c r="O23" s="6">
        <f t="shared" ref="O23" si="26">IF(I23=0,0,N23/I23)</f>
        <v>4.0601579906825939E-2</v>
      </c>
      <c r="P23" s="6">
        <f t="shared" si="14"/>
        <v>3.701596796761919E-2</v>
      </c>
      <c r="Q23" s="18">
        <f t="shared" ref="Q23:Q24" si="27">P23-J23</f>
        <v>4.180179421026109E-6</v>
      </c>
      <c r="R23" s="18"/>
      <c r="T23" s="6">
        <f>L23/H23-1</f>
        <v>4.0601579906826002E-2</v>
      </c>
      <c r="W23" s="122" t="s">
        <v>104</v>
      </c>
    </row>
    <row r="24" spans="1:23" s="8" customFormat="1" ht="20.399999999999999" customHeight="1" x14ac:dyDescent="0.3">
      <c r="A24" s="69">
        <f t="shared" si="1"/>
        <v>18</v>
      </c>
      <c r="C24" s="31"/>
      <c r="D24" s="33" t="s">
        <v>6</v>
      </c>
      <c r="E24" s="33"/>
      <c r="F24" s="33"/>
      <c r="G24" s="34">
        <f>SUM(G20:G23)</f>
        <v>27084.259259999999</v>
      </c>
      <c r="H24" s="33"/>
      <c r="I24" s="35">
        <f>SUM(I20:I23)</f>
        <v>26920.756860000001</v>
      </c>
      <c r="J24" s="36">
        <f>SUM(J20:J23)</f>
        <v>1</v>
      </c>
      <c r="K24" s="61">
        <f>I24+Summary!I11</f>
        <v>26920.756860000001</v>
      </c>
      <c r="L24" s="33"/>
      <c r="M24" s="34">
        <f>SUM(M20:M23)</f>
        <v>28010.618549999999</v>
      </c>
      <c r="N24" s="34">
        <f t="shared" si="25"/>
        <v>1089.8616899999979</v>
      </c>
      <c r="O24" s="36">
        <f t="shared" ref="O24" si="28">N24/I24</f>
        <v>4.0484065721768783E-2</v>
      </c>
      <c r="P24" s="36">
        <f>SUM(P20:P23)</f>
        <v>0.99999999999999989</v>
      </c>
      <c r="Q24" s="37">
        <f t="shared" si="27"/>
        <v>0</v>
      </c>
      <c r="R24" s="52">
        <f>M24-K24</f>
        <v>1089.8616899999979</v>
      </c>
      <c r="S24" s="129">
        <v>1.0406</v>
      </c>
    </row>
    <row r="25" spans="1:23" x14ac:dyDescent="0.25">
      <c r="A25" s="69">
        <f t="shared" si="1"/>
        <v>19</v>
      </c>
      <c r="D25" s="2" t="s">
        <v>29</v>
      </c>
      <c r="G25" s="24">
        <v>-449.92</v>
      </c>
      <c r="I25" s="66">
        <f>G25+(0.0016*(E23+E22+E21))</f>
        <v>-286.41759999999999</v>
      </c>
      <c r="M25" s="7">
        <f>I25</f>
        <v>-286.41759999999999</v>
      </c>
      <c r="N25" s="7">
        <f t="shared" si="25"/>
        <v>0</v>
      </c>
      <c r="O25" s="19">
        <v>0</v>
      </c>
    </row>
    <row r="26" spans="1:23" x14ac:dyDescent="0.25">
      <c r="A26" s="69">
        <f t="shared" si="1"/>
        <v>20</v>
      </c>
      <c r="D26" s="2" t="s">
        <v>30</v>
      </c>
      <c r="G26" s="24">
        <v>3185.21</v>
      </c>
      <c r="I26" s="23">
        <f t="shared" ref="I26:I28" si="29">G26</f>
        <v>3185.21</v>
      </c>
      <c r="M26" s="7">
        <f t="shared" ref="M26:M28" si="30">I26</f>
        <v>3185.21</v>
      </c>
      <c r="N26" s="7">
        <f t="shared" si="25"/>
        <v>0</v>
      </c>
      <c r="O26" s="19">
        <v>0</v>
      </c>
    </row>
    <row r="27" spans="1:23" x14ac:dyDescent="0.25">
      <c r="A27" s="69">
        <f t="shared" si="1"/>
        <v>21</v>
      </c>
      <c r="D27" s="2" t="s">
        <v>33</v>
      </c>
      <c r="G27" s="24">
        <v>0</v>
      </c>
      <c r="I27" s="23">
        <f t="shared" si="29"/>
        <v>0</v>
      </c>
      <c r="M27" s="7">
        <f t="shared" si="30"/>
        <v>0</v>
      </c>
      <c r="N27" s="7">
        <f t="shared" si="25"/>
        <v>0</v>
      </c>
      <c r="O27" s="19">
        <v>0</v>
      </c>
    </row>
    <row r="28" spans="1:23" x14ac:dyDescent="0.25">
      <c r="A28" s="69">
        <f t="shared" si="1"/>
        <v>22</v>
      </c>
      <c r="D28" s="2" t="s">
        <v>71</v>
      </c>
      <c r="G28" s="24">
        <v>0</v>
      </c>
      <c r="I28" s="23">
        <f t="shared" si="29"/>
        <v>0</v>
      </c>
      <c r="M28" s="7">
        <f t="shared" si="30"/>
        <v>0</v>
      </c>
      <c r="N28" s="7"/>
      <c r="O28" s="19"/>
    </row>
    <row r="29" spans="1:23" x14ac:dyDescent="0.25">
      <c r="A29" s="69">
        <f t="shared" si="1"/>
        <v>23</v>
      </c>
      <c r="D29" s="27" t="s">
        <v>8</v>
      </c>
      <c r="E29" s="27"/>
      <c r="F29" s="27"/>
      <c r="G29" s="28">
        <f>SUM(G25:G28)</f>
        <v>2735.29</v>
      </c>
      <c r="H29" s="27"/>
      <c r="I29" s="28">
        <f>SUM(I25:I28)</f>
        <v>2898.7924000000003</v>
      </c>
      <c r="J29" s="27"/>
      <c r="K29" s="62"/>
      <c r="L29" s="27"/>
      <c r="M29" s="28">
        <f>SUM(M25:M28)</f>
        <v>2898.7924000000003</v>
      </c>
      <c r="N29" s="28">
        <f t="shared" si="25"/>
        <v>0</v>
      </c>
      <c r="O29" s="38">
        <f t="shared" ref="O29" si="31">N29-J29</f>
        <v>0</v>
      </c>
    </row>
    <row r="30" spans="1:23" s="8" customFormat="1" ht="26.4" customHeight="1" thickBot="1" x14ac:dyDescent="0.3">
      <c r="A30" s="69">
        <f t="shared" si="1"/>
        <v>24</v>
      </c>
      <c r="C30" s="31"/>
      <c r="D30" s="9" t="s">
        <v>19</v>
      </c>
      <c r="E30" s="9"/>
      <c r="F30" s="9"/>
      <c r="G30" s="10">
        <f>G24+G29</f>
        <v>29819.54926</v>
      </c>
      <c r="H30" s="9"/>
      <c r="I30" s="29">
        <f>I29+I24</f>
        <v>29819.54926</v>
      </c>
      <c r="J30" s="9"/>
      <c r="K30" s="63"/>
      <c r="L30" s="9"/>
      <c r="M30" s="10">
        <f>M29+M24</f>
        <v>30909.410949999998</v>
      </c>
      <c r="N30" s="10">
        <f t="shared" si="25"/>
        <v>1089.8616899999979</v>
      </c>
      <c r="O30" s="11">
        <f>N30/I30</f>
        <v>3.6548563511050132E-2</v>
      </c>
      <c r="P30" s="2"/>
      <c r="Q30" s="2"/>
      <c r="R30" s="2"/>
    </row>
    <row r="31" spans="1:23" ht="13.8" thickTop="1" x14ac:dyDescent="0.25">
      <c r="A31" s="69">
        <f t="shared" si="1"/>
        <v>25</v>
      </c>
      <c r="D31" s="2" t="s">
        <v>18</v>
      </c>
      <c r="E31" s="19">
        <f>(E21+E22+E23)/E20</f>
        <v>75.249631811487475</v>
      </c>
      <c r="G31" s="17">
        <f>G30/E20</f>
        <v>21.958430972017673</v>
      </c>
      <c r="I31" s="17">
        <f>I30/E20</f>
        <v>21.958430972017673</v>
      </c>
      <c r="M31" s="17">
        <f>M30/E20</f>
        <v>22.76098008100147</v>
      </c>
      <c r="N31" s="17">
        <f t="shared" si="25"/>
        <v>0.80254910898379705</v>
      </c>
      <c r="O31" s="6">
        <f>N31/I31</f>
        <v>3.6548563511050076E-2</v>
      </c>
    </row>
    <row r="32" spans="1:23" ht="13.8" thickBot="1" x14ac:dyDescent="0.3">
      <c r="A32" s="69">
        <f t="shared" si="1"/>
        <v>26</v>
      </c>
    </row>
    <row r="33" spans="1:20" x14ac:dyDescent="0.25">
      <c r="A33" s="69">
        <f t="shared" si="1"/>
        <v>27</v>
      </c>
      <c r="B33" s="44" t="s">
        <v>48</v>
      </c>
      <c r="C33" s="45" t="s">
        <v>49</v>
      </c>
      <c r="D33" s="44"/>
      <c r="E33" s="44"/>
      <c r="F33" s="44"/>
      <c r="G33" s="44"/>
      <c r="H33" s="44"/>
      <c r="I33" s="44"/>
      <c r="J33" s="44"/>
      <c r="K33" s="59"/>
      <c r="L33" s="44"/>
      <c r="M33" s="44"/>
      <c r="N33" s="44"/>
      <c r="O33" s="44"/>
      <c r="P33" s="44"/>
      <c r="Q33" s="44"/>
      <c r="R33" s="44"/>
    </row>
    <row r="34" spans="1:20" x14ac:dyDescent="0.25">
      <c r="A34" s="69">
        <f t="shared" si="1"/>
        <v>28</v>
      </c>
      <c r="C34" s="2"/>
      <c r="D34" s="2" t="s">
        <v>17</v>
      </c>
      <c r="E34" s="25">
        <v>321</v>
      </c>
      <c r="F34" s="21">
        <v>25</v>
      </c>
      <c r="G34" s="7">
        <f>F34*E34</f>
        <v>8025</v>
      </c>
      <c r="H34" s="21">
        <v>25</v>
      </c>
      <c r="I34" s="7">
        <f>H34*E34</f>
        <v>8025</v>
      </c>
      <c r="J34" s="175">
        <v>0.29020000000000001</v>
      </c>
      <c r="K34" s="60"/>
      <c r="L34" s="20">
        <f>ROUND(J34*K37/E34,2)</f>
        <v>31.31</v>
      </c>
      <c r="M34" s="7">
        <f>L34*E34</f>
        <v>10050.51</v>
      </c>
      <c r="N34" s="7">
        <f>M34-I34</f>
        <v>2025.5100000000002</v>
      </c>
      <c r="O34" s="6">
        <f>IF(I34=0,0,N34/I34)</f>
        <v>0.25240000000000001</v>
      </c>
      <c r="P34" s="6">
        <f>M34/M$37</f>
        <v>0.29022668586992328</v>
      </c>
      <c r="Q34" s="18">
        <f>P34-J34</f>
        <v>2.6685869923270822E-5</v>
      </c>
      <c r="R34" s="18"/>
      <c r="T34" s="6">
        <f>L34/H34-1</f>
        <v>0.25239999999999996</v>
      </c>
    </row>
    <row r="35" spans="1:20" x14ac:dyDescent="0.25">
      <c r="A35" s="69">
        <f t="shared" si="1"/>
        <v>29</v>
      </c>
      <c r="D35" s="2" t="s">
        <v>96</v>
      </c>
      <c r="E35" s="25">
        <v>121287</v>
      </c>
      <c r="F35" s="48">
        <v>9.9779999999999994E-2</v>
      </c>
      <c r="G35" s="7">
        <f t="shared" ref="G35" si="32">F35*E35</f>
        <v>12102.01686</v>
      </c>
      <c r="H35" s="48">
        <v>9.8180000000000003E-2</v>
      </c>
      <c r="I35" s="7">
        <f t="shared" ref="I35" si="33">H35*E35</f>
        <v>11907.95766</v>
      </c>
      <c r="J35" s="175">
        <v>0.15479999999999999</v>
      </c>
      <c r="K35" s="60"/>
      <c r="L35" s="49">
        <f>ROUND(J35*K37/E35,6)</f>
        <v>4.4197E-2</v>
      </c>
      <c r="M35" s="7">
        <f t="shared" ref="M35" si="34">L35*E35</f>
        <v>5360.5215390000003</v>
      </c>
      <c r="N35" s="7">
        <f t="shared" ref="N35" si="35">M35-I35</f>
        <v>-6547.4361209999997</v>
      </c>
      <c r="O35" s="6">
        <f t="shared" ref="O35" si="36">IF(I35=0,0,N35/I35)</f>
        <v>-0.54983703401914852</v>
      </c>
      <c r="P35" s="6">
        <f t="shared" ref="P35:P36" si="37">M35/M$37</f>
        <v>0.15479477168803482</v>
      </c>
      <c r="Q35" s="18">
        <f t="shared" ref="Q35" si="38">P35-J35</f>
        <v>-5.2283119651719279E-6</v>
      </c>
      <c r="R35" s="18"/>
      <c r="T35" s="6">
        <f>L35/H35-1</f>
        <v>-0.54983703401914852</v>
      </c>
    </row>
    <row r="36" spans="1:20" x14ac:dyDescent="0.25">
      <c r="A36" s="69">
        <f t="shared" si="1"/>
        <v>30</v>
      </c>
      <c r="D36" s="2" t="s">
        <v>97</v>
      </c>
      <c r="E36" s="25">
        <v>251404</v>
      </c>
      <c r="F36" s="48">
        <v>5.3859999999999998E-2</v>
      </c>
      <c r="G36" s="7">
        <f t="shared" ref="G36" si="39">F36*E36</f>
        <v>13540.61944</v>
      </c>
      <c r="H36" s="48">
        <v>5.2260000000000001E-2</v>
      </c>
      <c r="I36" s="7">
        <f t="shared" ref="I36" si="40">H36*E36</f>
        <v>13138.37304</v>
      </c>
      <c r="J36" s="175">
        <v>0.55500000000000005</v>
      </c>
      <c r="K36" s="60"/>
      <c r="L36" s="49">
        <f>ROUND(J36*K37/E36,6)</f>
        <v>7.6446E-2</v>
      </c>
      <c r="M36" s="7">
        <f t="shared" ref="M36" si="41">L36*E36</f>
        <v>19218.830183999999</v>
      </c>
      <c r="N36" s="7">
        <f t="shared" ref="N36:N44" si="42">M36-I36</f>
        <v>6080.4571439999982</v>
      </c>
      <c r="O36" s="6">
        <f t="shared" ref="O36" si="43">IF(I36=0,0,N36/I36)</f>
        <v>0.46280137772675073</v>
      </c>
      <c r="P36" s="6">
        <f t="shared" si="37"/>
        <v>0.55497854244204203</v>
      </c>
      <c r="Q36" s="18">
        <f t="shared" ref="Q36:Q37" si="44">P36-J36</f>
        <v>-2.1457557958015627E-5</v>
      </c>
      <c r="R36" s="18"/>
      <c r="T36" s="6">
        <f>L36/H36-1</f>
        <v>0.46280137772675078</v>
      </c>
    </row>
    <row r="37" spans="1:20" s="8" customFormat="1" ht="20.399999999999999" customHeight="1" x14ac:dyDescent="0.3">
      <c r="A37" s="69">
        <f t="shared" si="1"/>
        <v>31</v>
      </c>
      <c r="C37" s="31"/>
      <c r="D37" s="33" t="s">
        <v>6</v>
      </c>
      <c r="E37" s="33"/>
      <c r="F37" s="33"/>
      <c r="G37" s="34">
        <f>SUM(G34:G36)</f>
        <v>33667.636299999998</v>
      </c>
      <c r="H37" s="33"/>
      <c r="I37" s="35">
        <f>SUM(I34:I36)</f>
        <v>33071.330699999999</v>
      </c>
      <c r="J37" s="36">
        <f>SUM(J34:J36)</f>
        <v>1</v>
      </c>
      <c r="K37" s="61">
        <f>I37+Summary!I12</f>
        <v>34628.540699999998</v>
      </c>
      <c r="L37" s="33"/>
      <c r="M37" s="34">
        <f>SUM(M34:M36)</f>
        <v>34629.861722999995</v>
      </c>
      <c r="N37" s="34">
        <f t="shared" si="42"/>
        <v>1558.5310229999959</v>
      </c>
      <c r="O37" s="36">
        <f t="shared" ref="O37" si="45">N37/I37</f>
        <v>4.7126347504365645E-2</v>
      </c>
      <c r="P37" s="36">
        <f>SUM(P34:P36)</f>
        <v>1</v>
      </c>
      <c r="Q37" s="37">
        <f t="shared" si="44"/>
        <v>0</v>
      </c>
      <c r="R37" s="52">
        <f>M37-K37</f>
        <v>1.3210229999967851</v>
      </c>
      <c r="S37" s="8">
        <f>K37/I37</f>
        <v>1.0470864028461968</v>
      </c>
    </row>
    <row r="38" spans="1:20" x14ac:dyDescent="0.25">
      <c r="A38" s="69">
        <f t="shared" si="1"/>
        <v>32</v>
      </c>
      <c r="D38" s="2" t="s">
        <v>29</v>
      </c>
      <c r="G38" s="24">
        <v>-1373.49</v>
      </c>
      <c r="I38" s="66">
        <f>G38+(0.0016*(E36+E35))</f>
        <v>-777.18439999999998</v>
      </c>
      <c r="M38" s="7">
        <f>I38</f>
        <v>-777.18439999999998</v>
      </c>
      <c r="N38" s="7">
        <f t="shared" si="42"/>
        <v>0</v>
      </c>
      <c r="O38" s="19">
        <v>0</v>
      </c>
    </row>
    <row r="39" spans="1:20" x14ac:dyDescent="0.25">
      <c r="A39" s="69">
        <f t="shared" si="1"/>
        <v>33</v>
      </c>
      <c r="D39" s="2" t="s">
        <v>30</v>
      </c>
      <c r="G39" s="24">
        <v>3530.64</v>
      </c>
      <c r="I39" s="23">
        <f t="shared" ref="I39:I41" si="46">G39</f>
        <v>3530.64</v>
      </c>
      <c r="M39" s="7">
        <f t="shared" ref="M39:M41" si="47">I39</f>
        <v>3530.64</v>
      </c>
      <c r="N39" s="7">
        <f t="shared" si="42"/>
        <v>0</v>
      </c>
      <c r="O39" s="19">
        <v>0</v>
      </c>
    </row>
    <row r="40" spans="1:20" x14ac:dyDescent="0.25">
      <c r="A40" s="69">
        <f t="shared" si="1"/>
        <v>34</v>
      </c>
      <c r="D40" s="2" t="s">
        <v>33</v>
      </c>
      <c r="G40" s="24">
        <v>-126.20000000000073</v>
      </c>
      <c r="I40" s="23">
        <f t="shared" si="46"/>
        <v>-126.20000000000073</v>
      </c>
      <c r="M40" s="7">
        <f t="shared" si="47"/>
        <v>-126.20000000000073</v>
      </c>
      <c r="N40" s="7">
        <f t="shared" si="42"/>
        <v>0</v>
      </c>
      <c r="O40" s="19">
        <v>0</v>
      </c>
    </row>
    <row r="41" spans="1:20" x14ac:dyDescent="0.25">
      <c r="A41" s="69">
        <f t="shared" si="1"/>
        <v>35</v>
      </c>
      <c r="D41" s="2" t="s">
        <v>71</v>
      </c>
      <c r="G41" s="24">
        <v>0</v>
      </c>
      <c r="I41" s="23">
        <f t="shared" si="46"/>
        <v>0</v>
      </c>
      <c r="M41" s="7">
        <f t="shared" si="47"/>
        <v>0</v>
      </c>
      <c r="N41" s="7"/>
      <c r="O41" s="19"/>
    </row>
    <row r="42" spans="1:20" x14ac:dyDescent="0.25">
      <c r="A42" s="69">
        <f t="shared" si="1"/>
        <v>36</v>
      </c>
      <c r="D42" s="27" t="s">
        <v>8</v>
      </c>
      <c r="E42" s="27"/>
      <c r="F42" s="27"/>
      <c r="G42" s="28">
        <f>SUM(G38:G41)</f>
        <v>2030.9499999999989</v>
      </c>
      <c r="H42" s="27"/>
      <c r="I42" s="28">
        <f>SUM(I38:I41)</f>
        <v>2627.255599999999</v>
      </c>
      <c r="J42" s="27"/>
      <c r="K42" s="62"/>
      <c r="L42" s="27"/>
      <c r="M42" s="28">
        <f>SUM(M38:M41)</f>
        <v>2627.255599999999</v>
      </c>
      <c r="N42" s="28">
        <f t="shared" si="42"/>
        <v>0</v>
      </c>
      <c r="O42" s="38">
        <f t="shared" ref="O42" si="48">N42-J42</f>
        <v>0</v>
      </c>
    </row>
    <row r="43" spans="1:20" s="8" customFormat="1" ht="26.4" customHeight="1" thickBot="1" x14ac:dyDescent="0.3">
      <c r="A43" s="69">
        <f t="shared" si="1"/>
        <v>37</v>
      </c>
      <c r="C43" s="31"/>
      <c r="D43" s="9" t="s">
        <v>19</v>
      </c>
      <c r="E43" s="9"/>
      <c r="F43" s="9"/>
      <c r="G43" s="10">
        <f>G37+G42</f>
        <v>35698.586299999995</v>
      </c>
      <c r="H43" s="9"/>
      <c r="I43" s="29">
        <f>I42+I37</f>
        <v>35698.586299999995</v>
      </c>
      <c r="J43" s="9"/>
      <c r="K43" s="63"/>
      <c r="L43" s="9"/>
      <c r="M43" s="10">
        <f>M42+M37</f>
        <v>37257.117322999991</v>
      </c>
      <c r="N43" s="10">
        <f t="shared" si="42"/>
        <v>1558.5310229999959</v>
      </c>
      <c r="O43" s="11">
        <f>N43/I43</f>
        <v>4.3658060011188625E-2</v>
      </c>
      <c r="P43" s="2"/>
      <c r="Q43" s="2"/>
      <c r="R43" s="2"/>
    </row>
    <row r="44" spans="1:20" ht="13.8" thickTop="1" x14ac:dyDescent="0.25">
      <c r="A44" s="69">
        <f t="shared" si="1"/>
        <v>38</v>
      </c>
      <c r="D44" s="2" t="s">
        <v>18</v>
      </c>
      <c r="E44" s="124">
        <f>(E36+E35)/E34</f>
        <v>1161.031152647975</v>
      </c>
      <c r="G44" s="17">
        <f>G43/E34</f>
        <v>111.21054922118378</v>
      </c>
      <c r="I44" s="17">
        <f>I43/E34</f>
        <v>111.21054922118378</v>
      </c>
      <c r="M44" s="17">
        <f>M43/E34</f>
        <v>116.06578605295948</v>
      </c>
      <c r="N44" s="17">
        <f t="shared" si="42"/>
        <v>4.8552368317756986</v>
      </c>
      <c r="O44" s="6">
        <f>N44/I44</f>
        <v>4.3658060011188722E-2</v>
      </c>
    </row>
    <row r="45" spans="1:20" ht="13.8" thickBot="1" x14ac:dyDescent="0.3">
      <c r="A45" s="69">
        <f t="shared" si="1"/>
        <v>39</v>
      </c>
    </row>
    <row r="46" spans="1:20" x14ac:dyDescent="0.25">
      <c r="A46" s="69">
        <f t="shared" si="1"/>
        <v>40</v>
      </c>
      <c r="B46" s="44" t="s">
        <v>50</v>
      </c>
      <c r="C46" s="45" t="s">
        <v>51</v>
      </c>
      <c r="D46" s="44"/>
      <c r="E46" s="44"/>
      <c r="F46" s="44"/>
      <c r="G46" s="44"/>
      <c r="H46" s="44"/>
      <c r="I46" s="44"/>
      <c r="J46" s="44"/>
      <c r="K46" s="59"/>
      <c r="L46" s="44"/>
      <c r="M46" s="44"/>
      <c r="N46" s="44"/>
      <c r="O46" s="44"/>
      <c r="P46" s="44"/>
      <c r="Q46" s="44"/>
      <c r="R46" s="44"/>
    </row>
    <row r="47" spans="1:20" x14ac:dyDescent="0.25">
      <c r="A47" s="69">
        <f t="shared" si="1"/>
        <v>41</v>
      </c>
      <c r="C47" s="2"/>
      <c r="D47" s="2" t="s">
        <v>17</v>
      </c>
      <c r="E47" s="25">
        <v>33344</v>
      </c>
      <c r="F47" s="21">
        <v>32.5</v>
      </c>
      <c r="G47" s="7">
        <f>F47*E47</f>
        <v>1083680</v>
      </c>
      <c r="H47" s="21">
        <v>32.5</v>
      </c>
      <c r="I47" s="7">
        <f>H47*E47</f>
        <v>1083680</v>
      </c>
      <c r="J47" s="175">
        <v>0.121</v>
      </c>
      <c r="K47" s="60"/>
      <c r="L47" s="20">
        <f>ROUND(J47*K50/E47,2)</f>
        <v>32.99</v>
      </c>
      <c r="M47" s="7">
        <f>L47*E47</f>
        <v>1100018.56</v>
      </c>
      <c r="N47" s="7">
        <f>M47-I47</f>
        <v>16338.560000000056</v>
      </c>
      <c r="O47" s="6">
        <f>IF(I47=0,0,N47/I47)</f>
        <v>1.5076923076923128E-2</v>
      </c>
      <c r="P47" s="6">
        <f>M47/M$50</f>
        <v>0.12100530726961013</v>
      </c>
      <c r="Q47" s="18">
        <f>P47-J47</f>
        <v>5.3072696101358341E-6</v>
      </c>
      <c r="R47" s="18"/>
    </row>
    <row r="48" spans="1:20" x14ac:dyDescent="0.25">
      <c r="A48" s="69">
        <f t="shared" si="1"/>
        <v>42</v>
      </c>
      <c r="D48" s="2" t="s">
        <v>92</v>
      </c>
      <c r="E48" s="25">
        <v>77999410</v>
      </c>
      <c r="F48" s="48">
        <v>8.3250000000000005E-2</v>
      </c>
      <c r="G48" s="7">
        <f t="shared" ref="G48" si="49">F48*E48</f>
        <v>6493450.8825000003</v>
      </c>
      <c r="H48" s="48">
        <v>8.165E-2</v>
      </c>
      <c r="I48" s="7">
        <f t="shared" ref="I48" si="50">H48*E48</f>
        <v>6368651.8265000004</v>
      </c>
      <c r="J48" s="175">
        <v>0.73089999999999999</v>
      </c>
      <c r="K48" s="60"/>
      <c r="L48" s="49">
        <f>ROUND(J48*K50/E48,6)</f>
        <v>8.5194000000000006E-2</v>
      </c>
      <c r="M48" s="7">
        <f t="shared" ref="M48" si="51">L48*E48</f>
        <v>6645081.7355400007</v>
      </c>
      <c r="N48" s="7">
        <f t="shared" ref="N48" si="52">M48-I48</f>
        <v>276429.90904000029</v>
      </c>
      <c r="O48" s="6">
        <f t="shared" ref="O48" si="53">IF(I48=0,0,N48/I48)</f>
        <v>4.3404776484996979E-2</v>
      </c>
      <c r="P48" s="6">
        <f t="shared" ref="P48:P49" si="54">M48/M$50</f>
        <v>0.73097871843243445</v>
      </c>
      <c r="Q48" s="18">
        <f t="shared" ref="Q48" si="55">P48-J48</f>
        <v>7.8718432434454755E-5</v>
      </c>
      <c r="R48" s="18"/>
      <c r="T48" s="6">
        <f>L48/H48-1</f>
        <v>4.3404776484996965E-2</v>
      </c>
    </row>
    <row r="49" spans="1:20" x14ac:dyDescent="0.25">
      <c r="A49" s="69">
        <f t="shared" si="1"/>
        <v>43</v>
      </c>
      <c r="D49" s="2" t="s">
        <v>98</v>
      </c>
      <c r="E49" s="25">
        <v>167773</v>
      </c>
      <c r="F49" s="21">
        <v>7.78</v>
      </c>
      <c r="G49" s="7">
        <f t="shared" ref="G49" si="56">F49*E49</f>
        <v>1305273.94</v>
      </c>
      <c r="H49" s="21">
        <v>7.78</v>
      </c>
      <c r="I49" s="7">
        <f t="shared" ref="I49" si="57">H49*E49</f>
        <v>1305273.94</v>
      </c>
      <c r="J49" s="175">
        <v>0.14799999999999999</v>
      </c>
      <c r="K49" s="60"/>
      <c r="L49" s="20">
        <f>ROUND(J49*K50/E49,6)</f>
        <v>8.0201429999999991</v>
      </c>
      <c r="M49" s="7">
        <f t="shared" ref="M49" si="58">L49*E49</f>
        <v>1345563.4515389998</v>
      </c>
      <c r="N49" s="7">
        <f t="shared" ref="N49:N57" si="59">M49-I49</f>
        <v>40289.511538999854</v>
      </c>
      <c r="O49" s="6">
        <f t="shared" ref="O49" si="60">IF(I49=0,0,N49/I49)</f>
        <v>3.0866709511568013E-2</v>
      </c>
      <c r="P49" s="6">
        <f t="shared" si="54"/>
        <v>0.14801597429795532</v>
      </c>
      <c r="Q49" s="18">
        <f t="shared" ref="Q49:Q50" si="61">P49-J49</f>
        <v>1.5974297955329009E-5</v>
      </c>
      <c r="R49" s="18"/>
      <c r="T49" s="6">
        <f>L49/H49-1</f>
        <v>3.0866709511568002E-2</v>
      </c>
    </row>
    <row r="50" spans="1:20" s="8" customFormat="1" ht="20.399999999999999" customHeight="1" x14ac:dyDescent="0.3">
      <c r="A50" s="69">
        <f t="shared" si="1"/>
        <v>44</v>
      </c>
      <c r="C50" s="31"/>
      <c r="D50" s="33" t="s">
        <v>6</v>
      </c>
      <c r="E50" s="33"/>
      <c r="F50" s="33"/>
      <c r="G50" s="34">
        <f>SUM(G47:G49)</f>
        <v>8882404.8224999998</v>
      </c>
      <c r="H50" s="33"/>
      <c r="I50" s="35">
        <f>SUM(I47:I49)</f>
        <v>8757605.7664999999</v>
      </c>
      <c r="J50" s="36">
        <f>SUM(J47:J49)</f>
        <v>0.99990000000000001</v>
      </c>
      <c r="K50" s="61">
        <f>I50+Summary!I13</f>
        <v>9091644.9564999994</v>
      </c>
      <c r="L50" s="33"/>
      <c r="M50" s="34">
        <f>SUM(M47:M49)</f>
        <v>9090663.7470790017</v>
      </c>
      <c r="N50" s="34">
        <f t="shared" si="59"/>
        <v>333057.98057900183</v>
      </c>
      <c r="O50" s="36">
        <f t="shared" ref="O50" si="62">N50/I50</f>
        <v>3.8030711756063589E-2</v>
      </c>
      <c r="P50" s="36">
        <f>SUM(P47:P49)</f>
        <v>0.99999999999999989</v>
      </c>
      <c r="Q50" s="37">
        <f t="shared" si="61"/>
        <v>9.9999999999877964E-5</v>
      </c>
      <c r="R50" s="52">
        <f>M50-K50</f>
        <v>-981.20942099764943</v>
      </c>
      <c r="S50" s="8">
        <f>K50/I50</f>
        <v>1.0381427525863041</v>
      </c>
    </row>
    <row r="51" spans="1:20" x14ac:dyDescent="0.25">
      <c r="A51" s="69">
        <f t="shared" si="1"/>
        <v>45</v>
      </c>
      <c r="D51" s="2" t="s">
        <v>29</v>
      </c>
      <c r="G51" s="24">
        <v>-322271.32</v>
      </c>
      <c r="I51" s="66">
        <f>G51+(0.0016*E48)</f>
        <v>-197472.264</v>
      </c>
      <c r="M51" s="7">
        <f>I51</f>
        <v>-197472.264</v>
      </c>
      <c r="N51" s="7">
        <f t="shared" si="59"/>
        <v>0</v>
      </c>
      <c r="O51" s="19">
        <v>0</v>
      </c>
    </row>
    <row r="52" spans="1:20" x14ac:dyDescent="0.25">
      <c r="A52" s="69">
        <f t="shared" si="1"/>
        <v>46</v>
      </c>
      <c r="D52" s="2" t="s">
        <v>30</v>
      </c>
      <c r="G52" s="24">
        <v>969320.05999999994</v>
      </c>
      <c r="I52" s="23">
        <f t="shared" ref="I52:I54" si="63">G52</f>
        <v>969320.05999999994</v>
      </c>
      <c r="M52" s="7">
        <f t="shared" ref="M52:M54" si="64">I52</f>
        <v>969320.05999999994</v>
      </c>
      <c r="N52" s="7">
        <f t="shared" si="59"/>
        <v>0</v>
      </c>
      <c r="O52" s="19">
        <v>0</v>
      </c>
    </row>
    <row r="53" spans="1:20" x14ac:dyDescent="0.25">
      <c r="A53" s="69">
        <f t="shared" si="1"/>
        <v>47</v>
      </c>
      <c r="D53" s="2" t="s">
        <v>33</v>
      </c>
      <c r="G53" s="24">
        <v>0</v>
      </c>
      <c r="I53" s="23">
        <f t="shared" si="63"/>
        <v>0</v>
      </c>
      <c r="M53" s="7">
        <f t="shared" si="64"/>
        <v>0</v>
      </c>
      <c r="N53" s="7">
        <f t="shared" si="59"/>
        <v>0</v>
      </c>
      <c r="O53" s="19">
        <v>0</v>
      </c>
    </row>
    <row r="54" spans="1:20" x14ac:dyDescent="0.25">
      <c r="A54" s="69">
        <f t="shared" si="1"/>
        <v>48</v>
      </c>
      <c r="D54" s="2" t="s">
        <v>71</v>
      </c>
      <c r="G54" s="24">
        <v>0</v>
      </c>
      <c r="I54" s="23">
        <f t="shared" si="63"/>
        <v>0</v>
      </c>
      <c r="M54" s="7">
        <f t="shared" si="64"/>
        <v>0</v>
      </c>
      <c r="N54" s="7"/>
      <c r="O54" s="19"/>
    </row>
    <row r="55" spans="1:20" x14ac:dyDescent="0.25">
      <c r="A55" s="69">
        <f t="shared" si="1"/>
        <v>49</v>
      </c>
      <c r="D55" s="27" t="s">
        <v>8</v>
      </c>
      <c r="E55" s="27"/>
      <c r="F55" s="27"/>
      <c r="G55" s="28">
        <f>SUM(G51:G54)</f>
        <v>647048.74</v>
      </c>
      <c r="H55" s="27"/>
      <c r="I55" s="28">
        <f>SUM(I51:I54)</f>
        <v>771847.79599999997</v>
      </c>
      <c r="J55" s="27"/>
      <c r="K55" s="62"/>
      <c r="L55" s="27"/>
      <c r="M55" s="28">
        <f>SUM(M51:M54)</f>
        <v>771847.79599999997</v>
      </c>
      <c r="N55" s="28">
        <f t="shared" si="59"/>
        <v>0</v>
      </c>
      <c r="O55" s="38">
        <f t="shared" ref="O55" si="65">N55-J55</f>
        <v>0</v>
      </c>
    </row>
    <row r="56" spans="1:20" s="8" customFormat="1" ht="26.4" customHeight="1" thickBot="1" x14ac:dyDescent="0.3">
      <c r="A56" s="69">
        <f t="shared" si="1"/>
        <v>50</v>
      </c>
      <c r="C56" s="31"/>
      <c r="D56" s="9" t="s">
        <v>19</v>
      </c>
      <c r="E56" s="9"/>
      <c r="F56" s="9"/>
      <c r="G56" s="10">
        <f>G50+G55</f>
        <v>9529453.5625</v>
      </c>
      <c r="H56" s="9"/>
      <c r="I56" s="29">
        <f>I55+I50</f>
        <v>9529453.5625</v>
      </c>
      <c r="J56" s="9"/>
      <c r="K56" s="63"/>
      <c r="L56" s="9"/>
      <c r="M56" s="10">
        <f>M55+M50</f>
        <v>9862511.5430790018</v>
      </c>
      <c r="N56" s="10">
        <f t="shared" si="59"/>
        <v>333057.98057900183</v>
      </c>
      <c r="O56" s="11">
        <f>N56/I56</f>
        <v>3.4950375527264321E-2</v>
      </c>
      <c r="P56" s="2"/>
      <c r="Q56" s="2"/>
      <c r="R56" s="2"/>
    </row>
    <row r="57" spans="1:20" ht="13.8" thickTop="1" x14ac:dyDescent="0.25">
      <c r="A57" s="69">
        <f t="shared" si="1"/>
        <v>51</v>
      </c>
      <c r="D57" s="2" t="s">
        <v>18</v>
      </c>
      <c r="E57" s="19">
        <f>E48/E47</f>
        <v>2339.2337452015354</v>
      </c>
      <c r="G57" s="17">
        <f>G56/E47</f>
        <v>285.79215338591649</v>
      </c>
      <c r="I57" s="17">
        <f>I56/E47</f>
        <v>285.79215338591649</v>
      </c>
      <c r="M57" s="17">
        <f>M56/E47</f>
        <v>295.78069646949979</v>
      </c>
      <c r="N57" s="17">
        <f t="shared" si="59"/>
        <v>9.9885430835832949</v>
      </c>
      <c r="O57" s="6">
        <f>N57/I57</f>
        <v>3.495037552726428E-2</v>
      </c>
    </row>
    <row r="58" spans="1:20" ht="13.8" thickBot="1" x14ac:dyDescent="0.3">
      <c r="A58" s="69">
        <f t="shared" si="1"/>
        <v>52</v>
      </c>
    </row>
    <row r="59" spans="1:20" x14ac:dyDescent="0.25">
      <c r="A59" s="69">
        <f t="shared" si="1"/>
        <v>53</v>
      </c>
      <c r="B59" s="44" t="s">
        <v>73</v>
      </c>
      <c r="C59" s="45" t="s">
        <v>72</v>
      </c>
      <c r="D59" s="44"/>
      <c r="E59" s="44"/>
      <c r="F59" s="44"/>
      <c r="G59" s="44"/>
      <c r="H59" s="44"/>
      <c r="I59" s="44"/>
      <c r="J59" s="44"/>
      <c r="K59" s="59"/>
      <c r="L59" s="44"/>
      <c r="M59" s="44"/>
      <c r="N59" s="44"/>
      <c r="O59" s="44"/>
      <c r="P59" s="44"/>
      <c r="Q59" s="44"/>
      <c r="R59" s="44"/>
    </row>
    <row r="60" spans="1:20" x14ac:dyDescent="0.25">
      <c r="A60" s="69">
        <f t="shared" si="1"/>
        <v>54</v>
      </c>
      <c r="C60" s="2"/>
      <c r="D60" s="2" t="s">
        <v>17</v>
      </c>
      <c r="E60" s="25">
        <v>534</v>
      </c>
      <c r="F60" s="21">
        <v>40</v>
      </c>
      <c r="G60" s="7">
        <f>F60*E60</f>
        <v>21360</v>
      </c>
      <c r="H60" s="21">
        <v>40</v>
      </c>
      <c r="I60" s="7">
        <f>H60*E60</f>
        <v>21360</v>
      </c>
      <c r="J60" s="175">
        <v>0.15953794846571109</v>
      </c>
      <c r="K60" s="60"/>
      <c r="L60" s="20">
        <f>ROUND(J60*K63/E60,2)</f>
        <v>44</v>
      </c>
      <c r="M60" s="7">
        <f>L60*E60</f>
        <v>23496</v>
      </c>
      <c r="N60" s="7">
        <f>M60-I60</f>
        <v>2136</v>
      </c>
      <c r="O60" s="6">
        <f>IF(I60=0,0,N60/I60)</f>
        <v>0.1</v>
      </c>
      <c r="P60" s="6">
        <f>M60/M$63</f>
        <v>0.15953730290035362</v>
      </c>
      <c r="Q60" s="18">
        <f>P60-J60</f>
        <v>-6.4556535747661847E-7</v>
      </c>
      <c r="R60" s="18"/>
      <c r="T60" s="6">
        <f>L60/H60-1</f>
        <v>0.10000000000000009</v>
      </c>
    </row>
    <row r="61" spans="1:20" x14ac:dyDescent="0.25">
      <c r="A61" s="69">
        <f t="shared" si="1"/>
        <v>55</v>
      </c>
      <c r="D61" s="2" t="s">
        <v>96</v>
      </c>
      <c r="E61" s="25">
        <v>590330</v>
      </c>
      <c r="F61" s="48">
        <v>0.12705</v>
      </c>
      <c r="G61" s="7">
        <f t="shared" ref="G61" si="66">F61*E61</f>
        <v>75001.426500000001</v>
      </c>
      <c r="H61" s="48">
        <v>0.12545000000000001</v>
      </c>
      <c r="I61" s="7">
        <f t="shared" ref="I61" si="67">H61*E61</f>
        <v>74056.89850000001</v>
      </c>
      <c r="J61" s="175">
        <v>0.5889140487697383</v>
      </c>
      <c r="K61" s="60"/>
      <c r="L61" s="49">
        <f>ROUND(J61*K63/E61,6)</f>
        <v>0.146923</v>
      </c>
      <c r="M61" s="7">
        <f t="shared" ref="M61" si="68">L61*E61</f>
        <v>86733.05459</v>
      </c>
      <c r="N61" s="7">
        <f t="shared" ref="N61" si="69">M61-I61</f>
        <v>12676.156089999989</v>
      </c>
      <c r="O61" s="6">
        <f t="shared" ref="O61" si="70">IF(I61=0,0,N61/I61)</f>
        <v>0.17116779593463516</v>
      </c>
      <c r="P61" s="6">
        <f t="shared" ref="P61:P62" si="71">M61/M$63</f>
        <v>0.58891545801828971</v>
      </c>
      <c r="Q61" s="18">
        <f t="shared" ref="Q61" si="72">P61-J61</f>
        <v>1.4092485514094477E-6</v>
      </c>
      <c r="R61" s="18"/>
      <c r="T61" s="6">
        <f>L61/H61-1</f>
        <v>0.17116779593463516</v>
      </c>
    </row>
    <row r="62" spans="1:20" x14ac:dyDescent="0.25">
      <c r="A62" s="69">
        <f t="shared" si="1"/>
        <v>56</v>
      </c>
      <c r="D62" s="2" t="s">
        <v>97</v>
      </c>
      <c r="E62" s="25">
        <v>737236</v>
      </c>
      <c r="F62" s="48">
        <v>6.7500000000000004E-2</v>
      </c>
      <c r="G62" s="7">
        <f t="shared" ref="G62" si="73">F62*E62</f>
        <v>49763.43</v>
      </c>
      <c r="H62" s="48">
        <v>6.59E-2</v>
      </c>
      <c r="I62" s="7">
        <f t="shared" ref="I62" si="74">H62*E62</f>
        <v>48583.852400000003</v>
      </c>
      <c r="J62" s="175">
        <v>0.25154800276455064</v>
      </c>
      <c r="K62" s="60"/>
      <c r="L62" s="49">
        <f>ROUND(J62*K63/E62,6)</f>
        <v>5.0250999999999997E-2</v>
      </c>
      <c r="M62" s="7">
        <f t="shared" ref="M62" si="75">L62*E62</f>
        <v>37046.846235999998</v>
      </c>
      <c r="N62" s="7">
        <f t="shared" ref="N62:N70" si="76">M62-I62</f>
        <v>-11537.006164000006</v>
      </c>
      <c r="O62" s="6">
        <f t="shared" ref="O62" si="77">IF(I62=0,0,N62/I62)</f>
        <v>-0.23746585735963591</v>
      </c>
      <c r="P62" s="6">
        <f t="shared" si="71"/>
        <v>0.25154723908135668</v>
      </c>
      <c r="Q62" s="18">
        <f t="shared" ref="Q62:Q63" si="78">P62-J62</f>
        <v>-7.6368319396058482E-7</v>
      </c>
      <c r="R62" s="18"/>
      <c r="T62" s="6">
        <f>L62/H62-1</f>
        <v>-0.23746585735963588</v>
      </c>
    </row>
    <row r="63" spans="1:20" s="8" customFormat="1" ht="20.399999999999999" customHeight="1" x14ac:dyDescent="0.3">
      <c r="A63" s="69">
        <f t="shared" si="1"/>
        <v>57</v>
      </c>
      <c r="C63" s="31"/>
      <c r="D63" s="33" t="s">
        <v>6</v>
      </c>
      <c r="E63" s="33"/>
      <c r="F63" s="33"/>
      <c r="G63" s="34">
        <f>SUM(G60:G62)</f>
        <v>146124.85649999999</v>
      </c>
      <c r="H63" s="72"/>
      <c r="I63" s="35">
        <f>SUM(I60:I62)</f>
        <v>144000.75090000001</v>
      </c>
      <c r="J63" s="36">
        <f>SUM(J60:J62)</f>
        <v>1</v>
      </c>
      <c r="K63" s="61">
        <f>I63+Summary!I14</f>
        <v>147275.88090000002</v>
      </c>
      <c r="L63" s="33"/>
      <c r="M63" s="34">
        <f>SUM(M60:M62)</f>
        <v>147275.900826</v>
      </c>
      <c r="N63" s="34">
        <f t="shared" si="76"/>
        <v>3275.1499259999837</v>
      </c>
      <c r="O63" s="36">
        <f t="shared" ref="O63" si="79">N63/I63</f>
        <v>2.2743978107964042E-2</v>
      </c>
      <c r="P63" s="36">
        <f>SUM(P60:P62)</f>
        <v>1</v>
      </c>
      <c r="Q63" s="37">
        <f t="shared" si="78"/>
        <v>0</v>
      </c>
      <c r="R63" s="52">
        <f>M63-K63</f>
        <v>1.992599997902289E-2</v>
      </c>
      <c r="S63" s="8">
        <f>K63/I63</f>
        <v>1.0227438397336857</v>
      </c>
    </row>
    <row r="64" spans="1:20" x14ac:dyDescent="0.25">
      <c r="A64" s="69">
        <f t="shared" si="1"/>
        <v>58</v>
      </c>
      <c r="D64" s="2" t="s">
        <v>29</v>
      </c>
      <c r="G64" s="24">
        <v>-5290.35</v>
      </c>
      <c r="I64" s="66">
        <f>G64+(0.0016*(E61+E62))</f>
        <v>-3166.2444</v>
      </c>
      <c r="M64" s="7">
        <f>I64</f>
        <v>-3166.2444</v>
      </c>
      <c r="N64" s="7">
        <f t="shared" si="76"/>
        <v>0</v>
      </c>
      <c r="O64" s="19">
        <v>0</v>
      </c>
    </row>
    <row r="65" spans="1:20" x14ac:dyDescent="0.25">
      <c r="A65" s="69">
        <f t="shared" si="1"/>
        <v>59</v>
      </c>
      <c r="D65" s="2" t="s">
        <v>30</v>
      </c>
      <c r="G65" s="24">
        <v>16408.240000000002</v>
      </c>
      <c r="I65" s="23">
        <f t="shared" ref="I65:I67" si="80">G65</f>
        <v>16408.240000000002</v>
      </c>
      <c r="M65" s="7">
        <f t="shared" ref="M65:M67" si="81">I65</f>
        <v>16408.240000000002</v>
      </c>
      <c r="N65" s="7">
        <f t="shared" si="76"/>
        <v>0</v>
      </c>
      <c r="O65" s="19">
        <v>0</v>
      </c>
    </row>
    <row r="66" spans="1:20" x14ac:dyDescent="0.25">
      <c r="A66" s="69">
        <f t="shared" si="1"/>
        <v>60</v>
      </c>
      <c r="D66" s="2" t="s">
        <v>33</v>
      </c>
      <c r="G66" s="24">
        <v>0</v>
      </c>
      <c r="I66" s="23">
        <f t="shared" si="80"/>
        <v>0</v>
      </c>
      <c r="M66" s="7">
        <f t="shared" si="81"/>
        <v>0</v>
      </c>
      <c r="N66" s="7">
        <f t="shared" si="76"/>
        <v>0</v>
      </c>
      <c r="O66" s="19">
        <v>0</v>
      </c>
    </row>
    <row r="67" spans="1:20" x14ac:dyDescent="0.25">
      <c r="A67" s="69">
        <f t="shared" si="1"/>
        <v>61</v>
      </c>
      <c r="D67" s="2" t="s">
        <v>71</v>
      </c>
      <c r="G67" s="24">
        <v>0</v>
      </c>
      <c r="I67" s="23">
        <f t="shared" si="80"/>
        <v>0</v>
      </c>
      <c r="M67" s="7">
        <f t="shared" si="81"/>
        <v>0</v>
      </c>
      <c r="N67" s="7"/>
      <c r="O67" s="19"/>
    </row>
    <row r="68" spans="1:20" x14ac:dyDescent="0.25">
      <c r="A68" s="69">
        <f t="shared" si="1"/>
        <v>62</v>
      </c>
      <c r="D68" s="27" t="s">
        <v>8</v>
      </c>
      <c r="E68" s="27"/>
      <c r="F68" s="27"/>
      <c r="G68" s="28">
        <f>SUM(G64:G67)</f>
        <v>11117.890000000001</v>
      </c>
      <c r="H68" s="27"/>
      <c r="I68" s="28">
        <f>SUM(I64:I67)</f>
        <v>13241.995600000002</v>
      </c>
      <c r="J68" s="27"/>
      <c r="K68" s="62"/>
      <c r="L68" s="27"/>
      <c r="M68" s="28">
        <f>SUM(M64:M67)</f>
        <v>13241.995600000002</v>
      </c>
      <c r="N68" s="28">
        <f t="shared" si="76"/>
        <v>0</v>
      </c>
      <c r="O68" s="38">
        <f t="shared" ref="O68" si="82">N68-J68</f>
        <v>0</v>
      </c>
    </row>
    <row r="69" spans="1:20" s="8" customFormat="1" ht="26.4" customHeight="1" thickBot="1" x14ac:dyDescent="0.3">
      <c r="A69" s="69">
        <f t="shared" si="1"/>
        <v>63</v>
      </c>
      <c r="C69" s="31"/>
      <c r="D69" s="9" t="s">
        <v>19</v>
      </c>
      <c r="E69" s="9"/>
      <c r="F69" s="9"/>
      <c r="G69" s="10">
        <f>G63+G68</f>
        <v>157242.74650000001</v>
      </c>
      <c r="H69" s="9"/>
      <c r="I69" s="29">
        <f>I68+I63</f>
        <v>157242.74650000001</v>
      </c>
      <c r="J69" s="9"/>
      <c r="K69" s="63"/>
      <c r="L69" s="9"/>
      <c r="M69" s="10">
        <f>M68+M63</f>
        <v>160517.89642599999</v>
      </c>
      <c r="N69" s="10">
        <f t="shared" si="76"/>
        <v>3275.1499259999837</v>
      </c>
      <c r="O69" s="11">
        <f>N69/I69</f>
        <v>2.0828623252265463E-2</v>
      </c>
      <c r="P69" s="2"/>
      <c r="Q69" s="2"/>
      <c r="R69" s="2"/>
    </row>
    <row r="70" spans="1:20" ht="13.8" thickTop="1" x14ac:dyDescent="0.25">
      <c r="A70" s="69">
        <f t="shared" si="1"/>
        <v>64</v>
      </c>
      <c r="D70" s="2" t="s">
        <v>18</v>
      </c>
      <c r="E70" s="19">
        <f>(E61+E62)/E60</f>
        <v>2486.0786516853932</v>
      </c>
      <c r="G70" s="17">
        <f>G69/E60</f>
        <v>294.46207209737827</v>
      </c>
      <c r="I70" s="17">
        <f>I69/E60</f>
        <v>294.46207209737827</v>
      </c>
      <c r="M70" s="17">
        <f>M69/E60</f>
        <v>300.59531165917599</v>
      </c>
      <c r="N70" s="17">
        <f t="shared" si="76"/>
        <v>6.1332395617977227</v>
      </c>
      <c r="O70" s="6">
        <f>N70/I70</f>
        <v>2.0828623252265463E-2</v>
      </c>
    </row>
    <row r="71" spans="1:20" ht="13.8" thickBot="1" x14ac:dyDescent="0.3">
      <c r="A71" s="69">
        <f t="shared" si="1"/>
        <v>65</v>
      </c>
      <c r="B71" s="53"/>
      <c r="C71" s="56"/>
      <c r="D71" s="53"/>
      <c r="E71" s="53"/>
      <c r="F71" s="53"/>
      <c r="G71" s="53"/>
      <c r="H71" s="53"/>
      <c r="I71" s="53"/>
      <c r="J71" s="53"/>
      <c r="L71" s="53"/>
      <c r="M71" s="53"/>
      <c r="N71" s="53"/>
      <c r="O71" s="53"/>
      <c r="P71" s="53"/>
      <c r="Q71" s="53"/>
      <c r="R71" s="53"/>
    </row>
    <row r="72" spans="1:20" x14ac:dyDescent="0.25">
      <c r="A72" s="69">
        <f t="shared" si="1"/>
        <v>66</v>
      </c>
      <c r="B72" s="44" t="s">
        <v>52</v>
      </c>
      <c r="C72" s="45" t="s">
        <v>53</v>
      </c>
      <c r="D72" s="44"/>
      <c r="E72" s="44"/>
      <c r="F72" s="44"/>
      <c r="G72" s="44"/>
      <c r="H72" s="44"/>
      <c r="I72" s="44"/>
      <c r="J72" s="44"/>
      <c r="K72" s="59"/>
      <c r="L72" s="44"/>
      <c r="M72" s="44"/>
      <c r="N72" s="44"/>
      <c r="O72" s="44"/>
      <c r="P72" s="44"/>
      <c r="Q72" s="44"/>
      <c r="R72" s="44"/>
    </row>
    <row r="73" spans="1:20" x14ac:dyDescent="0.25">
      <c r="A73" s="69">
        <f t="shared" ref="A73:A136" si="83">A72+1</f>
        <v>67</v>
      </c>
      <c r="C73" s="2"/>
      <c r="D73" s="2" t="s">
        <v>17</v>
      </c>
      <c r="E73" s="25">
        <v>709</v>
      </c>
      <c r="F73" s="22">
        <v>55.57</v>
      </c>
      <c r="G73" s="7">
        <f>F73*E73</f>
        <v>39399.129999999997</v>
      </c>
      <c r="H73" s="21">
        <v>55.57</v>
      </c>
      <c r="I73" s="7">
        <f>H73*E73</f>
        <v>39399.129999999997</v>
      </c>
      <c r="J73" s="175">
        <v>1.23E-2</v>
      </c>
      <c r="K73" s="60"/>
      <c r="L73" s="20">
        <f>ROUND(J73*K78/E73,2)</f>
        <v>52.41</v>
      </c>
      <c r="M73" s="7">
        <f>L73*E73</f>
        <v>37158.689999999995</v>
      </c>
      <c r="N73" s="7">
        <f>M73-I73</f>
        <v>-2240.4400000000023</v>
      </c>
      <c r="O73" s="6">
        <f>IF(I73=0,0,N73/I73)</f>
        <v>-5.6865215044088598E-2</v>
      </c>
      <c r="P73" s="6">
        <f>M73/M$78</f>
        <v>1.2269906513135182E-2</v>
      </c>
      <c r="Q73" s="18">
        <f>P73-J73</f>
        <v>-3.0093486864817692E-5</v>
      </c>
      <c r="R73" s="18"/>
      <c r="T73" s="6">
        <f>L73/H73-1</f>
        <v>-5.6865215044088591E-2</v>
      </c>
    </row>
    <row r="74" spans="1:20" x14ac:dyDescent="0.25">
      <c r="A74" s="69">
        <f t="shared" si="83"/>
        <v>68</v>
      </c>
      <c r="D74" s="2" t="s">
        <v>92</v>
      </c>
      <c r="E74" s="25">
        <v>32261894</v>
      </c>
      <c r="F74" s="48">
        <v>5.3580000000000003E-2</v>
      </c>
      <c r="G74" s="7">
        <f t="shared" ref="G74" si="84">F74*E74</f>
        <v>1728592.28052</v>
      </c>
      <c r="H74" s="48">
        <v>5.1979999999999998E-2</v>
      </c>
      <c r="I74" s="7">
        <f t="shared" ref="I74" si="85">H74*E74</f>
        <v>1676973.25012</v>
      </c>
      <c r="J74" s="175">
        <v>0.59719999999999995</v>
      </c>
      <c r="K74" s="60"/>
      <c r="L74" s="26">
        <f>ROUND(J74*K78/E74,6)</f>
        <v>5.5923E-2</v>
      </c>
      <c r="M74" s="7">
        <f t="shared" ref="M74" si="86">L74*E74</f>
        <v>1804181.8981620001</v>
      </c>
      <c r="N74" s="7">
        <f t="shared" ref="N74" si="87">M74-I74</f>
        <v>127208.64804200013</v>
      </c>
      <c r="O74" s="6">
        <f t="shared" ref="O74" si="88">IF(I74=0,0,N74/I74)</f>
        <v>7.585609849942293E-2</v>
      </c>
      <c r="P74" s="6">
        <f t="shared" ref="P74:P77" si="89">M74/M$78</f>
        <v>0.59574606163830113</v>
      </c>
      <c r="Q74" s="18">
        <f t="shared" ref="Q74" si="90">P74-J74</f>
        <v>-1.4539383616988255E-3</v>
      </c>
      <c r="R74" s="18"/>
      <c r="T74" s="6">
        <f>L74/H74-1</f>
        <v>7.5856098499422986E-2</v>
      </c>
    </row>
    <row r="75" spans="1:20" x14ac:dyDescent="0.25">
      <c r="A75" s="69">
        <f t="shared" si="83"/>
        <v>69</v>
      </c>
      <c r="D75" s="2" t="s">
        <v>74</v>
      </c>
      <c r="E75" s="25">
        <v>4880040</v>
      </c>
      <c r="F75" s="48">
        <f>F74*0.95</f>
        <v>5.0901000000000002E-2</v>
      </c>
      <c r="G75" s="7">
        <f t="shared" ref="G75" si="91">F75*E75</f>
        <v>248398.91604000001</v>
      </c>
      <c r="H75" s="73">
        <f>H74*0.95</f>
        <v>4.9380999999999994E-2</v>
      </c>
      <c r="I75" s="7">
        <f t="shared" ref="I75" si="92">H75*E75</f>
        <v>240981.25523999997</v>
      </c>
      <c r="J75" s="175">
        <f>I75/I78</f>
        <v>8.3165995841932475E-2</v>
      </c>
      <c r="K75" s="60"/>
      <c r="L75" s="75">
        <f>ROUND(L74*0.95,6)</f>
        <v>5.3127000000000001E-2</v>
      </c>
      <c r="M75" s="7">
        <f t="shared" ref="M75" si="93">L75*E75</f>
        <v>259261.88508000001</v>
      </c>
      <c r="N75" s="7">
        <f t="shared" ref="N75:N81" si="94">M75-I75</f>
        <v>18280.629840000038</v>
      </c>
      <c r="O75" s="6">
        <f t="shared" ref="O75:O77" si="95">IF(I75=0,0,N75/I75)</f>
        <v>7.585913610497981E-2</v>
      </c>
      <c r="P75" s="6">
        <f t="shared" si="89"/>
        <v>8.5609021533073357E-2</v>
      </c>
      <c r="Q75" s="18">
        <f t="shared" ref="Q75:Q78" si="96">P75-J75</f>
        <v>2.4430256911408821E-3</v>
      </c>
      <c r="R75" s="18"/>
      <c r="T75" s="6">
        <f>L75/H75-1</f>
        <v>7.5859136104979852E-2</v>
      </c>
    </row>
    <row r="76" spans="1:20" x14ac:dyDescent="0.25">
      <c r="A76" s="69">
        <f t="shared" si="83"/>
        <v>70</v>
      </c>
      <c r="D76" s="2" t="s">
        <v>99</v>
      </c>
      <c r="E76" s="25">
        <v>110932</v>
      </c>
      <c r="F76" s="21">
        <v>8.34</v>
      </c>
      <c r="G76" s="7">
        <f t="shared" ref="G76" si="97">F76*E76</f>
        <v>925172.88</v>
      </c>
      <c r="H76" s="21">
        <v>8.34</v>
      </c>
      <c r="I76" s="7">
        <f t="shared" ref="I76" si="98">H76*E76</f>
        <v>925172.88</v>
      </c>
      <c r="J76" s="175">
        <v>0.30209999999999998</v>
      </c>
      <c r="K76" s="60"/>
      <c r="L76" s="20">
        <f>ROUND(J76*K78/E76,2)</f>
        <v>8.23</v>
      </c>
      <c r="M76" s="7">
        <f t="shared" ref="M76" si="99">L76*E76</f>
        <v>912970.3600000001</v>
      </c>
      <c r="N76" s="7">
        <f t="shared" ref="N76" si="100">M76-I76</f>
        <v>-12202.519999999902</v>
      </c>
      <c r="O76" s="6">
        <f t="shared" ref="O76" si="101">IF(I76=0,0,N76/I76)</f>
        <v>-1.3189448441246896E-2</v>
      </c>
      <c r="P76" s="6">
        <f t="shared" si="89"/>
        <v>0.30146544365432082</v>
      </c>
      <c r="Q76" s="18">
        <f t="shared" ref="Q76" si="102">P76-J76</f>
        <v>-6.3455634567916031E-4</v>
      </c>
      <c r="R76" s="18"/>
      <c r="T76" s="6">
        <f>L76/H76-1</f>
        <v>-1.318944844124692E-2</v>
      </c>
    </row>
    <row r="77" spans="1:20" x14ac:dyDescent="0.25">
      <c r="A77" s="69">
        <f t="shared" si="83"/>
        <v>71</v>
      </c>
      <c r="D77" s="2" t="s">
        <v>75</v>
      </c>
      <c r="E77" s="77">
        <f>G77/F77</f>
        <v>1806.601918465228</v>
      </c>
      <c r="F77" s="21">
        <f>F76</f>
        <v>8.34</v>
      </c>
      <c r="G77" s="24">
        <v>15067.060000000001</v>
      </c>
      <c r="H77" s="21">
        <f>H76</f>
        <v>8.34</v>
      </c>
      <c r="I77" s="24">
        <f>G77</f>
        <v>15067.060000000001</v>
      </c>
      <c r="J77" s="175">
        <f>I77/I78</f>
        <v>5.1998527771887591E-3</v>
      </c>
      <c r="K77" s="60"/>
      <c r="L77" s="20">
        <f>L76</f>
        <v>8.23</v>
      </c>
      <c r="M77" s="7">
        <f>L77*E77</f>
        <v>14868.333788968826</v>
      </c>
      <c r="N77" s="7">
        <f t="shared" si="94"/>
        <v>-198.7262110311749</v>
      </c>
      <c r="O77" s="6">
        <f t="shared" si="95"/>
        <v>-1.318944844124699E-2</v>
      </c>
      <c r="P77" s="6">
        <f t="shared" si="89"/>
        <v>4.9095666611696084E-3</v>
      </c>
      <c r="Q77" s="18">
        <f t="shared" si="96"/>
        <v>-2.9028611601915073E-4</v>
      </c>
      <c r="R77" s="18"/>
      <c r="T77" s="6">
        <f>L77/H77-1</f>
        <v>-1.318944844124692E-2</v>
      </c>
    </row>
    <row r="78" spans="1:20" s="8" customFormat="1" ht="20.399999999999999" customHeight="1" x14ac:dyDescent="0.3">
      <c r="A78" s="69">
        <f t="shared" si="83"/>
        <v>72</v>
      </c>
      <c r="C78" s="31"/>
      <c r="D78" s="33" t="s">
        <v>6</v>
      </c>
      <c r="E78" s="33"/>
      <c r="F78" s="33"/>
      <c r="G78" s="34">
        <f>SUM(G73:G77)</f>
        <v>2956630.2665599999</v>
      </c>
      <c r="H78" s="33"/>
      <c r="I78" s="35">
        <f>SUM(I73:I77)</f>
        <v>2897593.5753599997</v>
      </c>
      <c r="J78" s="36">
        <f>SUM(J73:J77)</f>
        <v>0.99996584861912108</v>
      </c>
      <c r="K78" s="61">
        <f>I78+Summary!I15</f>
        <v>3021058.9653599998</v>
      </c>
      <c r="L78" s="33"/>
      <c r="M78" s="34">
        <f>SUM(M73:M77)</f>
        <v>3028441.1670309687</v>
      </c>
      <c r="N78" s="34">
        <f t="shared" si="94"/>
        <v>130847.59167096904</v>
      </c>
      <c r="O78" s="36">
        <f t="shared" ref="O78" si="103">N78/I78</f>
        <v>4.5157330822253913E-2</v>
      </c>
      <c r="P78" s="36">
        <f>SUM(P73:P77)</f>
        <v>1.0000000000000002</v>
      </c>
      <c r="Q78" s="37">
        <f t="shared" si="96"/>
        <v>3.4151380879143822E-5</v>
      </c>
      <c r="R78" s="52">
        <f>M78-K78</f>
        <v>7382.2016709689051</v>
      </c>
      <c r="S78" s="8">
        <f>K78/I78</f>
        <v>1.0426096299529035</v>
      </c>
    </row>
    <row r="79" spans="1:20" x14ac:dyDescent="0.25">
      <c r="A79" s="69">
        <f t="shared" si="83"/>
        <v>73</v>
      </c>
      <c r="D79" s="2" t="s">
        <v>29</v>
      </c>
      <c r="G79" s="24">
        <v>-149240.44999999998</v>
      </c>
      <c r="I79" s="66">
        <f>G79+(0.0016*(E74+E75))</f>
        <v>-89813.355599999981</v>
      </c>
      <c r="J79" s="18"/>
      <c r="M79" s="7">
        <f>I79</f>
        <v>-89813.355599999981</v>
      </c>
      <c r="N79" s="7">
        <f t="shared" si="94"/>
        <v>0</v>
      </c>
      <c r="O79" s="19">
        <v>0</v>
      </c>
    </row>
    <row r="80" spans="1:20" x14ac:dyDescent="0.25">
      <c r="A80" s="69">
        <f t="shared" si="83"/>
        <v>74</v>
      </c>
      <c r="D80" s="2" t="s">
        <v>30</v>
      </c>
      <c r="G80" s="24">
        <v>308887.64</v>
      </c>
      <c r="I80" s="23">
        <f t="shared" ref="I80:I82" si="104">G80</f>
        <v>308887.64</v>
      </c>
      <c r="M80" s="7">
        <f t="shared" ref="M80:M82" si="105">I80</f>
        <v>308887.64</v>
      </c>
      <c r="N80" s="7">
        <f t="shared" si="94"/>
        <v>0</v>
      </c>
      <c r="O80" s="19">
        <v>0</v>
      </c>
    </row>
    <row r="81" spans="1:24" x14ac:dyDescent="0.25">
      <c r="A81" s="69">
        <f t="shared" si="83"/>
        <v>75</v>
      </c>
      <c r="D81" s="2" t="s">
        <v>33</v>
      </c>
      <c r="G81" s="24">
        <v>0</v>
      </c>
      <c r="I81" s="23">
        <f t="shared" si="104"/>
        <v>0</v>
      </c>
      <c r="J81" s="18"/>
      <c r="M81" s="7">
        <f t="shared" si="105"/>
        <v>0</v>
      </c>
      <c r="N81" s="7">
        <f t="shared" si="94"/>
        <v>0</v>
      </c>
      <c r="O81" s="19">
        <v>0</v>
      </c>
    </row>
    <row r="82" spans="1:24" x14ac:dyDescent="0.25">
      <c r="A82" s="69">
        <f t="shared" si="83"/>
        <v>76</v>
      </c>
      <c r="D82" s="2" t="s">
        <v>71</v>
      </c>
      <c r="G82" s="24">
        <v>0</v>
      </c>
      <c r="I82" s="23">
        <f t="shared" si="104"/>
        <v>0</v>
      </c>
      <c r="M82" s="7">
        <f t="shared" si="105"/>
        <v>0</v>
      </c>
      <c r="N82" s="7"/>
      <c r="O82" s="19"/>
    </row>
    <row r="83" spans="1:24" x14ac:dyDescent="0.25">
      <c r="A83" s="69">
        <f t="shared" si="83"/>
        <v>77</v>
      </c>
      <c r="D83" s="27" t="s">
        <v>8</v>
      </c>
      <c r="E83" s="27"/>
      <c r="F83" s="27"/>
      <c r="G83" s="28">
        <f>SUM(G79:G82)</f>
        <v>159647.19000000003</v>
      </c>
      <c r="H83" s="27"/>
      <c r="I83" s="28">
        <f>SUM(I79:I82)</f>
        <v>219074.28440000003</v>
      </c>
      <c r="J83" s="27"/>
      <c r="K83" s="62"/>
      <c r="L83" s="27"/>
      <c r="M83" s="28">
        <f>SUM(M79:M82)</f>
        <v>219074.28440000003</v>
      </c>
      <c r="N83" s="28">
        <f t="shared" ref="N83:N85" si="106">M83-I83</f>
        <v>0</v>
      </c>
      <c r="O83" s="38">
        <f t="shared" ref="O83" si="107">N83-J83</f>
        <v>0</v>
      </c>
    </row>
    <row r="84" spans="1:24" s="8" customFormat="1" ht="26.4" customHeight="1" thickBot="1" x14ac:dyDescent="0.3">
      <c r="A84" s="69">
        <f t="shared" si="83"/>
        <v>78</v>
      </c>
      <c r="C84" s="31"/>
      <c r="D84" s="9" t="s">
        <v>19</v>
      </c>
      <c r="E84" s="9"/>
      <c r="F84" s="9"/>
      <c r="G84" s="10">
        <f>G78+G83</f>
        <v>3116277.4565599998</v>
      </c>
      <c r="H84" s="9"/>
      <c r="I84" s="29">
        <f>I83+I78</f>
        <v>3116667.8597599999</v>
      </c>
      <c r="J84" s="9"/>
      <c r="K84" s="63"/>
      <c r="L84" s="9"/>
      <c r="M84" s="10">
        <f>M83+M78</f>
        <v>3247515.4514309689</v>
      </c>
      <c r="N84" s="10">
        <f t="shared" si="106"/>
        <v>130847.59167096904</v>
      </c>
      <c r="O84" s="11">
        <f>N84/I84</f>
        <v>4.1983168421753161E-2</v>
      </c>
      <c r="P84" s="2"/>
      <c r="Q84" s="2"/>
      <c r="R84" s="2"/>
    </row>
    <row r="85" spans="1:24" ht="13.8" thickTop="1" x14ac:dyDescent="0.25">
      <c r="A85" s="69">
        <f t="shared" si="83"/>
        <v>79</v>
      </c>
      <c r="D85" s="2" t="s">
        <v>18</v>
      </c>
      <c r="E85" s="19">
        <f>(E74+E75)/E73</f>
        <v>52386.366713681244</v>
      </c>
      <c r="G85" s="17">
        <f>G84/E73</f>
        <v>4395.3137610155145</v>
      </c>
      <c r="I85" s="17">
        <f>I84/E73</f>
        <v>4395.8644002256697</v>
      </c>
      <c r="M85" s="17">
        <f>M84/E73</f>
        <v>4580.4167156995327</v>
      </c>
      <c r="N85" s="17">
        <f t="shared" si="106"/>
        <v>184.55231547386302</v>
      </c>
      <c r="O85" s="6">
        <f>N85/I85</f>
        <v>4.1983168421753113E-2</v>
      </c>
    </row>
    <row r="86" spans="1:24" ht="13.8" thickBot="1" x14ac:dyDescent="0.3">
      <c r="A86" s="69">
        <f t="shared" si="83"/>
        <v>80</v>
      </c>
    </row>
    <row r="87" spans="1:24" x14ac:dyDescent="0.25">
      <c r="A87" s="69">
        <f t="shared" si="83"/>
        <v>81</v>
      </c>
      <c r="B87" s="44" t="s">
        <v>76</v>
      </c>
      <c r="C87" s="45" t="s">
        <v>54</v>
      </c>
      <c r="D87" s="44"/>
      <c r="E87" s="44"/>
      <c r="F87" s="44"/>
      <c r="G87" s="44"/>
      <c r="H87" s="44"/>
      <c r="I87" s="44"/>
      <c r="J87" s="44"/>
      <c r="K87" s="59"/>
      <c r="L87" s="44"/>
      <c r="M87" s="44"/>
      <c r="N87" s="44"/>
      <c r="O87" s="44"/>
      <c r="P87" s="44"/>
      <c r="Q87" s="44"/>
      <c r="R87" s="44"/>
      <c r="X87" s="176"/>
    </row>
    <row r="88" spans="1:24" x14ac:dyDescent="0.25">
      <c r="A88" s="69">
        <f t="shared" si="83"/>
        <v>82</v>
      </c>
      <c r="C88" s="2"/>
      <c r="D88" s="2" t="s">
        <v>17</v>
      </c>
      <c r="E88" s="135">
        <f>288</f>
        <v>288</v>
      </c>
      <c r="F88" s="22">
        <v>111.14</v>
      </c>
      <c r="G88" s="7">
        <f>F88*E88</f>
        <v>32008.32</v>
      </c>
      <c r="H88" s="21">
        <v>111.14</v>
      </c>
      <c r="I88" s="7">
        <f>H88*E88</f>
        <v>32008.32</v>
      </c>
      <c r="J88" s="175">
        <v>5.4999999999999997E-3</v>
      </c>
      <c r="K88" s="60"/>
      <c r="L88" s="20">
        <f>ROUND(J88*K92/E88,2)</f>
        <v>109.05</v>
      </c>
      <c r="M88" s="7">
        <f>L88*E88</f>
        <v>31406.399999999998</v>
      </c>
      <c r="N88" s="7">
        <f>M88-I88</f>
        <v>-601.92000000000189</v>
      </c>
      <c r="O88" s="6">
        <f>IF(I88=0,0,N88/I88)</f>
        <v>-1.880511067122554E-2</v>
      </c>
      <c r="P88" s="6">
        <f>M88/M$92</f>
        <v>5.5002422276358327E-3</v>
      </c>
      <c r="Q88" s="18">
        <f>P88-J88</f>
        <v>2.4222763583305051E-7</v>
      </c>
      <c r="R88" s="18"/>
      <c r="T88" s="6">
        <f>L88/H88-1</f>
        <v>-1.8805110671225478E-2</v>
      </c>
      <c r="X88" s="176" t="s">
        <v>118</v>
      </c>
    </row>
    <row r="89" spans="1:24" x14ac:dyDescent="0.25">
      <c r="A89" s="69">
        <f t="shared" si="83"/>
        <v>83</v>
      </c>
      <c r="D89" s="2" t="s">
        <v>92</v>
      </c>
      <c r="E89" s="135">
        <v>22347816</v>
      </c>
      <c r="F89" s="48">
        <v>4.7440000000000003E-2</v>
      </c>
      <c r="G89" s="7">
        <f t="shared" ref="G89" si="108">F89*E89</f>
        <v>1060180.3910400001</v>
      </c>
      <c r="H89" s="48">
        <v>4.5839999999999999E-2</v>
      </c>
      <c r="I89" s="7">
        <f t="shared" ref="I89" si="109">H89*E89</f>
        <v>1024423.88544</v>
      </c>
      <c r="J89" s="175">
        <v>0.1968</v>
      </c>
      <c r="K89" s="60"/>
      <c r="L89" s="177">
        <f>ROUND(H89*X89,6)</f>
        <v>4.9161999999999997E-2</v>
      </c>
      <c r="M89" s="7">
        <f t="shared" ref="M89" si="110">L89*E89</f>
        <v>1098663.3301919999</v>
      </c>
      <c r="N89" s="7">
        <f t="shared" ref="N89" si="111">M89-I89</f>
        <v>74239.444751999923</v>
      </c>
      <c r="O89" s="6">
        <f t="shared" ref="O89" si="112">IF(I89=0,0,N89/I89)</f>
        <v>7.2469458987783522E-2</v>
      </c>
      <c r="P89" s="6">
        <f>M89/M$92</f>
        <v>0.19241028716048475</v>
      </c>
      <c r="Q89" s="18">
        <f t="shared" ref="Q89" si="113">P89-J89</f>
        <v>-4.3897128395152529E-3</v>
      </c>
      <c r="R89" s="18"/>
      <c r="T89" s="6">
        <f>L89/H89-1</f>
        <v>7.2469458987783675E-2</v>
      </c>
      <c r="X89" s="176">
        <v>1.0724797854423331</v>
      </c>
    </row>
    <row r="90" spans="1:24" x14ac:dyDescent="0.25">
      <c r="A90" s="69">
        <f t="shared" si="83"/>
        <v>84</v>
      </c>
      <c r="D90" s="2" t="s">
        <v>74</v>
      </c>
      <c r="E90" s="135">
        <f>59902200</f>
        <v>59902200</v>
      </c>
      <c r="F90" s="48">
        <f>F89*0.95</f>
        <v>4.5068000000000004E-2</v>
      </c>
      <c r="G90" s="7">
        <f t="shared" ref="G90:G91" si="114">F90*E90</f>
        <v>2699672.3496000003</v>
      </c>
      <c r="H90" s="73">
        <f>ROUND(H89*0.95,6)</f>
        <v>4.3548000000000003E-2</v>
      </c>
      <c r="I90" s="7">
        <f t="shared" ref="I90:I91" si="115">H90*E90</f>
        <v>2608621.0056000003</v>
      </c>
      <c r="J90" s="175">
        <v>0.4854</v>
      </c>
      <c r="K90" s="60"/>
      <c r="L90" s="73">
        <f>ROUND(L89*0.95,6)</f>
        <v>4.6704000000000002E-2</v>
      </c>
      <c r="M90" s="7">
        <f t="shared" ref="M90:M91" si="116">L90*E90</f>
        <v>2797672.3488000003</v>
      </c>
      <c r="N90" s="7">
        <f t="shared" ref="N90:N99" si="117">M90-I90</f>
        <v>189051.3432</v>
      </c>
      <c r="O90" s="6">
        <f t="shared" ref="O90:O91" si="118">IF(I90=0,0,N90/I90)</f>
        <v>7.2471755304491584E-2</v>
      </c>
      <c r="P90" s="6">
        <f>M90/M$92</f>
        <v>0.48995986779633727</v>
      </c>
      <c r="Q90" s="18">
        <f t="shared" ref="Q90:Q92" si="119">P90-J90</f>
        <v>4.5598677963372691E-3</v>
      </c>
      <c r="R90" s="18"/>
      <c r="T90" s="6">
        <f>L90/H90-1</f>
        <v>7.247175530449157E-2</v>
      </c>
    </row>
    <row r="91" spans="1:24" x14ac:dyDescent="0.25">
      <c r="A91" s="69">
        <f t="shared" si="83"/>
        <v>85</v>
      </c>
      <c r="D91" s="2" t="s">
        <v>99</v>
      </c>
      <c r="E91" s="135">
        <f>218147</f>
        <v>218147</v>
      </c>
      <c r="F91" s="21">
        <v>8.34</v>
      </c>
      <c r="G91" s="7">
        <f t="shared" si="114"/>
        <v>1819345.98</v>
      </c>
      <c r="H91" s="21">
        <v>8.34</v>
      </c>
      <c r="I91" s="7">
        <f t="shared" si="115"/>
        <v>1819345.98</v>
      </c>
      <c r="J91" s="175">
        <v>0.31230000000000002</v>
      </c>
      <c r="K91" s="60"/>
      <c r="L91" s="20">
        <f>ROUND(J91*K92/E91,2)</f>
        <v>8.17</v>
      </c>
      <c r="M91" s="7">
        <f t="shared" si="116"/>
        <v>1782260.99</v>
      </c>
      <c r="N91" s="7">
        <f t="shared" si="117"/>
        <v>-37084.989999999991</v>
      </c>
      <c r="O91" s="6">
        <f t="shared" si="118"/>
        <v>-2.0383693045563544E-2</v>
      </c>
      <c r="P91" s="6">
        <f>M91/M$92</f>
        <v>0.3121296028155422</v>
      </c>
      <c r="Q91" s="18">
        <f t="shared" si="119"/>
        <v>-1.703971844578267E-4</v>
      </c>
      <c r="R91" s="18"/>
      <c r="T91" s="6">
        <f>L91/H91-1</f>
        <v>-2.0383693045563533E-2</v>
      </c>
    </row>
    <row r="92" spans="1:24" s="8" customFormat="1" ht="20.399999999999999" customHeight="1" x14ac:dyDescent="0.3">
      <c r="A92" s="69">
        <f t="shared" si="83"/>
        <v>86</v>
      </c>
      <c r="C92" s="31"/>
      <c r="D92" s="33" t="s">
        <v>6</v>
      </c>
      <c r="E92" s="33"/>
      <c r="F92" s="33"/>
      <c r="G92" s="34">
        <f>SUM(G88:G91)</f>
        <v>5611207.0406400003</v>
      </c>
      <c r="H92" s="33"/>
      <c r="I92" s="35">
        <f>SUM(I88:I91)</f>
        <v>5484399.1910399999</v>
      </c>
      <c r="J92" s="36">
        <f>SUM(J88:J91)</f>
        <v>1</v>
      </c>
      <c r="K92" s="61">
        <f>I92+Summary!I16</f>
        <v>5710023.9910399998</v>
      </c>
      <c r="L92" s="33"/>
      <c r="M92" s="34">
        <f>SUM(M88:M91)</f>
        <v>5710003.0689920001</v>
      </c>
      <c r="N92" s="34">
        <f>SUM(N88:N91)</f>
        <v>225603.87795199995</v>
      </c>
      <c r="O92" s="36">
        <f t="shared" ref="O92" si="120">N92/I92</f>
        <v>4.1135568381049765E-2</v>
      </c>
      <c r="P92" s="36">
        <f>SUM(P88:P91)</f>
        <v>1</v>
      </c>
      <c r="Q92" s="37">
        <f t="shared" si="119"/>
        <v>0</v>
      </c>
      <c r="R92" s="52">
        <f>M92-K92</f>
        <v>-20.922047999687493</v>
      </c>
      <c r="S92" s="8">
        <f>K92/I92</f>
        <v>1.041139383210582</v>
      </c>
    </row>
    <row r="93" spans="1:24" x14ac:dyDescent="0.25">
      <c r="A93" s="69">
        <f t="shared" si="83"/>
        <v>87</v>
      </c>
      <c r="D93" s="2" t="s">
        <v>29</v>
      </c>
      <c r="G93" s="136">
        <f>-326808.71</f>
        <v>-326808.71000000002</v>
      </c>
      <c r="I93" s="66">
        <f>G93+(0.0016*(E89+E90))</f>
        <v>-195208.68440000003</v>
      </c>
      <c r="K93" s="80">
        <f>K92-I92</f>
        <v>225624.79999999981</v>
      </c>
      <c r="M93" s="7">
        <f>I93</f>
        <v>-195208.68440000003</v>
      </c>
      <c r="N93" s="7">
        <f t="shared" si="117"/>
        <v>0</v>
      </c>
      <c r="O93" s="19">
        <v>0</v>
      </c>
    </row>
    <row r="94" spans="1:24" x14ac:dyDescent="0.25">
      <c r="A94" s="69">
        <f t="shared" si="83"/>
        <v>88</v>
      </c>
      <c r="D94" s="2" t="s">
        <v>30</v>
      </c>
      <c r="G94" s="136">
        <f>587556.62</f>
        <v>587556.62</v>
      </c>
      <c r="I94" s="23">
        <f t="shared" ref="I94:I96" si="121">G94</f>
        <v>587556.62</v>
      </c>
      <c r="M94" s="7">
        <f t="shared" ref="M94:M96" si="122">I94</f>
        <v>587556.62</v>
      </c>
      <c r="N94" s="7">
        <f t="shared" si="117"/>
        <v>0</v>
      </c>
      <c r="O94" s="19">
        <v>0</v>
      </c>
    </row>
    <row r="95" spans="1:24" x14ac:dyDescent="0.25">
      <c r="A95" s="69">
        <f t="shared" si="83"/>
        <v>89</v>
      </c>
      <c r="D95" s="2" t="s">
        <v>33</v>
      </c>
      <c r="E95" s="2">
        <v>12</v>
      </c>
      <c r="F95" s="19">
        <v>1088</v>
      </c>
      <c r="G95" s="24">
        <f>F95*E95</f>
        <v>13056</v>
      </c>
      <c r="I95" s="23">
        <f t="shared" si="121"/>
        <v>13056</v>
      </c>
      <c r="M95" s="7">
        <f t="shared" si="122"/>
        <v>13056</v>
      </c>
      <c r="N95" s="7">
        <f t="shared" si="117"/>
        <v>0</v>
      </c>
      <c r="O95" s="19">
        <v>0</v>
      </c>
    </row>
    <row r="96" spans="1:24" x14ac:dyDescent="0.25">
      <c r="A96" s="69">
        <f t="shared" si="83"/>
        <v>90</v>
      </c>
      <c r="D96" s="2" t="s">
        <v>71</v>
      </c>
      <c r="G96" s="24">
        <v>0</v>
      </c>
      <c r="I96" s="23">
        <f t="shared" si="121"/>
        <v>0</v>
      </c>
      <c r="M96" s="7">
        <f t="shared" si="122"/>
        <v>0</v>
      </c>
      <c r="N96" s="7"/>
      <c r="O96" s="19"/>
    </row>
    <row r="97" spans="1:23" x14ac:dyDescent="0.25">
      <c r="A97" s="69">
        <f t="shared" si="83"/>
        <v>91</v>
      </c>
      <c r="D97" s="27" t="s">
        <v>8</v>
      </c>
      <c r="E97" s="27"/>
      <c r="F97" s="27"/>
      <c r="G97" s="28">
        <f>SUM(G93:G96)</f>
        <v>273803.90999999997</v>
      </c>
      <c r="H97" s="27"/>
      <c r="I97" s="28">
        <f>SUM(I93:I96)</f>
        <v>405403.93559999997</v>
      </c>
      <c r="J97" s="27"/>
      <c r="K97" s="62"/>
      <c r="L97" s="27"/>
      <c r="M97" s="28">
        <f>SUM(M93:M96)</f>
        <v>405403.93559999997</v>
      </c>
      <c r="N97" s="28">
        <f t="shared" si="117"/>
        <v>0</v>
      </c>
      <c r="O97" s="38">
        <f t="shared" ref="O97" si="123">N97-J97</f>
        <v>0</v>
      </c>
    </row>
    <row r="98" spans="1:23" s="8" customFormat="1" ht="26.4" customHeight="1" thickBot="1" x14ac:dyDescent="0.3">
      <c r="A98" s="69">
        <f t="shared" si="83"/>
        <v>92</v>
      </c>
      <c r="C98" s="31"/>
      <c r="D98" s="9" t="s">
        <v>19</v>
      </c>
      <c r="E98" s="9"/>
      <c r="F98" s="9"/>
      <c r="G98" s="10">
        <f>G92+G97</f>
        <v>5885010.9506400004</v>
      </c>
      <c r="H98" s="9"/>
      <c r="I98" s="29">
        <f>I97+I92</f>
        <v>5889803.1266399994</v>
      </c>
      <c r="J98" s="9"/>
      <c r="K98" s="63"/>
      <c r="L98" s="9"/>
      <c r="M98" s="10">
        <f>M97+M92</f>
        <v>6115407.0045919996</v>
      </c>
      <c r="N98" s="10">
        <f t="shared" si="117"/>
        <v>225603.87795200013</v>
      </c>
      <c r="O98" s="11">
        <f>N98/I98</f>
        <v>3.8304145843445547E-2</v>
      </c>
      <c r="P98" s="2"/>
      <c r="Q98" s="2"/>
      <c r="R98" s="2"/>
    </row>
    <row r="99" spans="1:23" ht="13.8" thickTop="1" x14ac:dyDescent="0.25">
      <c r="A99" s="69">
        <f t="shared" si="83"/>
        <v>93</v>
      </c>
      <c r="D99" s="2" t="s">
        <v>18</v>
      </c>
      <c r="E99" s="19">
        <f>(E89+E90)/E88</f>
        <v>285590.33333333331</v>
      </c>
      <c r="G99" s="17">
        <f>G98/E88</f>
        <v>20434.065800833334</v>
      </c>
      <c r="I99" s="17">
        <f>I98/E88</f>
        <v>20450.705300833331</v>
      </c>
      <c r="M99" s="17">
        <f>M98/E88</f>
        <v>21234.052099277775</v>
      </c>
      <c r="N99" s="17">
        <f t="shared" si="117"/>
        <v>783.34679844444327</v>
      </c>
      <c r="O99" s="6">
        <f>N99/I99</f>
        <v>3.8304145843445471E-2</v>
      </c>
    </row>
    <row r="100" spans="1:23" ht="13.8" thickBot="1" x14ac:dyDescent="0.3">
      <c r="A100" s="69">
        <f t="shared" si="83"/>
        <v>94</v>
      </c>
    </row>
    <row r="101" spans="1:23" x14ac:dyDescent="0.25">
      <c r="A101" s="69">
        <f t="shared" si="83"/>
        <v>95</v>
      </c>
      <c r="B101" s="44" t="s">
        <v>84</v>
      </c>
      <c r="C101" s="45" t="s">
        <v>56</v>
      </c>
      <c r="D101" s="44"/>
      <c r="E101" s="44"/>
      <c r="F101" s="44"/>
      <c r="G101" s="44"/>
      <c r="H101" s="44"/>
      <c r="I101" s="44"/>
      <c r="J101" s="44"/>
      <c r="K101" s="59"/>
      <c r="L101" s="44"/>
      <c r="M101" s="44"/>
      <c r="N101" s="44"/>
      <c r="O101" s="44"/>
      <c r="P101" s="44"/>
      <c r="Q101" s="44"/>
      <c r="R101" s="44"/>
    </row>
    <row r="102" spans="1:23" x14ac:dyDescent="0.25">
      <c r="A102" s="69">
        <f t="shared" si="83"/>
        <v>96</v>
      </c>
      <c r="C102" s="2"/>
      <c r="D102" s="2" t="s">
        <v>17</v>
      </c>
      <c r="E102" s="25">
        <v>0</v>
      </c>
      <c r="F102" s="22">
        <v>1111.43</v>
      </c>
      <c r="G102" s="7">
        <f>F102*E102</f>
        <v>0</v>
      </c>
      <c r="H102" s="21">
        <v>1111.43</v>
      </c>
      <c r="I102" s="7">
        <f>H102*E102</f>
        <v>0</v>
      </c>
      <c r="J102" s="6">
        <f>IF(I106=0,0,I102/I$106)</f>
        <v>0</v>
      </c>
      <c r="K102" s="60"/>
      <c r="L102" s="120">
        <f>S102*H102</f>
        <v>1159.6305085047495</v>
      </c>
      <c r="M102" s="7">
        <f>L102*E102</f>
        <v>0</v>
      </c>
      <c r="N102" s="7">
        <f>M102-I102</f>
        <v>0</v>
      </c>
      <c r="O102" s="6">
        <f>IF(I102=0,0,N102/I102)</f>
        <v>0</v>
      </c>
      <c r="P102" s="6">
        <f>IF(M$106=0,0,M102/M$106)</f>
        <v>0</v>
      </c>
      <c r="Q102" s="18">
        <f>P102-J102</f>
        <v>0</v>
      </c>
      <c r="R102" s="18"/>
      <c r="S102" s="4">
        <f>S121</f>
        <v>1.0433680110351073</v>
      </c>
      <c r="T102" s="6">
        <f t="shared" ref="T102:T105" si="124">L102/H102-1</f>
        <v>4.3368011035107346E-2</v>
      </c>
      <c r="W102" s="122" t="s">
        <v>119</v>
      </c>
    </row>
    <row r="103" spans="1:23" x14ac:dyDescent="0.25">
      <c r="A103" s="69">
        <f t="shared" si="83"/>
        <v>97</v>
      </c>
      <c r="D103" s="2" t="s">
        <v>92</v>
      </c>
      <c r="E103" s="25">
        <v>0</v>
      </c>
      <c r="F103" s="48">
        <v>4.8000000000000001E-2</v>
      </c>
      <c r="G103" s="7">
        <f t="shared" ref="G103:G105" si="125">F103*E103</f>
        <v>0</v>
      </c>
      <c r="H103" s="48">
        <v>4.6399999999999997E-2</v>
      </c>
      <c r="I103" s="7">
        <f t="shared" ref="I103:I105" si="126">H103*E103</f>
        <v>0</v>
      </c>
      <c r="J103" s="6">
        <f t="shared" ref="J103:J105" si="127">IF(I107=0,0,I103/I$106)</f>
        <v>0</v>
      </c>
      <c r="K103" s="60"/>
      <c r="L103" s="121">
        <f t="shared" ref="L103" si="128">S103*H103</f>
        <v>4.8412275712028975E-2</v>
      </c>
      <c r="M103" s="7">
        <f t="shared" ref="M103:M105" si="129">L103*E103</f>
        <v>0</v>
      </c>
      <c r="N103" s="7">
        <f t="shared" ref="N103:N112" si="130">M103-I103</f>
        <v>0</v>
      </c>
      <c r="O103" s="6">
        <f t="shared" ref="O103:O105" si="131">IF(I103=0,0,N103/I103)</f>
        <v>0</v>
      </c>
      <c r="P103" s="6">
        <f t="shared" ref="P103:P105" si="132">IF(M$106=0,0,M103/M$106)</f>
        <v>0</v>
      </c>
      <c r="Q103" s="18">
        <f t="shared" ref="Q103:Q106" si="133">P103-J103</f>
        <v>0</v>
      </c>
      <c r="R103" s="18"/>
      <c r="S103" s="4">
        <f>S102</f>
        <v>1.0433680110351073</v>
      </c>
      <c r="T103" s="6">
        <f t="shared" si="124"/>
        <v>4.3368011035107346E-2</v>
      </c>
      <c r="W103" s="122" t="s">
        <v>119</v>
      </c>
    </row>
    <row r="104" spans="1:23" x14ac:dyDescent="0.25">
      <c r="A104" s="69">
        <f t="shared" si="83"/>
        <v>98</v>
      </c>
      <c r="D104" s="2" t="s">
        <v>100</v>
      </c>
      <c r="E104" s="25">
        <v>0</v>
      </c>
      <c r="F104" s="21">
        <v>7.17</v>
      </c>
      <c r="G104" s="7">
        <f t="shared" ref="G104" si="134">F104*E104</f>
        <v>0</v>
      </c>
      <c r="H104" s="21">
        <v>7.17</v>
      </c>
      <c r="I104" s="7">
        <f t="shared" ref="I104" si="135">H104*E104</f>
        <v>0</v>
      </c>
      <c r="J104" s="6">
        <f t="shared" si="127"/>
        <v>0</v>
      </c>
      <c r="K104" s="60"/>
      <c r="L104" s="120">
        <f>L117</f>
        <v>7.17</v>
      </c>
      <c r="M104" s="7">
        <f t="shared" ref="M104" si="136">L104*E104</f>
        <v>0</v>
      </c>
      <c r="N104" s="7">
        <f t="shared" ref="N104" si="137">M104-I104</f>
        <v>0</v>
      </c>
      <c r="O104" s="6">
        <f t="shared" ref="O104" si="138">IF(I104=0,0,N104/I104)</f>
        <v>0</v>
      </c>
      <c r="P104" s="6">
        <f t="shared" si="132"/>
        <v>0</v>
      </c>
      <c r="Q104" s="18">
        <f t="shared" ref="Q104" si="139">P104-J104</f>
        <v>0</v>
      </c>
      <c r="R104" s="18"/>
      <c r="S104" s="4">
        <f>S103</f>
        <v>1.0433680110351073</v>
      </c>
      <c r="T104" s="6">
        <f t="shared" si="124"/>
        <v>0</v>
      </c>
      <c r="W104" s="122" t="s">
        <v>103</v>
      </c>
    </row>
    <row r="105" spans="1:23" x14ac:dyDescent="0.25">
      <c r="A105" s="69">
        <f t="shared" si="83"/>
        <v>99</v>
      </c>
      <c r="D105" s="2" t="s">
        <v>101</v>
      </c>
      <c r="E105" s="25">
        <v>0</v>
      </c>
      <c r="F105" s="21">
        <v>9.98</v>
      </c>
      <c r="G105" s="7">
        <f t="shared" si="125"/>
        <v>0</v>
      </c>
      <c r="H105" s="21">
        <v>9.98</v>
      </c>
      <c r="I105" s="7">
        <f t="shared" si="126"/>
        <v>0</v>
      </c>
      <c r="J105" s="6">
        <f t="shared" si="127"/>
        <v>0</v>
      </c>
      <c r="K105" s="60"/>
      <c r="L105" s="120">
        <f>L118</f>
        <v>10.41</v>
      </c>
      <c r="M105" s="7">
        <f t="shared" si="129"/>
        <v>0</v>
      </c>
      <c r="N105" s="7">
        <f t="shared" si="130"/>
        <v>0</v>
      </c>
      <c r="O105" s="6">
        <f t="shared" si="131"/>
        <v>0</v>
      </c>
      <c r="P105" s="6">
        <f t="shared" si="132"/>
        <v>0</v>
      </c>
      <c r="Q105" s="18">
        <f t="shared" si="133"/>
        <v>0</v>
      </c>
      <c r="R105" s="18"/>
      <c r="S105" s="4">
        <f>S104</f>
        <v>1.0433680110351073</v>
      </c>
      <c r="T105" s="6">
        <f t="shared" si="124"/>
        <v>4.3086172344689366E-2</v>
      </c>
      <c r="W105" s="122" t="s">
        <v>103</v>
      </c>
    </row>
    <row r="106" spans="1:23" s="8" customFormat="1" ht="20.399999999999999" customHeight="1" x14ac:dyDescent="0.3">
      <c r="A106" s="69">
        <f t="shared" si="83"/>
        <v>100</v>
      </c>
      <c r="C106" s="31"/>
      <c r="D106" s="33" t="s">
        <v>6</v>
      </c>
      <c r="E106" s="33"/>
      <c r="F106" s="33"/>
      <c r="G106" s="34">
        <f>SUM(G102:G105)</f>
        <v>0</v>
      </c>
      <c r="H106" s="33"/>
      <c r="I106" s="35">
        <f>SUM(I102:I105)</f>
        <v>0</v>
      </c>
      <c r="J106" s="36">
        <f>SUM(J102:J105)</f>
        <v>0</v>
      </c>
      <c r="K106" s="61">
        <v>0</v>
      </c>
      <c r="L106" s="33"/>
      <c r="M106" s="34">
        <f>SUM(M102:M105)</f>
        <v>0</v>
      </c>
      <c r="N106" s="34">
        <f t="shared" si="130"/>
        <v>0</v>
      </c>
      <c r="O106" s="36">
        <f>IF(I106=0,0,N106/I106)</f>
        <v>0</v>
      </c>
      <c r="P106" s="36">
        <f>SUM(P102:P105)</f>
        <v>0</v>
      </c>
      <c r="Q106" s="37">
        <f t="shared" si="133"/>
        <v>0</v>
      </c>
      <c r="R106" s="52">
        <f>M106-K106</f>
        <v>0</v>
      </c>
      <c r="S106" s="8">
        <f>IF(I106=0,0,K106/I106)</f>
        <v>0</v>
      </c>
    </row>
    <row r="107" spans="1:23" x14ac:dyDescent="0.25">
      <c r="A107" s="69">
        <f t="shared" si="83"/>
        <v>101</v>
      </c>
      <c r="D107" s="2" t="s">
        <v>29</v>
      </c>
      <c r="G107" s="24">
        <v>0</v>
      </c>
      <c r="I107" s="66">
        <f>G107+(0.0016*E103)</f>
        <v>0</v>
      </c>
      <c r="M107" s="7">
        <f>I107</f>
        <v>0</v>
      </c>
      <c r="N107" s="7">
        <f t="shared" si="130"/>
        <v>0</v>
      </c>
      <c r="O107" s="19">
        <v>0</v>
      </c>
    </row>
    <row r="108" spans="1:23" x14ac:dyDescent="0.25">
      <c r="A108" s="69">
        <f t="shared" si="83"/>
        <v>102</v>
      </c>
      <c r="D108" s="2" t="s">
        <v>30</v>
      </c>
      <c r="G108" s="24">
        <v>0</v>
      </c>
      <c r="I108" s="23">
        <f t="shared" ref="I108:I110" si="140">G108</f>
        <v>0</v>
      </c>
      <c r="M108" s="7">
        <f t="shared" ref="M108:M110" si="141">I108</f>
        <v>0</v>
      </c>
      <c r="N108" s="7">
        <f t="shared" si="130"/>
        <v>0</v>
      </c>
      <c r="O108" s="19">
        <v>0</v>
      </c>
    </row>
    <row r="109" spans="1:23" x14ac:dyDescent="0.25">
      <c r="A109" s="69">
        <f t="shared" si="83"/>
        <v>103</v>
      </c>
      <c r="D109" s="2" t="s">
        <v>33</v>
      </c>
      <c r="G109" s="24">
        <v>0</v>
      </c>
      <c r="I109" s="23">
        <f t="shared" si="140"/>
        <v>0</v>
      </c>
      <c r="M109" s="7">
        <f t="shared" si="141"/>
        <v>0</v>
      </c>
      <c r="N109" s="7">
        <f t="shared" si="130"/>
        <v>0</v>
      </c>
      <c r="O109" s="19">
        <v>0</v>
      </c>
    </row>
    <row r="110" spans="1:23" x14ac:dyDescent="0.25">
      <c r="A110" s="69">
        <f t="shared" si="83"/>
        <v>104</v>
      </c>
      <c r="D110" s="2" t="s">
        <v>71</v>
      </c>
      <c r="G110" s="24">
        <v>0</v>
      </c>
      <c r="I110" s="23">
        <f t="shared" si="140"/>
        <v>0</v>
      </c>
      <c r="M110" s="7">
        <f t="shared" si="141"/>
        <v>0</v>
      </c>
      <c r="N110" s="7"/>
      <c r="O110" s="19"/>
    </row>
    <row r="111" spans="1:23" x14ac:dyDescent="0.25">
      <c r="A111" s="69">
        <f t="shared" si="83"/>
        <v>105</v>
      </c>
      <c r="D111" s="27" t="s">
        <v>8</v>
      </c>
      <c r="E111" s="27"/>
      <c r="F111" s="27"/>
      <c r="G111" s="28">
        <f>SUM(G107:G110)</f>
        <v>0</v>
      </c>
      <c r="H111" s="27"/>
      <c r="I111" s="28">
        <f>SUM(I107:I110)</f>
        <v>0</v>
      </c>
      <c r="J111" s="27"/>
      <c r="K111" s="62"/>
      <c r="L111" s="27"/>
      <c r="M111" s="28">
        <f>SUM(M107:M110)</f>
        <v>0</v>
      </c>
      <c r="N111" s="28">
        <f t="shared" si="130"/>
        <v>0</v>
      </c>
      <c r="O111" s="38">
        <f t="shared" ref="O111" si="142">N111-J111</f>
        <v>0</v>
      </c>
    </row>
    <row r="112" spans="1:23" s="8" customFormat="1" ht="26.4" customHeight="1" thickBot="1" x14ac:dyDescent="0.3">
      <c r="A112" s="69">
        <f t="shared" si="83"/>
        <v>106</v>
      </c>
      <c r="C112" s="31"/>
      <c r="D112" s="9" t="s">
        <v>19</v>
      </c>
      <c r="E112" s="9"/>
      <c r="F112" s="9"/>
      <c r="G112" s="10">
        <f>G106+G111</f>
        <v>0</v>
      </c>
      <c r="H112" s="9"/>
      <c r="I112" s="29">
        <f>I111+I106</f>
        <v>0</v>
      </c>
      <c r="J112" s="9"/>
      <c r="K112" s="63"/>
      <c r="L112" s="9"/>
      <c r="M112" s="10">
        <f>M111+M106</f>
        <v>0</v>
      </c>
      <c r="N112" s="10">
        <f t="shared" si="130"/>
        <v>0</v>
      </c>
      <c r="O112" s="11">
        <f>IF(I112=0,0,N112/I112)</f>
        <v>0</v>
      </c>
      <c r="P112" s="2"/>
      <c r="Q112" s="2"/>
      <c r="R112" s="2"/>
    </row>
    <row r="113" spans="1:24" ht="13.8" thickTop="1" x14ac:dyDescent="0.25">
      <c r="A113" s="69">
        <f t="shared" si="83"/>
        <v>107</v>
      </c>
      <c r="D113" s="30"/>
      <c r="E113" s="30">
        <f>0</f>
        <v>0</v>
      </c>
      <c r="F113" s="30"/>
      <c r="G113" s="30"/>
      <c r="H113" s="119"/>
      <c r="I113" s="30"/>
      <c r="J113" s="30"/>
      <c r="K113" s="30"/>
      <c r="L113" s="30"/>
      <c r="M113" s="30"/>
      <c r="N113" s="30"/>
      <c r="O113" s="30"/>
      <c r="P113" s="30"/>
      <c r="Q113" s="30"/>
    </row>
    <row r="114" spans="1:24" ht="13.8" thickBot="1" x14ac:dyDescent="0.3">
      <c r="A114" s="69">
        <f t="shared" si="83"/>
        <v>108</v>
      </c>
    </row>
    <row r="115" spans="1:24" x14ac:dyDescent="0.25">
      <c r="A115" s="69">
        <f t="shared" si="83"/>
        <v>109</v>
      </c>
      <c r="B115" s="44" t="s">
        <v>57</v>
      </c>
      <c r="C115" s="45" t="s">
        <v>55</v>
      </c>
      <c r="D115" s="44"/>
      <c r="E115" s="44"/>
      <c r="F115" s="44"/>
      <c r="G115" s="44"/>
      <c r="H115" s="44"/>
      <c r="I115" s="44"/>
      <c r="J115" s="44"/>
      <c r="K115" s="59"/>
      <c r="L115" s="44"/>
      <c r="M115" s="44"/>
      <c r="N115" s="44"/>
      <c r="O115" s="44"/>
      <c r="P115" s="44"/>
      <c r="Q115" s="44"/>
      <c r="R115" s="44"/>
    </row>
    <row r="116" spans="1:24" x14ac:dyDescent="0.25">
      <c r="A116" s="69">
        <f t="shared" si="83"/>
        <v>110</v>
      </c>
      <c r="C116" s="2"/>
      <c r="D116" s="2" t="s">
        <v>17</v>
      </c>
      <c r="E116" s="135">
        <f>60</f>
        <v>60</v>
      </c>
      <c r="F116" s="22">
        <v>2222.85</v>
      </c>
      <c r="G116" s="7">
        <f>F116*E116</f>
        <v>133371</v>
      </c>
      <c r="H116" s="21">
        <v>2222.85</v>
      </c>
      <c r="I116" s="7">
        <f>H116*E116</f>
        <v>133371</v>
      </c>
      <c r="J116" s="175">
        <v>1.14E-2</v>
      </c>
      <c r="K116" s="60"/>
      <c r="L116" s="20">
        <f>ROUND(J116*K121/E116,2)</f>
        <v>2164.2399999999998</v>
      </c>
      <c r="M116" s="7">
        <f>L116*E116</f>
        <v>129854.39999999999</v>
      </c>
      <c r="N116" s="7">
        <f>M116-I116</f>
        <v>-3516.6000000000058</v>
      </c>
      <c r="O116" s="6">
        <f>IF(I116=0,0,N116/I116)</f>
        <v>-2.6367051308005533E-2</v>
      </c>
      <c r="P116" s="6">
        <f>M116/M$121</f>
        <v>1.1399795940917222E-2</v>
      </c>
      <c r="Q116" s="18">
        <f>P116-J116</f>
        <v>-2.0405908277877638E-7</v>
      </c>
      <c r="R116" s="18"/>
      <c r="T116" s="6">
        <f t="shared" ref="T116:T120" si="143">L116/H116-1</f>
        <v>-2.636705130800554E-2</v>
      </c>
    </row>
    <row r="117" spans="1:24" x14ac:dyDescent="0.25">
      <c r="A117" s="69">
        <f t="shared" si="83"/>
        <v>111</v>
      </c>
      <c r="D117" s="2" t="s">
        <v>100</v>
      </c>
      <c r="E117" s="135">
        <f>289800+56400</f>
        <v>346200</v>
      </c>
      <c r="F117" s="21">
        <v>7.17</v>
      </c>
      <c r="G117" s="7">
        <f t="shared" ref="G117" si="144">F117*E117</f>
        <v>2482254</v>
      </c>
      <c r="H117" s="21">
        <v>7.17</v>
      </c>
      <c r="I117" s="7">
        <f t="shared" ref="I117" si="145">H117*E117</f>
        <v>2482254</v>
      </c>
      <c r="J117" s="175">
        <v>0.218</v>
      </c>
      <c r="K117" s="60"/>
      <c r="L117" s="20">
        <f>ROUND(J117*K121/E117,2)</f>
        <v>7.17</v>
      </c>
      <c r="M117" s="7">
        <f t="shared" ref="M117" si="146">L117*E117</f>
        <v>2482254</v>
      </c>
      <c r="N117" s="7">
        <f t="shared" ref="N117" si="147">M117-I117</f>
        <v>0</v>
      </c>
      <c r="O117" s="6">
        <f t="shared" ref="O117" si="148">IF(I117=0,0,N117/I117)</f>
        <v>0</v>
      </c>
      <c r="P117" s="6">
        <f>M117/M$121</f>
        <v>0.21791474970063038</v>
      </c>
      <c r="Q117" s="18">
        <f t="shared" ref="Q117" si="149">P117-J117</f>
        <v>-8.5250299369621363E-5</v>
      </c>
      <c r="R117" s="18"/>
      <c r="T117" s="6">
        <f t="shared" ref="T117" si="150">L117/H117-1</f>
        <v>0</v>
      </c>
    </row>
    <row r="118" spans="1:24" x14ac:dyDescent="0.25">
      <c r="A118" s="69">
        <f t="shared" si="83"/>
        <v>112</v>
      </c>
      <c r="B118" s="19"/>
      <c r="D118" s="2" t="s">
        <v>101</v>
      </c>
      <c r="E118" s="135">
        <f>39564+220</f>
        <v>39784</v>
      </c>
      <c r="F118" s="21">
        <v>9.98</v>
      </c>
      <c r="G118" s="7">
        <f t="shared" ref="G118" si="151">F118*E118</f>
        <v>397044.32</v>
      </c>
      <c r="H118" s="70">
        <v>9.98</v>
      </c>
      <c r="I118" s="7">
        <f t="shared" ref="I118" si="152">H118*E118</f>
        <v>397044.32</v>
      </c>
      <c r="J118" s="175">
        <f>I118/I121</f>
        <v>3.6368399539448357E-2</v>
      </c>
      <c r="K118" s="60"/>
      <c r="L118" s="20">
        <f>ROUND(J118*K121/E118,2)</f>
        <v>10.41</v>
      </c>
      <c r="M118" s="7">
        <f t="shared" ref="M118" si="153">L118*E118</f>
        <v>414151.44</v>
      </c>
      <c r="N118" s="7">
        <f t="shared" ref="N118" si="154">M118-I118</f>
        <v>17107.119999999995</v>
      </c>
      <c r="O118" s="6">
        <f t="shared" ref="O118" si="155">IF(I118=0,0,N118/I118)</f>
        <v>4.3086172344689366E-2</v>
      </c>
      <c r="P118" s="6">
        <f>M118/M$121</f>
        <v>3.6357966342588484E-2</v>
      </c>
      <c r="Q118" s="18">
        <f t="shared" ref="Q118" si="156">P118-J118</f>
        <v>-1.0433196859872818E-5</v>
      </c>
      <c r="R118" s="18"/>
      <c r="T118" s="6">
        <f t="shared" si="143"/>
        <v>4.3086172344689366E-2</v>
      </c>
    </row>
    <row r="119" spans="1:24" x14ac:dyDescent="0.25">
      <c r="A119" s="69">
        <f t="shared" si="83"/>
        <v>113</v>
      </c>
      <c r="B119" s="19"/>
      <c r="D119" s="2" t="s">
        <v>102</v>
      </c>
      <c r="E119" s="135">
        <f>56400+220</f>
        <v>56620</v>
      </c>
      <c r="F119" s="21">
        <v>-5.6</v>
      </c>
      <c r="G119" s="7">
        <f t="shared" ref="G119" si="157">F119*E119</f>
        <v>-317072</v>
      </c>
      <c r="H119" s="21">
        <v>-5.6</v>
      </c>
      <c r="I119" s="7">
        <f t="shared" ref="I119" si="158">H119*E119</f>
        <v>-317072</v>
      </c>
      <c r="J119" s="175">
        <f>I119/I121</f>
        <v>-2.9043108282652098E-2</v>
      </c>
      <c r="K119" s="60"/>
      <c r="L119" s="125">
        <v>-5.6</v>
      </c>
      <c r="M119" s="7">
        <f t="shared" ref="M119" si="159">L119*E119</f>
        <v>-317072</v>
      </c>
      <c r="N119" s="7">
        <f t="shared" ref="N119" si="160">M119-I119</f>
        <v>0</v>
      </c>
      <c r="O119" s="6">
        <f t="shared" ref="O119" si="161">IF(I119=0,0,N119/I119)</f>
        <v>0</v>
      </c>
      <c r="P119" s="6">
        <f>M119/M$121</f>
        <v>-2.7835453389168985E-2</v>
      </c>
      <c r="Q119" s="18">
        <f t="shared" ref="Q119" si="162">P119-J119</f>
        <v>1.2076548934831129E-3</v>
      </c>
      <c r="R119" s="18"/>
      <c r="T119" s="6">
        <f t="shared" ref="T119" si="163">L119/H119-1</f>
        <v>0</v>
      </c>
      <c r="X119" s="176" t="s">
        <v>118</v>
      </c>
    </row>
    <row r="120" spans="1:24" x14ac:dyDescent="0.25">
      <c r="A120" s="69">
        <f t="shared" si="83"/>
        <v>114</v>
      </c>
      <c r="B120" s="124"/>
      <c r="D120" s="2" t="s">
        <v>92</v>
      </c>
      <c r="E120" s="135">
        <f>200724889</f>
        <v>200724889</v>
      </c>
      <c r="F120" s="48">
        <v>4.2560000000000001E-2</v>
      </c>
      <c r="G120" s="7">
        <f t="shared" ref="G120" si="164">F120*E120</f>
        <v>8542851.2758399993</v>
      </c>
      <c r="H120" s="48">
        <v>4.0960000000000003E-2</v>
      </c>
      <c r="I120" s="7">
        <f t="shared" ref="I120" si="165">H120*E120</f>
        <v>8221691.4534400003</v>
      </c>
      <c r="J120" s="175">
        <v>0.76329999999999998</v>
      </c>
      <c r="K120" s="60"/>
      <c r="L120" s="26">
        <f>ROUND(H120*X120,6)</f>
        <v>4.3251999999999999E-2</v>
      </c>
      <c r="M120" s="7">
        <f t="shared" ref="M120" si="166">L120*E120</f>
        <v>8681752.8990279995</v>
      </c>
      <c r="N120" s="7">
        <f t="shared" ref="N120:N128" si="167">M120-I120</f>
        <v>460061.44558799919</v>
      </c>
      <c r="O120" s="6">
        <f t="shared" ref="O120" si="168">IF(I120=0,0,N120/I120)</f>
        <v>5.59570312499999E-2</v>
      </c>
      <c r="P120" s="6">
        <f>M120/M$121</f>
        <v>0.76216294140503293</v>
      </c>
      <c r="Q120" s="18">
        <f t="shared" ref="Q120:Q121" si="169">P120-J120</f>
        <v>-1.1370585949670442E-3</v>
      </c>
      <c r="R120" s="18"/>
      <c r="T120" s="6">
        <f t="shared" si="143"/>
        <v>5.5957031249999956E-2</v>
      </c>
      <c r="X120" s="176">
        <v>1.0559541057692812</v>
      </c>
    </row>
    <row r="121" spans="1:24" s="8" customFormat="1" ht="20.399999999999999" customHeight="1" x14ac:dyDescent="0.3">
      <c r="A121" s="69">
        <f t="shared" si="83"/>
        <v>115</v>
      </c>
      <c r="C121" s="31"/>
      <c r="D121" s="33" t="s">
        <v>6</v>
      </c>
      <c r="E121" s="33"/>
      <c r="F121" s="33"/>
      <c r="G121" s="34">
        <f>SUM(G116:G120)</f>
        <v>11238448.59584</v>
      </c>
      <c r="H121" s="33"/>
      <c r="I121" s="35">
        <f>SUM(I116:I120)</f>
        <v>10917288.77344</v>
      </c>
      <c r="J121" s="36">
        <f>SUM(J116:J120)</f>
        <v>1.0000252912567962</v>
      </c>
      <c r="K121" s="61">
        <f>I121+Summary!I18</f>
        <v>11390749.873439999</v>
      </c>
      <c r="L121" s="33"/>
      <c r="M121" s="34">
        <f>SUM(M116:M120)</f>
        <v>11390940.739027999</v>
      </c>
      <c r="N121" s="34">
        <f t="shared" si="167"/>
        <v>473651.96558799967</v>
      </c>
      <c r="O121" s="36">
        <f t="shared" ref="O121" si="170">N121/I121</f>
        <v>4.3385493909469393E-2</v>
      </c>
      <c r="P121" s="36">
        <f>SUM(P116:P120)</f>
        <v>1</v>
      </c>
      <c r="Q121" s="37">
        <f t="shared" si="169"/>
        <v>-2.5291256796178274E-5</v>
      </c>
      <c r="R121" s="52">
        <f>M121-K121</f>
        <v>190.86558800004423</v>
      </c>
      <c r="S121" s="8">
        <f>K121/I121</f>
        <v>1.0433680110351073</v>
      </c>
    </row>
    <row r="122" spans="1:24" x14ac:dyDescent="0.25">
      <c r="A122" s="69">
        <f t="shared" si="83"/>
        <v>116</v>
      </c>
      <c r="D122" s="2" t="s">
        <v>29</v>
      </c>
      <c r="G122" s="136">
        <f>-826878.94</f>
        <v>-826878.94</v>
      </c>
      <c r="I122" s="66">
        <f>G122+(0.0016*E120)</f>
        <v>-505719.11759999994</v>
      </c>
      <c r="K122" s="80"/>
      <c r="M122" s="7">
        <f>I122</f>
        <v>-505719.11759999994</v>
      </c>
      <c r="N122" s="7">
        <f t="shared" si="167"/>
        <v>0</v>
      </c>
      <c r="O122" s="19">
        <v>0</v>
      </c>
    </row>
    <row r="123" spans="1:24" x14ac:dyDescent="0.25">
      <c r="A123" s="69">
        <f t="shared" si="83"/>
        <v>117</v>
      </c>
      <c r="D123" s="2" t="s">
        <v>30</v>
      </c>
      <c r="G123" s="136">
        <f>1146814.27</f>
        <v>1146814.27</v>
      </c>
      <c r="I123" s="23">
        <f t="shared" ref="I123:I125" si="171">G123</f>
        <v>1146814.27</v>
      </c>
      <c r="M123" s="7">
        <f t="shared" ref="M123:M125" si="172">I123</f>
        <v>1146814.27</v>
      </c>
      <c r="N123" s="7">
        <f t="shared" si="167"/>
        <v>0</v>
      </c>
      <c r="O123" s="19">
        <v>0</v>
      </c>
    </row>
    <row r="124" spans="1:24" x14ac:dyDescent="0.25">
      <c r="A124" s="69">
        <f t="shared" si="83"/>
        <v>118</v>
      </c>
      <c r="D124" s="2" t="s">
        <v>33</v>
      </c>
      <c r="G124" s="24">
        <v>0</v>
      </c>
      <c r="I124" s="23">
        <f t="shared" si="171"/>
        <v>0</v>
      </c>
      <c r="M124" s="7">
        <f t="shared" si="172"/>
        <v>0</v>
      </c>
      <c r="N124" s="7">
        <f t="shared" si="167"/>
        <v>0</v>
      </c>
      <c r="O124" s="19">
        <v>0</v>
      </c>
    </row>
    <row r="125" spans="1:24" x14ac:dyDescent="0.25">
      <c r="A125" s="69">
        <f t="shared" si="83"/>
        <v>119</v>
      </c>
      <c r="D125" s="2" t="s">
        <v>71</v>
      </c>
      <c r="G125" s="24">
        <v>0</v>
      </c>
      <c r="I125" s="23">
        <f t="shared" si="171"/>
        <v>0</v>
      </c>
      <c r="M125" s="7">
        <f t="shared" si="172"/>
        <v>0</v>
      </c>
      <c r="N125" s="7"/>
      <c r="O125" s="19"/>
    </row>
    <row r="126" spans="1:24" x14ac:dyDescent="0.25">
      <c r="A126" s="69">
        <f t="shared" si="83"/>
        <v>120</v>
      </c>
      <c r="D126" s="27" t="s">
        <v>8</v>
      </c>
      <c r="E126" s="27"/>
      <c r="F126" s="27"/>
      <c r="G126" s="28">
        <f>SUM(G122:G125)</f>
        <v>319935.33000000007</v>
      </c>
      <c r="H126" s="27"/>
      <c r="I126" s="28">
        <f>SUM(I122:I125)</f>
        <v>641095.15240000002</v>
      </c>
      <c r="J126" s="27"/>
      <c r="K126" s="62"/>
      <c r="L126" s="27"/>
      <c r="M126" s="28">
        <f>SUM(M122:M125)</f>
        <v>641095.15240000002</v>
      </c>
      <c r="N126" s="28">
        <f t="shared" si="167"/>
        <v>0</v>
      </c>
      <c r="O126" s="38">
        <f t="shared" ref="O126" si="173">N126-J126</f>
        <v>0</v>
      </c>
    </row>
    <row r="127" spans="1:24" s="8" customFormat="1" ht="26.4" customHeight="1" thickBot="1" x14ac:dyDescent="0.3">
      <c r="A127" s="69">
        <f t="shared" si="83"/>
        <v>121</v>
      </c>
      <c r="C127" s="31"/>
      <c r="D127" s="9" t="s">
        <v>19</v>
      </c>
      <c r="E127" s="9"/>
      <c r="F127" s="9"/>
      <c r="G127" s="10">
        <f>G121+G126</f>
        <v>11558383.92584</v>
      </c>
      <c r="H127" s="9"/>
      <c r="I127" s="29">
        <f>I126+I121</f>
        <v>11558383.92584</v>
      </c>
      <c r="J127" s="9"/>
      <c r="K127" s="63"/>
      <c r="L127" s="9"/>
      <c r="M127" s="10">
        <f>M126+M121</f>
        <v>12032035.891427999</v>
      </c>
      <c r="N127" s="10">
        <f t="shared" si="167"/>
        <v>473651.96558799967</v>
      </c>
      <c r="O127" s="11">
        <f>N127/I127</f>
        <v>4.0979082251204703E-2</v>
      </c>
      <c r="P127" s="2"/>
      <c r="Q127" s="2"/>
      <c r="R127" s="2"/>
    </row>
    <row r="128" spans="1:24" ht="13.8" thickTop="1" x14ac:dyDescent="0.25">
      <c r="A128" s="69">
        <f t="shared" si="83"/>
        <v>122</v>
      </c>
      <c r="D128" s="2" t="s">
        <v>18</v>
      </c>
      <c r="E128" s="19">
        <f>E120/E116</f>
        <v>3345414.8166666669</v>
      </c>
      <c r="G128" s="17">
        <f>G127/E116</f>
        <v>192639.73209733333</v>
      </c>
      <c r="I128" s="17">
        <f>I127/E116</f>
        <v>192639.73209733333</v>
      </c>
      <c r="M128" s="17">
        <f>M127/E116</f>
        <v>200533.93152379998</v>
      </c>
      <c r="N128" s="17">
        <f t="shared" si="167"/>
        <v>7894.1994264666573</v>
      </c>
      <c r="O128" s="6">
        <f>N128/I128</f>
        <v>4.0979082251204682E-2</v>
      </c>
    </row>
    <row r="129" spans="1:20" ht="13.8" thickBot="1" x14ac:dyDescent="0.3">
      <c r="A129" s="69">
        <f t="shared" si="83"/>
        <v>123</v>
      </c>
    </row>
    <row r="130" spans="1:20" x14ac:dyDescent="0.25">
      <c r="A130" s="69">
        <f t="shared" si="83"/>
        <v>124</v>
      </c>
      <c r="B130" s="44" t="s">
        <v>35</v>
      </c>
      <c r="C130" s="45" t="s">
        <v>31</v>
      </c>
      <c r="D130" s="44"/>
      <c r="E130" s="44"/>
      <c r="F130" s="44"/>
      <c r="G130" s="44"/>
      <c r="H130" s="44"/>
      <c r="I130" s="44"/>
      <c r="J130" s="44"/>
      <c r="K130" s="59"/>
      <c r="L130" s="44"/>
      <c r="M130" s="44"/>
      <c r="N130" s="44"/>
      <c r="O130" s="44"/>
      <c r="P130" s="44"/>
      <c r="Q130" s="44"/>
      <c r="R130" s="44"/>
    </row>
    <row r="131" spans="1:20" x14ac:dyDescent="0.25">
      <c r="A131" s="69">
        <f t="shared" si="83"/>
        <v>125</v>
      </c>
      <c r="B131" s="65"/>
      <c r="C131" s="55" t="s">
        <v>58</v>
      </c>
      <c r="E131" s="25">
        <v>14499</v>
      </c>
      <c r="F131" s="21">
        <v>11.53</v>
      </c>
      <c r="G131" s="7">
        <f t="shared" ref="G131" si="174">F131*E131</f>
        <v>167173.47</v>
      </c>
      <c r="H131" s="21">
        <v>11.49</v>
      </c>
      <c r="I131" s="7">
        <f t="shared" ref="I131" si="175">H131*E131</f>
        <v>166593.51</v>
      </c>
      <c r="J131" s="6">
        <f t="shared" ref="J131:J149" si="176">I131/I$150</f>
        <v>7.3970577176625071E-2</v>
      </c>
      <c r="K131" s="60"/>
      <c r="L131" s="20">
        <f t="shared" ref="L131:L149" si="177">ROUND(H131*S$150,2)</f>
        <v>11.94</v>
      </c>
      <c r="M131" s="7">
        <f t="shared" ref="M131" si="178">L131*E131</f>
        <v>173118.06</v>
      </c>
      <c r="N131" s="7">
        <f t="shared" ref="N131" si="179">M131-I131</f>
        <v>6524.5499999999884</v>
      </c>
      <c r="O131" s="6">
        <f t="shared" ref="O131" si="180">IF(I131=0,0,N131/I131)</f>
        <v>3.9164490861618724E-2</v>
      </c>
      <c r="P131" s="6">
        <f t="shared" ref="P131:P149" si="181">M131/M$150</f>
        <v>7.3960475723109639E-2</v>
      </c>
      <c r="Q131" s="18">
        <f t="shared" ref="Q131" si="182">P131-J131</f>
        <v>-1.0101453515432013E-5</v>
      </c>
      <c r="R131" s="18"/>
      <c r="T131" s="6">
        <f>L131/H131-1</f>
        <v>3.9164490861618662E-2</v>
      </c>
    </row>
    <row r="132" spans="1:20" x14ac:dyDescent="0.25">
      <c r="A132" s="69">
        <f t="shared" si="83"/>
        <v>126</v>
      </c>
      <c r="B132" s="65"/>
      <c r="C132" s="55" t="s">
        <v>59</v>
      </c>
      <c r="E132" s="25">
        <v>458</v>
      </c>
      <c r="F132" s="21">
        <v>17.96</v>
      </c>
      <c r="G132" s="7">
        <f t="shared" ref="G132:G149" si="183">F132*E132</f>
        <v>8225.68</v>
      </c>
      <c r="H132" s="21">
        <v>17.899999999999999</v>
      </c>
      <c r="I132" s="7">
        <f t="shared" ref="I132:I149" si="184">H132*E132</f>
        <v>8198.1999999999989</v>
      </c>
      <c r="J132" s="6">
        <f t="shared" si="176"/>
        <v>3.6401513228781091E-3</v>
      </c>
      <c r="K132" s="60"/>
      <c r="L132" s="20">
        <f t="shared" si="177"/>
        <v>18.61</v>
      </c>
      <c r="M132" s="7">
        <f t="shared" ref="M132:M149" si="185">L132*E132</f>
        <v>8523.3799999999992</v>
      </c>
      <c r="N132" s="7">
        <f t="shared" ref="N132:N149" si="186">M132-I132</f>
        <v>325.18000000000029</v>
      </c>
      <c r="O132" s="6">
        <f t="shared" ref="O132:O149" si="187">IF(I132=0,0,N132/I132)</f>
        <v>3.9664804469273784E-2</v>
      </c>
      <c r="P132" s="6">
        <f t="shared" si="181"/>
        <v>3.6414065613306788E-3</v>
      </c>
      <c r="Q132" s="18">
        <f t="shared" ref="Q132:Q149" si="188">P132-J132</f>
        <v>1.255238452569675E-6</v>
      </c>
      <c r="R132" s="18"/>
      <c r="T132" s="6">
        <f t="shared" ref="T132:T149" si="189">L132/H132-1</f>
        <v>3.9664804469273784E-2</v>
      </c>
    </row>
    <row r="133" spans="1:20" x14ac:dyDescent="0.25">
      <c r="A133" s="69">
        <f t="shared" si="83"/>
        <v>127</v>
      </c>
      <c r="B133" s="65"/>
      <c r="C133" s="55" t="s">
        <v>58</v>
      </c>
      <c r="E133" s="25">
        <v>52063</v>
      </c>
      <c r="F133" s="21">
        <v>11.53</v>
      </c>
      <c r="G133" s="7">
        <f t="shared" si="183"/>
        <v>600286.39</v>
      </c>
      <c r="H133" s="21">
        <v>11.49</v>
      </c>
      <c r="I133" s="7">
        <f t="shared" si="184"/>
        <v>598203.87</v>
      </c>
      <c r="J133" s="6">
        <f t="shared" si="176"/>
        <v>0.26561350158953245</v>
      </c>
      <c r="K133" s="60"/>
      <c r="L133" s="20">
        <f t="shared" si="177"/>
        <v>11.94</v>
      </c>
      <c r="M133" s="7">
        <f t="shared" si="185"/>
        <v>621632.22</v>
      </c>
      <c r="N133" s="7">
        <f t="shared" si="186"/>
        <v>23428.349999999977</v>
      </c>
      <c r="O133" s="6">
        <f t="shared" si="187"/>
        <v>3.9164490861618759E-2</v>
      </c>
      <c r="P133" s="6">
        <f t="shared" si="181"/>
        <v>0.26557722929665883</v>
      </c>
      <c r="Q133" s="18">
        <f t="shared" si="188"/>
        <v>-3.6272292873618106E-5</v>
      </c>
      <c r="R133" s="18"/>
      <c r="T133" s="6">
        <f t="shared" si="189"/>
        <v>3.9164490861618662E-2</v>
      </c>
    </row>
    <row r="134" spans="1:20" x14ac:dyDescent="0.25">
      <c r="A134" s="69">
        <f t="shared" si="83"/>
        <v>128</v>
      </c>
      <c r="B134" s="65"/>
      <c r="C134" s="55" t="s">
        <v>60</v>
      </c>
      <c r="E134" s="25">
        <v>6297</v>
      </c>
      <c r="F134" s="21">
        <v>11.38</v>
      </c>
      <c r="G134" s="7">
        <f t="shared" si="183"/>
        <v>71659.86</v>
      </c>
      <c r="H134" s="21">
        <v>11.34</v>
      </c>
      <c r="I134" s="7">
        <f t="shared" si="184"/>
        <v>71407.98</v>
      </c>
      <c r="J134" s="6">
        <f t="shared" si="176"/>
        <v>3.1706454204710008E-2</v>
      </c>
      <c r="K134" s="60"/>
      <c r="L134" s="20">
        <f t="shared" si="177"/>
        <v>11.79</v>
      </c>
      <c r="M134" s="7">
        <f t="shared" si="185"/>
        <v>74241.62999999999</v>
      </c>
      <c r="N134" s="7">
        <f t="shared" si="186"/>
        <v>2833.6499999999942</v>
      </c>
      <c r="O134" s="6">
        <f t="shared" si="187"/>
        <v>3.9682539682539604E-2</v>
      </c>
      <c r="P134" s="6">
        <f t="shared" si="181"/>
        <v>3.1717928639329061E-2</v>
      </c>
      <c r="Q134" s="18">
        <f t="shared" si="188"/>
        <v>1.1474434619053453E-5</v>
      </c>
      <c r="R134" s="18"/>
      <c r="T134" s="6">
        <f t="shared" si="189"/>
        <v>3.9682539682539542E-2</v>
      </c>
    </row>
    <row r="135" spans="1:20" x14ac:dyDescent="0.25">
      <c r="A135" s="69">
        <f t="shared" si="83"/>
        <v>129</v>
      </c>
      <c r="B135" s="65"/>
      <c r="C135" s="55" t="s">
        <v>60</v>
      </c>
      <c r="E135" s="25">
        <v>3727</v>
      </c>
      <c r="F135" s="21">
        <v>11.38</v>
      </c>
      <c r="G135" s="7">
        <f t="shared" si="183"/>
        <v>42413.26</v>
      </c>
      <c r="H135" s="21">
        <v>11.34</v>
      </c>
      <c r="I135" s="7">
        <f t="shared" si="184"/>
        <v>42264.18</v>
      </c>
      <c r="J135" s="6">
        <f t="shared" si="176"/>
        <v>1.8766071910585075E-2</v>
      </c>
      <c r="K135" s="60"/>
      <c r="L135" s="20">
        <f t="shared" si="177"/>
        <v>11.79</v>
      </c>
      <c r="M135" s="7">
        <f t="shared" si="185"/>
        <v>43941.329999999994</v>
      </c>
      <c r="N135" s="7">
        <f t="shared" si="186"/>
        <v>1677.1499999999942</v>
      </c>
      <c r="O135" s="6">
        <f t="shared" si="187"/>
        <v>3.9682539682539542E-2</v>
      </c>
      <c r="P135" s="6">
        <f t="shared" si="181"/>
        <v>1.8772863274381359E-2</v>
      </c>
      <c r="Q135" s="18">
        <f t="shared" si="188"/>
        <v>6.7913637962838114E-6</v>
      </c>
      <c r="R135" s="18"/>
      <c r="T135" s="6">
        <f t="shared" si="189"/>
        <v>3.9682539682539542E-2</v>
      </c>
    </row>
    <row r="136" spans="1:20" x14ac:dyDescent="0.25">
      <c r="A136" s="69">
        <f t="shared" si="83"/>
        <v>130</v>
      </c>
      <c r="B136" s="65"/>
      <c r="C136" s="55" t="s">
        <v>61</v>
      </c>
      <c r="E136" s="25">
        <v>1717</v>
      </c>
      <c r="F136" s="21">
        <v>16.27</v>
      </c>
      <c r="G136" s="7">
        <f t="shared" ref="G136:G148" si="190">F136*E136</f>
        <v>27935.59</v>
      </c>
      <c r="H136" s="21">
        <v>16.21</v>
      </c>
      <c r="I136" s="7">
        <f t="shared" ref="I136:I148" si="191">H136*E136</f>
        <v>27832.57</v>
      </c>
      <c r="J136" s="6">
        <f t="shared" si="176"/>
        <v>1.2358172099314189E-2</v>
      </c>
      <c r="K136" s="60"/>
      <c r="L136" s="20">
        <f t="shared" si="177"/>
        <v>16.850000000000001</v>
      </c>
      <c r="M136" s="7">
        <f t="shared" ref="M136:M148" si="192">L136*E136</f>
        <v>28931.45</v>
      </c>
      <c r="N136" s="7">
        <f t="shared" ref="N136:N148" si="193">M136-I136</f>
        <v>1098.880000000001</v>
      </c>
      <c r="O136" s="6">
        <f t="shared" ref="O136:O148" si="194">IF(I136=0,0,N136/I136)</f>
        <v>3.9481801357186957E-2</v>
      </c>
      <c r="P136" s="6">
        <f t="shared" si="181"/>
        <v>1.2360257533843438E-2</v>
      </c>
      <c r="Q136" s="18">
        <f t="shared" ref="Q136:Q148" si="195">P136-J136</f>
        <v>2.0854345292482812E-6</v>
      </c>
      <c r="R136" s="18"/>
      <c r="T136" s="6">
        <f t="shared" si="189"/>
        <v>3.948180135718693E-2</v>
      </c>
    </row>
    <row r="137" spans="1:20" x14ac:dyDescent="0.25">
      <c r="A137" s="69">
        <f t="shared" ref="A137:A190" si="196">A136+1</f>
        <v>131</v>
      </c>
      <c r="B137" s="65"/>
      <c r="C137" s="55" t="s">
        <v>59</v>
      </c>
      <c r="E137" s="25">
        <v>1304</v>
      </c>
      <c r="F137" s="21">
        <v>17.96</v>
      </c>
      <c r="G137" s="7">
        <f t="shared" si="190"/>
        <v>23419.84</v>
      </c>
      <c r="H137" s="21">
        <v>17.899999999999999</v>
      </c>
      <c r="I137" s="7">
        <f t="shared" si="191"/>
        <v>23341.599999999999</v>
      </c>
      <c r="J137" s="6">
        <f t="shared" si="176"/>
        <v>1.0364098962954269E-2</v>
      </c>
      <c r="K137" s="60"/>
      <c r="L137" s="20">
        <f t="shared" si="177"/>
        <v>18.61</v>
      </c>
      <c r="M137" s="7">
        <f t="shared" si="192"/>
        <v>24267.439999999999</v>
      </c>
      <c r="N137" s="7">
        <f t="shared" si="193"/>
        <v>925.84000000000015</v>
      </c>
      <c r="O137" s="6">
        <f t="shared" si="194"/>
        <v>3.966480446927375E-2</v>
      </c>
      <c r="P137" s="6">
        <f t="shared" si="181"/>
        <v>1.0367672829640186E-2</v>
      </c>
      <c r="Q137" s="18">
        <f t="shared" si="195"/>
        <v>3.5738666859172485E-6</v>
      </c>
      <c r="R137" s="18"/>
      <c r="T137" s="6">
        <f t="shared" si="189"/>
        <v>3.9664804469273784E-2</v>
      </c>
    </row>
    <row r="138" spans="1:20" x14ac:dyDescent="0.25">
      <c r="A138" s="69">
        <f t="shared" si="196"/>
        <v>132</v>
      </c>
      <c r="B138" s="65"/>
      <c r="C138" s="55" t="s">
        <v>62</v>
      </c>
      <c r="E138" s="25">
        <v>2596</v>
      </c>
      <c r="F138" s="21">
        <v>17.77</v>
      </c>
      <c r="G138" s="7">
        <f t="shared" si="190"/>
        <v>46130.92</v>
      </c>
      <c r="H138" s="21">
        <v>17.71</v>
      </c>
      <c r="I138" s="7">
        <f t="shared" si="191"/>
        <v>45975.16</v>
      </c>
      <c r="J138" s="6">
        <f t="shared" si="176"/>
        <v>2.0413815165955061E-2</v>
      </c>
      <c r="K138" s="60"/>
      <c r="L138" s="20">
        <f t="shared" si="177"/>
        <v>18.41</v>
      </c>
      <c r="M138" s="7">
        <f t="shared" si="192"/>
        <v>47792.36</v>
      </c>
      <c r="N138" s="7">
        <f t="shared" si="193"/>
        <v>1817.1999999999971</v>
      </c>
      <c r="O138" s="6">
        <f t="shared" si="194"/>
        <v>3.9525691699604674E-2</v>
      </c>
      <c r="P138" s="6">
        <f t="shared" si="181"/>
        <v>2.041812206958717E-2</v>
      </c>
      <c r="Q138" s="18">
        <f t="shared" si="195"/>
        <v>4.3069036321091714E-6</v>
      </c>
      <c r="R138" s="18"/>
      <c r="T138" s="6">
        <f t="shared" si="189"/>
        <v>3.9525691699604737E-2</v>
      </c>
    </row>
    <row r="139" spans="1:20" x14ac:dyDescent="0.25">
      <c r="A139" s="69">
        <f t="shared" si="196"/>
        <v>133</v>
      </c>
      <c r="B139" s="65"/>
      <c r="C139" s="55" t="s">
        <v>63</v>
      </c>
      <c r="E139" s="25">
        <v>3363</v>
      </c>
      <c r="F139" s="21">
        <v>10.08</v>
      </c>
      <c r="G139" s="7">
        <f t="shared" si="190"/>
        <v>33899.040000000001</v>
      </c>
      <c r="H139" s="21">
        <v>10.06</v>
      </c>
      <c r="I139" s="7">
        <f t="shared" si="191"/>
        <v>33831.78</v>
      </c>
      <c r="J139" s="6">
        <f t="shared" si="176"/>
        <v>1.5021931487682804E-2</v>
      </c>
      <c r="K139" s="60"/>
      <c r="L139" s="20">
        <f t="shared" si="177"/>
        <v>10.46</v>
      </c>
      <c r="M139" s="7">
        <f t="shared" si="192"/>
        <v>35176.980000000003</v>
      </c>
      <c r="N139" s="7">
        <f t="shared" si="193"/>
        <v>1345.2000000000044</v>
      </c>
      <c r="O139" s="6">
        <f t="shared" si="194"/>
        <v>3.9761431411530948E-2</v>
      </c>
      <c r="P139" s="6">
        <f t="shared" si="181"/>
        <v>1.5028508148152269E-2</v>
      </c>
      <c r="Q139" s="18">
        <f t="shared" si="195"/>
        <v>6.5766604694650344E-6</v>
      </c>
      <c r="R139" s="18"/>
      <c r="T139" s="6">
        <f t="shared" si="189"/>
        <v>3.9761431411530879E-2</v>
      </c>
    </row>
    <row r="140" spans="1:20" x14ac:dyDescent="0.25">
      <c r="A140" s="69">
        <f t="shared" si="196"/>
        <v>134</v>
      </c>
      <c r="B140" s="65"/>
      <c r="C140" s="55" t="s">
        <v>64</v>
      </c>
      <c r="E140" s="25">
        <v>7834</v>
      </c>
      <c r="F140" s="21">
        <v>18.02</v>
      </c>
      <c r="G140" s="7">
        <f t="shared" si="190"/>
        <v>141168.68</v>
      </c>
      <c r="H140" s="21">
        <v>17.899999999999999</v>
      </c>
      <c r="I140" s="7">
        <f t="shared" si="191"/>
        <v>140228.59999999998</v>
      </c>
      <c r="J140" s="6">
        <f t="shared" si="176"/>
        <v>6.2264073064251323E-2</v>
      </c>
      <c r="K140" s="60"/>
      <c r="L140" s="20">
        <f t="shared" si="177"/>
        <v>18.61</v>
      </c>
      <c r="M140" s="7">
        <f t="shared" si="192"/>
        <v>145790.74</v>
      </c>
      <c r="N140" s="7">
        <f t="shared" si="193"/>
        <v>5562.140000000014</v>
      </c>
      <c r="O140" s="6">
        <f t="shared" si="194"/>
        <v>3.9664804469273847E-2</v>
      </c>
      <c r="P140" s="6">
        <f t="shared" si="181"/>
        <v>6.228554367131995E-2</v>
      </c>
      <c r="Q140" s="18">
        <f t="shared" si="195"/>
        <v>2.1470607068627134E-5</v>
      </c>
      <c r="R140" s="18"/>
      <c r="T140" s="6">
        <f t="shared" si="189"/>
        <v>3.9664804469273784E-2</v>
      </c>
    </row>
    <row r="141" spans="1:20" x14ac:dyDescent="0.25">
      <c r="A141" s="69">
        <f t="shared" si="196"/>
        <v>135</v>
      </c>
      <c r="B141" s="65"/>
      <c r="C141" s="55" t="s">
        <v>64</v>
      </c>
      <c r="E141" s="25">
        <v>432</v>
      </c>
      <c r="F141" s="21">
        <v>18.02</v>
      </c>
      <c r="G141" s="7">
        <f t="shared" si="190"/>
        <v>7784.6399999999994</v>
      </c>
      <c r="H141" s="21">
        <v>17.899999999999999</v>
      </c>
      <c r="I141" s="7">
        <f t="shared" si="191"/>
        <v>7732.7999999999993</v>
      </c>
      <c r="J141" s="6">
        <f t="shared" si="176"/>
        <v>3.4335051779112299E-3</v>
      </c>
      <c r="K141" s="60"/>
      <c r="L141" s="20">
        <f t="shared" si="177"/>
        <v>18.61</v>
      </c>
      <c r="M141" s="7">
        <f t="shared" si="192"/>
        <v>8039.5199999999995</v>
      </c>
      <c r="N141" s="7">
        <f t="shared" si="193"/>
        <v>306.72000000000025</v>
      </c>
      <c r="O141" s="6">
        <f t="shared" si="194"/>
        <v>3.9664804469273778E-2</v>
      </c>
      <c r="P141" s="6">
        <f t="shared" si="181"/>
        <v>3.434689158285706E-3</v>
      </c>
      <c r="Q141" s="18">
        <f t="shared" si="195"/>
        <v>1.1839803744761318E-6</v>
      </c>
      <c r="R141" s="18"/>
      <c r="T141" s="6">
        <f t="shared" si="189"/>
        <v>3.9664804469273784E-2</v>
      </c>
    </row>
    <row r="142" spans="1:20" x14ac:dyDescent="0.25">
      <c r="A142" s="69">
        <f t="shared" si="196"/>
        <v>136</v>
      </c>
      <c r="B142" s="65"/>
      <c r="C142" s="55" t="s">
        <v>65</v>
      </c>
      <c r="E142" s="25">
        <v>3374</v>
      </c>
      <c r="F142" s="21">
        <v>12.1</v>
      </c>
      <c r="G142" s="7">
        <f t="shared" si="190"/>
        <v>40825.4</v>
      </c>
      <c r="H142" s="21">
        <v>12.07</v>
      </c>
      <c r="I142" s="7">
        <f t="shared" si="191"/>
        <v>40724.18</v>
      </c>
      <c r="J142" s="6">
        <f t="shared" si="176"/>
        <v>1.8082283635447571E-2</v>
      </c>
      <c r="K142" s="60"/>
      <c r="L142" s="20">
        <f t="shared" si="177"/>
        <v>12.55</v>
      </c>
      <c r="M142" s="7">
        <f t="shared" si="192"/>
        <v>42343.700000000004</v>
      </c>
      <c r="N142" s="7">
        <f t="shared" si="193"/>
        <v>1619.5200000000041</v>
      </c>
      <c r="O142" s="6">
        <f t="shared" si="194"/>
        <v>3.976801988401004E-2</v>
      </c>
      <c r="P142" s="6">
        <f t="shared" si="181"/>
        <v>1.8090314759053087E-2</v>
      </c>
      <c r="Q142" s="18">
        <f t="shared" si="195"/>
        <v>8.0311236055168045E-6</v>
      </c>
      <c r="R142" s="18"/>
      <c r="T142" s="6">
        <f t="shared" si="189"/>
        <v>3.976801988401002E-2</v>
      </c>
    </row>
    <row r="143" spans="1:20" x14ac:dyDescent="0.25">
      <c r="A143" s="69">
        <f t="shared" si="196"/>
        <v>137</v>
      </c>
      <c r="B143" s="65"/>
      <c r="C143" s="55" t="s">
        <v>66</v>
      </c>
      <c r="E143" s="25">
        <v>578</v>
      </c>
      <c r="F143" s="21">
        <v>20.22</v>
      </c>
      <c r="G143" s="7">
        <f t="shared" si="190"/>
        <v>11687.16</v>
      </c>
      <c r="H143" s="21">
        <v>20.16</v>
      </c>
      <c r="I143" s="7">
        <f t="shared" si="191"/>
        <v>11652.48</v>
      </c>
      <c r="J143" s="6">
        <f t="shared" si="176"/>
        <v>5.1739150651131608E-3</v>
      </c>
      <c r="K143" s="60"/>
      <c r="L143" s="20">
        <f t="shared" si="177"/>
        <v>20.96</v>
      </c>
      <c r="M143" s="7">
        <f t="shared" si="192"/>
        <v>12114.880000000001</v>
      </c>
      <c r="N143" s="7">
        <f t="shared" si="193"/>
        <v>462.40000000000146</v>
      </c>
      <c r="O143" s="6">
        <f t="shared" si="194"/>
        <v>3.9682539682539812E-2</v>
      </c>
      <c r="P143" s="6">
        <f t="shared" si="181"/>
        <v>5.1757874835726934E-3</v>
      </c>
      <c r="Q143" s="18">
        <f t="shared" si="195"/>
        <v>1.8724184595326349E-6</v>
      </c>
      <c r="R143" s="18"/>
      <c r="T143" s="6">
        <f t="shared" si="189"/>
        <v>3.9682539682539764E-2</v>
      </c>
    </row>
    <row r="144" spans="1:20" x14ac:dyDescent="0.25">
      <c r="A144" s="69">
        <f t="shared" si="196"/>
        <v>138</v>
      </c>
      <c r="B144" s="65"/>
      <c r="C144" s="55" t="s">
        <v>67</v>
      </c>
      <c r="E144" s="25">
        <v>543</v>
      </c>
      <c r="F144" s="21">
        <v>19.61</v>
      </c>
      <c r="G144" s="7">
        <f t="shared" si="190"/>
        <v>10648.23</v>
      </c>
      <c r="H144" s="21">
        <v>19.57</v>
      </c>
      <c r="I144" s="7">
        <f t="shared" si="191"/>
        <v>10626.51</v>
      </c>
      <c r="J144" s="6">
        <f t="shared" si="176"/>
        <v>4.7183655478126255E-3</v>
      </c>
      <c r="K144" s="60"/>
      <c r="L144" s="20">
        <f t="shared" si="177"/>
        <v>20.34</v>
      </c>
      <c r="M144" s="7">
        <f t="shared" si="192"/>
        <v>11044.62</v>
      </c>
      <c r="N144" s="7">
        <f t="shared" si="193"/>
        <v>418.11000000000058</v>
      </c>
      <c r="O144" s="6">
        <f t="shared" si="194"/>
        <v>3.9345937659683243E-2</v>
      </c>
      <c r="P144" s="6">
        <f t="shared" si="181"/>
        <v>4.7185449593241235E-3</v>
      </c>
      <c r="Q144" s="18">
        <f t="shared" si="195"/>
        <v>1.7941151149794554E-7</v>
      </c>
      <c r="R144" s="18"/>
      <c r="T144" s="6">
        <f t="shared" si="189"/>
        <v>3.9345937659683194E-2</v>
      </c>
    </row>
    <row r="145" spans="1:25" x14ac:dyDescent="0.25">
      <c r="A145" s="69">
        <f t="shared" si="196"/>
        <v>139</v>
      </c>
      <c r="B145" s="65"/>
      <c r="C145" s="55" t="s">
        <v>68</v>
      </c>
      <c r="E145" s="25">
        <v>4695</v>
      </c>
      <c r="F145" s="21">
        <v>16.57</v>
      </c>
      <c r="G145" s="7">
        <f t="shared" si="190"/>
        <v>77796.149999999994</v>
      </c>
      <c r="H145" s="21">
        <v>16.53</v>
      </c>
      <c r="I145" s="7">
        <f t="shared" si="191"/>
        <v>77608.350000000006</v>
      </c>
      <c r="J145" s="6">
        <f t="shared" si="176"/>
        <v>3.4459532326472565E-2</v>
      </c>
      <c r="K145" s="60"/>
      <c r="L145" s="20">
        <f t="shared" si="177"/>
        <v>17.18</v>
      </c>
      <c r="M145" s="7">
        <f t="shared" si="192"/>
        <v>80660.100000000006</v>
      </c>
      <c r="N145" s="7">
        <f t="shared" si="193"/>
        <v>3051.75</v>
      </c>
      <c r="O145" s="6">
        <f t="shared" si="194"/>
        <v>3.9322444041137321E-2</v>
      </c>
      <c r="P145" s="6">
        <f t="shared" si="181"/>
        <v>3.4460063657561754E-2</v>
      </c>
      <c r="Q145" s="18">
        <f t="shared" si="195"/>
        <v>5.3133108918884675E-7</v>
      </c>
      <c r="R145" s="18"/>
      <c r="T145" s="6">
        <f t="shared" si="189"/>
        <v>3.9322444041137272E-2</v>
      </c>
    </row>
    <row r="146" spans="1:25" x14ac:dyDescent="0.25">
      <c r="A146" s="69">
        <f t="shared" si="196"/>
        <v>140</v>
      </c>
      <c r="B146" s="65"/>
      <c r="C146" s="55" t="s">
        <v>69</v>
      </c>
      <c r="E146" s="25">
        <v>254</v>
      </c>
      <c r="F146" s="21">
        <v>25.07</v>
      </c>
      <c r="G146" s="7">
        <f t="shared" si="190"/>
        <v>6367.78</v>
      </c>
      <c r="H146" s="21">
        <v>24.98</v>
      </c>
      <c r="I146" s="7">
        <f t="shared" si="191"/>
        <v>6344.92</v>
      </c>
      <c r="J146" s="6">
        <f t="shared" si="176"/>
        <v>2.817260975769776E-3</v>
      </c>
      <c r="K146" s="60"/>
      <c r="L146" s="20">
        <f t="shared" si="177"/>
        <v>25.97</v>
      </c>
      <c r="M146" s="7">
        <f t="shared" si="192"/>
        <v>6596.38</v>
      </c>
      <c r="N146" s="7">
        <f t="shared" si="193"/>
        <v>251.46000000000004</v>
      </c>
      <c r="O146" s="6">
        <f t="shared" si="194"/>
        <v>3.963170536429144E-2</v>
      </c>
      <c r="P146" s="6">
        <f t="shared" si="181"/>
        <v>2.8181427336374143E-3</v>
      </c>
      <c r="Q146" s="18">
        <f t="shared" si="195"/>
        <v>8.8175786763832267E-7</v>
      </c>
      <c r="R146" s="18"/>
      <c r="T146" s="6">
        <f t="shared" si="189"/>
        <v>3.9631705364291392E-2</v>
      </c>
    </row>
    <row r="147" spans="1:25" x14ac:dyDescent="0.25">
      <c r="A147" s="69">
        <f t="shared" si="196"/>
        <v>141</v>
      </c>
      <c r="B147" s="65"/>
      <c r="C147" s="55" t="s">
        <v>70</v>
      </c>
      <c r="E147" s="25">
        <v>70469</v>
      </c>
      <c r="F147" s="21">
        <v>11.53</v>
      </c>
      <c r="G147" s="7">
        <f t="shared" si="190"/>
        <v>812507.57</v>
      </c>
      <c r="H147" s="21">
        <v>11.49</v>
      </c>
      <c r="I147" s="7">
        <f t="shared" si="191"/>
        <v>809688.81</v>
      </c>
      <c r="J147" s="6">
        <f t="shared" si="176"/>
        <v>0.35951669791431079</v>
      </c>
      <c r="K147" s="60"/>
      <c r="L147" s="20">
        <f t="shared" si="177"/>
        <v>11.94</v>
      </c>
      <c r="M147" s="7">
        <f t="shared" si="192"/>
        <v>841399.86</v>
      </c>
      <c r="N147" s="7">
        <f t="shared" si="193"/>
        <v>31711.04999999993</v>
      </c>
      <c r="O147" s="6">
        <f t="shared" si="194"/>
        <v>3.916449086161871E-2</v>
      </c>
      <c r="P147" s="6">
        <f t="shared" si="181"/>
        <v>0.35946760216096368</v>
      </c>
      <c r="Q147" s="18">
        <f t="shared" si="195"/>
        <v>-4.9095753347105919E-5</v>
      </c>
      <c r="R147" s="18"/>
      <c r="T147" s="6">
        <f t="shared" si="189"/>
        <v>3.9164490861618662E-2</v>
      </c>
    </row>
    <row r="148" spans="1:25" x14ac:dyDescent="0.25">
      <c r="A148" s="69">
        <f t="shared" si="196"/>
        <v>142</v>
      </c>
      <c r="B148" s="65"/>
      <c r="C148" s="55" t="s">
        <v>65</v>
      </c>
      <c r="E148" s="25">
        <v>10472</v>
      </c>
      <c r="F148" s="21">
        <v>12.1</v>
      </c>
      <c r="G148" s="7">
        <f t="shared" si="190"/>
        <v>126711.2</v>
      </c>
      <c r="H148" s="21">
        <v>12.07</v>
      </c>
      <c r="I148" s="7">
        <f t="shared" si="191"/>
        <v>126397.04000000001</v>
      </c>
      <c r="J148" s="6">
        <f t="shared" si="176"/>
        <v>5.6122606470185819E-2</v>
      </c>
      <c r="K148" s="60"/>
      <c r="L148" s="20">
        <f t="shared" si="177"/>
        <v>12.55</v>
      </c>
      <c r="M148" s="7">
        <f t="shared" si="192"/>
        <v>131423.6</v>
      </c>
      <c r="N148" s="7">
        <f t="shared" si="193"/>
        <v>5026.5599999999977</v>
      </c>
      <c r="O148" s="6">
        <f t="shared" si="194"/>
        <v>3.9768019884009922E-2</v>
      </c>
      <c r="P148" s="6">
        <f t="shared" si="181"/>
        <v>5.6147532945110823E-2</v>
      </c>
      <c r="Q148" s="18">
        <f t="shared" si="195"/>
        <v>2.4926474925003606E-5</v>
      </c>
      <c r="R148" s="18"/>
      <c r="T148" s="6">
        <f t="shared" si="189"/>
        <v>3.976801988401002E-2</v>
      </c>
    </row>
    <row r="149" spans="1:25" x14ac:dyDescent="0.25">
      <c r="A149" s="69">
        <f t="shared" si="196"/>
        <v>143</v>
      </c>
      <c r="B149" s="65"/>
      <c r="C149" s="55" t="s">
        <v>62</v>
      </c>
      <c r="E149" s="25">
        <v>198</v>
      </c>
      <c r="F149" s="21">
        <v>17.77</v>
      </c>
      <c r="G149" s="7">
        <f t="shared" si="183"/>
        <v>3518.46</v>
      </c>
      <c r="H149" s="21">
        <v>17.71</v>
      </c>
      <c r="I149" s="7">
        <f t="shared" si="184"/>
        <v>3506.5800000000004</v>
      </c>
      <c r="J149" s="6">
        <f t="shared" si="176"/>
        <v>1.5569859024880978E-3</v>
      </c>
      <c r="K149" s="60"/>
      <c r="L149" s="20">
        <f t="shared" si="177"/>
        <v>18.41</v>
      </c>
      <c r="M149" s="7">
        <f t="shared" si="185"/>
        <v>3645.18</v>
      </c>
      <c r="N149" s="7">
        <f t="shared" si="186"/>
        <v>138.59999999999945</v>
      </c>
      <c r="O149" s="6">
        <f t="shared" si="187"/>
        <v>3.9525691699604584E-2</v>
      </c>
      <c r="P149" s="6">
        <f t="shared" si="181"/>
        <v>1.5573143951380045E-3</v>
      </c>
      <c r="Q149" s="18">
        <f t="shared" si="188"/>
        <v>3.284926499067236E-7</v>
      </c>
      <c r="R149" s="18"/>
      <c r="T149" s="6">
        <f t="shared" si="189"/>
        <v>3.9525691699604737E-2</v>
      </c>
    </row>
    <row r="150" spans="1:25" s="8" customFormat="1" ht="24.6" customHeight="1" x14ac:dyDescent="0.3">
      <c r="A150" s="69">
        <f t="shared" si="196"/>
        <v>144</v>
      </c>
      <c r="C150" s="31"/>
      <c r="D150" s="33" t="s">
        <v>6</v>
      </c>
      <c r="E150" s="33"/>
      <c r="F150" s="33"/>
      <c r="G150" s="34">
        <f>SUM(G131:G149)</f>
        <v>2260159.3199999998</v>
      </c>
      <c r="H150" s="33"/>
      <c r="I150" s="35">
        <f>SUM(I131:I149)</f>
        <v>2252159.12</v>
      </c>
      <c r="J150" s="36">
        <f>SUM(J131:J149)</f>
        <v>0.99999999999999989</v>
      </c>
      <c r="K150" s="61">
        <f>I150+Summary!I19</f>
        <v>2341342.83</v>
      </c>
      <c r="L150" s="33"/>
      <c r="M150" s="34">
        <f>SUM(M131:M149)</f>
        <v>2340683.4300000002</v>
      </c>
      <c r="N150" s="34">
        <f>M150-I150</f>
        <v>88524.310000000056</v>
      </c>
      <c r="O150" s="36">
        <f t="shared" ref="O150" si="197">N150/I150</f>
        <v>3.9306418988725826E-2</v>
      </c>
      <c r="P150" s="36">
        <f>SUM(P131:P149)</f>
        <v>1</v>
      </c>
      <c r="Q150" s="37">
        <f t="shared" ref="Q150" si="198">P150-J150</f>
        <v>0</v>
      </c>
      <c r="R150" s="52">
        <f>M150-K150</f>
        <v>-659.39999999990687</v>
      </c>
      <c r="S150" s="8">
        <f>K150/I150</f>
        <v>1.0395992046956255</v>
      </c>
    </row>
    <row r="151" spans="1:25" x14ac:dyDescent="0.25">
      <c r="A151" s="69">
        <f t="shared" si="196"/>
        <v>145</v>
      </c>
      <c r="D151" s="2" t="s">
        <v>29</v>
      </c>
      <c r="G151" s="24">
        <v>0</v>
      </c>
      <c r="I151" s="23">
        <v>0</v>
      </c>
      <c r="M151" s="7">
        <f>I151</f>
        <v>0</v>
      </c>
      <c r="N151" s="7">
        <f>M151-I151</f>
        <v>0</v>
      </c>
      <c r="O151" s="19">
        <v>0</v>
      </c>
    </row>
    <row r="152" spans="1:25" x14ac:dyDescent="0.25">
      <c r="A152" s="69">
        <f t="shared" si="196"/>
        <v>146</v>
      </c>
      <c r="D152" s="2" t="s">
        <v>30</v>
      </c>
      <c r="G152" s="24">
        <v>0</v>
      </c>
      <c r="I152" s="23">
        <v>0</v>
      </c>
      <c r="M152" s="7">
        <f t="shared" ref="M152:M153" si="199">I152</f>
        <v>0</v>
      </c>
      <c r="N152" s="7">
        <f>M152-I152</f>
        <v>0</v>
      </c>
      <c r="O152" s="19">
        <v>0</v>
      </c>
    </row>
    <row r="153" spans="1:25" x14ac:dyDescent="0.25">
      <c r="A153" s="69">
        <f t="shared" si="196"/>
        <v>147</v>
      </c>
      <c r="D153" s="2" t="s">
        <v>33</v>
      </c>
      <c r="G153" s="24">
        <v>0</v>
      </c>
      <c r="I153" s="23">
        <v>0</v>
      </c>
      <c r="M153" s="7">
        <f t="shared" si="199"/>
        <v>0</v>
      </c>
      <c r="N153" s="7">
        <f>M153-I153</f>
        <v>0</v>
      </c>
      <c r="O153" s="19">
        <v>0</v>
      </c>
    </row>
    <row r="154" spans="1:25" x14ac:dyDescent="0.25">
      <c r="A154" s="69">
        <f t="shared" si="196"/>
        <v>148</v>
      </c>
      <c r="D154" s="2" t="s">
        <v>71</v>
      </c>
      <c r="G154" s="24"/>
      <c r="I154" s="23"/>
      <c r="M154" s="7"/>
      <c r="N154" s="7"/>
      <c r="O154" s="19"/>
    </row>
    <row r="155" spans="1:25" x14ac:dyDescent="0.25">
      <c r="A155" s="69">
        <f t="shared" si="196"/>
        <v>149</v>
      </c>
      <c r="D155" s="27" t="s">
        <v>8</v>
      </c>
      <c r="E155" s="27"/>
      <c r="F155" s="27"/>
      <c r="G155" s="28">
        <f>SUM(G151:G153)</f>
        <v>0</v>
      </c>
      <c r="H155" s="27"/>
      <c r="I155" s="28">
        <f>SUM(I151:I153)</f>
        <v>0</v>
      </c>
      <c r="J155" s="27"/>
      <c r="K155" s="62"/>
      <c r="L155" s="27"/>
      <c r="M155" s="28">
        <f>SUM(M151:M153)</f>
        <v>0</v>
      </c>
      <c r="N155" s="28">
        <f>M155-I155</f>
        <v>0</v>
      </c>
      <c r="O155" s="38">
        <f>N155-J155</f>
        <v>0</v>
      </c>
    </row>
    <row r="156" spans="1:25" s="8" customFormat="1" ht="26.4" customHeight="1" thickBot="1" x14ac:dyDescent="0.3">
      <c r="A156" s="69">
        <f t="shared" si="196"/>
        <v>150</v>
      </c>
      <c r="C156" s="31"/>
      <c r="D156" s="9" t="s">
        <v>19</v>
      </c>
      <c r="E156" s="9"/>
      <c r="F156" s="9"/>
      <c r="G156" s="10">
        <f>G150+G155</f>
        <v>2260159.3199999998</v>
      </c>
      <c r="H156" s="9"/>
      <c r="I156" s="29">
        <f>I155+I150</f>
        <v>2252159.12</v>
      </c>
      <c r="J156" s="9"/>
      <c r="K156" s="63"/>
      <c r="L156" s="9"/>
      <c r="M156" s="10">
        <f>M155+M150</f>
        <v>2340683.4300000002</v>
      </c>
      <c r="N156" s="10">
        <f>M156-I156</f>
        <v>88524.310000000056</v>
      </c>
      <c r="O156" s="11">
        <f>N156/I156</f>
        <v>3.9306418988725826E-2</v>
      </c>
      <c r="P156" s="2"/>
      <c r="Q156" s="2"/>
      <c r="R156" s="2"/>
    </row>
    <row r="157" spans="1:25" ht="14.4" thickTop="1" thickBot="1" x14ac:dyDescent="0.3">
      <c r="A157" s="69">
        <f t="shared" si="196"/>
        <v>151</v>
      </c>
      <c r="G157" s="17"/>
      <c r="I157" s="17"/>
      <c r="M157" s="17"/>
      <c r="N157" s="17"/>
      <c r="O157" s="6"/>
      <c r="X157" s="8"/>
      <c r="Y157" s="8"/>
    </row>
    <row r="158" spans="1:25" x14ac:dyDescent="0.25">
      <c r="A158" s="69">
        <f t="shared" si="196"/>
        <v>152</v>
      </c>
      <c r="B158" s="44" t="s">
        <v>79</v>
      </c>
      <c r="C158" s="82" t="s">
        <v>78</v>
      </c>
      <c r="D158" s="44"/>
      <c r="E158" s="44"/>
      <c r="F158" s="44"/>
      <c r="G158" s="44"/>
      <c r="H158" s="44"/>
      <c r="I158" s="44"/>
      <c r="J158" s="44"/>
      <c r="K158" s="59"/>
      <c r="L158" s="44"/>
      <c r="M158" s="44"/>
      <c r="N158" s="44"/>
      <c r="O158" s="44"/>
      <c r="P158" s="44"/>
      <c r="Q158" s="44"/>
      <c r="R158" s="44"/>
      <c r="X158" s="8"/>
      <c r="Y158" s="8"/>
    </row>
    <row r="159" spans="1:25" x14ac:dyDescent="0.25">
      <c r="A159" s="69">
        <f t="shared" si="196"/>
        <v>153</v>
      </c>
      <c r="C159" s="2"/>
      <c r="D159" s="2" t="s">
        <v>17</v>
      </c>
      <c r="E159" s="25">
        <v>12</v>
      </c>
      <c r="F159" s="21">
        <v>5454</v>
      </c>
      <c r="G159" s="7">
        <f>F159*E159</f>
        <v>65448</v>
      </c>
      <c r="H159" s="21">
        <v>5454</v>
      </c>
      <c r="I159" s="7">
        <f>H159*E159</f>
        <v>65448</v>
      </c>
      <c r="J159" s="6">
        <f>I159/I163</f>
        <v>1.2925421328275228E-2</v>
      </c>
      <c r="K159" s="60"/>
      <c r="L159" s="21">
        <f>5575.5+151.2</f>
        <v>5726.7</v>
      </c>
      <c r="M159" s="7">
        <f>L159*E159</f>
        <v>68720.399999999994</v>
      </c>
      <c r="N159" s="7">
        <f>M159-I159</f>
        <v>3272.3999999999942</v>
      </c>
      <c r="O159" s="6">
        <f>IF(I159=0,0,N159/I159)</f>
        <v>4.9999999999999913E-2</v>
      </c>
      <c r="P159" s="6">
        <f>M159/M$163</f>
        <v>1.2827156870019294E-2</v>
      </c>
      <c r="Q159" s="18">
        <f>P159-J159</f>
        <v>-9.8264458255933884E-5</v>
      </c>
      <c r="R159" s="18"/>
      <c r="T159" s="6">
        <f t="shared" ref="T159:T162" si="200">L159/H159-1</f>
        <v>5.0000000000000044E-2</v>
      </c>
      <c r="V159" s="79"/>
      <c r="X159" s="8"/>
      <c r="Y159" s="8"/>
    </row>
    <row r="160" spans="1:25" x14ac:dyDescent="0.25">
      <c r="A160" s="69">
        <f t="shared" si="196"/>
        <v>154</v>
      </c>
      <c r="D160" s="2" t="s">
        <v>99</v>
      </c>
      <c r="E160" s="25">
        <v>185987</v>
      </c>
      <c r="F160" s="21">
        <v>6.98</v>
      </c>
      <c r="G160" s="7">
        <f t="shared" ref="G160:G162" si="201">F160*E160</f>
        <v>1298189.26</v>
      </c>
      <c r="H160" s="21">
        <v>6.98</v>
      </c>
      <c r="I160" s="7">
        <f t="shared" ref="I160:I162" si="202">H160*E160</f>
        <v>1298189.26</v>
      </c>
      <c r="J160" s="60">
        <f>I160/I163</f>
        <v>0.2563812973557914</v>
      </c>
      <c r="K160" s="60"/>
      <c r="L160" s="70">
        <v>7.29</v>
      </c>
      <c r="M160" s="115">
        <f>L160*E160</f>
        <v>1355845.23</v>
      </c>
      <c r="N160" s="7">
        <f t="shared" ref="N160:N166" si="203">M160-I160</f>
        <v>57655.969999999972</v>
      </c>
      <c r="O160" s="6">
        <f t="shared" ref="O160:O162" si="204">IF(I160=0,0,N160/I160)</f>
        <v>4.4412607449856714E-2</v>
      </c>
      <c r="P160" s="6">
        <f>M160/M$163</f>
        <v>0.25307826288376362</v>
      </c>
      <c r="Q160" s="18">
        <f t="shared" ref="Q160:Q163" si="205">P160-J160</f>
        <v>-3.3030344720277882E-3</v>
      </c>
      <c r="R160" s="18"/>
      <c r="T160" s="6">
        <f t="shared" si="200"/>
        <v>4.4412607449856756E-2</v>
      </c>
      <c r="X160" s="8"/>
      <c r="Y160" s="8"/>
    </row>
    <row r="161" spans="1:25" x14ac:dyDescent="0.25">
      <c r="A161" s="69">
        <f t="shared" si="196"/>
        <v>155</v>
      </c>
      <c r="D161" s="2" t="s">
        <v>102</v>
      </c>
      <c r="E161" s="25">
        <f>E160-(7500*12)</f>
        <v>95987</v>
      </c>
      <c r="F161" s="21">
        <v>0</v>
      </c>
      <c r="G161" s="7">
        <f t="shared" ref="G161" si="206">F161*E161</f>
        <v>0</v>
      </c>
      <c r="H161" s="21">
        <v>-5.6</v>
      </c>
      <c r="I161" s="7">
        <f t="shared" si="202"/>
        <v>-537527.19999999995</v>
      </c>
      <c r="J161" s="60">
        <f>I161/I163</f>
        <v>-0.10615703360542818</v>
      </c>
      <c r="K161" s="60"/>
      <c r="L161" s="70">
        <f>H161</f>
        <v>-5.6</v>
      </c>
      <c r="M161" s="115">
        <f>L161*E161</f>
        <v>-537527.19999999995</v>
      </c>
      <c r="N161" s="7">
        <f t="shared" ref="N161" si="207">M161-I161</f>
        <v>0</v>
      </c>
      <c r="O161" s="6">
        <f t="shared" ref="O161" si="208">IF(I161=0,0,N161/I161)</f>
        <v>0</v>
      </c>
      <c r="P161" s="6">
        <f>M161/M$163</f>
        <v>-0.10033331756366719</v>
      </c>
      <c r="Q161" s="18">
        <f t="shared" ref="Q161" si="209">P161-J161</f>
        <v>5.8237160417609901E-3</v>
      </c>
      <c r="R161" s="18"/>
      <c r="T161" s="6">
        <f t="shared" ref="T161" si="210">L161/H161-1</f>
        <v>0</v>
      </c>
      <c r="X161" s="8"/>
      <c r="Y161" s="8"/>
    </row>
    <row r="162" spans="1:25" x14ac:dyDescent="0.25">
      <c r="A162" s="69">
        <f>A160+1</f>
        <v>155</v>
      </c>
      <c r="D162" s="2" t="s">
        <v>92</v>
      </c>
      <c r="E162" s="25">
        <v>107411912</v>
      </c>
      <c r="F162" s="78">
        <v>4.0967000000000003E-2</v>
      </c>
      <c r="G162" s="7">
        <f t="shared" si="201"/>
        <v>4400343.7989040008</v>
      </c>
      <c r="H162" s="48">
        <v>3.9449999999999999E-2</v>
      </c>
      <c r="I162" s="7">
        <f t="shared" si="202"/>
        <v>4237399.9283999996</v>
      </c>
      <c r="J162" s="6">
        <f>I162/I163</f>
        <v>0.83685031492136164</v>
      </c>
      <c r="K162" s="60"/>
      <c r="L162" s="26">
        <f>ROUND(H162*S163,6)</f>
        <v>4.1619000000000003E-2</v>
      </c>
      <c r="M162" s="7">
        <f t="shared" ref="M162" si="211">L162*E162</f>
        <v>4470376.3655280005</v>
      </c>
      <c r="N162" s="7">
        <f t="shared" si="203"/>
        <v>232976.43712800089</v>
      </c>
      <c r="O162" s="6">
        <f t="shared" si="204"/>
        <v>5.4980988593156109E-2</v>
      </c>
      <c r="P162" s="6">
        <f>M162/M$163</f>
        <v>0.83442789780988436</v>
      </c>
      <c r="Q162" s="18">
        <f t="shared" si="205"/>
        <v>-2.4224171114772819E-3</v>
      </c>
      <c r="R162" s="18"/>
      <c r="T162" s="6">
        <f t="shared" si="200"/>
        <v>5.4980988593156033E-2</v>
      </c>
      <c r="X162" s="8"/>
      <c r="Y162" s="8"/>
    </row>
    <row r="163" spans="1:25" s="8" customFormat="1" ht="20.399999999999999" customHeight="1" x14ac:dyDescent="0.3">
      <c r="A163" s="69">
        <f t="shared" si="196"/>
        <v>156</v>
      </c>
      <c r="C163" s="31"/>
      <c r="D163" s="33" t="s">
        <v>6</v>
      </c>
      <c r="E163" s="33"/>
      <c r="F163" s="33"/>
      <c r="G163" s="34">
        <f>SUM(G159:G162)</f>
        <v>5763981.0589040006</v>
      </c>
      <c r="H163" s="33"/>
      <c r="I163" s="35">
        <f>SUM(I159:I162)</f>
        <v>5063509.9883999992</v>
      </c>
      <c r="J163" s="36">
        <f>SUM(J159:J162)</f>
        <v>1</v>
      </c>
      <c r="K163" s="61">
        <f>I163+Summary!I22</f>
        <v>5355623.9883999992</v>
      </c>
      <c r="L163" s="33"/>
      <c r="M163" s="34">
        <f>SUM(M159:M162)</f>
        <v>5357414.7955280002</v>
      </c>
      <c r="N163" s="34">
        <f t="shared" si="203"/>
        <v>293904.807128001</v>
      </c>
      <c r="O163" s="36">
        <f t="shared" ref="O163" si="212">N163/I163</f>
        <v>5.8043690602232023E-2</v>
      </c>
      <c r="P163" s="36">
        <f>SUM(P159:P162)</f>
        <v>1</v>
      </c>
      <c r="Q163" s="37">
        <f t="shared" si="205"/>
        <v>0</v>
      </c>
      <c r="R163" s="52">
        <f>M163-K163</f>
        <v>1790.8071280010045</v>
      </c>
      <c r="S163" s="8">
        <v>1.0549926191946415</v>
      </c>
    </row>
    <row r="164" spans="1:25" x14ac:dyDescent="0.25">
      <c r="A164" s="69">
        <f t="shared" si="196"/>
        <v>157</v>
      </c>
      <c r="D164" s="2" t="s">
        <v>29</v>
      </c>
      <c r="G164" s="24">
        <v>-434288</v>
      </c>
      <c r="I164" s="66">
        <f>G164+(0.0016*E162)</f>
        <v>-262428.94079999998</v>
      </c>
      <c r="K164" s="80"/>
      <c r="M164" s="7">
        <f>I164</f>
        <v>-262428.94079999998</v>
      </c>
      <c r="N164" s="7">
        <f t="shared" si="203"/>
        <v>0</v>
      </c>
      <c r="O164" s="19">
        <v>0</v>
      </c>
      <c r="X164" s="8"/>
      <c r="Y164" s="8"/>
    </row>
    <row r="165" spans="1:25" x14ac:dyDescent="0.25">
      <c r="A165" s="69">
        <f t="shared" si="196"/>
        <v>158</v>
      </c>
      <c r="D165" s="2" t="s">
        <v>30</v>
      </c>
      <c r="G165" s="24">
        <v>588074</v>
      </c>
      <c r="I165" s="23">
        <f t="shared" ref="I165:I167" si="213">G165</f>
        <v>588074</v>
      </c>
      <c r="M165" s="7">
        <f t="shared" ref="M165:M167" si="214">I165</f>
        <v>588074</v>
      </c>
      <c r="N165" s="7">
        <f t="shared" si="203"/>
        <v>0</v>
      </c>
      <c r="O165" s="19">
        <v>0</v>
      </c>
      <c r="X165" s="8"/>
      <c r="Y165" s="8"/>
    </row>
    <row r="166" spans="1:25" x14ac:dyDescent="0.25">
      <c r="A166" s="69">
        <f t="shared" si="196"/>
        <v>159</v>
      </c>
      <c r="D166" s="2" t="s">
        <v>33</v>
      </c>
      <c r="G166" s="24">
        <v>0</v>
      </c>
      <c r="I166" s="23">
        <f t="shared" si="213"/>
        <v>0</v>
      </c>
      <c r="M166" s="7">
        <f t="shared" si="214"/>
        <v>0</v>
      </c>
      <c r="N166" s="7">
        <f t="shared" si="203"/>
        <v>0</v>
      </c>
      <c r="O166" s="19">
        <v>0</v>
      </c>
    </row>
    <row r="167" spans="1:25" x14ac:dyDescent="0.25">
      <c r="A167" s="69">
        <f t="shared" si="196"/>
        <v>160</v>
      </c>
      <c r="D167" s="2" t="s">
        <v>71</v>
      </c>
      <c r="G167" s="24">
        <v>0</v>
      </c>
      <c r="I167" s="23">
        <f t="shared" si="213"/>
        <v>0</v>
      </c>
      <c r="M167" s="7">
        <f t="shared" si="214"/>
        <v>0</v>
      </c>
      <c r="N167" s="7"/>
      <c r="O167" s="19"/>
    </row>
    <row r="168" spans="1:25" x14ac:dyDescent="0.25">
      <c r="A168" s="69">
        <f t="shared" si="196"/>
        <v>161</v>
      </c>
      <c r="D168" s="27" t="s">
        <v>8</v>
      </c>
      <c r="E168" s="27"/>
      <c r="F168" s="27"/>
      <c r="G168" s="28">
        <f>SUM(G164:G167)</f>
        <v>153786</v>
      </c>
      <c r="H168" s="27"/>
      <c r="I168" s="28">
        <f>SUM(I164:I167)</f>
        <v>325645.05920000002</v>
      </c>
      <c r="J168" s="27"/>
      <c r="K168" s="62"/>
      <c r="L168" s="27"/>
      <c r="M168" s="28">
        <f>SUM(M164:M167)</f>
        <v>325645.05920000002</v>
      </c>
      <c r="N168" s="28">
        <f t="shared" ref="N168:N169" si="215">M168-I168</f>
        <v>0</v>
      </c>
      <c r="O168" s="38">
        <f t="shared" ref="O168" si="216">N168-J168</f>
        <v>0</v>
      </c>
    </row>
    <row r="169" spans="1:25" s="8" customFormat="1" ht="26.4" customHeight="1" thickBot="1" x14ac:dyDescent="0.3">
      <c r="A169" s="69">
        <f t="shared" si="196"/>
        <v>162</v>
      </c>
      <c r="C169" s="31"/>
      <c r="D169" s="9" t="s">
        <v>19</v>
      </c>
      <c r="E169" s="9"/>
      <c r="F169" s="9"/>
      <c r="G169" s="10">
        <f>G163+G168</f>
        <v>5917767.0589040006</v>
      </c>
      <c r="H169" s="9"/>
      <c r="I169" s="29">
        <f>I168+I163</f>
        <v>5389155.0475999992</v>
      </c>
      <c r="J169" s="9"/>
      <c r="K169" s="63"/>
      <c r="L169" s="9"/>
      <c r="M169" s="10">
        <f>M168+M163</f>
        <v>5683059.8547280002</v>
      </c>
      <c r="N169" s="10">
        <f t="shared" si="215"/>
        <v>293904.807128001</v>
      </c>
      <c r="O169" s="11">
        <f>N169/I169</f>
        <v>5.4536342809229116E-2</v>
      </c>
      <c r="P169" s="2"/>
      <c r="Q169" s="2"/>
      <c r="R169" s="2"/>
    </row>
    <row r="170" spans="1:25" ht="13.8" thickTop="1" x14ac:dyDescent="0.25">
      <c r="A170" s="69">
        <f t="shared" si="196"/>
        <v>163</v>
      </c>
      <c r="D170" s="2" t="s">
        <v>18</v>
      </c>
      <c r="E170" s="19">
        <f>E162/E159</f>
        <v>8950992.666666666</v>
      </c>
      <c r="G170" s="17">
        <f>G169/E159</f>
        <v>493147.25490866671</v>
      </c>
      <c r="I170" s="17">
        <f>I169/E159</f>
        <v>449096.25396666658</v>
      </c>
      <c r="M170" s="17">
        <f>M169/E159</f>
        <v>473588.32122733333</v>
      </c>
      <c r="N170" s="132">
        <f>N169/E159</f>
        <v>24492.06726066675</v>
      </c>
      <c r="O170" s="6">
        <f>O169</f>
        <v>5.4536342809229116E-2</v>
      </c>
    </row>
    <row r="171" spans="1:25" x14ac:dyDescent="0.25">
      <c r="A171" s="69">
        <f t="shared" si="196"/>
        <v>164</v>
      </c>
    </row>
    <row r="172" spans="1:25" x14ac:dyDescent="0.25">
      <c r="A172" s="69">
        <f t="shared" si="196"/>
        <v>165</v>
      </c>
      <c r="B172" s="39"/>
      <c r="C172" s="40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1:25" x14ac:dyDescent="0.25">
      <c r="A173" s="69">
        <f t="shared" si="196"/>
        <v>166</v>
      </c>
    </row>
    <row r="174" spans="1:25" s="8" customFormat="1" ht="19.95" customHeight="1" x14ac:dyDescent="0.3">
      <c r="A174" s="69">
        <f t="shared" si="196"/>
        <v>167</v>
      </c>
      <c r="B174" s="8" t="s">
        <v>32</v>
      </c>
      <c r="C174" s="76"/>
      <c r="D174" s="33" t="s">
        <v>6</v>
      </c>
      <c r="E174" s="33"/>
      <c r="F174" s="33"/>
      <c r="G174" s="51">
        <f>G10+G24+G37+G50+G92+G106+G121+G63+G150+G78+G163</f>
        <v>116920913.122684</v>
      </c>
      <c r="H174" s="51"/>
      <c r="I174" s="51">
        <f>I10+I24+I37+I50+I92+I106+I121+I63+I150+I78+I163</f>
        <v>114245490.87458</v>
      </c>
      <c r="J174" s="33"/>
      <c r="K174" s="64"/>
      <c r="L174" s="33"/>
      <c r="M174" s="51">
        <f t="shared" ref="M174:N178" si="217">M10+M24+M37+M50+M92+M106+M121+M63+M150+M78+M163</f>
        <v>118959053.49782299</v>
      </c>
      <c r="N174" s="51">
        <f t="shared" si="217"/>
        <v>4713562.6232429687</v>
      </c>
      <c r="O174" s="36">
        <f>N174/I174</f>
        <v>4.125819397474139E-2</v>
      </c>
    </row>
    <row r="175" spans="1:25" x14ac:dyDescent="0.25">
      <c r="A175" s="69">
        <f t="shared" si="196"/>
        <v>168</v>
      </c>
      <c r="C175" s="56"/>
      <c r="D175" s="2" t="s">
        <v>29</v>
      </c>
      <c r="G175" s="16">
        <f>G11+G25+G38+G51+G93+G107+G122+G64+G151+G79+G164</f>
        <v>-5406675.29</v>
      </c>
      <c r="H175" s="16"/>
      <c r="I175" s="16">
        <f>I11+I25+I38+I51+I93+I107+I122+I64+I151+I79+I164</f>
        <v>-3262682.6740000001</v>
      </c>
      <c r="M175" s="16">
        <f t="shared" si="217"/>
        <v>-3262682.6740000001</v>
      </c>
      <c r="N175" s="16">
        <f t="shared" si="217"/>
        <v>0</v>
      </c>
    </row>
    <row r="176" spans="1:25" x14ac:dyDescent="0.25">
      <c r="A176" s="69">
        <f t="shared" si="196"/>
        <v>169</v>
      </c>
      <c r="C176" s="56"/>
      <c r="D176" s="2" t="s">
        <v>30</v>
      </c>
      <c r="G176" s="16">
        <f>G12+G26+G39+G52+G94+G108+G123+G65+G152+G80+G165</f>
        <v>12310611.730000002</v>
      </c>
      <c r="H176" s="16"/>
      <c r="I176" s="16">
        <f>I12+I26+I39+I52+I94+I108+I123+I65+I152+I80+I165</f>
        <v>12310611.730000002</v>
      </c>
      <c r="M176" s="16">
        <f t="shared" si="217"/>
        <v>12310611.730000002</v>
      </c>
      <c r="N176" s="16">
        <f t="shared" si="217"/>
        <v>0</v>
      </c>
    </row>
    <row r="177" spans="1:28" x14ac:dyDescent="0.25">
      <c r="A177" s="69">
        <f t="shared" si="196"/>
        <v>170</v>
      </c>
      <c r="C177" s="56"/>
      <c r="D177" s="2" t="s">
        <v>33</v>
      </c>
      <c r="G177" s="16">
        <f>G13+G27+G40+G53+G95+G109+G124+G66+G153+G81+G166</f>
        <v>956496.21</v>
      </c>
      <c r="H177" s="16"/>
      <c r="I177" s="16">
        <f>I13+I27+I40+I53+I95+I109+I124+I66+I153+I81+I166</f>
        <v>956496.21</v>
      </c>
      <c r="M177" s="16">
        <f t="shared" si="217"/>
        <v>956496.21</v>
      </c>
      <c r="N177" s="16">
        <f t="shared" si="217"/>
        <v>0</v>
      </c>
    </row>
    <row r="178" spans="1:28" x14ac:dyDescent="0.25">
      <c r="A178" s="69">
        <f t="shared" si="196"/>
        <v>171</v>
      </c>
      <c r="C178" s="56"/>
      <c r="D178" s="2" t="s">
        <v>71</v>
      </c>
      <c r="G178" s="16">
        <f>G14+G28+G41+G54+G96+G110+G125+G67+G154+G82+G167</f>
        <v>0</v>
      </c>
      <c r="I178" s="16">
        <f>I14+I28+I41+I54+I96+I110+I125+I67+I154+I82+I167</f>
        <v>0</v>
      </c>
      <c r="M178" s="16">
        <f t="shared" si="217"/>
        <v>0</v>
      </c>
      <c r="N178" s="16">
        <f t="shared" si="217"/>
        <v>0</v>
      </c>
      <c r="O178" s="19"/>
    </row>
    <row r="179" spans="1:28" x14ac:dyDescent="0.25">
      <c r="A179" s="69">
        <f t="shared" si="196"/>
        <v>172</v>
      </c>
      <c r="C179" s="56"/>
      <c r="D179" s="27" t="s">
        <v>8</v>
      </c>
      <c r="E179" s="27"/>
      <c r="F179" s="27"/>
      <c r="G179" s="50">
        <f>SUM(G175:G178)</f>
        <v>7860432.6500000022</v>
      </c>
      <c r="H179" s="50"/>
      <c r="I179" s="50">
        <f>SUM(I175:I178)</f>
        <v>10004425.266000003</v>
      </c>
      <c r="J179" s="27"/>
      <c r="K179" s="62"/>
      <c r="L179" s="27"/>
      <c r="M179" s="50">
        <f>SUM(M175:M178)</f>
        <v>10004425.266000003</v>
      </c>
      <c r="N179" s="50">
        <f>SUM(N175:N178)</f>
        <v>0</v>
      </c>
      <c r="O179" s="27"/>
    </row>
    <row r="180" spans="1:28" s="8" customFormat="1" ht="21" customHeight="1" thickBot="1" x14ac:dyDescent="0.35">
      <c r="A180" s="69">
        <f t="shared" si="196"/>
        <v>173</v>
      </c>
      <c r="C180" s="76"/>
      <c r="D180" s="9" t="s">
        <v>19</v>
      </c>
      <c r="E180" s="9"/>
      <c r="F180" s="9"/>
      <c r="G180" s="29">
        <f>G179+G174</f>
        <v>124781345.77268401</v>
      </c>
      <c r="H180" s="29"/>
      <c r="I180" s="29">
        <f>I179+I174</f>
        <v>124249916.14058</v>
      </c>
      <c r="J180" s="9"/>
      <c r="K180" s="63"/>
      <c r="L180" s="9"/>
      <c r="M180" s="29">
        <f>M179+M174</f>
        <v>128963478.76382299</v>
      </c>
      <c r="N180" s="29">
        <f>N179+N174</f>
        <v>4713562.6232429687</v>
      </c>
      <c r="O180" s="11">
        <f>N180/I180</f>
        <v>3.7936143296144406E-2</v>
      </c>
    </row>
    <row r="181" spans="1:28" ht="13.8" thickTop="1" x14ac:dyDescent="0.25">
      <c r="A181" s="69">
        <f t="shared" si="196"/>
        <v>174</v>
      </c>
      <c r="C181" s="56"/>
    </row>
    <row r="182" spans="1:28" x14ac:dyDescent="0.25">
      <c r="A182" s="69">
        <f t="shared" si="196"/>
        <v>175</v>
      </c>
      <c r="D182" s="2" t="s">
        <v>42</v>
      </c>
      <c r="N182" s="16">
        <f>N180-Summary!L4</f>
        <v>5583.6232429686934</v>
      </c>
    </row>
    <row r="183" spans="1:28" x14ac:dyDescent="0.25">
      <c r="A183" s="69">
        <f t="shared" si="196"/>
        <v>176</v>
      </c>
      <c r="K183" s="2"/>
      <c r="N183" s="16"/>
    </row>
    <row r="184" spans="1:28" x14ac:dyDescent="0.25">
      <c r="A184" s="69">
        <f t="shared" si="196"/>
        <v>177</v>
      </c>
      <c r="B184" s="1" t="s">
        <v>120</v>
      </c>
      <c r="E184" s="39"/>
      <c r="F184" s="39"/>
      <c r="G184" s="39"/>
      <c r="H184" s="39"/>
      <c r="I184" s="39"/>
      <c r="J184" s="39"/>
      <c r="K184" s="39"/>
      <c r="L184" s="39"/>
      <c r="M184" s="39"/>
      <c r="N184" s="181"/>
      <c r="O184" s="39"/>
      <c r="P184" s="39"/>
      <c r="Q184" s="39"/>
      <c r="R184" s="39"/>
    </row>
    <row r="185" spans="1:28" ht="13.8" thickBot="1" x14ac:dyDescent="0.3">
      <c r="A185" s="69">
        <f t="shared" si="196"/>
        <v>178</v>
      </c>
      <c r="D185" s="30"/>
      <c r="E185" s="30"/>
      <c r="F185" s="30"/>
      <c r="G185" s="30"/>
      <c r="K185" s="2"/>
    </row>
    <row r="186" spans="1:28" x14ac:dyDescent="0.25">
      <c r="A186" s="69">
        <f t="shared" si="196"/>
        <v>179</v>
      </c>
      <c r="B186" s="44" t="s">
        <v>121</v>
      </c>
      <c r="C186" s="45" t="s">
        <v>53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AB186" s="2" t="s">
        <v>122</v>
      </c>
    </row>
    <row r="187" spans="1:28" ht="12.6" customHeight="1" x14ac:dyDescent="0.25">
      <c r="A187" s="69">
        <f t="shared" si="196"/>
        <v>180</v>
      </c>
      <c r="D187" s="2" t="s">
        <v>17</v>
      </c>
      <c r="E187" s="25"/>
      <c r="F187" s="21"/>
      <c r="G187" s="7"/>
      <c r="H187" s="21">
        <v>55.57</v>
      </c>
      <c r="I187" s="7"/>
      <c r="J187" s="6"/>
      <c r="K187" s="60"/>
      <c r="L187" s="120">
        <v>57.82</v>
      </c>
      <c r="M187" s="7"/>
      <c r="N187" s="7"/>
      <c r="O187" s="6"/>
      <c r="P187" s="6"/>
      <c r="Q187" s="18"/>
      <c r="R187" s="18"/>
      <c r="S187" s="182">
        <f>S78</f>
        <v>1.0426096299529035</v>
      </c>
      <c r="T187" s="6">
        <f t="shared" ref="T187:T189" si="218">L187/H187-1</f>
        <v>4.0489472737088361E-2</v>
      </c>
      <c r="V187" s="2" t="s">
        <v>123</v>
      </c>
    </row>
    <row r="188" spans="1:28" x14ac:dyDescent="0.25">
      <c r="A188" s="69">
        <f t="shared" si="196"/>
        <v>181</v>
      </c>
      <c r="D188" s="2" t="s">
        <v>96</v>
      </c>
      <c r="E188" s="25"/>
      <c r="F188" s="48"/>
      <c r="G188" s="7"/>
      <c r="H188" s="183">
        <v>9.1520000000000004E-2</v>
      </c>
      <c r="I188" s="7"/>
      <c r="J188" s="6"/>
      <c r="K188" s="60"/>
      <c r="L188" s="121">
        <v>9.5217422085417475E-2</v>
      </c>
      <c r="M188" s="7"/>
      <c r="N188" s="7"/>
      <c r="O188" s="6"/>
      <c r="P188" s="6"/>
      <c r="Q188" s="18"/>
      <c r="R188" s="18"/>
      <c r="S188" s="182">
        <f>S187</f>
        <v>1.0426096299529035</v>
      </c>
      <c r="T188" s="6">
        <f t="shared" si="218"/>
        <v>4.0400153905348235E-2</v>
      </c>
    </row>
    <row r="189" spans="1:28" x14ac:dyDescent="0.25">
      <c r="A189" s="69">
        <f t="shared" si="196"/>
        <v>182</v>
      </c>
      <c r="D189" s="2" t="s">
        <v>97</v>
      </c>
      <c r="E189" s="25"/>
      <c r="F189" s="48"/>
      <c r="G189" s="7"/>
      <c r="H189" s="48">
        <v>6.0900000000000003E-2</v>
      </c>
      <c r="I189" s="7"/>
      <c r="J189" s="6"/>
      <c r="K189" s="60"/>
      <c r="L189" s="121">
        <v>6.3382733812949635E-2</v>
      </c>
      <c r="M189" s="7"/>
      <c r="N189" s="7"/>
      <c r="O189" s="6"/>
      <c r="P189" s="6"/>
      <c r="Q189" s="18"/>
      <c r="R189" s="18"/>
      <c r="S189" s="182">
        <f>S188</f>
        <v>1.0426096299529035</v>
      </c>
      <c r="T189" s="6">
        <f t="shared" si="218"/>
        <v>4.0767386091127067E-2</v>
      </c>
    </row>
    <row r="190" spans="1:28" x14ac:dyDescent="0.25">
      <c r="A190" s="69">
        <f t="shared" si="196"/>
        <v>183</v>
      </c>
      <c r="E190" s="25"/>
      <c r="F190" s="48"/>
      <c r="G190" s="7"/>
      <c r="H190" s="78"/>
      <c r="I190" s="7"/>
      <c r="J190" s="6"/>
      <c r="K190" s="60"/>
      <c r="L190" s="26"/>
      <c r="M190" s="7"/>
      <c r="N190" s="7"/>
      <c r="O190" s="6"/>
      <c r="P190" s="6"/>
      <c r="Q190" s="18"/>
      <c r="R190" s="18"/>
      <c r="S190" s="182"/>
      <c r="T190" s="6"/>
    </row>
    <row r="191" spans="1:28" x14ac:dyDescent="0.25">
      <c r="H191" s="126"/>
    </row>
    <row r="192" spans="1:28" x14ac:dyDescent="0.25">
      <c r="H192" s="126"/>
    </row>
    <row r="193" spans="8:8" x14ac:dyDescent="0.25">
      <c r="H193" s="126"/>
    </row>
    <row r="194" spans="8:8" x14ac:dyDescent="0.25">
      <c r="H194" s="126"/>
    </row>
    <row r="195" spans="8:8" x14ac:dyDescent="0.25">
      <c r="H195" s="126"/>
    </row>
    <row r="196" spans="8:8" x14ac:dyDescent="0.25">
      <c r="H196" s="126"/>
    </row>
    <row r="197" spans="8:8" x14ac:dyDescent="0.25">
      <c r="H197" s="126"/>
    </row>
  </sheetData>
  <pageMargins left="0.7" right="0.7" top="0.75" bottom="0.75" header="0.3" footer="0.3"/>
  <pageSetup scale="37" orientation="landscape" r:id="rId1"/>
  <rowBreaks count="3" manualBreakCount="3">
    <brk id="86" max="17" man="1"/>
    <brk id="100" max="17" man="1"/>
    <brk id="129" max="17" man="1"/>
  </rowBreaks>
  <ignoredErrors>
    <ignoredError sqref="M10 G7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pageSetUpPr fitToPage="1"/>
  </sheetPr>
  <dimension ref="A1:J101"/>
  <sheetViews>
    <sheetView topLeftCell="A28" workbookViewId="0">
      <selection activeCell="K17" sqref="K17"/>
    </sheetView>
  </sheetViews>
  <sheetFormatPr defaultRowHeight="13.2" x14ac:dyDescent="0.25"/>
  <cols>
    <col min="1" max="1" width="1.77734375" style="2" customWidth="1"/>
    <col min="2" max="2" width="1.21875" style="2" customWidth="1"/>
    <col min="3" max="3" width="8.109375" style="2" customWidth="1"/>
    <col min="4" max="4" width="38.77734375" style="30" customWidth="1"/>
    <col min="5" max="5" width="33.77734375" style="2" bestFit="1" customWidth="1"/>
    <col min="6" max="6" width="12.6640625" style="2" customWidth="1"/>
    <col min="7" max="7" width="12.5546875" style="2" customWidth="1"/>
    <col min="8" max="9" width="8.88671875" style="2"/>
    <col min="10" max="10" width="10.44140625" style="2" customWidth="1"/>
    <col min="11" max="16384" width="8.88671875" style="2"/>
  </cols>
  <sheetData>
    <row r="1" spans="1:10" x14ac:dyDescent="0.25">
      <c r="A1" s="1" t="str">
        <f>Summary!A1</f>
        <v>BLUE GRASS ENERGY</v>
      </c>
    </row>
    <row r="2" spans="1:10" x14ac:dyDescent="0.25">
      <c r="A2" s="1" t="s">
        <v>88</v>
      </c>
    </row>
    <row r="4" spans="1:10" x14ac:dyDescent="0.25">
      <c r="C4" s="131"/>
      <c r="D4" s="130" t="s">
        <v>89</v>
      </c>
      <c r="E4" s="130" t="s">
        <v>2</v>
      </c>
      <c r="F4" s="134" t="s">
        <v>90</v>
      </c>
      <c r="G4" s="134" t="s">
        <v>91</v>
      </c>
      <c r="I4" s="184" t="s">
        <v>132</v>
      </c>
      <c r="J4" s="134" t="s">
        <v>106</v>
      </c>
    </row>
    <row r="5" spans="1:10" x14ac:dyDescent="0.25">
      <c r="C5" s="154" t="str">
        <f>'Billing Detail'!C7</f>
        <v>GS-1</v>
      </c>
      <c r="D5" s="155" t="str">
        <f>'Billing Detail'!B7</f>
        <v>Residential , Farm &amp; Non-Farm</v>
      </c>
    </row>
    <row r="6" spans="1:10" x14ac:dyDescent="0.25">
      <c r="C6" s="154"/>
      <c r="D6" s="155"/>
      <c r="E6" s="2" t="str">
        <f>'Billing Detail'!D8</f>
        <v>Customer Charge</v>
      </c>
      <c r="F6" s="132">
        <f>'Billing Detail'!H8</f>
        <v>16.5</v>
      </c>
      <c r="G6" s="132">
        <f>'Billing Detail'!L8</f>
        <v>16.14</v>
      </c>
      <c r="I6" s="178"/>
      <c r="J6" s="6">
        <f>G6/F6-1</f>
        <v>-2.1818181818181737E-2</v>
      </c>
    </row>
    <row r="7" spans="1:10" x14ac:dyDescent="0.25">
      <c r="C7" s="154"/>
      <c r="D7" s="155"/>
      <c r="E7" s="2" t="str">
        <f>'Billing Detail'!D9</f>
        <v>Energy Charge per kWh</v>
      </c>
      <c r="F7" s="133">
        <f>'Billing Detail'!H9</f>
        <v>8.1210000000000004E-2</v>
      </c>
      <c r="G7" s="133">
        <f>'Billing Detail'!L9</f>
        <v>8.5296999999999998E-2</v>
      </c>
      <c r="J7" s="6">
        <f t="shared" ref="J7:J63" si="0">G7/F7-1</f>
        <v>5.0326314493288837E-2</v>
      </c>
    </row>
    <row r="8" spans="1:10" x14ac:dyDescent="0.25">
      <c r="C8" s="154" t="str">
        <f>'Billing Detail'!C19</f>
        <v>GS-2</v>
      </c>
      <c r="D8" s="155" t="str">
        <f>'Billing Detail'!B19</f>
        <v>Residential Off Peak ETS</v>
      </c>
      <c r="F8" s="132"/>
      <c r="G8" s="132"/>
      <c r="J8" s="6"/>
    </row>
    <row r="9" spans="1:10" x14ac:dyDescent="0.25">
      <c r="C9" s="154"/>
      <c r="D9" s="155"/>
      <c r="E9" s="2" t="str">
        <f>'Billing Detail'!D20</f>
        <v>Customer Charge</v>
      </c>
      <c r="F9" s="132">
        <f>'Billing Detail'!H20</f>
        <v>13.85</v>
      </c>
      <c r="G9" s="132">
        <f>'Billing Detail'!L20</f>
        <v>14.41</v>
      </c>
      <c r="J9" s="6">
        <f t="shared" si="0"/>
        <v>4.0433212996390022E-2</v>
      </c>
    </row>
    <row r="10" spans="1:10" x14ac:dyDescent="0.25">
      <c r="C10" s="154"/>
      <c r="D10" s="155"/>
      <c r="E10" s="2" t="str">
        <f>'Billing Detail'!D21</f>
        <v>Energy Charge - First 200 per kWh</v>
      </c>
      <c r="F10" s="133">
        <f>'Billing Detail'!H21</f>
        <v>7.374E-2</v>
      </c>
      <c r="G10" s="133">
        <f>'Billing Detail'!L21</f>
        <v>7.6733999999999997E-2</v>
      </c>
      <c r="J10" s="6">
        <f t="shared" si="0"/>
        <v>4.0602115541090278E-2</v>
      </c>
    </row>
    <row r="11" spans="1:10" x14ac:dyDescent="0.25">
      <c r="C11" s="154"/>
      <c r="D11" s="155"/>
      <c r="E11" s="2" t="str">
        <f>'Billing Detail'!D22</f>
        <v>Energy Charge - Next 300 per kWh</v>
      </c>
      <c r="F11" s="133">
        <f>'Billing Detail'!H22</f>
        <v>8.8739999999999999E-2</v>
      </c>
      <c r="G11" s="133">
        <f>'Billing Detail'!L22</f>
        <v>9.2342999999999995E-2</v>
      </c>
      <c r="J11" s="6">
        <f t="shared" si="0"/>
        <v>4.0601757944557004E-2</v>
      </c>
    </row>
    <row r="12" spans="1:10" x14ac:dyDescent="0.25">
      <c r="C12" s="154"/>
      <c r="D12" s="155"/>
      <c r="E12" s="2" t="str">
        <f>'Billing Detail'!D23</f>
        <v>Energy Charge - Over 500 per kWh</v>
      </c>
      <c r="F12" s="133">
        <f>'Billing Detail'!H23</f>
        <v>9.8739999999999994E-2</v>
      </c>
      <c r="G12" s="133">
        <f>'Billing Detail'!L23</f>
        <v>0.10274899999999999</v>
      </c>
      <c r="J12" s="6">
        <f t="shared" si="0"/>
        <v>4.0601579906826002E-2</v>
      </c>
    </row>
    <row r="13" spans="1:10" x14ac:dyDescent="0.25">
      <c r="C13" s="154" t="str">
        <f>'Billing Detail'!C33</f>
        <v>GS-3</v>
      </c>
      <c r="D13" s="155" t="str">
        <f>'Billing Detail'!B33</f>
        <v>Residential Time of Day</v>
      </c>
      <c r="F13" s="132"/>
      <c r="G13" s="132"/>
      <c r="J13" s="6"/>
    </row>
    <row r="14" spans="1:10" x14ac:dyDescent="0.25">
      <c r="C14" s="154"/>
      <c r="D14" s="155"/>
      <c r="E14" s="2" t="str">
        <f>'Billing Detail'!D34</f>
        <v>Customer Charge</v>
      </c>
      <c r="F14" s="132">
        <f>'Billing Detail'!H34</f>
        <v>25</v>
      </c>
      <c r="G14" s="132">
        <f>'Billing Detail'!L34</f>
        <v>31.31</v>
      </c>
      <c r="I14" s="178"/>
      <c r="J14" s="6">
        <f t="shared" si="0"/>
        <v>0.25239999999999996</v>
      </c>
    </row>
    <row r="15" spans="1:10" x14ac:dyDescent="0.25">
      <c r="C15" s="154"/>
      <c r="D15" s="155"/>
      <c r="E15" s="2" t="str">
        <f>'Billing Detail'!D35</f>
        <v>Energy Charge - On Peak per kWh</v>
      </c>
      <c r="F15" s="133">
        <f>'Billing Detail'!H35</f>
        <v>9.8180000000000003E-2</v>
      </c>
      <c r="G15" s="133">
        <f>'Billing Detail'!L35</f>
        <v>4.4197E-2</v>
      </c>
      <c r="I15" s="178"/>
      <c r="J15" s="6">
        <f t="shared" si="0"/>
        <v>-0.54983703401914852</v>
      </c>
    </row>
    <row r="16" spans="1:10" x14ac:dyDescent="0.25">
      <c r="C16" s="154"/>
      <c r="D16" s="155"/>
      <c r="E16" s="2" t="str">
        <f>'Billing Detail'!D36</f>
        <v>Energy Charge - Off Peak per kWh</v>
      </c>
      <c r="F16" s="133">
        <f>'Billing Detail'!H36</f>
        <v>5.2260000000000001E-2</v>
      </c>
      <c r="G16" s="133">
        <f>'Billing Detail'!L36</f>
        <v>7.6446E-2</v>
      </c>
      <c r="I16" s="178"/>
      <c r="J16" s="6">
        <f t="shared" si="0"/>
        <v>0.46280137772675078</v>
      </c>
    </row>
    <row r="17" spans="3:10" x14ac:dyDescent="0.25">
      <c r="C17" s="154" t="str">
        <f>'Billing Detail'!C46</f>
        <v>SC-1</v>
      </c>
      <c r="D17" s="155" t="str">
        <f>'Billing Detail'!B46</f>
        <v>Small Commercial (0-100 kW)</v>
      </c>
      <c r="F17" s="132"/>
      <c r="G17" s="132"/>
      <c r="J17" s="6"/>
    </row>
    <row r="18" spans="3:10" x14ac:dyDescent="0.25">
      <c r="C18" s="154"/>
      <c r="D18" s="155"/>
      <c r="E18" s="2" t="str">
        <f>'Billing Detail'!D47</f>
        <v>Customer Charge</v>
      </c>
      <c r="F18" s="132">
        <f>'Billing Detail'!H47</f>
        <v>32.5</v>
      </c>
      <c r="G18" s="132">
        <f>'Billing Detail'!L47</f>
        <v>32.99</v>
      </c>
      <c r="J18" s="6">
        <f t="shared" si="0"/>
        <v>1.507692307692321E-2</v>
      </c>
    </row>
    <row r="19" spans="3:10" x14ac:dyDescent="0.25">
      <c r="C19" s="154"/>
      <c r="D19" s="155"/>
      <c r="E19" s="2" t="str">
        <f>'Billing Detail'!D48</f>
        <v>Energy Charge per kWh</v>
      </c>
      <c r="F19" s="133">
        <f>'Billing Detail'!H48</f>
        <v>8.165E-2</v>
      </c>
      <c r="G19" s="133">
        <f>'Billing Detail'!L48</f>
        <v>8.5194000000000006E-2</v>
      </c>
      <c r="J19" s="6">
        <f t="shared" si="0"/>
        <v>4.3404776484996965E-2</v>
      </c>
    </row>
    <row r="20" spans="3:10" x14ac:dyDescent="0.25">
      <c r="C20" s="154"/>
      <c r="D20" s="155"/>
      <c r="E20" s="2" t="str">
        <f>'Billing Detail'!D49</f>
        <v>Demand Charge over 10 KW per kW</v>
      </c>
      <c r="F20" s="132">
        <f>'Billing Detail'!H49</f>
        <v>7.78</v>
      </c>
      <c r="G20" s="132">
        <f>'Billing Detail'!L49</f>
        <v>8.0201429999999991</v>
      </c>
      <c r="J20" s="6">
        <f t="shared" si="0"/>
        <v>3.0866709511568002E-2</v>
      </c>
    </row>
    <row r="21" spans="3:10" x14ac:dyDescent="0.25">
      <c r="C21" s="154" t="str">
        <f>'Billing Detail'!C59</f>
        <v>SC-2</v>
      </c>
      <c r="D21" s="155" t="str">
        <f>'Billing Detail'!B59</f>
        <v>General Service 0-100 KW Time of Day Rate</v>
      </c>
      <c r="F21" s="132"/>
      <c r="G21" s="132"/>
      <c r="J21" s="6"/>
    </row>
    <row r="22" spans="3:10" x14ac:dyDescent="0.25">
      <c r="C22" s="154"/>
      <c r="D22" s="155"/>
      <c r="E22" s="2" t="str">
        <f>'Billing Detail'!D60</f>
        <v>Customer Charge</v>
      </c>
      <c r="F22" s="132">
        <f>'Billing Detail'!H60</f>
        <v>40</v>
      </c>
      <c r="G22" s="132">
        <f>'Billing Detail'!L60</f>
        <v>44</v>
      </c>
      <c r="J22" s="6">
        <f t="shared" si="0"/>
        <v>0.10000000000000009</v>
      </c>
    </row>
    <row r="23" spans="3:10" x14ac:dyDescent="0.25">
      <c r="C23" s="154"/>
      <c r="D23" s="155"/>
      <c r="E23" s="2" t="str">
        <f>'Billing Detail'!D61</f>
        <v>Energy Charge - On Peak per kWh</v>
      </c>
      <c r="F23" s="133">
        <f>'Billing Detail'!H61</f>
        <v>0.12545000000000001</v>
      </c>
      <c r="G23" s="133">
        <f>'Billing Detail'!L61</f>
        <v>0.146923</v>
      </c>
      <c r="J23" s="6">
        <f t="shared" si="0"/>
        <v>0.17116779593463516</v>
      </c>
    </row>
    <row r="24" spans="3:10" x14ac:dyDescent="0.25">
      <c r="C24" s="154"/>
      <c r="D24" s="155"/>
      <c r="E24" s="2" t="str">
        <f>'Billing Detail'!D62</f>
        <v>Energy Charge - Off Peak per kWh</v>
      </c>
      <c r="F24" s="133">
        <f>'Billing Detail'!H62</f>
        <v>6.59E-2</v>
      </c>
      <c r="G24" s="133">
        <f>'Billing Detail'!L62</f>
        <v>5.0250999999999997E-2</v>
      </c>
      <c r="I24" s="178"/>
      <c r="J24" s="6">
        <f t="shared" si="0"/>
        <v>-0.23746585735963588</v>
      </c>
    </row>
    <row r="25" spans="3:10" x14ac:dyDescent="0.25">
      <c r="C25" s="154" t="str">
        <f>'Billing Detail'!C72</f>
        <v>LP-1</v>
      </c>
      <c r="D25" s="155" t="str">
        <f>'Billing Detail'!B72</f>
        <v>Large Power (101 - 500 kW)</v>
      </c>
      <c r="F25" s="132"/>
      <c r="G25" s="132"/>
      <c r="J25" s="6"/>
    </row>
    <row r="26" spans="3:10" x14ac:dyDescent="0.25">
      <c r="C26" s="154"/>
      <c r="D26" s="155"/>
      <c r="E26" s="2" t="str">
        <f>'Billing Detail'!D73</f>
        <v>Customer Charge</v>
      </c>
      <c r="F26" s="132">
        <f>'Billing Detail'!H73</f>
        <v>55.57</v>
      </c>
      <c r="G26" s="132">
        <f>'Billing Detail'!L73</f>
        <v>52.41</v>
      </c>
      <c r="I26" s="178"/>
      <c r="J26" s="6">
        <f t="shared" si="0"/>
        <v>-5.6865215044088591E-2</v>
      </c>
    </row>
    <row r="27" spans="3:10" x14ac:dyDescent="0.25">
      <c r="C27" s="154"/>
      <c r="D27" s="155"/>
      <c r="E27" s="2" t="str">
        <f>'Billing Detail'!D74</f>
        <v>Energy Charge per kWh</v>
      </c>
      <c r="F27" s="133">
        <f>'Billing Detail'!H74</f>
        <v>5.1979999999999998E-2</v>
      </c>
      <c r="G27" s="133">
        <f>'Billing Detail'!L74</f>
        <v>5.5923E-2</v>
      </c>
      <c r="J27" s="6">
        <f t="shared" si="0"/>
        <v>7.5856098499422986E-2</v>
      </c>
    </row>
    <row r="28" spans="3:10" x14ac:dyDescent="0.25">
      <c r="C28" s="154"/>
      <c r="D28" s="155"/>
      <c r="E28" s="2" t="str">
        <f>'Billing Detail'!D76</f>
        <v>Demand Charge per kW</v>
      </c>
      <c r="F28" s="132">
        <f>'Billing Detail'!H76</f>
        <v>8.34</v>
      </c>
      <c r="G28" s="132">
        <f>'Billing Detail'!L76</f>
        <v>8.23</v>
      </c>
      <c r="I28" s="178"/>
      <c r="J28" s="6">
        <f t="shared" si="0"/>
        <v>-1.318944844124692E-2</v>
      </c>
    </row>
    <row r="29" spans="3:10" x14ac:dyDescent="0.25">
      <c r="C29" s="154" t="str">
        <f>'Billing Detail'!C186</f>
        <v>LP-1</v>
      </c>
      <c r="D29" s="155" t="str">
        <f>'Billing Detail'!B186</f>
        <v>Large Power (101 - 500 kW) (Time of Day)</v>
      </c>
      <c r="F29" s="132"/>
      <c r="G29" s="132"/>
      <c r="J29" s="6"/>
    </row>
    <row r="30" spans="3:10" x14ac:dyDescent="0.25">
      <c r="C30" s="154"/>
      <c r="D30" s="155"/>
      <c r="E30" s="2" t="str">
        <f>'Billing Detail'!D187</f>
        <v>Customer Charge</v>
      </c>
      <c r="F30" s="132">
        <f>'Billing Detail'!H187</f>
        <v>55.57</v>
      </c>
      <c r="G30" s="132">
        <f>'Billing Detail'!L187</f>
        <v>57.82</v>
      </c>
      <c r="J30" s="6">
        <f t="shared" ref="J30:J32" si="1">G30/F30-1</f>
        <v>4.0489472737088361E-2</v>
      </c>
    </row>
    <row r="31" spans="3:10" x14ac:dyDescent="0.25">
      <c r="C31" s="154"/>
      <c r="D31" s="155"/>
      <c r="E31" s="2" t="str">
        <f>'Billing Detail'!D188</f>
        <v>Energy Charge - On Peak per kWh</v>
      </c>
      <c r="F31" s="133">
        <f>'Billing Detail'!H188</f>
        <v>9.1520000000000004E-2</v>
      </c>
      <c r="G31" s="133">
        <f>'Billing Detail'!L188</f>
        <v>9.5217422085417475E-2</v>
      </c>
      <c r="J31" s="6">
        <f t="shared" si="1"/>
        <v>4.0400153905348235E-2</v>
      </c>
    </row>
    <row r="32" spans="3:10" x14ac:dyDescent="0.25">
      <c r="C32" s="154"/>
      <c r="D32" s="155"/>
      <c r="E32" s="2" t="str">
        <f>'Billing Detail'!D189</f>
        <v>Energy Charge - Off Peak per kWh</v>
      </c>
      <c r="F32" s="133">
        <f>'Billing Detail'!H189</f>
        <v>6.0900000000000003E-2</v>
      </c>
      <c r="G32" s="133">
        <f>'Billing Detail'!L189</f>
        <v>6.3382733812949635E-2</v>
      </c>
      <c r="J32" s="6">
        <f t="shared" si="1"/>
        <v>4.0767386091127067E-2</v>
      </c>
    </row>
    <row r="33" spans="3:10" x14ac:dyDescent="0.25">
      <c r="C33" s="154" t="str">
        <f>'Billing Detail'!C87</f>
        <v>LP-2</v>
      </c>
      <c r="D33" s="155" t="str">
        <f>'Billing Detail'!B87</f>
        <v>Large Power (over 500 kW)</v>
      </c>
      <c r="F33" s="132"/>
      <c r="G33" s="132"/>
      <c r="J33" s="6"/>
    </row>
    <row r="34" spans="3:10" x14ac:dyDescent="0.25">
      <c r="C34" s="154"/>
      <c r="D34" s="155"/>
      <c r="E34" s="2" t="str">
        <f>'Billing Detail'!D88</f>
        <v>Customer Charge</v>
      </c>
      <c r="F34" s="132">
        <f>'Billing Detail'!H88</f>
        <v>111.14</v>
      </c>
      <c r="G34" s="132">
        <f>'Billing Detail'!L88</f>
        <v>109.05</v>
      </c>
      <c r="I34" s="178"/>
      <c r="J34" s="6">
        <f t="shared" si="0"/>
        <v>-1.8805110671225478E-2</v>
      </c>
    </row>
    <row r="35" spans="3:10" x14ac:dyDescent="0.25">
      <c r="C35" s="154"/>
      <c r="D35" s="155"/>
      <c r="E35" s="2" t="str">
        <f>'Billing Detail'!D89</f>
        <v>Energy Charge per kWh</v>
      </c>
      <c r="F35" s="133">
        <f>'Billing Detail'!H89</f>
        <v>4.5839999999999999E-2</v>
      </c>
      <c r="G35" s="133">
        <f>'Billing Detail'!L89</f>
        <v>4.9161999999999997E-2</v>
      </c>
      <c r="J35" s="6">
        <f t="shared" si="0"/>
        <v>7.2469458987783675E-2</v>
      </c>
    </row>
    <row r="36" spans="3:10" x14ac:dyDescent="0.25">
      <c r="C36" s="154"/>
      <c r="D36" s="155"/>
      <c r="E36" s="2" t="str">
        <f>'Billing Detail'!D91</f>
        <v>Demand Charge per kW</v>
      </c>
      <c r="F36" s="132">
        <f>'Billing Detail'!H91</f>
        <v>8.34</v>
      </c>
      <c r="G36" s="132">
        <f>'Billing Detail'!L91</f>
        <v>8.17</v>
      </c>
      <c r="I36" s="178"/>
      <c r="J36" s="6">
        <f t="shared" si="0"/>
        <v>-2.0383693045563533E-2</v>
      </c>
    </row>
    <row r="37" spans="3:10" x14ac:dyDescent="0.25">
      <c r="C37" s="154" t="str">
        <f>'Billing Detail'!C101</f>
        <v>B-1</v>
      </c>
      <c r="D37" s="155" t="str">
        <f>'Billing Detail'!B101</f>
        <v>Large Industrial (1,000 - 3,999 kW)</v>
      </c>
      <c r="F37" s="132"/>
      <c r="G37" s="132"/>
      <c r="J37" s="6"/>
    </row>
    <row r="38" spans="3:10" x14ac:dyDescent="0.25">
      <c r="C38" s="154"/>
      <c r="D38" s="155"/>
      <c r="E38" s="124" t="str">
        <f>'Billing Detail'!D102</f>
        <v>Customer Charge</v>
      </c>
      <c r="F38" s="132">
        <f>'Billing Detail'!H102</f>
        <v>1111.43</v>
      </c>
      <c r="G38" s="132">
        <f>'Billing Detail'!L102</f>
        <v>1159.6305085047495</v>
      </c>
      <c r="J38" s="6">
        <f t="shared" si="0"/>
        <v>4.3368011035107346E-2</v>
      </c>
    </row>
    <row r="39" spans="3:10" x14ac:dyDescent="0.25">
      <c r="C39" s="154"/>
      <c r="D39" s="155"/>
      <c r="E39" s="124" t="str">
        <f>'Billing Detail'!D103</f>
        <v>Energy Charge per kWh</v>
      </c>
      <c r="F39" s="133">
        <f>'Billing Detail'!H103</f>
        <v>4.6399999999999997E-2</v>
      </c>
      <c r="G39" s="133">
        <f>'Billing Detail'!L103</f>
        <v>4.8412275712028975E-2</v>
      </c>
      <c r="J39" s="6">
        <f t="shared" si="0"/>
        <v>4.3368011035107346E-2</v>
      </c>
    </row>
    <row r="40" spans="3:10" x14ac:dyDescent="0.25">
      <c r="C40" s="154"/>
      <c r="D40" s="155"/>
      <c r="E40" s="124" t="str">
        <f>'Billing Detail'!D104</f>
        <v>Demand Charge Contract per kW</v>
      </c>
      <c r="F40" s="132">
        <f>'Billing Detail'!H104</f>
        <v>7.17</v>
      </c>
      <c r="G40" s="132">
        <f>'Billing Detail'!L104</f>
        <v>7.17</v>
      </c>
      <c r="I40" s="178"/>
      <c r="J40" s="6">
        <f t="shared" si="0"/>
        <v>0</v>
      </c>
    </row>
    <row r="41" spans="3:10" x14ac:dyDescent="0.25">
      <c r="C41" s="154"/>
      <c r="D41" s="155"/>
      <c r="E41" s="124" t="str">
        <f>'Billing Detail'!D105</f>
        <v>Demand Charge Excess per kW</v>
      </c>
      <c r="F41" s="132">
        <f>'Billing Detail'!H105</f>
        <v>9.98</v>
      </c>
      <c r="G41" s="132">
        <f>'Billing Detail'!L105</f>
        <v>10.41</v>
      </c>
      <c r="J41" s="6">
        <f t="shared" si="0"/>
        <v>4.3086172344689366E-2</v>
      </c>
    </row>
    <row r="42" spans="3:10" x14ac:dyDescent="0.25">
      <c r="C42" s="154" t="str">
        <f>'Billing Detail'!C115</f>
        <v>B-2</v>
      </c>
      <c r="D42" s="155" t="str">
        <f>'Billing Detail'!B115</f>
        <v>Large Industrial (over 4,000 kW)</v>
      </c>
      <c r="E42" s="124"/>
      <c r="F42" s="132"/>
      <c r="G42" s="132"/>
      <c r="J42" s="6"/>
    </row>
    <row r="43" spans="3:10" x14ac:dyDescent="0.25">
      <c r="C43" s="154"/>
      <c r="D43" s="155"/>
      <c r="E43" s="2" t="str">
        <f>'Billing Detail'!D116</f>
        <v>Customer Charge</v>
      </c>
      <c r="F43" s="132">
        <f>'Billing Detail'!H116</f>
        <v>2222.85</v>
      </c>
      <c r="G43" s="132">
        <f>'Billing Detail'!L116</f>
        <v>2164.2399999999998</v>
      </c>
      <c r="I43" s="178"/>
      <c r="J43" s="6">
        <f t="shared" si="0"/>
        <v>-2.636705130800554E-2</v>
      </c>
    </row>
    <row r="44" spans="3:10" x14ac:dyDescent="0.25">
      <c r="C44" s="154"/>
      <c r="D44" s="155"/>
      <c r="E44" s="2" t="str">
        <f>'Billing Detail'!D117</f>
        <v>Demand Charge Contract per kW</v>
      </c>
      <c r="F44" s="132">
        <f>'Billing Detail'!H117</f>
        <v>7.17</v>
      </c>
      <c r="G44" s="132">
        <f>'Billing Detail'!L117</f>
        <v>7.17</v>
      </c>
      <c r="I44" s="178"/>
      <c r="J44" s="6">
        <f t="shared" si="0"/>
        <v>0</v>
      </c>
    </row>
    <row r="45" spans="3:10" x14ac:dyDescent="0.25">
      <c r="C45" s="154"/>
      <c r="D45" s="155"/>
      <c r="E45" s="2" t="str">
        <f>'Billing Detail'!D118</f>
        <v>Demand Charge Excess per kW</v>
      </c>
      <c r="F45" s="132">
        <f>'Billing Detail'!H118</f>
        <v>9.98</v>
      </c>
      <c r="G45" s="132">
        <f>'Billing Detail'!L118</f>
        <v>10.41</v>
      </c>
      <c r="J45" s="6">
        <f t="shared" si="0"/>
        <v>4.3086172344689366E-2</v>
      </c>
    </row>
    <row r="46" spans="3:10" ht="13.8" customHeight="1" x14ac:dyDescent="0.25">
      <c r="C46" s="154"/>
      <c r="D46" s="155"/>
      <c r="E46" s="2" t="str">
        <f>'Billing Detail'!D120</f>
        <v>Energy Charge per kWh</v>
      </c>
      <c r="F46" s="133">
        <f>'Billing Detail'!H120</f>
        <v>4.0960000000000003E-2</v>
      </c>
      <c r="G46" s="133">
        <f>'Billing Detail'!L120</f>
        <v>4.3251999999999999E-2</v>
      </c>
      <c r="J46" s="6">
        <f>G46/F46-1</f>
        <v>5.5957031249999956E-2</v>
      </c>
    </row>
    <row r="47" spans="3:10" x14ac:dyDescent="0.25">
      <c r="C47" s="154"/>
      <c r="D47" s="155" t="s">
        <v>124</v>
      </c>
      <c r="F47" s="132"/>
      <c r="G47" s="132"/>
      <c r="J47" s="6"/>
    </row>
    <row r="48" spans="3:10" x14ac:dyDescent="0.25">
      <c r="C48" s="154"/>
      <c r="D48" s="155"/>
      <c r="E48" s="2" t="str">
        <f>'Billing Detail'!D119</f>
        <v>Interruptible Credit per kW</v>
      </c>
      <c r="F48" s="132">
        <f>'Billing Detail'!H119</f>
        <v>-5.6</v>
      </c>
      <c r="G48" s="132">
        <f>'Billing Detail'!L119</f>
        <v>-5.6</v>
      </c>
      <c r="J48" s="6">
        <f>G48/F48-1</f>
        <v>0</v>
      </c>
    </row>
    <row r="49" spans="3:10" x14ac:dyDescent="0.25">
      <c r="C49" s="154" t="str">
        <f>'Billing Detail'!C130</f>
        <v>L</v>
      </c>
      <c r="D49" s="155" t="str">
        <f>'Billing Detail'!B130</f>
        <v>Lighting</v>
      </c>
      <c r="F49" s="132"/>
      <c r="G49" s="132"/>
      <c r="J49" s="6"/>
    </row>
    <row r="50" spans="3:10" x14ac:dyDescent="0.25">
      <c r="C50" s="154"/>
      <c r="D50" s="155"/>
      <c r="E50" s="2" t="str">
        <f>'Billing Detail'!C131</f>
        <v>Open Bottom Light- 6000-9500 Lumens</v>
      </c>
      <c r="F50" s="132">
        <f>'Billing Detail'!H131</f>
        <v>11.49</v>
      </c>
      <c r="G50" s="132">
        <f>'Billing Detail'!L131</f>
        <v>11.94</v>
      </c>
      <c r="J50" s="6">
        <f t="shared" ref="J50:J51" si="2">G50/F50-1</f>
        <v>3.9164490861618662E-2</v>
      </c>
    </row>
    <row r="51" spans="3:10" x14ac:dyDescent="0.25">
      <c r="C51" s="154"/>
      <c r="D51" s="155"/>
      <c r="E51" s="2" t="str">
        <f>'Billing Detail'!C132</f>
        <v>Open Bottom Light- 25,000 Lumens</v>
      </c>
      <c r="F51" s="132">
        <f>'Billing Detail'!H132</f>
        <v>17.899999999999999</v>
      </c>
      <c r="G51" s="132">
        <f>'Billing Detail'!L132</f>
        <v>18.61</v>
      </c>
      <c r="J51" s="6">
        <f t="shared" si="2"/>
        <v>3.9664804469273784E-2</v>
      </c>
    </row>
    <row r="52" spans="3:10" x14ac:dyDescent="0.25">
      <c r="C52" s="154"/>
      <c r="D52" s="155"/>
      <c r="E52" s="2" t="str">
        <f>'Billing Detail'!C140</f>
        <v>Directional Flood Light</v>
      </c>
      <c r="F52" s="132">
        <f>'Billing Detail'!H140</f>
        <v>17.899999999999999</v>
      </c>
      <c r="G52" s="132">
        <f>'Billing Detail'!L140</f>
        <v>18.61</v>
      </c>
      <c r="J52" s="6">
        <f>G52/F52-1</f>
        <v>3.9664804469273784E-2</v>
      </c>
    </row>
    <row r="53" spans="3:10" x14ac:dyDescent="0.25">
      <c r="C53" s="154"/>
      <c r="D53" s="155"/>
      <c r="E53" s="2" t="str">
        <f>'Billing Detail'!C143</f>
        <v>Shoebox Fixture</v>
      </c>
      <c r="F53" s="132">
        <f>'Billing Detail'!H143</f>
        <v>20.16</v>
      </c>
      <c r="G53" s="132">
        <f>'Billing Detail'!L143</f>
        <v>20.96</v>
      </c>
      <c r="J53" s="6">
        <f>G53/F53-1</f>
        <v>3.9682539682539764E-2</v>
      </c>
    </row>
    <row r="54" spans="3:10" x14ac:dyDescent="0.25">
      <c r="C54" s="154"/>
      <c r="D54" s="155"/>
      <c r="E54" s="2" t="str">
        <f>'Billing Detail'!C144</f>
        <v>Acorn Fixture</v>
      </c>
      <c r="F54" s="132">
        <f>'Billing Detail'!H144</f>
        <v>19.57</v>
      </c>
      <c r="G54" s="132">
        <f>'Billing Detail'!L144</f>
        <v>20.34</v>
      </c>
      <c r="J54" s="6">
        <f>G54/F54-1</f>
        <v>3.9345937659683194E-2</v>
      </c>
    </row>
    <row r="55" spans="3:10" x14ac:dyDescent="0.25">
      <c r="C55" s="154"/>
      <c r="D55" s="155"/>
      <c r="E55" s="2" t="str">
        <f>'Billing Detail'!C145</f>
        <v>Colonial Fixture</v>
      </c>
      <c r="F55" s="132">
        <f>'Billing Detail'!H145</f>
        <v>16.53</v>
      </c>
      <c r="G55" s="132">
        <f>'Billing Detail'!L145</f>
        <v>17.18</v>
      </c>
      <c r="J55" s="6">
        <f>G55/F55-1</f>
        <v>3.9322444041137272E-2</v>
      </c>
    </row>
    <row r="56" spans="3:10" x14ac:dyDescent="0.25">
      <c r="C56" s="154"/>
      <c r="D56" s="155"/>
      <c r="E56" s="2" t="str">
        <f>'Billing Detail'!C146</f>
        <v>Cobra Head- 50,000 Lumens</v>
      </c>
      <c r="F56" s="132">
        <f>'Billing Detail'!H146</f>
        <v>24.98</v>
      </c>
      <c r="G56" s="132">
        <f>'Billing Detail'!L146</f>
        <v>25.97</v>
      </c>
      <c r="J56" s="6">
        <f>G56/F56-1</f>
        <v>3.9631705364291392E-2</v>
      </c>
    </row>
    <row r="57" spans="3:10" x14ac:dyDescent="0.25">
      <c r="C57" s="154"/>
      <c r="D57" s="155"/>
      <c r="E57" s="2" t="str">
        <f>'Billing Detail'!C134</f>
        <v>Ornamental Light 6000-9500 Lumens</v>
      </c>
      <c r="F57" s="132">
        <f>'Billing Detail'!H134</f>
        <v>11.34</v>
      </c>
      <c r="G57" s="132">
        <f>'Billing Detail'!L134</f>
        <v>11.79</v>
      </c>
      <c r="J57" s="6">
        <f t="shared" ref="J57" si="3">G57/F57-1</f>
        <v>3.9682539682539542E-2</v>
      </c>
    </row>
    <row r="58" spans="3:10" x14ac:dyDescent="0.25">
      <c r="C58" s="154"/>
      <c r="D58" s="155"/>
      <c r="E58" s="2" t="str">
        <f>'Billing Detail'!C136</f>
        <v>Ornamental light- approx 25000 Lumens</v>
      </c>
      <c r="F58" s="132">
        <f>'Billing Detail'!H136</f>
        <v>16.21</v>
      </c>
      <c r="G58" s="132">
        <f>'Billing Detail'!L136</f>
        <v>16.850000000000001</v>
      </c>
      <c r="J58" s="6">
        <f>G58/F58-1</f>
        <v>3.948180135718693E-2</v>
      </c>
    </row>
    <row r="59" spans="3:10" x14ac:dyDescent="0.25">
      <c r="C59" s="154"/>
      <c r="D59" s="155"/>
      <c r="E59" s="2" t="str">
        <f>'Billing Detail'!C139</f>
        <v>Colonial Fixture- 15ft Mounting height</v>
      </c>
      <c r="F59" s="132">
        <f>'Billing Detail'!H139</f>
        <v>10.06</v>
      </c>
      <c r="G59" s="132">
        <f>'Billing Detail'!L139</f>
        <v>10.46</v>
      </c>
      <c r="J59" s="6">
        <f>G59/F59-1</f>
        <v>3.9761431411530879E-2</v>
      </c>
    </row>
    <row r="60" spans="3:10" x14ac:dyDescent="0.25">
      <c r="C60" s="154"/>
      <c r="D60" s="155"/>
      <c r="E60" s="2" t="str">
        <f>'Billing Detail'!C138</f>
        <v>Cobra Head- 25000 Lumens</v>
      </c>
      <c r="F60" s="132">
        <f>'Billing Detail'!H138</f>
        <v>17.71</v>
      </c>
      <c r="G60" s="132">
        <f>'Billing Detail'!L138</f>
        <v>18.41</v>
      </c>
      <c r="J60" s="6">
        <f>G60/F60-1</f>
        <v>3.9525691699604737E-2</v>
      </c>
    </row>
    <row r="61" spans="3:10" x14ac:dyDescent="0.25">
      <c r="C61" s="154"/>
      <c r="D61" s="155"/>
      <c r="E61" s="2" t="str">
        <f>'Billing Detail'!C142</f>
        <v>Cobra Head Aluminum Pole</v>
      </c>
      <c r="F61" s="132">
        <f>'Billing Detail'!H142</f>
        <v>12.07</v>
      </c>
      <c r="G61" s="132">
        <f>'Billing Detail'!L142</f>
        <v>12.55</v>
      </c>
      <c r="J61" s="6">
        <f>G61/F61-1</f>
        <v>3.976801988401002E-2</v>
      </c>
    </row>
    <row r="62" spans="3:10" x14ac:dyDescent="0.25">
      <c r="C62" s="154" t="str">
        <f>'Billing Detail'!C158</f>
        <v>Special</v>
      </c>
      <c r="D62" s="155" t="str">
        <f>'Billing Detail'!B158</f>
        <v>Essity - EKPC Rate G</v>
      </c>
      <c r="F62" s="132"/>
      <c r="G62" s="132"/>
      <c r="J62" s="6"/>
    </row>
    <row r="63" spans="3:10" x14ac:dyDescent="0.25">
      <c r="C63" s="154"/>
      <c r="D63" s="155"/>
      <c r="E63" s="2" t="str">
        <f>'Billing Detail'!D159</f>
        <v>Customer Charge</v>
      </c>
      <c r="F63" s="132">
        <f>'Billing Detail'!H159</f>
        <v>5454</v>
      </c>
      <c r="G63" s="132">
        <f>'Billing Detail'!L159</f>
        <v>5726.7</v>
      </c>
      <c r="J63" s="6">
        <f t="shared" si="0"/>
        <v>5.0000000000000044E-2</v>
      </c>
    </row>
    <row r="64" spans="3:10" x14ac:dyDescent="0.25">
      <c r="C64" s="154"/>
      <c r="D64" s="155"/>
      <c r="E64" s="2" t="str">
        <f>'Billing Detail'!D160</f>
        <v>Demand Charge per kW</v>
      </c>
      <c r="F64" s="132">
        <f>'Billing Detail'!H160</f>
        <v>6.98</v>
      </c>
      <c r="G64" s="132">
        <f>'Billing Detail'!L160</f>
        <v>7.29</v>
      </c>
      <c r="J64" s="6">
        <f t="shared" ref="J64:J66" si="4">G64/F64-1</f>
        <v>4.4412607449856756E-2</v>
      </c>
    </row>
    <row r="65" spans="3:10" x14ac:dyDescent="0.25">
      <c r="C65" s="154"/>
      <c r="D65" s="155"/>
      <c r="E65" s="2" t="str">
        <f>'Billing Detail'!D161</f>
        <v>Interruptible Credit per kW</v>
      </c>
      <c r="F65" s="132">
        <f>'Billing Detail'!H161</f>
        <v>-5.6</v>
      </c>
      <c r="G65" s="132">
        <f>'Billing Detail'!L161</f>
        <v>-5.6</v>
      </c>
      <c r="J65" s="6">
        <f t="shared" si="4"/>
        <v>0</v>
      </c>
    </row>
    <row r="66" spans="3:10" x14ac:dyDescent="0.25">
      <c r="E66" s="2" t="str">
        <f>'Billing Detail'!D162</f>
        <v>Energy Charge per kWh</v>
      </c>
      <c r="F66" s="133">
        <f>'Billing Detail'!H162</f>
        <v>3.9449999999999999E-2</v>
      </c>
      <c r="G66" s="133">
        <f>'Billing Detail'!L162</f>
        <v>4.1619000000000003E-2</v>
      </c>
      <c r="J66" s="6">
        <f t="shared" si="4"/>
        <v>5.4980988593156033E-2</v>
      </c>
    </row>
    <row r="67" spans="3:10" x14ac:dyDescent="0.25">
      <c r="F67" s="124"/>
      <c r="G67" s="124"/>
    </row>
    <row r="69" spans="3:10" ht="43.2" customHeight="1" x14ac:dyDescent="0.25">
      <c r="C69" s="186" t="s">
        <v>105</v>
      </c>
      <c r="D69" s="186"/>
      <c r="E69" s="186"/>
      <c r="F69" s="186"/>
      <c r="G69" s="186"/>
    </row>
    <row r="70" spans="3:10" x14ac:dyDescent="0.25">
      <c r="C70" s="5"/>
      <c r="D70" s="2"/>
      <c r="F70" s="187" t="s">
        <v>106</v>
      </c>
      <c r="G70" s="187"/>
    </row>
    <row r="71" spans="3:10" x14ac:dyDescent="0.25">
      <c r="C71" s="137" t="s">
        <v>107</v>
      </c>
      <c r="D71" s="138"/>
      <c r="E71" s="139"/>
      <c r="F71" s="140" t="s">
        <v>108</v>
      </c>
      <c r="G71" s="140" t="s">
        <v>109</v>
      </c>
    </row>
    <row r="72" spans="3:10" x14ac:dyDescent="0.25">
      <c r="C72" s="141" t="str">
        <f>Summary!C10</f>
        <v>GS-1</v>
      </c>
      <c r="D72" s="2" t="str">
        <f>Summary!B10</f>
        <v>Residential , Farm &amp; Non-Farm</v>
      </c>
      <c r="F72" s="142">
        <f>Summary!L10</f>
        <v>3162048.5476859957</v>
      </c>
      <c r="G72" s="143">
        <f>Summary!N10</f>
        <v>3.6643787076428624E-2</v>
      </c>
    </row>
    <row r="73" spans="3:10" x14ac:dyDescent="0.25">
      <c r="C73" s="141" t="str">
        <f>Summary!C11</f>
        <v>GS-2</v>
      </c>
      <c r="D73" s="2" t="str">
        <f>Summary!B11</f>
        <v>Residential Off Peak ETS</v>
      </c>
      <c r="F73" s="142">
        <f>Summary!L11</f>
        <v>1089.8616899999979</v>
      </c>
      <c r="G73" s="143">
        <f>Summary!N11</f>
        <v>3.6548563511050132E-2</v>
      </c>
    </row>
    <row r="74" spans="3:10" x14ac:dyDescent="0.25">
      <c r="C74" s="141" t="str">
        <f>Summary!C12</f>
        <v>GS-3</v>
      </c>
      <c r="D74" s="2" t="str">
        <f>Summary!B12</f>
        <v>Residential Time of Day</v>
      </c>
      <c r="F74" s="142">
        <f>Summary!L12</f>
        <v>1558.5310229999959</v>
      </c>
      <c r="G74" s="143">
        <f>Summary!N12</f>
        <v>4.3658060011188625E-2</v>
      </c>
    </row>
    <row r="75" spans="3:10" x14ac:dyDescent="0.25">
      <c r="C75" s="141" t="str">
        <f>Summary!C13</f>
        <v>SC-1</v>
      </c>
      <c r="D75" s="2" t="str">
        <f>Summary!B13</f>
        <v>Small Commercial (0-100 kW)</v>
      </c>
      <c r="F75" s="142">
        <f>Summary!L13</f>
        <v>333057.98057900183</v>
      </c>
      <c r="G75" s="143">
        <f>Summary!N13</f>
        <v>3.4950375527264321E-2</v>
      </c>
    </row>
    <row r="76" spans="3:10" x14ac:dyDescent="0.25">
      <c r="C76" s="141" t="str">
        <f>Summary!C14</f>
        <v>SC-2</v>
      </c>
      <c r="D76" s="2" t="str">
        <f>Summary!B14</f>
        <v>General Service 0-100 KW Time of Day Rate</v>
      </c>
      <c r="F76" s="142">
        <f>Summary!L14</f>
        <v>3275.1499259999837</v>
      </c>
      <c r="G76" s="143">
        <f>Summary!N14</f>
        <v>2.0828623252265463E-2</v>
      </c>
    </row>
    <row r="77" spans="3:10" x14ac:dyDescent="0.25">
      <c r="C77" s="141" t="str">
        <f>Summary!C15</f>
        <v>LP-1</v>
      </c>
      <c r="D77" s="2" t="str">
        <f>Summary!B15</f>
        <v>Large Power (101 - 500 kW)</v>
      </c>
      <c r="F77" s="142">
        <f>Summary!L15</f>
        <v>130847.59167096904</v>
      </c>
      <c r="G77" s="143">
        <f>Summary!N15</f>
        <v>4.1983168421753161E-2</v>
      </c>
    </row>
    <row r="78" spans="3:10" x14ac:dyDescent="0.25">
      <c r="C78" s="141" t="str">
        <f>Summary!C16</f>
        <v>LP-2</v>
      </c>
      <c r="D78" s="2" t="str">
        <f>Summary!B16</f>
        <v>Large Power (over 500 kW)</v>
      </c>
      <c r="F78" s="142">
        <f>Summary!L16</f>
        <v>225603.87795199995</v>
      </c>
      <c r="G78" s="143">
        <f>Summary!N16</f>
        <v>3.8304145843445547E-2</v>
      </c>
    </row>
    <row r="79" spans="3:10" x14ac:dyDescent="0.25">
      <c r="C79" s="141" t="str">
        <f>Summary!C17</f>
        <v>B-1</v>
      </c>
      <c r="D79" s="2" t="str">
        <f>Summary!B17</f>
        <v>Large Industrial (1,000 - 3,999 kW)</v>
      </c>
      <c r="F79" s="142">
        <f>Summary!L17</f>
        <v>0</v>
      </c>
      <c r="G79" s="143">
        <f>Summary!N17</f>
        <v>0</v>
      </c>
    </row>
    <row r="80" spans="3:10" x14ac:dyDescent="0.25">
      <c r="C80" s="141" t="str">
        <f>Summary!C18</f>
        <v>B-2</v>
      </c>
      <c r="D80" s="2" t="str">
        <f>Summary!B18</f>
        <v>Large Industrial (over 4,000 kW)</v>
      </c>
      <c r="F80" s="142">
        <f>Summary!L18</f>
        <v>473651.96558799967</v>
      </c>
      <c r="G80" s="143">
        <f>Summary!N18</f>
        <v>4.0979082251204703E-2</v>
      </c>
    </row>
    <row r="81" spans="3:8" x14ac:dyDescent="0.25">
      <c r="C81" s="141" t="str">
        <f>Summary!C19</f>
        <v>L</v>
      </c>
      <c r="D81" s="2" t="str">
        <f>Summary!B19</f>
        <v>Lighting</v>
      </c>
      <c r="F81" s="142">
        <f>Summary!L19</f>
        <v>88524.310000000056</v>
      </c>
      <c r="G81" s="143">
        <f>Summary!N19</f>
        <v>3.9306418988725826E-2</v>
      </c>
    </row>
    <row r="82" spans="3:8" x14ac:dyDescent="0.25">
      <c r="C82" s="2" t="str">
        <f>Summary!C22</f>
        <v>Special</v>
      </c>
      <c r="D82" s="141" t="str">
        <f>Summary!B22</f>
        <v>Essity - EKPC Rate G</v>
      </c>
      <c r="F82" s="142">
        <f>Summary!L22</f>
        <v>293904.807128001</v>
      </c>
      <c r="G82" s="143">
        <f>Summary!N22</f>
        <v>5.4536342809229116E-2</v>
      </c>
    </row>
    <row r="83" spans="3:8" x14ac:dyDescent="0.25">
      <c r="C83" s="144" t="s">
        <v>110</v>
      </c>
      <c r="D83" s="145"/>
      <c r="E83" s="145"/>
      <c r="F83" s="146">
        <f>Summary!L33</f>
        <v>4713562.6232430041</v>
      </c>
      <c r="G83" s="147">
        <f>Summary!N33</f>
        <v>3.7936143296144691E-2</v>
      </c>
    </row>
    <row r="84" spans="3:8" x14ac:dyDescent="0.25">
      <c r="C84" s="5"/>
      <c r="D84" s="2"/>
    </row>
    <row r="85" spans="3:8" ht="41.4" customHeight="1" x14ac:dyDescent="0.25">
      <c r="C85" s="186" t="s">
        <v>111</v>
      </c>
      <c r="D85" s="186"/>
      <c r="E85" s="186"/>
      <c r="F85" s="186"/>
      <c r="G85" s="186"/>
      <c r="H85" s="186"/>
    </row>
    <row r="86" spans="3:8" x14ac:dyDescent="0.25">
      <c r="C86" s="5"/>
      <c r="D86" s="2"/>
      <c r="E86" s="148" t="s">
        <v>18</v>
      </c>
      <c r="F86" s="187" t="s">
        <v>106</v>
      </c>
      <c r="G86" s="187"/>
    </row>
    <row r="87" spans="3:8" x14ac:dyDescent="0.25">
      <c r="C87" s="137" t="s">
        <v>107</v>
      </c>
      <c r="D87" s="139"/>
      <c r="E87" s="149" t="s">
        <v>112</v>
      </c>
      <c r="F87" s="140" t="s">
        <v>108</v>
      </c>
      <c r="G87" s="140" t="s">
        <v>109</v>
      </c>
    </row>
    <row r="88" spans="3:8" x14ac:dyDescent="0.25">
      <c r="C88" s="2" t="str">
        <f>Summary!C10</f>
        <v>GS-1</v>
      </c>
      <c r="D88" s="5" t="str">
        <f>Summary!B10</f>
        <v>Residential , Farm &amp; Non-Farm</v>
      </c>
      <c r="E88" s="179">
        <f>'Billing Detail'!E17</f>
        <v>1243.5442255708717</v>
      </c>
      <c r="F88" s="151">
        <f>'Billing Detail'!N17</f>
        <v>4.7223652499081368</v>
      </c>
      <c r="G88" s="6">
        <f>Summary!N10</f>
        <v>3.6643787076428624E-2</v>
      </c>
    </row>
    <row r="89" spans="3:8" x14ac:dyDescent="0.25">
      <c r="C89" s="2" t="str">
        <f>Summary!C11</f>
        <v>GS-2</v>
      </c>
      <c r="D89" s="5" t="str">
        <f>Summary!B11</f>
        <v>Residential Off Peak ETS</v>
      </c>
      <c r="E89" s="179">
        <f>'Billing Detail'!E31</f>
        <v>75.249631811487475</v>
      </c>
      <c r="F89" s="151">
        <f>'Billing Detail'!N31</f>
        <v>0.80254910898379705</v>
      </c>
      <c r="G89" s="6">
        <f>Summary!N11</f>
        <v>3.6548563511050132E-2</v>
      </c>
    </row>
    <row r="90" spans="3:8" x14ac:dyDescent="0.25">
      <c r="C90" s="2" t="str">
        <f>Summary!C12</f>
        <v>GS-3</v>
      </c>
      <c r="D90" s="5" t="str">
        <f>Summary!B12</f>
        <v>Residential Time of Day</v>
      </c>
      <c r="E90" s="179">
        <f>'Billing Detail'!E44</f>
        <v>1161.031152647975</v>
      </c>
      <c r="F90" s="151">
        <f>'Billing Detail'!N44</f>
        <v>4.8552368317756986</v>
      </c>
      <c r="G90" s="6">
        <f>Summary!N12</f>
        <v>4.3658060011188625E-2</v>
      </c>
    </row>
    <row r="91" spans="3:8" x14ac:dyDescent="0.25">
      <c r="C91" s="2" t="str">
        <f>Summary!C13</f>
        <v>SC-1</v>
      </c>
      <c r="D91" s="5" t="str">
        <f>Summary!B13</f>
        <v>Small Commercial (0-100 kW)</v>
      </c>
      <c r="E91" s="179">
        <f>'Billing Detail'!E57</f>
        <v>2339.2337452015354</v>
      </c>
      <c r="F91" s="151">
        <f>'Billing Detail'!N57</f>
        <v>9.9885430835832949</v>
      </c>
      <c r="G91" s="6">
        <f>Summary!N13</f>
        <v>3.4950375527264321E-2</v>
      </c>
    </row>
    <row r="92" spans="3:8" x14ac:dyDescent="0.25">
      <c r="C92" s="2" t="str">
        <f>Summary!C14</f>
        <v>SC-2</v>
      </c>
      <c r="D92" s="5" t="str">
        <f>Summary!B14</f>
        <v>General Service 0-100 KW Time of Day Rate</v>
      </c>
      <c r="E92" s="179">
        <f>'Billing Detail'!E70</f>
        <v>2486.0786516853932</v>
      </c>
      <c r="F92" s="151">
        <f>'Billing Detail'!N70</f>
        <v>6.1332395617977227</v>
      </c>
      <c r="G92" s="6">
        <f>Summary!N14</f>
        <v>2.0828623252265463E-2</v>
      </c>
    </row>
    <row r="93" spans="3:8" x14ac:dyDescent="0.25">
      <c r="C93" s="2" t="str">
        <f>Summary!C15</f>
        <v>LP-1</v>
      </c>
      <c r="D93" s="5" t="str">
        <f>Summary!B15</f>
        <v>Large Power (101 - 500 kW)</v>
      </c>
      <c r="E93" s="179">
        <f>'Billing Detail'!E85</f>
        <v>52386.366713681244</v>
      </c>
      <c r="F93" s="151">
        <f>'Billing Detail'!N85</f>
        <v>184.55231547386302</v>
      </c>
      <c r="G93" s="6">
        <f>Summary!N15</f>
        <v>4.1983168421753161E-2</v>
      </c>
    </row>
    <row r="94" spans="3:8" x14ac:dyDescent="0.25">
      <c r="C94" s="2" t="str">
        <f>Summary!C16</f>
        <v>LP-2</v>
      </c>
      <c r="D94" s="5" t="str">
        <f>Summary!B16</f>
        <v>Large Power (over 500 kW)</v>
      </c>
      <c r="E94" s="179">
        <f>'Billing Detail'!E99</f>
        <v>285590.33333333331</v>
      </c>
      <c r="F94" s="151">
        <f>'Billing Detail'!N99</f>
        <v>783.34679844444327</v>
      </c>
      <c r="G94" s="6">
        <f>Summary!N16</f>
        <v>3.8304145843445547E-2</v>
      </c>
    </row>
    <row r="95" spans="3:8" x14ac:dyDescent="0.25">
      <c r="C95" s="2" t="str">
        <f>Summary!C17</f>
        <v>B-1</v>
      </c>
      <c r="D95" s="5" t="str">
        <f>Summary!B17</f>
        <v>Large Industrial (1,000 - 3,999 kW)</v>
      </c>
      <c r="E95" s="179">
        <f>'Billing Detail'!F113</f>
        <v>0</v>
      </c>
      <c r="F95" s="151">
        <f>'Billing Detail'!N113</f>
        <v>0</v>
      </c>
      <c r="G95" s="6">
        <f>Summary!N17</f>
        <v>0</v>
      </c>
    </row>
    <row r="96" spans="3:8" x14ac:dyDescent="0.25">
      <c r="C96" s="2" t="str">
        <f>Summary!C18</f>
        <v>B-2</v>
      </c>
      <c r="D96" s="5" t="str">
        <f>Summary!B18</f>
        <v>Large Industrial (over 4,000 kW)</v>
      </c>
      <c r="E96" s="179">
        <f>'Billing Detail'!E128</f>
        <v>3345414.8166666669</v>
      </c>
      <c r="F96" s="151">
        <f>'Billing Detail'!N128</f>
        <v>7894.1994264666573</v>
      </c>
      <c r="G96" s="6">
        <f>Summary!N18</f>
        <v>4.0979082251204703E-2</v>
      </c>
    </row>
    <row r="97" spans="3:7" x14ac:dyDescent="0.25">
      <c r="C97" s="2" t="str">
        <f>Summary!C19</f>
        <v>L</v>
      </c>
      <c r="D97" s="5" t="str">
        <f>Summary!B19</f>
        <v>Lighting</v>
      </c>
      <c r="E97" s="180" t="s">
        <v>113</v>
      </c>
      <c r="F97" s="153" t="s">
        <v>113</v>
      </c>
      <c r="G97" s="6">
        <f>Summary!N19</f>
        <v>3.9306418988725826E-2</v>
      </c>
    </row>
    <row r="98" spans="3:7" x14ac:dyDescent="0.25">
      <c r="C98" s="2" t="str">
        <f>Summary!C22</f>
        <v>Special</v>
      </c>
      <c r="D98" s="5" t="str">
        <f>Summary!B22</f>
        <v>Essity - EKPC Rate G</v>
      </c>
      <c r="E98" s="179">
        <f>'Billing Detail'!E170</f>
        <v>8950992.666666666</v>
      </c>
      <c r="F98" s="151">
        <f>'Billing Detail'!N170</f>
        <v>24492.06726066675</v>
      </c>
      <c r="G98" s="6">
        <f>Summary!N22</f>
        <v>5.4536342809229116E-2</v>
      </c>
    </row>
    <row r="99" spans="3:7" x14ac:dyDescent="0.25">
      <c r="D99" s="5"/>
      <c r="E99" s="150"/>
      <c r="F99" s="151"/>
      <c r="G99" s="6"/>
    </row>
    <row r="100" spans="3:7" x14ac:dyDescent="0.25">
      <c r="C100" s="5"/>
      <c r="D100" s="152"/>
      <c r="E100" s="150"/>
      <c r="F100" s="151"/>
      <c r="G100" s="6"/>
    </row>
    <row r="101" spans="3:7" x14ac:dyDescent="0.25">
      <c r="C101" s="5"/>
      <c r="D101" s="152"/>
      <c r="E101" s="150"/>
      <c r="F101" s="151"/>
      <c r="G101" s="6"/>
    </row>
  </sheetData>
  <mergeCells count="4">
    <mergeCell ref="C69:G69"/>
    <mergeCell ref="F70:G70"/>
    <mergeCell ref="C85:H85"/>
    <mergeCell ref="F86:G86"/>
  </mergeCells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F6FC0-27D6-439B-90CE-5F679CB56181}">
  <dimension ref="A1:B12"/>
  <sheetViews>
    <sheetView workbookViewId="0">
      <selection activeCell="G18" sqref="G18"/>
    </sheetView>
  </sheetViews>
  <sheetFormatPr defaultRowHeight="13.2" x14ac:dyDescent="0.25"/>
  <cols>
    <col min="1" max="1" width="8.88671875" style="30"/>
    <col min="2" max="16384" width="8.88671875" style="2"/>
  </cols>
  <sheetData>
    <row r="1" spans="1:2" x14ac:dyDescent="0.25">
      <c r="A1" s="188" t="s">
        <v>125</v>
      </c>
    </row>
    <row r="3" spans="1:2" x14ac:dyDescent="0.25">
      <c r="A3" s="30">
        <v>1</v>
      </c>
      <c r="B3" s="2" t="s">
        <v>126</v>
      </c>
    </row>
    <row r="4" spans="1:2" x14ac:dyDescent="0.25">
      <c r="B4" s="2" t="s">
        <v>133</v>
      </c>
    </row>
    <row r="6" spans="1:2" x14ac:dyDescent="0.25">
      <c r="A6" s="30">
        <v>2</v>
      </c>
      <c r="B6" s="2" t="s">
        <v>127</v>
      </c>
    </row>
    <row r="7" spans="1:2" x14ac:dyDescent="0.25">
      <c r="B7" s="2" t="s">
        <v>128</v>
      </c>
    </row>
    <row r="8" spans="1:2" x14ac:dyDescent="0.25">
      <c r="B8" s="2" t="s">
        <v>129</v>
      </c>
    </row>
    <row r="10" spans="1:2" x14ac:dyDescent="0.25">
      <c r="A10" s="30">
        <v>3</v>
      </c>
      <c r="B10" s="2" t="s">
        <v>130</v>
      </c>
    </row>
    <row r="11" spans="1:2" x14ac:dyDescent="0.25">
      <c r="B11" s="2" t="s">
        <v>128</v>
      </c>
    </row>
    <row r="12" spans="1:2" x14ac:dyDescent="0.25">
      <c r="B12" s="2" t="s">
        <v>129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Billing Detail</vt:lpstr>
      <vt:lpstr>Notice Table</vt:lpstr>
      <vt:lpstr>Notes</vt:lpstr>
      <vt:lpstr>'Billing Detail'!Print_Area</vt:lpstr>
      <vt:lpstr>'Notice Table'!Print_Area</vt:lpstr>
      <vt:lpstr>Summary!Print_Area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2021-03-09T01:57:06Z</cp:lastPrinted>
  <dcterms:created xsi:type="dcterms:W3CDTF">2021-02-09T02:13:44Z</dcterms:created>
  <dcterms:modified xsi:type="dcterms:W3CDTF">2021-05-24T13:00:56Z</dcterms:modified>
</cp:coreProperties>
</file>