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Blue Grass\Analysis\"/>
    </mc:Choice>
  </mc:AlternateContent>
  <xr:revisionPtr revIDLastSave="0" documentId="13_ncr:1_{7F9DA82F-C3B8-4750-ADDC-06D23AAFD474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Billing Detail" sheetId="1" r:id="rId1"/>
    <sheet name="Exhibit C-2" sheetId="5" r:id="rId2"/>
    <sheet name="Exhibit C1" sheetId="4" r:id="rId3"/>
    <sheet name="monthly" sheetId="6" r:id="rId4"/>
    <sheet name="ave bill" sheetId="7" r:id="rId5"/>
    <sheet name="power cost" sheetId="8" r:id="rId6"/>
    <sheet name="additional" sheetId="9" r:id="rId7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6">additional!$A$1:$L$51</definedName>
    <definedName name="_xlnm.Print_Area" localSheetId="4">'ave bill'!$A$1:$G$45</definedName>
    <definedName name="_xlnm.Print_Area" localSheetId="0">'Billing Detail'!$A$1:$F$51</definedName>
    <definedName name="_xlnm.Print_Area" localSheetId="2">'Exhibit C1'!$A$1:$K$34</definedName>
    <definedName name="_xlnm.Print_Area" localSheetId="1">'Exhibit C-2'!$A$1:$L$418</definedName>
    <definedName name="_xlnm.Print_Area" localSheetId="3">monthly!$A$5:$L$315</definedName>
    <definedName name="_xlnm.Print_Area" localSheetId="5">'power cost'!$A$1:$N$142</definedName>
    <definedName name="_xlnm.Print_Titles" localSheetId="0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9" l="1"/>
  <c r="I32" i="9"/>
  <c r="H32" i="9"/>
  <c r="F32" i="9"/>
  <c r="D32" i="9"/>
  <c r="L30" i="9"/>
  <c r="K30" i="9"/>
  <c r="F25" i="9"/>
  <c r="J23" i="9"/>
  <c r="J25" i="9" s="1"/>
  <c r="I23" i="9"/>
  <c r="I25" i="9" s="1"/>
  <c r="F23" i="9"/>
  <c r="D23" i="9"/>
  <c r="D25" i="9" s="1"/>
  <c r="L21" i="9"/>
  <c r="H21" i="9"/>
  <c r="G21" i="9"/>
  <c r="E21" i="9"/>
  <c r="C21" i="9"/>
  <c r="C25" i="9" s="1"/>
  <c r="L20" i="9"/>
  <c r="H20" i="9"/>
  <c r="G20" i="9"/>
  <c r="E20" i="9"/>
  <c r="C20" i="9"/>
  <c r="L19" i="9"/>
  <c r="H19" i="9"/>
  <c r="G19" i="9"/>
  <c r="E19" i="9"/>
  <c r="C19" i="9"/>
  <c r="L18" i="9"/>
  <c r="H18" i="9"/>
  <c r="H23" i="9" s="1"/>
  <c r="G18" i="9"/>
  <c r="E18" i="9"/>
  <c r="C18" i="9"/>
  <c r="L17" i="9"/>
  <c r="G17" i="9"/>
  <c r="E17" i="9"/>
  <c r="C17" i="9"/>
  <c r="L16" i="9"/>
  <c r="E16" i="9"/>
  <c r="C16" i="9"/>
  <c r="L15" i="9"/>
  <c r="G15" i="9"/>
  <c r="E15" i="9"/>
  <c r="C15" i="9"/>
  <c r="L14" i="9"/>
  <c r="G14" i="9"/>
  <c r="E14" i="9"/>
  <c r="C14" i="9"/>
  <c r="L13" i="9"/>
  <c r="G13" i="9"/>
  <c r="E13" i="9"/>
  <c r="C13" i="9"/>
  <c r="L12" i="9"/>
  <c r="G12" i="9"/>
  <c r="E12" i="9"/>
  <c r="C12" i="9"/>
  <c r="C23" i="9" s="1"/>
  <c r="L11" i="9"/>
  <c r="G11" i="9"/>
  <c r="E11" i="9"/>
  <c r="C11" i="9"/>
  <c r="L10" i="9"/>
  <c r="L32" i="9" s="1"/>
  <c r="L34" i="9" s="1"/>
  <c r="G10" i="9"/>
  <c r="G23" i="9" s="1"/>
  <c r="G25" i="9" s="1"/>
  <c r="E10" i="9"/>
  <c r="E23" i="9" s="1"/>
  <c r="E25" i="9" s="1"/>
  <c r="C10" i="9"/>
  <c r="C32" i="9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2" i="9"/>
  <c r="E138" i="8"/>
  <c r="D138" i="8"/>
  <c r="C138" i="8"/>
  <c r="B138" i="8"/>
  <c r="A116" i="8"/>
  <c r="J108" i="8"/>
  <c r="I108" i="8"/>
  <c r="A108" i="8"/>
  <c r="K104" i="8"/>
  <c r="K108" i="8" s="1"/>
  <c r="J104" i="8"/>
  <c r="I104" i="8"/>
  <c r="E104" i="8"/>
  <c r="B104" i="8"/>
  <c r="A104" i="8"/>
  <c r="F102" i="8"/>
  <c r="G102" i="8" s="1"/>
  <c r="E102" i="8"/>
  <c r="D102" i="8"/>
  <c r="C102" i="8"/>
  <c r="B102" i="8"/>
  <c r="F101" i="8"/>
  <c r="G101" i="8" s="1"/>
  <c r="E101" i="8"/>
  <c r="D101" i="8"/>
  <c r="C101" i="8"/>
  <c r="B101" i="8"/>
  <c r="F100" i="8"/>
  <c r="G100" i="8" s="1"/>
  <c r="E100" i="8"/>
  <c r="D100" i="8"/>
  <c r="C100" i="8"/>
  <c r="B100" i="8"/>
  <c r="F99" i="8"/>
  <c r="G99" i="8" s="1"/>
  <c r="E99" i="8"/>
  <c r="D99" i="8"/>
  <c r="C99" i="8"/>
  <c r="B99" i="8"/>
  <c r="F98" i="8"/>
  <c r="G98" i="8" s="1"/>
  <c r="E98" i="8"/>
  <c r="D98" i="8"/>
  <c r="C98" i="8"/>
  <c r="B98" i="8"/>
  <c r="F97" i="8"/>
  <c r="G97" i="8" s="1"/>
  <c r="E97" i="8"/>
  <c r="D97" i="8"/>
  <c r="C97" i="8"/>
  <c r="B97" i="8"/>
  <c r="F96" i="8"/>
  <c r="G96" i="8" s="1"/>
  <c r="E96" i="8"/>
  <c r="D96" i="8"/>
  <c r="C96" i="8"/>
  <c r="B96" i="8"/>
  <c r="F95" i="8"/>
  <c r="G95" i="8" s="1"/>
  <c r="E95" i="8"/>
  <c r="D95" i="8"/>
  <c r="C95" i="8"/>
  <c r="B95" i="8"/>
  <c r="F94" i="8"/>
  <c r="G94" i="8" s="1"/>
  <c r="E94" i="8"/>
  <c r="D94" i="8"/>
  <c r="C94" i="8"/>
  <c r="B94" i="8"/>
  <c r="F93" i="8"/>
  <c r="G93" i="8" s="1"/>
  <c r="E93" i="8"/>
  <c r="D93" i="8"/>
  <c r="C93" i="8"/>
  <c r="B93" i="8"/>
  <c r="F92" i="8"/>
  <c r="G92" i="8" s="1"/>
  <c r="E92" i="8"/>
  <c r="D92" i="8"/>
  <c r="C92" i="8"/>
  <c r="B92" i="8"/>
  <c r="F91" i="8"/>
  <c r="F104" i="8" s="1"/>
  <c r="E91" i="8"/>
  <c r="D91" i="8"/>
  <c r="D104" i="8" s="1"/>
  <c r="C91" i="8"/>
  <c r="C104" i="8" s="1"/>
  <c r="B91" i="8"/>
  <c r="L79" i="8"/>
  <c r="K79" i="8"/>
  <c r="C79" i="8"/>
  <c r="G75" i="8"/>
  <c r="G79" i="8" s="1"/>
  <c r="M73" i="8"/>
  <c r="L73" i="8"/>
  <c r="K73" i="8"/>
  <c r="J73" i="8"/>
  <c r="I73" i="8"/>
  <c r="N73" i="8" s="1"/>
  <c r="H73" i="8"/>
  <c r="F73" i="8"/>
  <c r="E73" i="8"/>
  <c r="D73" i="8"/>
  <c r="C73" i="8"/>
  <c r="B73" i="8"/>
  <c r="M72" i="8"/>
  <c r="N72" i="8" s="1"/>
  <c r="L72" i="8"/>
  <c r="K72" i="8"/>
  <c r="J72" i="8"/>
  <c r="I72" i="8"/>
  <c r="F72" i="8"/>
  <c r="E72" i="8"/>
  <c r="D72" i="8"/>
  <c r="C72" i="8"/>
  <c r="H72" i="8" s="1"/>
  <c r="B72" i="8"/>
  <c r="M71" i="8"/>
  <c r="L71" i="8"/>
  <c r="K71" i="8"/>
  <c r="J71" i="8"/>
  <c r="I71" i="8"/>
  <c r="N71" i="8" s="1"/>
  <c r="F71" i="8"/>
  <c r="E71" i="8"/>
  <c r="D71" i="8"/>
  <c r="C71" i="8"/>
  <c r="B71" i="8"/>
  <c r="H71" i="8" s="1"/>
  <c r="M70" i="8"/>
  <c r="L70" i="8"/>
  <c r="N70" i="8" s="1"/>
  <c r="K70" i="8"/>
  <c r="J70" i="8"/>
  <c r="I70" i="8"/>
  <c r="F70" i="8"/>
  <c r="H70" i="8" s="1"/>
  <c r="E70" i="8"/>
  <c r="D70" i="8"/>
  <c r="C70" i="8"/>
  <c r="B70" i="8"/>
  <c r="M69" i="8"/>
  <c r="L69" i="8"/>
  <c r="K69" i="8"/>
  <c r="J69" i="8"/>
  <c r="I69" i="8"/>
  <c r="N69" i="8" s="1"/>
  <c r="F69" i="8"/>
  <c r="E69" i="8"/>
  <c r="D69" i="8"/>
  <c r="C69" i="8"/>
  <c r="B69" i="8"/>
  <c r="H69" i="8" s="1"/>
  <c r="M68" i="8"/>
  <c r="L68" i="8"/>
  <c r="K68" i="8"/>
  <c r="J68" i="8"/>
  <c r="I68" i="8"/>
  <c r="N68" i="8" s="1"/>
  <c r="F68" i="8"/>
  <c r="E68" i="8"/>
  <c r="H68" i="8" s="1"/>
  <c r="H97" i="8" s="1"/>
  <c r="L97" i="8" s="1"/>
  <c r="AB68" i="8" s="1"/>
  <c r="D68" i="8"/>
  <c r="C68" i="8"/>
  <c r="B68" i="8"/>
  <c r="N67" i="8"/>
  <c r="M67" i="8"/>
  <c r="L67" i="8"/>
  <c r="K67" i="8"/>
  <c r="J67" i="8"/>
  <c r="I67" i="8"/>
  <c r="F67" i="8"/>
  <c r="E67" i="8"/>
  <c r="D67" i="8"/>
  <c r="C67" i="8"/>
  <c r="B67" i="8"/>
  <c r="H67" i="8" s="1"/>
  <c r="M66" i="8"/>
  <c r="L66" i="8"/>
  <c r="K66" i="8"/>
  <c r="J66" i="8"/>
  <c r="N66" i="8" s="1"/>
  <c r="I66" i="8"/>
  <c r="F66" i="8"/>
  <c r="E66" i="8"/>
  <c r="D66" i="8"/>
  <c r="C66" i="8"/>
  <c r="B66" i="8"/>
  <c r="H66" i="8" s="1"/>
  <c r="H95" i="8" s="1"/>
  <c r="L95" i="8" s="1"/>
  <c r="AB66" i="8" s="1"/>
  <c r="M65" i="8"/>
  <c r="L65" i="8"/>
  <c r="K65" i="8"/>
  <c r="J65" i="8"/>
  <c r="I65" i="8"/>
  <c r="N65" i="8" s="1"/>
  <c r="H65" i="8"/>
  <c r="F65" i="8"/>
  <c r="E65" i="8"/>
  <c r="D65" i="8"/>
  <c r="C65" i="8"/>
  <c r="B65" i="8"/>
  <c r="M64" i="8"/>
  <c r="N64" i="8" s="1"/>
  <c r="L64" i="8"/>
  <c r="K64" i="8"/>
  <c r="J64" i="8"/>
  <c r="I64" i="8"/>
  <c r="F64" i="8"/>
  <c r="E64" i="8"/>
  <c r="D64" i="8"/>
  <c r="C64" i="8"/>
  <c r="B64" i="8"/>
  <c r="H64" i="8" s="1"/>
  <c r="M63" i="8"/>
  <c r="L63" i="8"/>
  <c r="K63" i="8"/>
  <c r="J63" i="8"/>
  <c r="J75" i="8" s="1"/>
  <c r="I63" i="8"/>
  <c r="N63" i="8" s="1"/>
  <c r="F63" i="8"/>
  <c r="E63" i="8"/>
  <c r="D63" i="8"/>
  <c r="C63" i="8"/>
  <c r="B63" i="8"/>
  <c r="B75" i="8" s="1"/>
  <c r="M62" i="8"/>
  <c r="M75" i="8" s="1"/>
  <c r="L62" i="8"/>
  <c r="L75" i="8" s="1"/>
  <c r="K62" i="8"/>
  <c r="K75" i="8" s="1"/>
  <c r="J62" i="8"/>
  <c r="N62" i="8" s="1"/>
  <c r="I62" i="8"/>
  <c r="F62" i="8"/>
  <c r="F75" i="8" s="1"/>
  <c r="E62" i="8"/>
  <c r="E75" i="8" s="1"/>
  <c r="D62" i="8"/>
  <c r="D75" i="8" s="1"/>
  <c r="C62" i="8"/>
  <c r="C75" i="8" s="1"/>
  <c r="B62" i="8"/>
  <c r="E50" i="8"/>
  <c r="F108" i="8" s="1"/>
  <c r="D50" i="8"/>
  <c r="E108" i="8" s="1"/>
  <c r="C50" i="8"/>
  <c r="D108" i="8" s="1"/>
  <c r="B50" i="8"/>
  <c r="C108" i="8" s="1"/>
  <c r="A50" i="8"/>
  <c r="B108" i="8" s="1"/>
  <c r="H33" i="8"/>
  <c r="K24" i="8"/>
  <c r="M79" i="8" s="1"/>
  <c r="J24" i="8"/>
  <c r="I24" i="8"/>
  <c r="H24" i="8"/>
  <c r="I79" i="8" s="1"/>
  <c r="G24" i="8"/>
  <c r="J79" i="8" s="1"/>
  <c r="F24" i="8"/>
  <c r="F79" i="8" s="1"/>
  <c r="E24" i="8"/>
  <c r="D79" i="8" s="1"/>
  <c r="D24" i="8"/>
  <c r="E79" i="8" s="1"/>
  <c r="C24" i="8"/>
  <c r="B24" i="8"/>
  <c r="B79" i="8" s="1"/>
  <c r="L22" i="8"/>
  <c r="L21" i="8"/>
  <c r="L20" i="8"/>
  <c r="L19" i="8"/>
  <c r="L18" i="8"/>
  <c r="L17" i="8"/>
  <c r="L16" i="8"/>
  <c r="L15" i="8"/>
  <c r="L14" i="8"/>
  <c r="L13" i="8"/>
  <c r="L12" i="8"/>
  <c r="L24" i="8" s="1"/>
  <c r="E49" i="9" s="1"/>
  <c r="L11" i="8"/>
  <c r="C20" i="7"/>
  <c r="C21" i="7" s="1"/>
  <c r="E19" i="7"/>
  <c r="F19" i="7" s="1"/>
  <c r="G19" i="7" s="1"/>
  <c r="D19" i="7"/>
  <c r="C19" i="7"/>
  <c r="E17" i="7"/>
  <c r="E16" i="7"/>
  <c r="F16" i="7" s="1"/>
  <c r="G16" i="7" s="1"/>
  <c r="D16" i="7"/>
  <c r="E11" i="7"/>
  <c r="E18" i="7" s="1"/>
  <c r="D11" i="7"/>
  <c r="D17" i="7" s="1"/>
  <c r="E10" i="7"/>
  <c r="D10" i="7"/>
  <c r="A2" i="7"/>
  <c r="A3" i="7" s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L300" i="6"/>
  <c r="K300" i="6"/>
  <c r="J300" i="6"/>
  <c r="I300" i="6"/>
  <c r="H300" i="6"/>
  <c r="G300" i="6"/>
  <c r="F300" i="6"/>
  <c r="E300" i="6"/>
  <c r="D300" i="6"/>
  <c r="C300" i="6"/>
  <c r="L299" i="6"/>
  <c r="J299" i="6"/>
  <c r="I299" i="6"/>
  <c r="H299" i="6"/>
  <c r="G299" i="6"/>
  <c r="F299" i="6"/>
  <c r="E299" i="6"/>
  <c r="D299" i="6"/>
  <c r="C299" i="6"/>
  <c r="L298" i="6"/>
  <c r="K298" i="6"/>
  <c r="N298" i="6" s="1"/>
  <c r="J298" i="6"/>
  <c r="I298" i="6"/>
  <c r="H298" i="6"/>
  <c r="G298" i="6"/>
  <c r="F298" i="6"/>
  <c r="P298" i="6" s="1"/>
  <c r="Q298" i="6" s="1"/>
  <c r="E298" i="6"/>
  <c r="D298" i="6"/>
  <c r="C298" i="6"/>
  <c r="L297" i="6"/>
  <c r="K297" i="6"/>
  <c r="N297" i="6" s="1"/>
  <c r="J297" i="6"/>
  <c r="I297" i="6"/>
  <c r="H297" i="6"/>
  <c r="G297" i="6"/>
  <c r="F297" i="6"/>
  <c r="P297" i="6" s="1"/>
  <c r="Q297" i="6" s="1"/>
  <c r="E297" i="6"/>
  <c r="D297" i="6"/>
  <c r="C297" i="6"/>
  <c r="N296" i="6"/>
  <c r="L296" i="6"/>
  <c r="K296" i="6"/>
  <c r="J296" i="6"/>
  <c r="I296" i="6"/>
  <c r="H296" i="6"/>
  <c r="G296" i="6"/>
  <c r="F296" i="6"/>
  <c r="P296" i="6" s="1"/>
  <c r="Q296" i="6" s="1"/>
  <c r="E296" i="6"/>
  <c r="D296" i="6"/>
  <c r="C296" i="6"/>
  <c r="L295" i="6"/>
  <c r="K295" i="6"/>
  <c r="N295" i="6" s="1"/>
  <c r="J295" i="6"/>
  <c r="I295" i="6"/>
  <c r="H295" i="6"/>
  <c r="G295" i="6"/>
  <c r="F295" i="6"/>
  <c r="P295" i="6" s="1"/>
  <c r="Q295" i="6" s="1"/>
  <c r="E295" i="6"/>
  <c r="D295" i="6"/>
  <c r="C295" i="6"/>
  <c r="L294" i="6"/>
  <c r="J294" i="6"/>
  <c r="I294" i="6"/>
  <c r="H294" i="6"/>
  <c r="G294" i="6"/>
  <c r="F294" i="6"/>
  <c r="E294" i="6"/>
  <c r="D294" i="6"/>
  <c r="C294" i="6"/>
  <c r="L293" i="6"/>
  <c r="K293" i="6"/>
  <c r="N293" i="6" s="1"/>
  <c r="J293" i="6"/>
  <c r="I293" i="6"/>
  <c r="H293" i="6"/>
  <c r="G293" i="6"/>
  <c r="F293" i="6"/>
  <c r="E293" i="6"/>
  <c r="D293" i="6"/>
  <c r="C293" i="6"/>
  <c r="L292" i="6"/>
  <c r="K292" i="6"/>
  <c r="N292" i="6" s="1"/>
  <c r="J292" i="6"/>
  <c r="I292" i="6"/>
  <c r="H292" i="6"/>
  <c r="G292" i="6"/>
  <c r="F292" i="6"/>
  <c r="E292" i="6"/>
  <c r="D292" i="6"/>
  <c r="C292" i="6"/>
  <c r="L291" i="6"/>
  <c r="K291" i="6"/>
  <c r="N291" i="6" s="1"/>
  <c r="J291" i="6"/>
  <c r="I291" i="6"/>
  <c r="H291" i="6"/>
  <c r="G291" i="6"/>
  <c r="F291" i="6"/>
  <c r="E291" i="6"/>
  <c r="D291" i="6"/>
  <c r="C291" i="6"/>
  <c r="L290" i="6"/>
  <c r="K290" i="6"/>
  <c r="N290" i="6" s="1"/>
  <c r="J290" i="6"/>
  <c r="I290" i="6"/>
  <c r="H290" i="6"/>
  <c r="G290" i="6"/>
  <c r="F290" i="6"/>
  <c r="E290" i="6"/>
  <c r="D290" i="6"/>
  <c r="C290" i="6"/>
  <c r="L289" i="6"/>
  <c r="K289" i="6"/>
  <c r="N289" i="6" s="1"/>
  <c r="J289" i="6"/>
  <c r="I289" i="6"/>
  <c r="H289" i="6"/>
  <c r="G289" i="6"/>
  <c r="F289" i="6"/>
  <c r="E289" i="6"/>
  <c r="D289" i="6"/>
  <c r="C289" i="6"/>
  <c r="L288" i="6"/>
  <c r="K288" i="6"/>
  <c r="J288" i="6"/>
  <c r="I288" i="6"/>
  <c r="H288" i="6"/>
  <c r="G288" i="6"/>
  <c r="F288" i="6"/>
  <c r="E288" i="6"/>
  <c r="D288" i="6"/>
  <c r="C288" i="6"/>
  <c r="L287" i="6"/>
  <c r="K287" i="6"/>
  <c r="J287" i="6"/>
  <c r="I287" i="6"/>
  <c r="H287" i="6"/>
  <c r="G287" i="6"/>
  <c r="F287" i="6"/>
  <c r="E287" i="6"/>
  <c r="D287" i="6"/>
  <c r="C287" i="6"/>
  <c r="L286" i="6"/>
  <c r="K286" i="6"/>
  <c r="N286" i="6" s="1"/>
  <c r="J286" i="6"/>
  <c r="I286" i="6"/>
  <c r="H286" i="6"/>
  <c r="G286" i="6"/>
  <c r="F286" i="6"/>
  <c r="E286" i="6"/>
  <c r="D286" i="6"/>
  <c r="C286" i="6"/>
  <c r="L285" i="6"/>
  <c r="K285" i="6"/>
  <c r="J285" i="6"/>
  <c r="I285" i="6"/>
  <c r="H285" i="6"/>
  <c r="G285" i="6"/>
  <c r="F285" i="6"/>
  <c r="E285" i="6"/>
  <c r="D285" i="6"/>
  <c r="C285" i="6"/>
  <c r="L284" i="6"/>
  <c r="K284" i="6"/>
  <c r="J284" i="6"/>
  <c r="I284" i="6"/>
  <c r="H284" i="6"/>
  <c r="G284" i="6"/>
  <c r="F284" i="6"/>
  <c r="E284" i="6"/>
  <c r="D284" i="6"/>
  <c r="C284" i="6"/>
  <c r="L283" i="6"/>
  <c r="K283" i="6"/>
  <c r="J283" i="6"/>
  <c r="I283" i="6"/>
  <c r="H283" i="6"/>
  <c r="G283" i="6"/>
  <c r="F283" i="6"/>
  <c r="E283" i="6"/>
  <c r="D283" i="6"/>
  <c r="C283" i="6"/>
  <c r="L282" i="6"/>
  <c r="K282" i="6"/>
  <c r="J282" i="6"/>
  <c r="I282" i="6"/>
  <c r="H282" i="6"/>
  <c r="G282" i="6"/>
  <c r="F282" i="6"/>
  <c r="E282" i="6"/>
  <c r="D282" i="6"/>
  <c r="C282" i="6"/>
  <c r="L281" i="6"/>
  <c r="L301" i="6" s="1"/>
  <c r="D307" i="6" s="1"/>
  <c r="K281" i="6"/>
  <c r="J281" i="6"/>
  <c r="J301" i="6" s="1"/>
  <c r="I281" i="6"/>
  <c r="I301" i="6" s="1"/>
  <c r="H281" i="6"/>
  <c r="H301" i="6" s="1"/>
  <c r="G281" i="6"/>
  <c r="G301" i="6" s="1"/>
  <c r="F281" i="6"/>
  <c r="F301" i="6" s="1"/>
  <c r="E281" i="6"/>
  <c r="E301" i="6" s="1"/>
  <c r="D281" i="6"/>
  <c r="D301" i="6" s="1"/>
  <c r="H303" i="6" s="1"/>
  <c r="C281" i="6"/>
  <c r="C301" i="6" s="1"/>
  <c r="K278" i="6"/>
  <c r="J278" i="6"/>
  <c r="I278" i="6"/>
  <c r="H278" i="6"/>
  <c r="G278" i="6"/>
  <c r="F278" i="6"/>
  <c r="E278" i="6"/>
  <c r="D278" i="6"/>
  <c r="C278" i="6"/>
  <c r="M276" i="6"/>
  <c r="M275" i="6"/>
  <c r="M274" i="6"/>
  <c r="M273" i="6"/>
  <c r="M272" i="6"/>
  <c r="M271" i="6"/>
  <c r="R261" i="6"/>
  <c r="R260" i="6"/>
  <c r="Q260" i="6"/>
  <c r="P260" i="6"/>
  <c r="R259" i="6"/>
  <c r="Q259" i="6"/>
  <c r="P259" i="6"/>
  <c r="R258" i="6"/>
  <c r="Q258" i="6"/>
  <c r="P258" i="6"/>
  <c r="R257" i="6"/>
  <c r="Q257" i="6"/>
  <c r="P257" i="6"/>
  <c r="R256" i="6"/>
  <c r="Q256" i="6"/>
  <c r="P256" i="6"/>
  <c r="R255" i="6"/>
  <c r="Q255" i="6"/>
  <c r="P255" i="6"/>
  <c r="K255" i="6"/>
  <c r="J255" i="6"/>
  <c r="I255" i="6"/>
  <c r="H255" i="6"/>
  <c r="G255" i="6"/>
  <c r="F255" i="6"/>
  <c r="E255" i="6"/>
  <c r="D255" i="6"/>
  <c r="C255" i="6"/>
  <c r="R254" i="6"/>
  <c r="Q254" i="6"/>
  <c r="P254" i="6"/>
  <c r="J306" i="5" s="1"/>
  <c r="R253" i="6"/>
  <c r="Q253" i="6"/>
  <c r="P253" i="6"/>
  <c r="M253" i="6"/>
  <c r="R252" i="6"/>
  <c r="Q252" i="6"/>
  <c r="P252" i="6"/>
  <c r="M252" i="6"/>
  <c r="R251" i="6"/>
  <c r="Q251" i="6"/>
  <c r="P251" i="6"/>
  <c r="M251" i="6"/>
  <c r="R250" i="6"/>
  <c r="Q250" i="6"/>
  <c r="P250" i="6"/>
  <c r="M250" i="6"/>
  <c r="R249" i="6"/>
  <c r="Q249" i="6"/>
  <c r="P249" i="6"/>
  <c r="M249" i="6"/>
  <c r="R248" i="6"/>
  <c r="Q248" i="6"/>
  <c r="P248" i="6"/>
  <c r="M248" i="6"/>
  <c r="R247" i="6"/>
  <c r="Q247" i="6"/>
  <c r="P247" i="6"/>
  <c r="R246" i="6"/>
  <c r="Q246" i="6"/>
  <c r="P246" i="6"/>
  <c r="R245" i="6"/>
  <c r="Q245" i="6"/>
  <c r="Q261" i="6" s="1"/>
  <c r="P245" i="6"/>
  <c r="P261" i="6" s="1"/>
  <c r="R241" i="6"/>
  <c r="Q241" i="6"/>
  <c r="P241" i="6"/>
  <c r="K21" i="9" s="1"/>
  <c r="K232" i="6"/>
  <c r="J232" i="6"/>
  <c r="I232" i="6"/>
  <c r="H232" i="6"/>
  <c r="G232" i="6"/>
  <c r="F232" i="6"/>
  <c r="E232" i="6"/>
  <c r="D232" i="6"/>
  <c r="C232" i="6"/>
  <c r="M230" i="6"/>
  <c r="M229" i="6"/>
  <c r="M228" i="6"/>
  <c r="M227" i="6"/>
  <c r="M226" i="6"/>
  <c r="M225" i="6"/>
  <c r="R221" i="6"/>
  <c r="Q221" i="6"/>
  <c r="P221" i="6"/>
  <c r="K20" i="9" s="1"/>
  <c r="L209" i="6"/>
  <c r="K209" i="6"/>
  <c r="J209" i="6"/>
  <c r="I209" i="6"/>
  <c r="H209" i="6"/>
  <c r="G209" i="6"/>
  <c r="F209" i="6"/>
  <c r="E209" i="6"/>
  <c r="D209" i="6"/>
  <c r="C209" i="6"/>
  <c r="M207" i="6"/>
  <c r="M206" i="6"/>
  <c r="M205" i="6"/>
  <c r="M204" i="6"/>
  <c r="M203" i="6"/>
  <c r="M202" i="6"/>
  <c r="R201" i="6"/>
  <c r="Q201" i="6"/>
  <c r="P201" i="6"/>
  <c r="K19" i="9" s="1"/>
  <c r="L186" i="6"/>
  <c r="K186" i="6"/>
  <c r="J186" i="6"/>
  <c r="I186" i="6"/>
  <c r="H186" i="6"/>
  <c r="G186" i="6"/>
  <c r="F186" i="6"/>
  <c r="E186" i="6"/>
  <c r="D186" i="6"/>
  <c r="C186" i="6"/>
  <c r="M184" i="6"/>
  <c r="M183" i="6"/>
  <c r="M182" i="6"/>
  <c r="R181" i="6"/>
  <c r="Q181" i="6"/>
  <c r="P181" i="6"/>
  <c r="K18" i="9" s="1"/>
  <c r="M181" i="6"/>
  <c r="M180" i="6"/>
  <c r="M179" i="6"/>
  <c r="K163" i="6"/>
  <c r="J163" i="6"/>
  <c r="I163" i="6"/>
  <c r="H163" i="6"/>
  <c r="G163" i="6"/>
  <c r="F163" i="6"/>
  <c r="E163" i="6"/>
  <c r="D163" i="6"/>
  <c r="C163" i="6"/>
  <c r="R161" i="6"/>
  <c r="Q161" i="6"/>
  <c r="P161" i="6"/>
  <c r="K17" i="9" s="1"/>
  <c r="M161" i="6"/>
  <c r="M160" i="6"/>
  <c r="M159" i="6"/>
  <c r="M158" i="6"/>
  <c r="M157" i="6"/>
  <c r="M156" i="6"/>
  <c r="R141" i="6"/>
  <c r="Q141" i="6"/>
  <c r="P141" i="6"/>
  <c r="K16" i="9" s="1"/>
  <c r="K140" i="6"/>
  <c r="J140" i="6"/>
  <c r="I140" i="6"/>
  <c r="H140" i="6"/>
  <c r="G140" i="6"/>
  <c r="F140" i="6"/>
  <c r="E140" i="6"/>
  <c r="D140" i="6"/>
  <c r="C140" i="6"/>
  <c r="M138" i="6"/>
  <c r="M133" i="6"/>
  <c r="R121" i="6"/>
  <c r="Q121" i="6"/>
  <c r="P121" i="6"/>
  <c r="K15" i="9" s="1"/>
  <c r="K117" i="6"/>
  <c r="J117" i="6"/>
  <c r="I117" i="6"/>
  <c r="H117" i="6"/>
  <c r="G117" i="6"/>
  <c r="F117" i="6"/>
  <c r="E117" i="6"/>
  <c r="D117" i="6"/>
  <c r="C117" i="6"/>
  <c r="M115" i="6"/>
  <c r="M110" i="6"/>
  <c r="R101" i="6"/>
  <c r="Q101" i="6"/>
  <c r="P101" i="6"/>
  <c r="K14" i="9" s="1"/>
  <c r="K94" i="6"/>
  <c r="J94" i="6"/>
  <c r="I94" i="6"/>
  <c r="H94" i="6"/>
  <c r="G94" i="6"/>
  <c r="F94" i="6"/>
  <c r="E94" i="6"/>
  <c r="D94" i="6"/>
  <c r="C94" i="6"/>
  <c r="M92" i="6"/>
  <c r="M87" i="6"/>
  <c r="R81" i="6"/>
  <c r="Q81" i="6"/>
  <c r="P81" i="6"/>
  <c r="K13" i="9" s="1"/>
  <c r="K71" i="6"/>
  <c r="J71" i="6"/>
  <c r="I71" i="6"/>
  <c r="H71" i="6"/>
  <c r="G71" i="6"/>
  <c r="F71" i="6"/>
  <c r="E71" i="6"/>
  <c r="D71" i="6"/>
  <c r="C71" i="6"/>
  <c r="M69" i="6"/>
  <c r="M64" i="6"/>
  <c r="R61" i="6"/>
  <c r="Q61" i="6"/>
  <c r="P61" i="6"/>
  <c r="K12" i="9" s="1"/>
  <c r="K48" i="6"/>
  <c r="J48" i="6"/>
  <c r="I48" i="6"/>
  <c r="H48" i="6"/>
  <c r="G48" i="6"/>
  <c r="F48" i="6"/>
  <c r="E48" i="6"/>
  <c r="D48" i="6"/>
  <c r="C48" i="6"/>
  <c r="M46" i="6"/>
  <c r="R41" i="6"/>
  <c r="Q41" i="6"/>
  <c r="P41" i="6"/>
  <c r="K11" i="9" s="1"/>
  <c r="M41" i="6"/>
  <c r="K25" i="6"/>
  <c r="J25" i="6"/>
  <c r="I25" i="6"/>
  <c r="H25" i="6"/>
  <c r="G25" i="6"/>
  <c r="F25" i="6"/>
  <c r="E25" i="6"/>
  <c r="D25" i="6"/>
  <c r="C25" i="6"/>
  <c r="M23" i="6"/>
  <c r="K23" i="6"/>
  <c r="K299" i="6" s="1"/>
  <c r="N299" i="6" s="1"/>
  <c r="R21" i="6"/>
  <c r="Q21" i="6"/>
  <c r="P21" i="6"/>
  <c r="K10" i="9" s="1"/>
  <c r="M19" i="6"/>
  <c r="K18" i="6"/>
  <c r="D396" i="5"/>
  <c r="A391" i="5"/>
  <c r="A390" i="5"/>
  <c r="A389" i="5"/>
  <c r="A388" i="5"/>
  <c r="E377" i="5"/>
  <c r="C377" i="5"/>
  <c r="C382" i="5" s="1"/>
  <c r="G375" i="5"/>
  <c r="B373" i="5"/>
  <c r="G371" i="5"/>
  <c r="G377" i="5" s="1"/>
  <c r="G384" i="5" s="1"/>
  <c r="G385" i="5" s="1"/>
  <c r="E371" i="5"/>
  <c r="C371" i="5"/>
  <c r="D368" i="5"/>
  <c r="A363" i="5"/>
  <c r="A362" i="5"/>
  <c r="A361" i="5"/>
  <c r="A360" i="5"/>
  <c r="C352" i="5"/>
  <c r="C351" i="5"/>
  <c r="G345" i="5"/>
  <c r="G344" i="5"/>
  <c r="G343" i="5"/>
  <c r="G342" i="5"/>
  <c r="G341" i="5"/>
  <c r="G339" i="5"/>
  <c r="G338" i="5"/>
  <c r="G337" i="5"/>
  <c r="G336" i="5"/>
  <c r="G335" i="5"/>
  <c r="G334" i="5"/>
  <c r="A327" i="5"/>
  <c r="G322" i="5"/>
  <c r="N319" i="5"/>
  <c r="J319" i="5"/>
  <c r="E319" i="5"/>
  <c r="B319" i="5"/>
  <c r="C319" i="5" s="1"/>
  <c r="O319" i="5" s="1"/>
  <c r="N318" i="5"/>
  <c r="J318" i="5"/>
  <c r="B318" i="5"/>
  <c r="N317" i="5"/>
  <c r="J317" i="5"/>
  <c r="E317" i="5"/>
  <c r="C317" i="5"/>
  <c r="B317" i="5"/>
  <c r="N316" i="5"/>
  <c r="O316" i="5" s="1"/>
  <c r="J316" i="5"/>
  <c r="B316" i="5"/>
  <c r="C316" i="5" s="1"/>
  <c r="N315" i="5"/>
  <c r="J315" i="5"/>
  <c r="E315" i="5"/>
  <c r="B315" i="5"/>
  <c r="C315" i="5" s="1"/>
  <c r="O315" i="5" s="1"/>
  <c r="N314" i="5"/>
  <c r="J314" i="5"/>
  <c r="B314" i="5"/>
  <c r="N313" i="5"/>
  <c r="J313" i="5"/>
  <c r="E313" i="5"/>
  <c r="C313" i="5"/>
  <c r="B313" i="5"/>
  <c r="N312" i="5"/>
  <c r="J312" i="5"/>
  <c r="B312" i="5"/>
  <c r="N311" i="5"/>
  <c r="J311" i="5"/>
  <c r="E311" i="5"/>
  <c r="B311" i="5"/>
  <c r="C311" i="5" s="1"/>
  <c r="O311" i="5" s="1"/>
  <c r="N310" i="5"/>
  <c r="J310" i="5"/>
  <c r="B310" i="5"/>
  <c r="N309" i="5"/>
  <c r="J309" i="5"/>
  <c r="E309" i="5"/>
  <c r="C309" i="5"/>
  <c r="B309" i="5"/>
  <c r="N308" i="5"/>
  <c r="J308" i="5"/>
  <c r="B308" i="5"/>
  <c r="N307" i="5"/>
  <c r="J307" i="5"/>
  <c r="E307" i="5"/>
  <c r="B307" i="5"/>
  <c r="C307" i="5" s="1"/>
  <c r="O307" i="5" s="1"/>
  <c r="N306" i="5"/>
  <c r="B306" i="5"/>
  <c r="N305" i="5"/>
  <c r="J305" i="5"/>
  <c r="E305" i="5"/>
  <c r="C305" i="5"/>
  <c r="B305" i="5"/>
  <c r="N304" i="5"/>
  <c r="J304" i="5"/>
  <c r="E304" i="5"/>
  <c r="B304" i="5"/>
  <c r="D301" i="5"/>
  <c r="A296" i="5"/>
  <c r="A329" i="5" s="1"/>
  <c r="A295" i="5"/>
  <c r="A328" i="5" s="1"/>
  <c r="A293" i="5"/>
  <c r="A326" i="5" s="1"/>
  <c r="C281" i="5"/>
  <c r="C280" i="5"/>
  <c r="N278" i="5"/>
  <c r="D275" i="5"/>
  <c r="F275" i="5" s="1"/>
  <c r="F274" i="5"/>
  <c r="D274" i="5"/>
  <c r="F273" i="5"/>
  <c r="D273" i="5"/>
  <c r="D268" i="5"/>
  <c r="A260" i="5"/>
  <c r="D258" i="5"/>
  <c r="C258" i="5"/>
  <c r="D257" i="5"/>
  <c r="C257" i="5"/>
  <c r="D256" i="5"/>
  <c r="C256" i="5"/>
  <c r="D255" i="5"/>
  <c r="C251" i="5"/>
  <c r="C252" i="5" s="1"/>
  <c r="B251" i="5"/>
  <c r="C250" i="5"/>
  <c r="B249" i="5"/>
  <c r="C249" i="5" s="1"/>
  <c r="C247" i="5"/>
  <c r="C244" i="5"/>
  <c r="B244" i="5"/>
  <c r="J28" i="9" s="1"/>
  <c r="J34" i="9" s="1"/>
  <c r="N243" i="5"/>
  <c r="B242" i="5"/>
  <c r="C242" i="5" s="1"/>
  <c r="D238" i="5"/>
  <c r="A233" i="5"/>
  <c r="A232" i="5"/>
  <c r="A231" i="5"/>
  <c r="A230" i="5"/>
  <c r="C218" i="5"/>
  <c r="C217" i="5"/>
  <c r="N215" i="5"/>
  <c r="E212" i="5"/>
  <c r="G212" i="5" s="1"/>
  <c r="C212" i="5"/>
  <c r="F211" i="5"/>
  <c r="E211" i="5"/>
  <c r="B211" i="5"/>
  <c r="I28" i="9" s="1"/>
  <c r="I34" i="9" s="1"/>
  <c r="F210" i="5"/>
  <c r="B210" i="5"/>
  <c r="C210" i="5" s="1"/>
  <c r="G209" i="5"/>
  <c r="E209" i="5"/>
  <c r="B209" i="5"/>
  <c r="C209" i="5" s="1"/>
  <c r="F206" i="5"/>
  <c r="E206" i="5"/>
  <c r="B206" i="5"/>
  <c r="C206" i="5" s="1"/>
  <c r="D203" i="5"/>
  <c r="A198" i="5"/>
  <c r="A197" i="5"/>
  <c r="A196" i="5"/>
  <c r="A195" i="5"/>
  <c r="C183" i="5"/>
  <c r="C182" i="5"/>
  <c r="N180" i="5"/>
  <c r="G178" i="5"/>
  <c r="G177" i="5"/>
  <c r="E177" i="5"/>
  <c r="C177" i="5"/>
  <c r="F176" i="5"/>
  <c r="B176" i="5"/>
  <c r="H28" i="9" s="1"/>
  <c r="H34" i="9" s="1"/>
  <c r="N175" i="5"/>
  <c r="F175" i="5"/>
  <c r="B175" i="5"/>
  <c r="E175" i="5" s="1"/>
  <c r="F174" i="5"/>
  <c r="G174" i="5" s="1"/>
  <c r="E174" i="5"/>
  <c r="B174" i="5"/>
  <c r="C174" i="5" s="1"/>
  <c r="F173" i="5"/>
  <c r="B173" i="5"/>
  <c r="G173" i="5" s="1"/>
  <c r="D170" i="5"/>
  <c r="A165" i="5"/>
  <c r="A164" i="5"/>
  <c r="A163" i="5"/>
  <c r="A162" i="5"/>
  <c r="C150" i="5"/>
  <c r="C149" i="5"/>
  <c r="N147" i="5"/>
  <c r="G145" i="5"/>
  <c r="D143" i="5"/>
  <c r="F143" i="5" s="1"/>
  <c r="B143" i="5"/>
  <c r="C143" i="5" s="1"/>
  <c r="C144" i="5" s="1"/>
  <c r="F142" i="5"/>
  <c r="G142" i="5" s="1"/>
  <c r="C142" i="5"/>
  <c r="B142" i="5"/>
  <c r="E142" i="5" s="1"/>
  <c r="O141" i="5"/>
  <c r="N141" i="5"/>
  <c r="P141" i="5" s="1"/>
  <c r="G141" i="5"/>
  <c r="F141" i="5"/>
  <c r="E141" i="5"/>
  <c r="C141" i="5"/>
  <c r="G140" i="5"/>
  <c r="F140" i="5"/>
  <c r="E140" i="5"/>
  <c r="C140" i="5"/>
  <c r="C147" i="5" s="1"/>
  <c r="B140" i="5"/>
  <c r="D137" i="5"/>
  <c r="A132" i="5"/>
  <c r="A131" i="5"/>
  <c r="A130" i="5"/>
  <c r="A129" i="5"/>
  <c r="C116" i="5"/>
  <c r="C115" i="5"/>
  <c r="N113" i="5"/>
  <c r="F109" i="5"/>
  <c r="G109" i="5" s="1"/>
  <c r="E109" i="5"/>
  <c r="C109" i="5"/>
  <c r="F108" i="5"/>
  <c r="B108" i="5"/>
  <c r="C108" i="5" s="1"/>
  <c r="G106" i="5"/>
  <c r="C106" i="5"/>
  <c r="B106" i="5"/>
  <c r="E106" i="5" s="1"/>
  <c r="D103" i="5"/>
  <c r="A98" i="5"/>
  <c r="A97" i="5"/>
  <c r="A96" i="5"/>
  <c r="A95" i="5"/>
  <c r="C83" i="5"/>
  <c r="C82" i="5"/>
  <c r="N80" i="5"/>
  <c r="G77" i="5"/>
  <c r="E77" i="5"/>
  <c r="C77" i="5"/>
  <c r="B77" i="5"/>
  <c r="E28" i="9" s="1"/>
  <c r="N76" i="5"/>
  <c r="P76" i="5" s="1"/>
  <c r="F76" i="5"/>
  <c r="G76" i="5" s="1"/>
  <c r="E76" i="5"/>
  <c r="C76" i="5"/>
  <c r="C75" i="5"/>
  <c r="C80" i="5" s="1"/>
  <c r="B75" i="5"/>
  <c r="E75" i="5" s="1"/>
  <c r="E80" i="5" s="1"/>
  <c r="D72" i="5"/>
  <c r="A67" i="5"/>
  <c r="A66" i="5"/>
  <c r="A65" i="5"/>
  <c r="A64" i="5"/>
  <c r="C52" i="5"/>
  <c r="C51" i="5"/>
  <c r="I50" i="5"/>
  <c r="N49" i="5"/>
  <c r="H46" i="5"/>
  <c r="F46" i="5"/>
  <c r="I46" i="5" s="1"/>
  <c r="E46" i="5"/>
  <c r="C46" i="5"/>
  <c r="F45" i="5"/>
  <c r="B45" i="5"/>
  <c r="G45" i="5" s="1"/>
  <c r="C43" i="5"/>
  <c r="B43" i="5"/>
  <c r="E43" i="5" s="1"/>
  <c r="D40" i="5"/>
  <c r="A35" i="5"/>
  <c r="A34" i="5"/>
  <c r="A263" i="5" s="1"/>
  <c r="A33" i="5"/>
  <c r="A262" i="5" s="1"/>
  <c r="A32" i="5"/>
  <c r="A261" i="5" s="1"/>
  <c r="O20" i="5"/>
  <c r="C20" i="5"/>
  <c r="C403" i="5" s="1"/>
  <c r="C19" i="5"/>
  <c r="C402" i="5" s="1"/>
  <c r="I18" i="5"/>
  <c r="N17" i="5"/>
  <c r="B14" i="5"/>
  <c r="K14" i="5" s="1"/>
  <c r="J13" i="5"/>
  <c r="K13" i="5" s="1"/>
  <c r="H13" i="5"/>
  <c r="F13" i="5"/>
  <c r="D13" i="5"/>
  <c r="B13" i="5"/>
  <c r="E13" i="5" s="1"/>
  <c r="E12" i="5"/>
  <c r="C12" i="5"/>
  <c r="B12" i="5"/>
  <c r="K12" i="5" s="1"/>
  <c r="D53" i="4"/>
  <c r="A39" i="4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D31" i="4"/>
  <c r="D30" i="4"/>
  <c r="D52" i="4" s="1"/>
  <c r="D25" i="4"/>
  <c r="J20" i="4"/>
  <c r="H19" i="4"/>
  <c r="J19" i="4" s="1"/>
  <c r="K19" i="4" s="1"/>
  <c r="F19" i="4"/>
  <c r="D19" i="4"/>
  <c r="C19" i="4"/>
  <c r="C16" i="4"/>
  <c r="C12" i="4"/>
  <c r="C10" i="4"/>
  <c r="B4" i="4"/>
  <c r="B2" i="4"/>
  <c r="B42" i="4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B1" i="4"/>
  <c r="G176" i="5" l="1"/>
  <c r="G182" i="5"/>
  <c r="C15" i="4"/>
  <c r="G175" i="5"/>
  <c r="E90" i="5"/>
  <c r="F12" i="4"/>
  <c r="E87" i="5"/>
  <c r="E88" i="5" s="1"/>
  <c r="E27" i="9"/>
  <c r="E30" i="9" s="1"/>
  <c r="C85" i="5"/>
  <c r="C90" i="5"/>
  <c r="O80" i="5"/>
  <c r="D12" i="4"/>
  <c r="L14" i="5"/>
  <c r="O113" i="5"/>
  <c r="C113" i="5"/>
  <c r="L12" i="5"/>
  <c r="K17" i="5"/>
  <c r="G27" i="9"/>
  <c r="C157" i="5"/>
  <c r="D14" i="4"/>
  <c r="C152" i="5"/>
  <c r="O147" i="5"/>
  <c r="G180" i="5"/>
  <c r="L173" i="5" s="1"/>
  <c r="E17" i="5"/>
  <c r="G12" i="5"/>
  <c r="G17" i="5" s="1"/>
  <c r="E14" i="5"/>
  <c r="G43" i="5"/>
  <c r="I45" i="5"/>
  <c r="G75" i="5"/>
  <c r="O76" i="5"/>
  <c r="E108" i="5"/>
  <c r="E113" i="5" s="1"/>
  <c r="B110" i="5"/>
  <c r="C175" i="5"/>
  <c r="O175" i="5" s="1"/>
  <c r="C176" i="5"/>
  <c r="G206" i="5"/>
  <c r="E210" i="5"/>
  <c r="G211" i="5"/>
  <c r="B243" i="5"/>
  <c r="C243" i="5" s="1"/>
  <c r="O243" i="5" s="1"/>
  <c r="C304" i="5"/>
  <c r="B320" i="5"/>
  <c r="O305" i="5"/>
  <c r="O309" i="5"/>
  <c r="O313" i="5"/>
  <c r="O317" i="5"/>
  <c r="D304" i="6"/>
  <c r="C414" i="5"/>
  <c r="H102" i="8"/>
  <c r="L102" i="8" s="1"/>
  <c r="AB73" i="8" s="1"/>
  <c r="I12" i="5"/>
  <c r="G13" i="5"/>
  <c r="G14" i="5"/>
  <c r="I43" i="5"/>
  <c r="B47" i="5"/>
  <c r="E143" i="5"/>
  <c r="E144" i="5" s="1"/>
  <c r="B145" i="5"/>
  <c r="E176" i="5"/>
  <c r="B283" i="5"/>
  <c r="C17" i="4" s="1"/>
  <c r="E306" i="5"/>
  <c r="E322" i="5" s="1"/>
  <c r="C306" i="5"/>
  <c r="C308" i="5"/>
  <c r="E308" i="5"/>
  <c r="E310" i="5"/>
  <c r="C310" i="5"/>
  <c r="O310" i="5" s="1"/>
  <c r="C312" i="5"/>
  <c r="E312" i="5"/>
  <c r="E314" i="5"/>
  <c r="C314" i="5"/>
  <c r="E318" i="5"/>
  <c r="C318" i="5"/>
  <c r="K32" i="9"/>
  <c r="K34" i="9" s="1"/>
  <c r="K23" i="9"/>
  <c r="K25" i="9" s="1"/>
  <c r="D305" i="6"/>
  <c r="N322" i="5"/>
  <c r="N79" i="8"/>
  <c r="N75" i="8"/>
  <c r="H99" i="8"/>
  <c r="L99" i="8" s="1"/>
  <c r="AB70" i="8" s="1"/>
  <c r="B1" i="9"/>
  <c r="B4" i="7"/>
  <c r="B41" i="4"/>
  <c r="I14" i="5"/>
  <c r="G108" i="5"/>
  <c r="G113" i="5" s="1"/>
  <c r="B208" i="5"/>
  <c r="G210" i="5"/>
  <c r="D306" i="6"/>
  <c r="C415" i="5"/>
  <c r="C418" i="5" s="1"/>
  <c r="F17" i="7"/>
  <c r="G17" i="7" s="1"/>
  <c r="H101" i="8"/>
  <c r="L101" i="8" s="1"/>
  <c r="AB72" i="8" s="1"/>
  <c r="I13" i="5"/>
  <c r="G143" i="5"/>
  <c r="B273" i="5"/>
  <c r="E273" i="5" s="1"/>
  <c r="O304" i="5"/>
  <c r="O306" i="5"/>
  <c r="O308" i="5"/>
  <c r="O312" i="5"/>
  <c r="O314" i="5"/>
  <c r="O318" i="5"/>
  <c r="G340" i="5"/>
  <c r="P299" i="6"/>
  <c r="Q299" i="6" s="1"/>
  <c r="R299" i="6" s="1"/>
  <c r="H79" i="8"/>
  <c r="H98" i="8"/>
  <c r="L98" i="8" s="1"/>
  <c r="AB69" i="8" s="1"/>
  <c r="C45" i="5"/>
  <c r="C49" i="5" s="1"/>
  <c r="C173" i="5"/>
  <c r="C180" i="5" s="1"/>
  <c r="B2" i="9"/>
  <c r="B5" i="7"/>
  <c r="C13" i="5"/>
  <c r="C17" i="5" s="1"/>
  <c r="E45" i="5"/>
  <c r="E49" i="5" s="1"/>
  <c r="G46" i="5"/>
  <c r="E173" i="5"/>
  <c r="C211" i="5"/>
  <c r="B275" i="5"/>
  <c r="E275" i="5" s="1"/>
  <c r="G275" i="5" s="1"/>
  <c r="G346" i="5"/>
  <c r="H305" i="6"/>
  <c r="C28" i="9"/>
  <c r="C34" i="9" s="1"/>
  <c r="C44" i="7"/>
  <c r="H304" i="6"/>
  <c r="B321" i="5"/>
  <c r="E21" i="7"/>
  <c r="D21" i="7"/>
  <c r="C22" i="7"/>
  <c r="H94" i="8"/>
  <c r="L94" i="8" s="1"/>
  <c r="AB65" i="8" s="1"/>
  <c r="H96" i="8"/>
  <c r="L96" i="8" s="1"/>
  <c r="AB67" i="8" s="1"/>
  <c r="C14" i="5"/>
  <c r="E384" i="5"/>
  <c r="E385" i="5" s="1"/>
  <c r="M18" i="6"/>
  <c r="K294" i="6"/>
  <c r="C407" i="5"/>
  <c r="D303" i="6"/>
  <c r="D308" i="6" s="1"/>
  <c r="D312" i="6" s="1"/>
  <c r="D314" i="6" s="1"/>
  <c r="G108" i="8"/>
  <c r="H93" i="8"/>
  <c r="L93" i="8" s="1"/>
  <c r="AB64" i="8" s="1"/>
  <c r="H100" i="8"/>
  <c r="L100" i="8" s="1"/>
  <c r="AB71" i="8" s="1"/>
  <c r="H25" i="9"/>
  <c r="E316" i="5"/>
  <c r="D20" i="7"/>
  <c r="H63" i="8"/>
  <c r="H92" i="8" s="1"/>
  <c r="L92" i="8" s="1"/>
  <c r="AB63" i="8" s="1"/>
  <c r="E32" i="9"/>
  <c r="E34" i="9" s="1"/>
  <c r="E20" i="7"/>
  <c r="F20" i="7" s="1"/>
  <c r="G20" i="7" s="1"/>
  <c r="I75" i="8"/>
  <c r="G32" i="9"/>
  <c r="H62" i="8"/>
  <c r="G91" i="8"/>
  <c r="G104" i="8" s="1"/>
  <c r="D18" i="7"/>
  <c r="F18" i="7" s="1"/>
  <c r="G18" i="7" s="1"/>
  <c r="L23" i="9"/>
  <c r="L25" i="9" s="1"/>
  <c r="E180" i="5" l="1"/>
  <c r="E56" i="5"/>
  <c r="E57" i="5" s="1"/>
  <c r="F11" i="4"/>
  <c r="E59" i="5"/>
  <c r="E355" i="5"/>
  <c r="F18" i="4"/>
  <c r="C27" i="9"/>
  <c r="C30" i="9" s="1"/>
  <c r="C36" i="9" s="1"/>
  <c r="C27" i="5"/>
  <c r="O17" i="5"/>
  <c r="C22" i="5"/>
  <c r="D10" i="4"/>
  <c r="G120" i="5"/>
  <c r="G121" i="5" s="1"/>
  <c r="N13" i="4"/>
  <c r="G123" i="5"/>
  <c r="G124" i="5" s="1"/>
  <c r="G125" i="5" s="1"/>
  <c r="H13" i="4"/>
  <c r="L108" i="5"/>
  <c r="L106" i="5"/>
  <c r="E123" i="5"/>
  <c r="F13" i="4"/>
  <c r="E120" i="5"/>
  <c r="E121" i="5" s="1"/>
  <c r="D27" i="9"/>
  <c r="C54" i="5"/>
  <c r="D11" i="4"/>
  <c r="C59" i="5"/>
  <c r="O49" i="5"/>
  <c r="E36" i="9"/>
  <c r="K36" i="9"/>
  <c r="L36" i="9"/>
  <c r="L40" i="9" s="1"/>
  <c r="L38" i="9"/>
  <c r="H307" i="6"/>
  <c r="B407" i="5"/>
  <c r="G28" i="9"/>
  <c r="G34" i="9" s="1"/>
  <c r="C14" i="4"/>
  <c r="N294" i="6"/>
  <c r="N208" i="5"/>
  <c r="F21" i="7"/>
  <c r="G21" i="7" s="1"/>
  <c r="G348" i="5"/>
  <c r="G349" i="5" s="1"/>
  <c r="G355" i="5"/>
  <c r="G356" i="5" s="1"/>
  <c r="G357" i="5" s="1"/>
  <c r="H18" i="4"/>
  <c r="N18" i="4"/>
  <c r="G208" i="5"/>
  <c r="E208" i="5"/>
  <c r="E215" i="5" s="1"/>
  <c r="C208" i="5"/>
  <c r="C215" i="5" s="1"/>
  <c r="F28" i="9"/>
  <c r="F34" i="9" s="1"/>
  <c r="C13" i="4"/>
  <c r="B355" i="5"/>
  <c r="C18" i="4"/>
  <c r="L107" i="5"/>
  <c r="D28" i="9"/>
  <c r="D34" i="9" s="1"/>
  <c r="C11" i="4"/>
  <c r="C22" i="4" s="1"/>
  <c r="E22" i="4" s="1"/>
  <c r="C322" i="5"/>
  <c r="B274" i="5"/>
  <c r="E274" i="5" s="1"/>
  <c r="G274" i="5" s="1"/>
  <c r="K27" i="5"/>
  <c r="K24" i="5"/>
  <c r="N10" i="4"/>
  <c r="H91" i="8"/>
  <c r="H75" i="8"/>
  <c r="H27" i="9"/>
  <c r="H30" i="9" s="1"/>
  <c r="H36" i="9" s="1"/>
  <c r="O180" i="5"/>
  <c r="D15" i="4"/>
  <c r="C185" i="5"/>
  <c r="C190" i="5"/>
  <c r="I49" i="5"/>
  <c r="L43" i="5"/>
  <c r="C417" i="5"/>
  <c r="D24" i="4"/>
  <c r="H15" i="4"/>
  <c r="G187" i="5"/>
  <c r="G188" i="5" s="1"/>
  <c r="L176" i="5"/>
  <c r="L175" i="5"/>
  <c r="N15" i="4"/>
  <c r="G190" i="5"/>
  <c r="G191" i="5" s="1"/>
  <c r="G192" i="5" s="1"/>
  <c r="C278" i="5"/>
  <c r="B400" i="5"/>
  <c r="F15" i="4"/>
  <c r="E187" i="5"/>
  <c r="E188" i="5" s="1"/>
  <c r="E190" i="5"/>
  <c r="E191" i="5" s="1"/>
  <c r="E192" i="5" s="1"/>
  <c r="G80" i="5"/>
  <c r="L75" i="5"/>
  <c r="Q280" i="5"/>
  <c r="G144" i="5"/>
  <c r="G27" i="5"/>
  <c r="G24" i="5"/>
  <c r="G25" i="5" s="1"/>
  <c r="H10" i="4"/>
  <c r="E44" i="7"/>
  <c r="F44" i="7" s="1"/>
  <c r="G44" i="7" s="1"/>
  <c r="D44" i="7"/>
  <c r="G147" i="5"/>
  <c r="H108" i="8"/>
  <c r="P294" i="6"/>
  <c r="Q294" i="6" s="1"/>
  <c r="R294" i="6" s="1"/>
  <c r="L45" i="5"/>
  <c r="E27" i="5"/>
  <c r="E28" i="5" s="1"/>
  <c r="E29" i="5" s="1"/>
  <c r="E24" i="5"/>
  <c r="E25" i="5" s="1"/>
  <c r="F10" i="4"/>
  <c r="F27" i="9"/>
  <c r="F30" i="9" s="1"/>
  <c r="F36" i="9" s="1"/>
  <c r="C123" i="5"/>
  <c r="D13" i="4"/>
  <c r="C118" i="5"/>
  <c r="L174" i="5"/>
  <c r="G30" i="9"/>
  <c r="G36" i="9" s="1"/>
  <c r="O320" i="5"/>
  <c r="O322" i="5"/>
  <c r="I17" i="5"/>
  <c r="G215" i="5"/>
  <c r="L210" i="5" s="1"/>
  <c r="G49" i="5"/>
  <c r="E22" i="7"/>
  <c r="F22" i="7" s="1"/>
  <c r="G22" i="7" s="1"/>
  <c r="D22" i="7"/>
  <c r="C23" i="7"/>
  <c r="K301" i="6"/>
  <c r="G273" i="5"/>
  <c r="E147" i="5"/>
  <c r="L177" i="5"/>
  <c r="E91" i="5"/>
  <c r="E92" i="5" s="1"/>
  <c r="E278" i="5" l="1"/>
  <c r="E400" i="5" s="1"/>
  <c r="E410" i="5" s="1"/>
  <c r="E411" i="5" s="1"/>
  <c r="G278" i="5"/>
  <c r="C400" i="5"/>
  <c r="C408" i="5" s="1"/>
  <c r="O18" i="5" s="1"/>
  <c r="C24" i="7"/>
  <c r="E23" i="7"/>
  <c r="D23" i="7"/>
  <c r="I27" i="5"/>
  <c r="I28" i="5" s="1"/>
  <c r="I29" i="5" s="1"/>
  <c r="I24" i="5"/>
  <c r="I25" i="5" s="1"/>
  <c r="G154" i="5"/>
  <c r="G155" i="5" s="1"/>
  <c r="H14" i="4"/>
  <c r="G157" i="5"/>
  <c r="N14" i="4"/>
  <c r="L142" i="5"/>
  <c r="L140" i="5"/>
  <c r="L141" i="5"/>
  <c r="J15" i="4"/>
  <c r="K15" i="4" s="1"/>
  <c r="C354" i="5"/>
  <c r="D18" i="4"/>
  <c r="J13" i="4"/>
  <c r="K13" i="4" s="1"/>
  <c r="I27" i="9"/>
  <c r="I30" i="9" s="1"/>
  <c r="I36" i="9" s="1"/>
  <c r="D16" i="4"/>
  <c r="C220" i="5"/>
  <c r="C225" i="5"/>
  <c r="O215" i="5"/>
  <c r="O208" i="5"/>
  <c r="J10" i="4"/>
  <c r="J27" i="9"/>
  <c r="J30" i="9" s="1"/>
  <c r="J36" i="9" s="1"/>
  <c r="C288" i="5"/>
  <c r="O278" i="5"/>
  <c r="D17" i="4"/>
  <c r="C283" i="5"/>
  <c r="E222" i="5"/>
  <c r="E223" i="5" s="1"/>
  <c r="E225" i="5"/>
  <c r="E226" i="5" s="1"/>
  <c r="E227" i="5" s="1"/>
  <c r="F16" i="4"/>
  <c r="D30" i="9"/>
  <c r="D36" i="9" s="1"/>
  <c r="H104" i="8"/>
  <c r="E48" i="9" s="1"/>
  <c r="E50" i="9" s="1"/>
  <c r="F38" i="9" s="1"/>
  <c r="F40" i="9" s="1"/>
  <c r="L91" i="8"/>
  <c r="L208" i="5"/>
  <c r="E154" i="5"/>
  <c r="E155" i="5" s="1"/>
  <c r="F14" i="4"/>
  <c r="E157" i="5"/>
  <c r="E158" i="5" s="1"/>
  <c r="E159" i="5" s="1"/>
  <c r="E285" i="5"/>
  <c r="E286" i="5" s="1"/>
  <c r="E288" i="5"/>
  <c r="E289" i="5" s="1"/>
  <c r="E290" i="5" s="1"/>
  <c r="F17" i="4"/>
  <c r="H11" i="4"/>
  <c r="G56" i="5"/>
  <c r="G57" i="5" s="1"/>
  <c r="G59" i="5"/>
  <c r="G60" i="5" s="1"/>
  <c r="G61" i="5" s="1"/>
  <c r="G28" i="5"/>
  <c r="G29" i="5" s="1"/>
  <c r="G90" i="5"/>
  <c r="G91" i="5" s="1"/>
  <c r="G92" i="5" s="1"/>
  <c r="L77" i="5"/>
  <c r="H12" i="4"/>
  <c r="N12" i="4"/>
  <c r="G87" i="5"/>
  <c r="G88" i="5" s="1"/>
  <c r="L76" i="5"/>
  <c r="N11" i="4"/>
  <c r="L46" i="5"/>
  <c r="G38" i="9"/>
  <c r="G40" i="9" s="1"/>
  <c r="D22" i="4"/>
  <c r="E10" i="4" s="1"/>
  <c r="E356" i="5"/>
  <c r="E357" i="5" s="1"/>
  <c r="G285" i="5"/>
  <c r="G286" i="5" s="1"/>
  <c r="N17" i="4"/>
  <c r="H17" i="4"/>
  <c r="G288" i="5"/>
  <c r="G400" i="5"/>
  <c r="G410" i="5" s="1"/>
  <c r="G411" i="5" s="1"/>
  <c r="L211" i="5"/>
  <c r="K25" i="5"/>
  <c r="J18" i="4"/>
  <c r="K18" i="4" s="1"/>
  <c r="E124" i="5"/>
  <c r="E125" i="5" s="1"/>
  <c r="C405" i="5"/>
  <c r="E60" i="5"/>
  <c r="E61" i="5" s="1"/>
  <c r="G222" i="5"/>
  <c r="G223" i="5" s="1"/>
  <c r="N16" i="4"/>
  <c r="N22" i="4" s="1"/>
  <c r="G225" i="5"/>
  <c r="G226" i="5" s="1"/>
  <c r="G227" i="5" s="1"/>
  <c r="H16" i="4"/>
  <c r="L209" i="5"/>
  <c r="L212" i="5"/>
  <c r="L206" i="5"/>
  <c r="H110" i="8"/>
  <c r="L108" i="8"/>
  <c r="L143" i="5"/>
  <c r="K28" i="5"/>
  <c r="K29" i="5" s="1"/>
  <c r="B408" i="5"/>
  <c r="L144" i="5"/>
  <c r="G289" i="5" l="1"/>
  <c r="G290" i="5" s="1"/>
  <c r="O10" i="4"/>
  <c r="O18" i="4"/>
  <c r="O15" i="4"/>
  <c r="O13" i="4"/>
  <c r="J14" i="4"/>
  <c r="K14" i="4" s="1"/>
  <c r="E17" i="4"/>
  <c r="D26" i="4"/>
  <c r="D33" i="4" s="1"/>
  <c r="E19" i="4"/>
  <c r="D48" i="4"/>
  <c r="E14" i="4"/>
  <c r="E12" i="4"/>
  <c r="O11" i="4"/>
  <c r="E11" i="4"/>
  <c r="F22" i="4"/>
  <c r="G17" i="4" s="1"/>
  <c r="E15" i="4"/>
  <c r="E13" i="4"/>
  <c r="E18" i="4"/>
  <c r="J17" i="4"/>
  <c r="K17" i="4" s="1"/>
  <c r="J11" i="4"/>
  <c r="K11" i="4" s="1"/>
  <c r="H22" i="4"/>
  <c r="I14" i="4" s="1"/>
  <c r="F23" i="7"/>
  <c r="G23" i="7" s="1"/>
  <c r="O17" i="4"/>
  <c r="O12" i="4"/>
  <c r="AB62" i="8"/>
  <c r="AB74" i="8" s="1"/>
  <c r="L104" i="8"/>
  <c r="AB75" i="8" s="1"/>
  <c r="E16" i="4"/>
  <c r="O14" i="4"/>
  <c r="C25" i="7"/>
  <c r="E24" i="7"/>
  <c r="D24" i="7"/>
  <c r="O16" i="4"/>
  <c r="J16" i="4"/>
  <c r="K16" i="4" s="1"/>
  <c r="J12" i="4"/>
  <c r="K12" i="4" s="1"/>
  <c r="C38" i="9"/>
  <c r="C40" i="9" s="1"/>
  <c r="J38" i="9"/>
  <c r="J40" i="9" s="1"/>
  <c r="I38" i="9"/>
  <c r="I40" i="9" s="1"/>
  <c r="E38" i="9"/>
  <c r="E40" i="9" s="1"/>
  <c r="K38" i="9"/>
  <c r="K40" i="9" s="1"/>
  <c r="H38" i="9"/>
  <c r="H40" i="9" s="1"/>
  <c r="D38" i="9"/>
  <c r="D40" i="9" s="1"/>
  <c r="K10" i="4"/>
  <c r="G158" i="5"/>
  <c r="G159" i="5" s="1"/>
  <c r="I12" i="4" l="1"/>
  <c r="I17" i="4"/>
  <c r="G19" i="4"/>
  <c r="G22" i="4"/>
  <c r="D46" i="4"/>
  <c r="D50" i="4" s="1"/>
  <c r="D55" i="4" s="1"/>
  <c r="F27" i="4"/>
  <c r="G12" i="4"/>
  <c r="G11" i="4"/>
  <c r="G13" i="4"/>
  <c r="G10" i="4"/>
  <c r="G18" i="4"/>
  <c r="G15" i="4"/>
  <c r="G14" i="4"/>
  <c r="F24" i="7"/>
  <c r="G24" i="7" s="1"/>
  <c r="C42" i="9"/>
  <c r="E25" i="7"/>
  <c r="D25" i="7"/>
  <c r="C26" i="7"/>
  <c r="G16" i="4"/>
  <c r="I22" i="4"/>
  <c r="H27" i="4"/>
  <c r="I19" i="4"/>
  <c r="I15" i="4"/>
  <c r="I10" i="4"/>
  <c r="I18" i="4"/>
  <c r="I13" i="4"/>
  <c r="I11" i="4"/>
  <c r="J22" i="4"/>
  <c r="K22" i="4" s="1"/>
  <c r="I16" i="4"/>
  <c r="E26" i="7" l="1"/>
  <c r="D26" i="7"/>
  <c r="C27" i="7"/>
  <c r="F25" i="7"/>
  <c r="G25" i="7" s="1"/>
  <c r="C28" i="7" l="1"/>
  <c r="E27" i="7"/>
  <c r="F27" i="7" s="1"/>
  <c r="G27" i="7" s="1"/>
  <c r="D27" i="7"/>
  <c r="F26" i="7"/>
  <c r="G26" i="7" s="1"/>
  <c r="C29" i="7" l="1"/>
  <c r="E28" i="7"/>
  <c r="D28" i="7"/>
  <c r="F28" i="7" l="1"/>
  <c r="G28" i="7" s="1"/>
  <c r="E29" i="7"/>
  <c r="F29" i="7" s="1"/>
  <c r="G29" i="7" s="1"/>
  <c r="D29" i="7"/>
  <c r="C30" i="7"/>
  <c r="E30" i="7" l="1"/>
  <c r="D30" i="7"/>
  <c r="C31" i="7"/>
  <c r="C32" i="7" l="1"/>
  <c r="E31" i="7"/>
  <c r="D31" i="7"/>
  <c r="F30" i="7"/>
  <c r="G30" i="7" s="1"/>
  <c r="F31" i="7" l="1"/>
  <c r="G31" i="7" s="1"/>
  <c r="C33" i="7"/>
  <c r="E32" i="7"/>
  <c r="D32" i="7"/>
  <c r="F32" i="7" l="1"/>
  <c r="G32" i="7" s="1"/>
  <c r="E33" i="7"/>
  <c r="D33" i="7"/>
  <c r="C34" i="7"/>
  <c r="E34" i="7" l="1"/>
  <c r="D34" i="7"/>
  <c r="C35" i="7"/>
  <c r="F33" i="7"/>
  <c r="G33" i="7" s="1"/>
  <c r="C36" i="7" l="1"/>
  <c r="E35" i="7"/>
  <c r="D35" i="7"/>
  <c r="F34" i="7"/>
  <c r="G34" i="7" s="1"/>
  <c r="F35" i="7" l="1"/>
  <c r="G35" i="7" s="1"/>
  <c r="C37" i="7"/>
  <c r="E36" i="7"/>
  <c r="D36" i="7"/>
  <c r="F36" i="7" l="1"/>
  <c r="G36" i="7" s="1"/>
  <c r="E37" i="7"/>
  <c r="D37" i="7"/>
  <c r="C38" i="7"/>
  <c r="E38" i="7" l="1"/>
  <c r="F38" i="7" s="1"/>
  <c r="G38" i="7" s="1"/>
  <c r="D38" i="7"/>
  <c r="C39" i="7"/>
  <c r="F37" i="7"/>
  <c r="G37" i="7" s="1"/>
  <c r="C40" i="7" l="1"/>
  <c r="E39" i="7"/>
  <c r="D39" i="7"/>
  <c r="F39" i="7" l="1"/>
  <c r="G39" i="7" s="1"/>
  <c r="C41" i="7"/>
  <c r="E40" i="7"/>
  <c r="D40" i="7"/>
  <c r="F40" i="7" l="1"/>
  <c r="G40" i="7" s="1"/>
  <c r="E41" i="7"/>
  <c r="D41" i="7"/>
  <c r="C42" i="7"/>
  <c r="E42" i="7" l="1"/>
  <c r="F42" i="7" s="1"/>
  <c r="G42" i="7" s="1"/>
  <c r="D42" i="7"/>
  <c r="F41" i="7"/>
  <c r="G41" i="7" s="1"/>
  <c r="E8" i="1" l="1"/>
  <c r="E49" i="1" l="1"/>
  <c r="E48" i="1"/>
  <c r="E47" i="1"/>
  <c r="E46" i="1"/>
  <c r="E45" i="1"/>
  <c r="E42" i="1"/>
  <c r="E41" i="1"/>
  <c r="E39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<sst xmlns="http://schemas.openxmlformats.org/spreadsheetml/2006/main" count="1287" uniqueCount="387">
  <si>
    <t>#</t>
  </si>
  <si>
    <t>Base Rates</t>
  </si>
  <si>
    <t>Total Revenue</t>
  </si>
  <si>
    <t>Code</t>
  </si>
  <si>
    <t>Classification</t>
  </si>
  <si>
    <t>Billing Component</t>
  </si>
  <si>
    <t>Customer Charge</t>
  </si>
  <si>
    <t>Average</t>
  </si>
  <si>
    <t>Residential Off Peak ETS</t>
  </si>
  <si>
    <t>BLUE GRASS ENERGY</t>
  </si>
  <si>
    <t>GS-1</t>
  </si>
  <si>
    <t>GS-2</t>
  </si>
  <si>
    <t>Residential , Farm &amp; Non-Farm</t>
  </si>
  <si>
    <t>Residential Time of Day</t>
  </si>
  <si>
    <t>GS-3</t>
  </si>
  <si>
    <t>Small Commercial (0-100 kW)</t>
  </si>
  <si>
    <t>SC-1</t>
  </si>
  <si>
    <t>Large Power (101 - 500 kW)</t>
  </si>
  <si>
    <t>LP-1</t>
  </si>
  <si>
    <t>LP-2</t>
  </si>
  <si>
    <t>B-2</t>
  </si>
  <si>
    <t>B-1</t>
  </si>
  <si>
    <t>Large Industrial (over 4,000 kW)</t>
  </si>
  <si>
    <t>SC-2</t>
  </si>
  <si>
    <t>General Service 0-100 KW Time of Day Rate</t>
  </si>
  <si>
    <t>Energy Charge w/Pri Discount</t>
  </si>
  <si>
    <t>Large Power (over 500 kW)</t>
  </si>
  <si>
    <t>Present</t>
  </si>
  <si>
    <t>Proposed</t>
  </si>
  <si>
    <t>Energy Charge per kWh</t>
  </si>
  <si>
    <t>Energy Charge - First 200 per kWh</t>
  </si>
  <si>
    <t>Energy Charge - Next 300 per kWh</t>
  </si>
  <si>
    <t>Energy Charge - Over 500 per kWh</t>
  </si>
  <si>
    <t>Energy Charge - On Peak per kWh</t>
  </si>
  <si>
    <t>Energy Charge - Off Peak per kWh</t>
  </si>
  <si>
    <t>Demand Charge over 10 KW per kW</t>
  </si>
  <si>
    <t>Demand Charge per kW</t>
  </si>
  <si>
    <t>Demand Charge Contract per kW</t>
  </si>
  <si>
    <t>Demand Charge Excess per kW</t>
  </si>
  <si>
    <t>Interruptible Credit per kW</t>
  </si>
  <si>
    <t>Increase</t>
  </si>
  <si>
    <t>Rate</t>
  </si>
  <si>
    <t>Percent</t>
  </si>
  <si>
    <t>Total</t>
  </si>
  <si>
    <t>Last Rate Order</t>
  </si>
  <si>
    <t xml:space="preserve"> </t>
  </si>
  <si>
    <t>BILLING DETERMINANTS</t>
  </si>
  <si>
    <t>Settlement Agreement Exhibit C</t>
  </si>
  <si>
    <t>2nd Revised Exhibit  G</t>
  </si>
  <si>
    <t>Revenue Summary</t>
  </si>
  <si>
    <t>Page 1 of 14</t>
  </si>
  <si>
    <t>Witness:  Jim Adkins</t>
  </si>
  <si>
    <t>Normalized</t>
  </si>
  <si>
    <t>Kwh</t>
  </si>
  <si>
    <t>Test Year</t>
  </si>
  <si>
    <t>of</t>
  </si>
  <si>
    <t>Case No.</t>
  </si>
  <si>
    <t xml:space="preserve">  Increase  </t>
  </si>
  <si>
    <t>Schedule</t>
  </si>
  <si>
    <t>Useage</t>
  </si>
  <si>
    <t>Revenue</t>
  </si>
  <si>
    <t>2040-00497</t>
  </si>
  <si>
    <t>Amount</t>
  </si>
  <si>
    <t>Base Rev Appr</t>
  </si>
  <si>
    <t>GS-1, Residential and Farm</t>
  </si>
  <si>
    <t>GS-1, Residential and Farm T-O-D</t>
  </si>
  <si>
    <t>SC-1, General Service (0-100 KW)</t>
  </si>
  <si>
    <t>SC-2, General Service (0-100 KW T-O-D)</t>
  </si>
  <si>
    <t>LP-1, Large Power (under 500KW)</t>
  </si>
  <si>
    <t>LP-2, Large Power (over 500KW)</t>
  </si>
  <si>
    <t>B-2, Large Industrial Rate</t>
  </si>
  <si>
    <t>G-1, Large Industrial</t>
  </si>
  <si>
    <t>Outdoor Lights</t>
  </si>
  <si>
    <t>Envirowatts</t>
  </si>
  <si>
    <t>Rounding differences</t>
  </si>
  <si>
    <t>Total from base rates</t>
  </si>
  <si>
    <t>Fuel adjustment billed</t>
  </si>
  <si>
    <t>Environmental surcharge billed</t>
  </si>
  <si>
    <t xml:space="preserve">  Increase (Decrease)</t>
  </si>
  <si>
    <t>Reconcilation to General Ledger:</t>
  </si>
  <si>
    <t xml:space="preserve">    Unbilled revenue</t>
  </si>
  <si>
    <t xml:space="preserve">    Deferred fuel and surcharge</t>
  </si>
  <si>
    <t xml:space="preserve">    Revenue per General Ledger</t>
  </si>
  <si>
    <t>Exhibit  18</t>
  </si>
  <si>
    <t>page  1 of  1</t>
  </si>
  <si>
    <t>Witness: Jim Adkins</t>
  </si>
  <si>
    <t>Normalized Revenues</t>
  </si>
  <si>
    <t>Normalized base rate revenues</t>
  </si>
  <si>
    <t>Test year base rate revenues</t>
  </si>
  <si>
    <t>Normalized adjustment</t>
  </si>
  <si>
    <t>Unbilled revenue</t>
  </si>
  <si>
    <t>Defer fuel and surcharge</t>
  </si>
  <si>
    <t>Total normalized adjustment</t>
  </si>
  <si>
    <t>Blue Grass Energy Cooperative</t>
  </si>
  <si>
    <t>Case No.  2014-00339</t>
  </si>
  <si>
    <t xml:space="preserve">2nd Revised Exhibit J </t>
  </si>
  <si>
    <t>Billing Analysis</t>
  </si>
  <si>
    <t>Page 2 of 14</t>
  </si>
  <si>
    <t>December 31, 2013</t>
  </si>
  <si>
    <t>Rates 11 17, 19</t>
  </si>
  <si>
    <t>Test</t>
  </si>
  <si>
    <t>Billing</t>
  </si>
  <si>
    <t>Year</t>
  </si>
  <si>
    <t>Case No. 2010-00497</t>
  </si>
  <si>
    <t>Proposed-Phase 1</t>
  </si>
  <si>
    <t>Proposed-Phase 2</t>
  </si>
  <si>
    <t>Proposed-Phase 3</t>
  </si>
  <si>
    <t>Description</t>
  </si>
  <si>
    <t>Determinants</t>
  </si>
  <si>
    <t>Revenues</t>
  </si>
  <si>
    <t>Rates</t>
  </si>
  <si>
    <t>Removed Green Power from this rate</t>
  </si>
  <si>
    <t>Customer Charge, Prepay</t>
  </si>
  <si>
    <t>$0.61 per day</t>
  </si>
  <si>
    <t>Energy charge per kWh</t>
  </si>
  <si>
    <t xml:space="preserve">  Total difference</t>
  </si>
  <si>
    <t>Fuel adjustment</t>
  </si>
  <si>
    <t>Environmental surcharge</t>
  </si>
  <si>
    <t>Total revenues</t>
  </si>
  <si>
    <t>Average monthly bill</t>
  </si>
  <si>
    <t>Page 3 of 14</t>
  </si>
  <si>
    <t>Rates 12</t>
  </si>
  <si>
    <t>Proposed - Phase 1</t>
  </si>
  <si>
    <t>Proposed - Phase 2</t>
  </si>
  <si>
    <t xml:space="preserve">    On-peak energy</t>
  </si>
  <si>
    <t xml:space="preserve">    Off-peak energy</t>
  </si>
  <si>
    <t>Extrapolated the off-pek energy</t>
  </si>
  <si>
    <t>Rates 21, 22</t>
  </si>
  <si>
    <t>Page 4 of 14</t>
  </si>
  <si>
    <t>SC-1, General Service ( 0-100 KW )</t>
  </si>
  <si>
    <t>Actual and billed same on billing analysis</t>
  </si>
  <si>
    <t>Demand charge</t>
  </si>
  <si>
    <t>Energy charge</t>
  </si>
  <si>
    <t>Rate 23, 24</t>
  </si>
  <si>
    <t>Page 5 of 14</t>
  </si>
  <si>
    <t>SC-2, General Service ( 0-100 KW T-O-D )</t>
  </si>
  <si>
    <t>Extrapolated kwh</t>
  </si>
  <si>
    <t>Rate 31, 33</t>
  </si>
  <si>
    <t>Page 6 of 14</t>
  </si>
  <si>
    <t>LP-1, Large Power ( 101 KW to 500 KW )</t>
  </si>
  <si>
    <t>Demand Charge</t>
  </si>
  <si>
    <t>Secondary meter charge per kwh</t>
  </si>
  <si>
    <t>Primary meter charge per kwh</t>
  </si>
  <si>
    <t>5% discount</t>
  </si>
  <si>
    <t>5% primary meter discount</t>
  </si>
  <si>
    <t>Rate 32, 35, 36</t>
  </si>
  <si>
    <t>Page 7 of 14</t>
  </si>
  <si>
    <t>LP-2, Large Power ( over 500 KW )</t>
  </si>
  <si>
    <t>Rate 45, 47, 48, 49, 50</t>
  </si>
  <si>
    <t>Page 8 of 14</t>
  </si>
  <si>
    <t xml:space="preserve">    Contract demand</t>
  </si>
  <si>
    <t>KW-Sch B Contract</t>
  </si>
  <si>
    <t xml:space="preserve">    Excess of contract demand</t>
  </si>
  <si>
    <t xml:space="preserve">  Excess Contract</t>
  </si>
  <si>
    <t xml:space="preserve">    Interuptible Credit</t>
  </si>
  <si>
    <t>Interruptible Service</t>
  </si>
  <si>
    <t>Rate 46</t>
  </si>
  <si>
    <t>Wausau</t>
  </si>
  <si>
    <t>Page 9 of 14</t>
  </si>
  <si>
    <t>G1, Large Industrial Rate</t>
  </si>
  <si>
    <t>August thru December on Schedule G1</t>
  </si>
  <si>
    <t xml:space="preserve">  </t>
  </si>
  <si>
    <t>January thru July on Schedule B-1</t>
  </si>
  <si>
    <t>5% primary discount</t>
  </si>
  <si>
    <t>January thru July Schedule LP-2</t>
  </si>
  <si>
    <t>Energy Charge</t>
  </si>
  <si>
    <t>Page 10 of 14</t>
  </si>
  <si>
    <t>Schedule G1-Normalized for Test Year</t>
  </si>
  <si>
    <t>Page 11 of 14</t>
  </si>
  <si>
    <t>Outdoor Lights - Part One</t>
  </si>
  <si>
    <t>lights</t>
  </si>
  <si>
    <t>Difference</t>
  </si>
  <si>
    <t>rate</t>
  </si>
  <si>
    <t>type</t>
  </si>
  <si>
    <t>175 Watt MV</t>
  </si>
  <si>
    <t>400 Watt MV</t>
  </si>
  <si>
    <t>400 Watt Metal Hallide Directional Flood</t>
  </si>
  <si>
    <t>400 Watt HPS Directional Flood</t>
  </si>
  <si>
    <t>100 Watt HPS - Shoebox Fixtur (Metal Pole)</t>
  </si>
  <si>
    <t>100 Watt HPS - Acorn Fixture (Fiberglass Pole)</t>
  </si>
  <si>
    <t>100 Watt HPS - Colonial Fixture</t>
  </si>
  <si>
    <t>400 Watt HPS - Cobra Head (Aluminum Pole)</t>
  </si>
  <si>
    <t>70 Watt HPS (Ornamental)</t>
  </si>
  <si>
    <t>100 Watt HPS (Ornamental)</t>
  </si>
  <si>
    <t>250 Watt HPS (Ornamental)</t>
  </si>
  <si>
    <t>70 Watt HPS Colonial (15' mounting height)</t>
  </si>
  <si>
    <t>200 Watt HPS Cobra (Aluminum Pole)</t>
  </si>
  <si>
    <t>100 Watt HPS Cobra (Aluminum Pole)</t>
  </si>
  <si>
    <t>100 Watt HPS Open Bottom</t>
  </si>
  <si>
    <t>250 Watt HPS Open Bottom</t>
  </si>
  <si>
    <t xml:space="preserve">  kWh</t>
  </si>
  <si>
    <t>Page 12 of 14</t>
  </si>
  <si>
    <t>Outdoor Lights - Part Two</t>
  </si>
  <si>
    <r>
      <t xml:space="preserve">Open Bottom Light Approximate lumens 6000-9500 - </t>
    </r>
    <r>
      <rPr>
        <b/>
        <sz val="11"/>
        <color theme="1"/>
        <rFont val="Calibri"/>
        <family val="2"/>
        <scheme val="minor"/>
      </rPr>
      <t>replaces 1,15</t>
    </r>
  </si>
  <si>
    <r>
      <t xml:space="preserve">Open Bottom light Approximate Lumens 25,000 – </t>
    </r>
    <r>
      <rPr>
        <b/>
        <sz val="11"/>
        <color theme="1"/>
        <rFont val="Calibri"/>
        <family val="2"/>
        <scheme val="minor"/>
      </rPr>
      <t>replaces 2,16</t>
    </r>
  </si>
  <si>
    <r>
      <t xml:space="preserve">Directional Flood Light Approximate Lumens 50,000 - </t>
    </r>
    <r>
      <rPr>
        <b/>
        <sz val="11"/>
        <color theme="1"/>
        <rFont val="Calibri"/>
        <family val="2"/>
        <scheme val="minor"/>
      </rPr>
      <t>replaces 3,4</t>
    </r>
  </si>
  <si>
    <r>
      <t xml:space="preserve">Shoebox Fixture (metal pole) Approximate Lumens 6000 -9500 </t>
    </r>
    <r>
      <rPr>
        <b/>
        <sz val="11"/>
        <color theme="1"/>
        <rFont val="Calibri"/>
        <family val="2"/>
        <scheme val="minor"/>
      </rPr>
      <t>– replaces 5</t>
    </r>
  </si>
  <si>
    <r>
      <t xml:space="preserve">Acorn Fixture (fiberglass pole) Approximate Lumens 6000- 9500 - </t>
    </r>
    <r>
      <rPr>
        <b/>
        <sz val="11"/>
        <color theme="1"/>
        <rFont val="Calibri"/>
        <family val="2"/>
        <scheme val="minor"/>
      </rPr>
      <t>replaces 6</t>
    </r>
  </si>
  <si>
    <r>
      <t xml:space="preserve">Colonial Fixture Approximate Lumens 6000-9000 – </t>
    </r>
    <r>
      <rPr>
        <b/>
        <sz val="11"/>
        <color theme="1"/>
        <rFont val="Calibri"/>
        <family val="2"/>
        <scheme val="minor"/>
      </rPr>
      <t>replaces 7</t>
    </r>
  </si>
  <si>
    <r>
      <t xml:space="preserve">Cobra Head (aluminum pole) Approximate Lumens 50,000 – </t>
    </r>
    <r>
      <rPr>
        <b/>
        <sz val="11"/>
        <color theme="1"/>
        <rFont val="Calibri"/>
        <family val="2"/>
        <scheme val="minor"/>
      </rPr>
      <t>replaces 8</t>
    </r>
  </si>
  <si>
    <r>
      <t xml:space="preserve">Ornamental Light Approximate Lumens 6000-9500 – </t>
    </r>
    <r>
      <rPr>
        <b/>
        <sz val="11"/>
        <color theme="1"/>
        <rFont val="Calibri"/>
        <family val="2"/>
        <scheme val="minor"/>
      </rPr>
      <t>replaces 9,10</t>
    </r>
  </si>
  <si>
    <r>
      <t xml:space="preserve">Ornamental Light Approximate Lumens 25,000 – </t>
    </r>
    <r>
      <rPr>
        <b/>
        <sz val="11"/>
        <color theme="1"/>
        <rFont val="Calibri"/>
        <family val="2"/>
        <scheme val="minor"/>
      </rPr>
      <t>replaces 11</t>
    </r>
  </si>
  <si>
    <r>
      <t xml:space="preserve">Colonial Fixture (15 Ft. mounting height) Approximate Lumens 6000-9500 -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</si>
  <si>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Cobra Head (aluminum pole) Approximate Lumens 25,000 </t>
    </r>
    <r>
      <rPr>
        <b/>
        <sz val="11"/>
        <color theme="1"/>
        <rFont val="Calibri"/>
        <family val="2"/>
        <scheme val="minor"/>
      </rPr>
      <t>- replaces 13</t>
    </r>
  </si>
  <si>
    <r>
      <t xml:space="preserve">Cobra Head (aluminum pole) Approximate Lumens 6000-9500 – </t>
    </r>
    <r>
      <rPr>
        <b/>
        <sz val="11"/>
        <color theme="1"/>
        <rFont val="Calibri"/>
        <family val="2"/>
        <scheme val="minor"/>
      </rPr>
      <t>replaces 14</t>
    </r>
  </si>
  <si>
    <t>Average Bill</t>
  </si>
  <si>
    <t>Page 13 of 14</t>
  </si>
  <si>
    <t>Billing adjustments</t>
  </si>
  <si>
    <t>Page 14 of 14</t>
  </si>
  <si>
    <t>Summary</t>
  </si>
  <si>
    <t>Per Form 7</t>
  </si>
  <si>
    <t xml:space="preserve">    Amount</t>
  </si>
  <si>
    <t xml:space="preserve">    Percent</t>
  </si>
  <si>
    <t>Per billing summary</t>
  </si>
  <si>
    <t xml:space="preserve">    Fuel adjustment</t>
  </si>
  <si>
    <t xml:space="preserve">    Environmental surcharge</t>
  </si>
  <si>
    <t>2013 BILLING DATA</t>
  </si>
  <si>
    <t>LIGHT</t>
  </si>
  <si>
    <t>BILLED</t>
  </si>
  <si>
    <t>DEMAND</t>
  </si>
  <si>
    <t>INTERRUPTIBLE</t>
  </si>
  <si>
    <t>january</t>
  </si>
  <si>
    <t>JANUARY</t>
  </si>
  <si>
    <t>RATE</t>
  </si>
  <si>
    <t>BILLS</t>
  </si>
  <si>
    <t>KWH</t>
  </si>
  <si>
    <t>REVENUE</t>
  </si>
  <si>
    <t>FUEL</t>
  </si>
  <si>
    <t>LIGHTS</t>
  </si>
  <si>
    <t>ES</t>
  </si>
  <si>
    <t>AMT</t>
  </si>
  <si>
    <t>CHARGE</t>
  </si>
  <si>
    <t>no</t>
  </si>
  <si>
    <t>kwh</t>
  </si>
  <si>
    <t>amt</t>
  </si>
  <si>
    <t>OLS</t>
  </si>
  <si>
    <r>
      <t xml:space="preserve">GS-1, </t>
    </r>
    <r>
      <rPr>
        <sz val="9"/>
        <color theme="1"/>
        <rFont val="Calibri"/>
        <family val="2"/>
        <scheme val="minor"/>
      </rPr>
      <t>prepay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</si>
  <si>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</si>
  <si>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</si>
  <si>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</si>
  <si>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</si>
  <si>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</si>
  <si>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</si>
  <si>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</si>
  <si>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</si>
  <si>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G-1</t>
  </si>
  <si>
    <t>OCTOBER</t>
  </si>
  <si>
    <t>NOVEMBER</t>
  </si>
  <si>
    <t>DECEMBER</t>
  </si>
  <si>
    <t>TOTAL</t>
  </si>
  <si>
    <t>PGW</t>
  </si>
  <si>
    <t>3M</t>
  </si>
  <si>
    <t>Total Electric Revenue</t>
  </si>
  <si>
    <t>Total KWH</t>
  </si>
  <si>
    <t>Fuel</t>
  </si>
  <si>
    <t>Light KWH</t>
  </si>
  <si>
    <t>Lights</t>
  </si>
  <si>
    <t>Unbilled KWH</t>
  </si>
  <si>
    <t>interr.</t>
  </si>
  <si>
    <t>Accurals</t>
  </si>
  <si>
    <t>Unbilled Rev</t>
  </si>
  <si>
    <t>Fuel Adj</t>
  </si>
  <si>
    <t>ES Adj</t>
  </si>
  <si>
    <t>Other Electrci Revenue</t>
  </si>
  <si>
    <t>form 7</t>
  </si>
  <si>
    <t>Exhibit   I</t>
  </si>
  <si>
    <t>page  1  of  1</t>
  </si>
  <si>
    <t>Average Bill for Residential Rate Class</t>
  </si>
  <si>
    <t>Customer charge</t>
  </si>
  <si>
    <t>Existing</t>
  </si>
  <si>
    <t xml:space="preserve">    Increase    </t>
  </si>
  <si>
    <t>kwh Useage</t>
  </si>
  <si>
    <t>The average monthly useage</t>
  </si>
  <si>
    <t>WHOLESALE POWER BILLING DETERMINANTS</t>
  </si>
  <si>
    <t>Demand includes power factor penalty</t>
  </si>
  <si>
    <t>Billing Demand</t>
  </si>
  <si>
    <t>Total KWH Billing includes green power</t>
  </si>
  <si>
    <t>SCH B</t>
  </si>
  <si>
    <t>Schedule G</t>
  </si>
  <si>
    <t>Schedule B</t>
  </si>
  <si>
    <t>Schedule E2</t>
  </si>
  <si>
    <t>Green</t>
  </si>
  <si>
    <t>Sch B</t>
  </si>
  <si>
    <t>Excess</t>
  </si>
  <si>
    <t>Interruptible</t>
  </si>
  <si>
    <t>Sch G</t>
  </si>
  <si>
    <t>All KWH</t>
  </si>
  <si>
    <t>On-Peak</t>
  </si>
  <si>
    <t>Off-Peak</t>
  </si>
  <si>
    <t>Power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</si>
  <si>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</si>
  <si>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</si>
  <si>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</si>
  <si>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</si>
  <si>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</si>
  <si>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</si>
  <si>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</si>
  <si>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</si>
  <si>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</si>
  <si>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Ocotber</t>
  </si>
  <si>
    <t>November</t>
  </si>
  <si>
    <t>December</t>
  </si>
  <si>
    <t>WHOLESALE BILLING DETERMINANTS</t>
  </si>
  <si>
    <t>PURCHASED POWER BILLING RATES</t>
  </si>
  <si>
    <t xml:space="preserve">Metering </t>
  </si>
  <si>
    <t>Substation Charge</t>
  </si>
  <si>
    <t>Billing Rates</t>
  </si>
  <si>
    <t>Point</t>
  </si>
  <si>
    <t>KW Interruptible</t>
  </si>
  <si>
    <t>KW-Sch G</t>
  </si>
  <si>
    <t>KW-Sch E</t>
  </si>
  <si>
    <t>KW-Sch E2</t>
  </si>
  <si>
    <t>KWH-Sch B</t>
  </si>
  <si>
    <t>KWH-Sch G</t>
  </si>
  <si>
    <t>KWH-Sch E On-Peak</t>
  </si>
  <si>
    <t>KWH-Sch E Off-Peak</t>
  </si>
  <si>
    <t>KWH-E2 On -Peak</t>
  </si>
  <si>
    <t>KWH-E2 Off-Peak</t>
  </si>
  <si>
    <t>KVA 1000-2999</t>
  </si>
  <si>
    <t>KVA 3000-7499</t>
  </si>
  <si>
    <t>KVA 7500-14999</t>
  </si>
  <si>
    <t>KVA 15000-99999</t>
  </si>
  <si>
    <t>Metering Point</t>
  </si>
  <si>
    <t>Green Power</t>
  </si>
  <si>
    <t>ACTUAL PURCHASED POWER COSTS FOR TEST YEAR</t>
  </si>
  <si>
    <t>Total KWH Billing</t>
  </si>
  <si>
    <t>PF</t>
  </si>
  <si>
    <t>Demand</t>
  </si>
  <si>
    <t>Energy</t>
  </si>
  <si>
    <t>Contract</t>
  </si>
  <si>
    <t>Penalty</t>
  </si>
  <si>
    <t>Charge</t>
  </si>
  <si>
    <t>Charges</t>
  </si>
  <si>
    <t>Normalized using rates effective</t>
  </si>
  <si>
    <t>Buy Thru</t>
  </si>
  <si>
    <t>Metering</t>
  </si>
  <si>
    <t>Total from</t>
  </si>
  <si>
    <t>Environmental</t>
  </si>
  <si>
    <t>Adjustment</t>
  </si>
  <si>
    <t>Surcharge</t>
  </si>
  <si>
    <t>DLC</t>
  </si>
  <si>
    <t>Normalized Adjustment</t>
  </si>
  <si>
    <t>Blue Grass Energy</t>
  </si>
  <si>
    <t xml:space="preserve">Case No. </t>
  </si>
  <si>
    <t>ANALYSIS OF FUEL CLAUSE AND ENVIRONMENTAL SURCHARGE</t>
  </si>
  <si>
    <t>An analysis of fuel adjustment and environmental surcharge as purchased</t>
  </si>
  <si>
    <t>and passed on to consumers as follows:</t>
  </si>
  <si>
    <t>Sales</t>
  </si>
  <si>
    <t>Purchased</t>
  </si>
  <si>
    <t>Month</t>
  </si>
  <si>
    <t>The fuel purchased and environmental surcharge from East Kentucky Power</t>
  </si>
  <si>
    <t xml:space="preserve">Cooperative is passed on to the consumers using the Fuel Adjustment and </t>
  </si>
  <si>
    <t>Environmental Procedures established by this Commission.</t>
  </si>
  <si>
    <t>Exhibit    17</t>
  </si>
  <si>
    <t>End of Test Year Customer Adjustment</t>
  </si>
  <si>
    <t>G1</t>
  </si>
  <si>
    <t>Home &amp;</t>
  </si>
  <si>
    <t>Residential</t>
  </si>
  <si>
    <t>General</t>
  </si>
  <si>
    <t>Gen Svc</t>
  </si>
  <si>
    <t>Large</t>
  </si>
  <si>
    <t>Security</t>
  </si>
  <si>
    <t>Enviro</t>
  </si>
  <si>
    <t>Farm</t>
  </si>
  <si>
    <t>T-O-D</t>
  </si>
  <si>
    <t>Service</t>
  </si>
  <si>
    <t>Industrial</t>
  </si>
  <si>
    <t>Watts</t>
  </si>
  <si>
    <t>December, 2012</t>
  </si>
  <si>
    <t>January, 2013</t>
  </si>
  <si>
    <t>October</t>
  </si>
  <si>
    <t>Test year base revenue</t>
  </si>
  <si>
    <t>kwh useage</t>
  </si>
  <si>
    <t>Average per kwh</t>
  </si>
  <si>
    <t>Total billings</t>
  </si>
  <si>
    <t>Average monthly kwh use</t>
  </si>
  <si>
    <t>Increase in revenues</t>
  </si>
  <si>
    <t>Increase in power cost</t>
  </si>
  <si>
    <t>Net increase</t>
  </si>
  <si>
    <t>Increase in consumers, times average use, times average rate, times 12 months, equals additional revenues</t>
  </si>
  <si>
    <t>Increase in consumers, times average use, times average cost per kwh purchased, times 12 months, equals power cost</t>
  </si>
  <si>
    <t>Base power cost</t>
  </si>
  <si>
    <t>Kwh purchased</t>
  </si>
  <si>
    <t>Cost per kwh purchased</t>
  </si>
  <si>
    <t>Last Rate Order data comes from highlighted tabs from Excel file from last rate case</t>
  </si>
  <si>
    <t>LRO</t>
  </si>
  <si>
    <t>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</si>
</sst>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_(&quot;$&quot;* #,##0.00000_);_(&quot;$&quot;* \(#,##0.00000\);_(&quot;$&quot;* &quot;-&quot;??_);_(@_)"/>
    <numFmt numFmtId="169" formatCode="&quot;$&quot;#,##0.00"/>
    <numFmt numFmtId="170" formatCode="0.0%"/>
    <numFmt numFmtId="171" formatCode="&quot;$&quot;#,##0"/>
    <numFmt numFmtId="172" formatCode="&quot;$&quot;#,##0.00000_);\(&quot;$&quot;#,##0.00000\)"/>
    <numFmt numFmtId="173" formatCode="&quot;$&quot;#,##0.00000"/>
    <numFmt numFmtId="174" formatCode="#,##0.0000_);\(#,##0.0000\)"/>
    <numFmt numFmtId="175" formatCode="#,##0.00000_);\(#,##0.00000\)"/>
    <numFmt numFmtId="176" formatCode="&quot;$&quot;#,##0.000000_);\(&quot;$&quot;#,##0.000000\)"/>
    <numFmt numFmtId="177" formatCode="_(&quot;$&quot;* #,##0.000000_);_(&quot;$&quot;* \(#,##0.000000\);_(&quot;$&quot;* &quot;-&quot;??_);_(@_)"/>
    <numFmt numFmtId="178" formatCode="_(&quot;$&quot;* #,##0.000_);_(&quot;$&quot;* \(#,##0.000\);_(&quot;$&quot;* &quot;-&quot;??_);_(@_)"/>
    <numFmt numFmtId="179" formatCode="#,##0.000"/>
    <numFmt numFmtId="180" formatCode="0.000"/>
    <numFmt numFmtId="181" formatCode="[$-409]mmmm\ d\,\ yyyy;@"/>
    <numFmt numFmtId="182" formatCode="&quot;$&quot;#,##0.000000"/>
    <numFmt numFmtId="183" formatCode="#,##0.00000_);[Red]\(#,##0.00000\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name val="Calibri"/>
      <family val="2"/>
      <scheme val="minor"/>
    </font>
    <font>
      <u val="double"/>
      <sz val="12"/>
      <name val="Calibri"/>
      <family val="2"/>
      <scheme val="minor"/>
    </font>
    <font>
      <sz val="8"/>
      <name val="P-TIMES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 val="double"/>
      <sz val="10"/>
      <name val="Calibri"/>
      <family val="2"/>
      <scheme val="minor"/>
    </font>
    <font>
      <u val="double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2" fillId="0" borderId="0" xfId="0" applyFont="1" applyFill="1"/>
    <xf numFmtId="0" fontId="3" fillId="0" borderId="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2" fillId="0" borderId="5" xfId="0" applyFont="1" applyFill="1" applyBorder="1"/>
    <xf numFmtId="43" fontId="2" fillId="0" borderId="0" xfId="1" applyFont="1" applyFill="1"/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/>
    </xf>
    <xf numFmtId="43" fontId="2" fillId="0" borderId="0" xfId="0" applyNumberFormat="1" applyFont="1" applyFill="1"/>
    <xf numFmtId="0" fontId="5" fillId="0" borderId="3" xfId="0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8" fillId="0" borderId="0" xfId="0" applyFont="1" applyAlignment="1">
      <alignment horizontal="left"/>
    </xf>
    <xf numFmtId="37" fontId="8" fillId="0" borderId="0" xfId="0" applyNumberFormat="1" applyFont="1"/>
    <xf numFmtId="5" fontId="8" fillId="0" borderId="0" xfId="0" applyNumberFormat="1" applyFont="1"/>
    <xf numFmtId="9" fontId="8" fillId="0" borderId="0" xfId="0" applyNumberFormat="1" applyFont="1"/>
    <xf numFmtId="170" fontId="8" fillId="0" borderId="0" xfId="0" applyNumberFormat="1" applyFont="1"/>
    <xf numFmtId="165" fontId="0" fillId="2" borderId="0" xfId="2" applyNumberFormat="1" applyFont="1" applyFill="1"/>
    <xf numFmtId="170" fontId="0" fillId="2" borderId="0" xfId="3" applyNumberFormat="1" applyFont="1" applyFill="1"/>
    <xf numFmtId="0" fontId="0" fillId="0" borderId="0" xfId="0" applyAlignment="1">
      <alignment horizontal="left"/>
    </xf>
    <xf numFmtId="38" fontId="8" fillId="0" borderId="0" xfId="0" applyNumberFormat="1" applyFont="1"/>
    <xf numFmtId="165" fontId="0" fillId="0" borderId="0" xfId="2" applyNumberFormat="1" applyFont="1"/>
    <xf numFmtId="37" fontId="8" fillId="0" borderId="9" xfId="0" applyNumberFormat="1" applyFont="1" applyBorder="1"/>
    <xf numFmtId="0" fontId="8" fillId="0" borderId="9" xfId="0" applyFont="1" applyBorder="1"/>
    <xf numFmtId="38" fontId="8" fillId="0" borderId="9" xfId="0" applyNumberFormat="1" applyFont="1" applyBorder="1"/>
    <xf numFmtId="37" fontId="8" fillId="0" borderId="10" xfId="0" applyNumberFormat="1" applyFont="1" applyBorder="1"/>
    <xf numFmtId="5" fontId="8" fillId="0" borderId="10" xfId="0" applyNumberFormat="1" applyFont="1" applyBorder="1"/>
    <xf numFmtId="164" fontId="8" fillId="0" borderId="11" xfId="1" applyNumberFormat="1" applyFont="1" applyBorder="1" applyProtection="1"/>
    <xf numFmtId="5" fontId="11" fillId="0" borderId="0" xfId="0" applyNumberFormat="1" applyFont="1"/>
    <xf numFmtId="164" fontId="8" fillId="0" borderId="3" xfId="1" applyNumberFormat="1" applyFont="1" applyBorder="1" applyProtection="1"/>
    <xf numFmtId="5" fontId="8" fillId="0" borderId="12" xfId="0" applyNumberFormat="1" applyFont="1" applyBorder="1"/>
    <xf numFmtId="0" fontId="12" fillId="0" borderId="0" xfId="0" applyFont="1" applyAlignment="1">
      <alignment horizontal="left"/>
    </xf>
    <xf numFmtId="171" fontId="8" fillId="0" borderId="0" xfId="0" applyNumberFormat="1" applyFont="1"/>
    <xf numFmtId="37" fontId="8" fillId="0" borderId="3" xfId="0" applyNumberFormat="1" applyFont="1" applyBorder="1"/>
    <xf numFmtId="164" fontId="8" fillId="0" borderId="0" xfId="1" applyNumberFormat="1" applyFont="1" applyBorder="1"/>
    <xf numFmtId="164" fontId="8" fillId="0" borderId="3" xfId="1" applyNumberFormat="1" applyFont="1" applyBorder="1"/>
    <xf numFmtId="164" fontId="13" fillId="0" borderId="12" xfId="0" applyNumberFormat="1" applyFont="1" applyBorder="1"/>
    <xf numFmtId="0" fontId="13" fillId="0" borderId="0" xfId="0" applyFont="1"/>
    <xf numFmtId="164" fontId="4" fillId="0" borderId="0" xfId="1" applyNumberFormat="1" applyFont="1" applyAlignment="1">
      <alignment horizontal="right"/>
    </xf>
    <xf numFmtId="164" fontId="0" fillId="2" borderId="0" xfId="1" applyNumberFormat="1" applyFont="1" applyFill="1"/>
    <xf numFmtId="164" fontId="0" fillId="0" borderId="0" xfId="1" applyNumberFormat="1" applyFont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2" borderId="0" xfId="0" applyFill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37" fontId="0" fillId="0" borderId="0" xfId="0" applyNumberFormat="1"/>
    <xf numFmtId="5" fontId="0" fillId="0" borderId="0" xfId="0" applyNumberFormat="1"/>
    <xf numFmtId="7" fontId="0" fillId="0" borderId="0" xfId="0" applyNumberFormat="1"/>
    <xf numFmtId="44" fontId="0" fillId="0" borderId="0" xfId="2" applyFont="1"/>
    <xf numFmtId="44" fontId="14" fillId="0" borderId="0" xfId="2" applyFont="1"/>
    <xf numFmtId="10" fontId="0" fillId="2" borderId="0" xfId="3" applyNumberFormat="1" applyFont="1" applyFill="1"/>
    <xf numFmtId="44" fontId="14" fillId="0" borderId="0" xfId="2" applyFont="1" applyProtection="1"/>
    <xf numFmtId="172" fontId="0" fillId="0" borderId="0" xfId="0" applyNumberFormat="1"/>
    <xf numFmtId="168" fontId="14" fillId="0" borderId="0" xfId="2" applyNumberFormat="1" applyFont="1"/>
    <xf numFmtId="37" fontId="0" fillId="0" borderId="9" xfId="0" applyNumberFormat="1" applyBorder="1"/>
    <xf numFmtId="164" fontId="0" fillId="0" borderId="3" xfId="1" applyNumberFormat="1" applyFont="1" applyBorder="1"/>
    <xf numFmtId="5" fontId="0" fillId="0" borderId="10" xfId="0" applyNumberFormat="1" applyBorder="1"/>
    <xf numFmtId="164" fontId="0" fillId="0" borderId="10" xfId="0" applyNumberFormat="1" applyBorder="1"/>
    <xf numFmtId="5" fontId="0" fillId="2" borderId="0" xfId="0" applyNumberFormat="1" applyFill="1"/>
    <xf numFmtId="164" fontId="0" fillId="3" borderId="0" xfId="1" applyNumberFormat="1" applyFont="1" applyFill="1"/>
    <xf numFmtId="166" fontId="0" fillId="0" borderId="0" xfId="1" applyNumberFormat="1" applyFont="1" applyProtection="1"/>
    <xf numFmtId="166" fontId="0" fillId="0" borderId="0" xfId="1" applyNumberFormat="1" applyFont="1"/>
    <xf numFmtId="166" fontId="0" fillId="2" borderId="0" xfId="1" applyNumberFormat="1" applyFont="1" applyFill="1"/>
    <xf numFmtId="43" fontId="0" fillId="0" borderId="0" xfId="1" applyFont="1"/>
    <xf numFmtId="164" fontId="0" fillId="4" borderId="0" xfId="1" applyNumberFormat="1" applyFont="1" applyFill="1"/>
    <xf numFmtId="164" fontId="0" fillId="0" borderId="0" xfId="0" applyNumberFormat="1"/>
    <xf numFmtId="170" fontId="0" fillId="0" borderId="0" xfId="0" applyNumberFormat="1"/>
    <xf numFmtId="10" fontId="0" fillId="0" borderId="0" xfId="0" applyNumberFormat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0" xfId="0" applyFont="1"/>
    <xf numFmtId="164" fontId="4" fillId="0" borderId="0" xfId="1" applyNumberFormat="1" applyFont="1"/>
    <xf numFmtId="37" fontId="0" fillId="0" borderId="3" xfId="0" applyNumberFormat="1" applyBorder="1"/>
    <xf numFmtId="173" fontId="0" fillId="0" borderId="0" xfId="0" applyNumberFormat="1"/>
    <xf numFmtId="173" fontId="14" fillId="0" borderId="0" xfId="0" applyNumberFormat="1" applyFont="1"/>
    <xf numFmtId="37" fontId="0" fillId="0" borderId="2" xfId="0" applyNumberFormat="1" applyBorder="1"/>
    <xf numFmtId="164" fontId="0" fillId="0" borderId="12" xfId="1" applyNumberFormat="1" applyFont="1" applyBorder="1"/>
    <xf numFmtId="174" fontId="0" fillId="0" borderId="0" xfId="0" applyNumberFormat="1"/>
    <xf numFmtId="7" fontId="14" fillId="0" borderId="0" xfId="0" applyNumberFormat="1" applyFont="1"/>
    <xf numFmtId="172" fontId="14" fillId="0" borderId="0" xfId="0" applyNumberFormat="1" applyFont="1"/>
    <xf numFmtId="6" fontId="0" fillId="0" borderId="0" xfId="0" applyNumberFormat="1"/>
    <xf numFmtId="38" fontId="0" fillId="0" borderId="0" xfId="0" applyNumberFormat="1"/>
    <xf numFmtId="37" fontId="0" fillId="0" borderId="12" xfId="0" applyNumberFormat="1" applyBorder="1"/>
    <xf numFmtId="164" fontId="0" fillId="0" borderId="0" xfId="1" applyNumberFormat="1" applyFont="1" applyFill="1"/>
    <xf numFmtId="167" fontId="0" fillId="0" borderId="0" xfId="1" applyNumberFormat="1" applyFont="1" applyProtection="1"/>
    <xf numFmtId="169" fontId="0" fillId="0" borderId="0" xfId="0" applyNumberFormat="1"/>
    <xf numFmtId="175" fontId="0" fillId="0" borderId="0" xfId="0" applyNumberFormat="1"/>
    <xf numFmtId="0" fontId="4" fillId="0" borderId="1" xfId="0" applyFont="1" applyBorder="1"/>
    <xf numFmtId="164" fontId="0" fillId="0" borderId="0" xfId="1" applyNumberFormat="1" applyFont="1" applyProtection="1"/>
    <xf numFmtId="176" fontId="0" fillId="0" borderId="0" xfId="0" applyNumberFormat="1"/>
    <xf numFmtId="44" fontId="0" fillId="0" borderId="0" xfId="2" applyFont="1" applyProtection="1"/>
    <xf numFmtId="165" fontId="0" fillId="0" borderId="0" xfId="0" applyNumberFormat="1"/>
    <xf numFmtId="44" fontId="0" fillId="0" borderId="0" xfId="0" applyNumberFormat="1"/>
    <xf numFmtId="177" fontId="0" fillId="0" borderId="0" xfId="2" applyNumberFormat="1" applyFont="1" applyProtection="1"/>
    <xf numFmtId="177" fontId="0" fillId="0" borderId="0" xfId="0" applyNumberFormat="1"/>
    <xf numFmtId="0" fontId="15" fillId="0" borderId="0" xfId="0" applyFont="1" applyAlignment="1">
      <alignment horizontal="right"/>
    </xf>
    <xf numFmtId="0" fontId="15" fillId="0" borderId="0" xfId="0" applyFont="1"/>
    <xf numFmtId="0" fontId="0" fillId="0" borderId="0" xfId="0" quotePrefix="1"/>
    <xf numFmtId="3" fontId="0" fillId="0" borderId="0" xfId="0" applyNumberFormat="1"/>
    <xf numFmtId="3" fontId="0" fillId="2" borderId="0" xfId="0" applyNumberFormat="1" applyFill="1"/>
    <xf numFmtId="38" fontId="0" fillId="0" borderId="0" xfId="1" applyNumberFormat="1" applyFont="1"/>
    <xf numFmtId="37" fontId="0" fillId="0" borderId="1" xfId="0" applyNumberFormat="1" applyBorder="1"/>
    <xf numFmtId="37" fontId="0" fillId="0" borderId="10" xfId="0" applyNumberFormat="1" applyBorder="1"/>
    <xf numFmtId="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1" applyNumberFormat="1" applyFont="1" applyBorder="1" applyProtection="1"/>
    <xf numFmtId="10" fontId="0" fillId="0" borderId="0" xfId="3" applyNumberFormat="1" applyFont="1"/>
    <xf numFmtId="178" fontId="0" fillId="0" borderId="0" xfId="2" applyNumberFormat="1" applyFont="1" applyProtection="1"/>
    <xf numFmtId="37" fontId="17" fillId="0" borderId="0" xfId="0" applyNumberFormat="1" applyFont="1"/>
    <xf numFmtId="164" fontId="0" fillId="5" borderId="0" xfId="1" applyNumberFormat="1" applyFont="1" applyFill="1"/>
    <xf numFmtId="41" fontId="0" fillId="0" borderId="0" xfId="0" applyNumberFormat="1"/>
    <xf numFmtId="41" fontId="0" fillId="5" borderId="0" xfId="0" applyNumberFormat="1" applyFill="1"/>
    <xf numFmtId="179" fontId="0" fillId="0" borderId="0" xfId="0" applyNumberFormat="1"/>
    <xf numFmtId="3" fontId="15" fillId="0" borderId="0" xfId="0" applyNumberFormat="1" applyFont="1"/>
    <xf numFmtId="169" fontId="15" fillId="0" borderId="0" xfId="0" applyNumberFormat="1" applyFont="1"/>
    <xf numFmtId="179" fontId="15" fillId="0" borderId="0" xfId="0" applyNumberFormat="1" applyFont="1"/>
    <xf numFmtId="180" fontId="0" fillId="0" borderId="0" xfId="0" applyNumberFormat="1"/>
    <xf numFmtId="180" fontId="15" fillId="0" borderId="0" xfId="0" applyNumberFormat="1" applyFont="1"/>
    <xf numFmtId="166" fontId="0" fillId="0" borderId="0" xfId="0" applyNumberFormat="1"/>
    <xf numFmtId="43" fontId="0" fillId="0" borderId="0" xfId="0" applyNumberFormat="1"/>
    <xf numFmtId="0" fontId="19" fillId="0" borderId="0" xfId="0" applyFont="1"/>
    <xf numFmtId="7" fontId="8" fillId="0" borderId="0" xfId="0" applyNumberFormat="1" applyFont="1"/>
    <xf numFmtId="172" fontId="8" fillId="0" borderId="0" xfId="0" applyNumberFormat="1" applyFont="1"/>
    <xf numFmtId="39" fontId="8" fillId="0" borderId="0" xfId="0" applyNumberFormat="1" applyFont="1"/>
    <xf numFmtId="37" fontId="20" fillId="0" borderId="0" xfId="0" applyNumberFormat="1" applyFont="1"/>
    <xf numFmtId="39" fontId="20" fillId="0" borderId="0" xfId="0" applyNumberFormat="1" applyFont="1"/>
    <xf numFmtId="170" fontId="20" fillId="0" borderId="0" xfId="0" applyNumberFormat="1" applyFont="1"/>
    <xf numFmtId="181" fontId="0" fillId="0" borderId="0" xfId="0" quotePrefix="1" applyNumberForma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/>
    <xf numFmtId="3" fontId="23" fillId="0" borderId="0" xfId="0" applyNumberFormat="1" applyFont="1"/>
    <xf numFmtId="0" fontId="4" fillId="0" borderId="0" xfId="0" applyFont="1"/>
    <xf numFmtId="181" fontId="0" fillId="0" borderId="0" xfId="0" applyNumberFormat="1"/>
    <xf numFmtId="15" fontId="0" fillId="0" borderId="0" xfId="0" applyNumberFormat="1"/>
    <xf numFmtId="3" fontId="0" fillId="0" borderId="0" xfId="0" applyNumberFormat="1" applyAlignment="1">
      <alignment horizontal="center"/>
    </xf>
    <xf numFmtId="0" fontId="21" fillId="0" borderId="0" xfId="0" applyFont="1"/>
    <xf numFmtId="182" fontId="0" fillId="0" borderId="0" xfId="0" applyNumberFormat="1"/>
    <xf numFmtId="3" fontId="22" fillId="0" borderId="0" xfId="0" applyNumberFormat="1" applyFont="1" applyAlignment="1">
      <alignment horizontal="center"/>
    </xf>
    <xf numFmtId="171" fontId="0" fillId="0" borderId="0" xfId="0" applyNumberFormat="1"/>
    <xf numFmtId="3" fontId="23" fillId="0" borderId="0" xfId="0" applyNumberFormat="1" applyFont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7" fontId="19" fillId="0" borderId="12" xfId="0" applyNumberFormat="1" applyFont="1" applyBorder="1"/>
    <xf numFmtId="0" fontId="0" fillId="0" borderId="31" xfId="0" applyBorder="1"/>
    <xf numFmtId="0" fontId="0" fillId="0" borderId="32" xfId="0" applyBorder="1" applyAlignment="1">
      <alignment horizontal="center"/>
    </xf>
    <xf numFmtId="0" fontId="19" fillId="0" borderId="33" xfId="0" applyFont="1" applyBorder="1" applyAlignment="1">
      <alignment horizontal="center"/>
    </xf>
    <xf numFmtId="37" fontId="21" fillId="0" borderId="0" xfId="0" applyNumberFormat="1" applyFont="1"/>
    <xf numFmtId="37" fontId="19" fillId="0" borderId="3" xfId="0" applyNumberFormat="1" applyFont="1" applyBorder="1"/>
    <xf numFmtId="37" fontId="24" fillId="0" borderId="0" xfId="0" applyNumberFormat="1" applyFont="1"/>
    <xf numFmtId="37" fontId="25" fillId="0" borderId="0" xfId="0" applyNumberFormat="1" applyFont="1"/>
    <xf numFmtId="37" fontId="26" fillId="0" borderId="0" xfId="0" applyNumberFormat="1" applyFont="1"/>
    <xf numFmtId="0" fontId="16" fillId="0" borderId="0" xfId="0" applyFont="1"/>
    <xf numFmtId="181" fontId="0" fillId="0" borderId="0" xfId="0" applyNumberFormat="1" applyAlignment="1">
      <alignment horizontal="left"/>
    </xf>
    <xf numFmtId="37" fontId="27" fillId="0" borderId="0" xfId="0" applyNumberFormat="1" applyFont="1"/>
    <xf numFmtId="37" fontId="22" fillId="0" borderId="0" xfId="0" applyNumberFormat="1" applyFont="1"/>
    <xf numFmtId="169" fontId="27" fillId="0" borderId="0" xfId="0" applyNumberFormat="1" applyFont="1"/>
    <xf numFmtId="0" fontId="27" fillId="0" borderId="0" xfId="0" applyFont="1"/>
    <xf numFmtId="37" fontId="28" fillId="0" borderId="0" xfId="0" applyNumberFormat="1" applyFont="1"/>
    <xf numFmtId="169" fontId="28" fillId="0" borderId="0" xfId="0" applyNumberFormat="1" applyFont="1"/>
    <xf numFmtId="0" fontId="28" fillId="0" borderId="0" xfId="0" applyFont="1"/>
    <xf numFmtId="0" fontId="20" fillId="0" borderId="0" xfId="0" applyFont="1"/>
    <xf numFmtId="38" fontId="11" fillId="0" borderId="0" xfId="0" applyNumberFormat="1" applyFont="1"/>
    <xf numFmtId="183" fontId="0" fillId="0" borderId="0" xfId="0" applyNumberFormat="1"/>
    <xf numFmtId="0" fontId="0" fillId="0" borderId="3" xfId="0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0" xfId="0" applyFont="1" applyAlignment="1">
      <alignment horizontal="center"/>
    </xf>
    <xf numFmtId="164" fontId="29" fillId="6" borderId="0" xfId="1" applyNumberFormat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sheetPr>
    <tabColor rgb="FFFFFF00"/>
  </sheetPr>
  <dimension ref="A1:F51"/>
  <sheetViews>
    <sheetView tabSelected="1" view="pageBreakPreview" zoomScale="75" zoomScaleNormal="75" zoomScaleSheetLayoutView="75" workbookViewId="0">
      <pane xSplit="4" ySplit="5" topLeftCell="E36" activePane="bottomRight" state="frozen"/>
      <selection activeCell="J37" sqref="J37"/>
      <selection pane="topRight" activeCell="J37" sqref="J37"/>
      <selection pane="bottomLeft" activeCell="J37" sqref="J37"/>
      <selection pane="bottomRight" activeCell="H51" sqref="H51"/>
    </sheetView>
  </sheetViews>
  <sheetFormatPr defaultColWidth="8.88671875" defaultRowHeight="13.2"/>
  <cols>
    <col min="1" max="1" width="5.21875" style="9" customWidth="1"/>
    <col min="2" max="2" width="27.6640625" style="1" bestFit="1" customWidth="1"/>
    <col min="3" max="3" width="9" style="6" customWidth="1"/>
    <col min="4" max="4" width="30.44140625" style="1" customWidth="1"/>
    <col min="5" max="6" width="13.33203125" style="1" bestFit="1" customWidth="1"/>
    <col min="7" max="16384" width="8.88671875" style="1"/>
  </cols>
  <sheetData>
    <row r="1" spans="1:6">
      <c r="A1" s="8" t="s">
        <v>9</v>
      </c>
    </row>
    <row r="2" spans="1:6" ht="14.4" customHeight="1">
      <c r="A2" s="8" t="s">
        <v>46</v>
      </c>
    </row>
    <row r="5" spans="1:6" ht="38.4" customHeight="1">
      <c r="A5" s="10" t="s">
        <v>0</v>
      </c>
      <c r="B5" s="10" t="s">
        <v>4</v>
      </c>
      <c r="C5" s="11" t="s">
        <v>3</v>
      </c>
      <c r="D5" s="10" t="s">
        <v>5</v>
      </c>
      <c r="E5" s="2">
        <v>2019</v>
      </c>
      <c r="F5" s="18" t="s">
        <v>44</v>
      </c>
    </row>
    <row r="6" spans="1:6" ht="30.6" customHeight="1" thickBot="1">
      <c r="A6" s="12"/>
      <c r="B6" s="13"/>
      <c r="C6" s="14"/>
      <c r="D6" s="13"/>
      <c r="E6" s="3"/>
      <c r="F6" s="3"/>
    </row>
    <row r="7" spans="1:6">
      <c r="A7" s="15">
        <v>1</v>
      </c>
      <c r="B7" s="4" t="s">
        <v>12</v>
      </c>
      <c r="C7" s="16" t="s">
        <v>10</v>
      </c>
      <c r="D7" s="4"/>
      <c r="E7" s="4"/>
      <c r="F7" s="4"/>
    </row>
    <row r="8" spans="1:6">
      <c r="A8" s="15">
        <f>A7+1</f>
        <v>2</v>
      </c>
      <c r="C8" s="1"/>
      <c r="D8" s="1" t="s">
        <v>6</v>
      </c>
      <c r="E8" s="7">
        <f>629755+863+38972</f>
        <v>669590</v>
      </c>
      <c r="F8" s="7">
        <v>633843</v>
      </c>
    </row>
    <row r="9" spans="1:6">
      <c r="A9" s="15">
        <f t="shared" ref="A9:A49" si="0">A8+1</f>
        <v>3</v>
      </c>
      <c r="B9" s="5"/>
      <c r="D9" s="1" t="s">
        <v>29</v>
      </c>
      <c r="E9" s="7">
        <v>832664778</v>
      </c>
      <c r="F9" s="7">
        <v>793939806</v>
      </c>
    </row>
    <row r="10" spans="1:6" ht="13.8" thickBot="1">
      <c r="A10" s="15">
        <f t="shared" si="0"/>
        <v>4</v>
      </c>
    </row>
    <row r="11" spans="1:6">
      <c r="A11" s="15">
        <f t="shared" si="0"/>
        <v>5</v>
      </c>
      <c r="B11" s="4" t="s">
        <v>8</v>
      </c>
      <c r="C11" s="16" t="s">
        <v>11</v>
      </c>
      <c r="D11" s="4"/>
      <c r="E11" s="4"/>
      <c r="F11" s="4"/>
    </row>
    <row r="12" spans="1:6">
      <c r="A12" s="15">
        <f t="shared" si="0"/>
        <v>6</v>
      </c>
      <c r="C12" s="1"/>
      <c r="D12" s="1" t="s">
        <v>6</v>
      </c>
      <c r="E12" s="7">
        <v>1358</v>
      </c>
      <c r="F12" s="7">
        <v>0</v>
      </c>
    </row>
    <row r="13" spans="1:6">
      <c r="A13" s="15">
        <f t="shared" si="0"/>
        <v>7</v>
      </c>
      <c r="D13" s="1" t="s">
        <v>30</v>
      </c>
      <c r="E13" s="7">
        <v>70447</v>
      </c>
      <c r="F13" s="7">
        <v>0</v>
      </c>
    </row>
    <row r="14" spans="1:6">
      <c r="A14" s="15">
        <f t="shared" si="0"/>
        <v>8</v>
      </c>
      <c r="D14" s="1" t="s">
        <v>31</v>
      </c>
      <c r="E14" s="7">
        <v>21651</v>
      </c>
      <c r="F14" s="7">
        <v>0</v>
      </c>
    </row>
    <row r="15" spans="1:6">
      <c r="A15" s="15">
        <f t="shared" si="0"/>
        <v>9</v>
      </c>
      <c r="D15" s="1" t="s">
        <v>32</v>
      </c>
      <c r="E15" s="7">
        <v>10091</v>
      </c>
      <c r="F15" s="7">
        <v>0</v>
      </c>
    </row>
    <row r="16" spans="1:6" ht="13.8" thickBot="1">
      <c r="A16" s="15">
        <f t="shared" si="0"/>
        <v>10</v>
      </c>
    </row>
    <row r="17" spans="1:6">
      <c r="A17" s="15">
        <f t="shared" si="0"/>
        <v>11</v>
      </c>
      <c r="B17" s="4" t="s">
        <v>13</v>
      </c>
      <c r="C17" s="16" t="s">
        <v>14</v>
      </c>
      <c r="D17" s="4"/>
      <c r="E17" s="4"/>
      <c r="F17" s="4"/>
    </row>
    <row r="18" spans="1:6">
      <c r="A18" s="15">
        <f t="shared" si="0"/>
        <v>12</v>
      </c>
      <c r="C18" s="1"/>
      <c r="D18" s="1" t="s">
        <v>6</v>
      </c>
      <c r="E18" s="7">
        <v>321</v>
      </c>
      <c r="F18" s="7">
        <v>447</v>
      </c>
    </row>
    <row r="19" spans="1:6">
      <c r="A19" s="15">
        <f t="shared" si="0"/>
        <v>13</v>
      </c>
      <c r="D19" s="1" t="s">
        <v>33</v>
      </c>
      <c r="E19" s="7">
        <v>121287</v>
      </c>
      <c r="F19" s="7">
        <v>58291</v>
      </c>
    </row>
    <row r="20" spans="1:6">
      <c r="A20" s="15">
        <f t="shared" si="0"/>
        <v>14</v>
      </c>
      <c r="D20" s="1" t="s">
        <v>34</v>
      </c>
      <c r="E20" s="7">
        <v>251404</v>
      </c>
      <c r="F20" s="7">
        <v>379156</v>
      </c>
    </row>
    <row r="21" spans="1:6" ht="13.8" thickBot="1">
      <c r="A21" s="15">
        <f t="shared" si="0"/>
        <v>15</v>
      </c>
    </row>
    <row r="22" spans="1:6">
      <c r="A22" s="15">
        <f t="shared" si="0"/>
        <v>16</v>
      </c>
      <c r="B22" s="4" t="s">
        <v>15</v>
      </c>
      <c r="C22" s="16" t="s">
        <v>16</v>
      </c>
      <c r="D22" s="4"/>
      <c r="E22" s="4"/>
      <c r="F22" s="4"/>
    </row>
    <row r="23" spans="1:6">
      <c r="A23" s="15">
        <f t="shared" si="0"/>
        <v>17</v>
      </c>
      <c r="C23" s="1"/>
      <c r="D23" s="1" t="s">
        <v>6</v>
      </c>
      <c r="E23" s="7">
        <v>33344</v>
      </c>
      <c r="F23" s="7">
        <v>30758</v>
      </c>
    </row>
    <row r="24" spans="1:6">
      <c r="A24" s="15">
        <f t="shared" si="0"/>
        <v>18</v>
      </c>
      <c r="D24" s="1" t="s">
        <v>29</v>
      </c>
      <c r="E24" s="7">
        <v>77999410</v>
      </c>
      <c r="F24" s="7">
        <v>70405905</v>
      </c>
    </row>
    <row r="25" spans="1:6">
      <c r="A25" s="15">
        <f t="shared" si="0"/>
        <v>19</v>
      </c>
      <c r="D25" s="1" t="s">
        <v>35</v>
      </c>
      <c r="E25" s="7">
        <v>167773</v>
      </c>
      <c r="F25" s="7">
        <v>157176</v>
      </c>
    </row>
    <row r="26" spans="1:6" ht="13.8" thickBot="1">
      <c r="A26" s="15">
        <f t="shared" si="0"/>
        <v>20</v>
      </c>
    </row>
    <row r="27" spans="1:6">
      <c r="A27" s="15">
        <f t="shared" si="0"/>
        <v>21</v>
      </c>
      <c r="B27" s="4" t="s">
        <v>24</v>
      </c>
      <c r="C27" s="16" t="s">
        <v>23</v>
      </c>
      <c r="D27" s="4"/>
      <c r="E27" s="4"/>
      <c r="F27" s="4"/>
    </row>
    <row r="28" spans="1:6">
      <c r="A28" s="15">
        <f t="shared" si="0"/>
        <v>22</v>
      </c>
      <c r="C28" s="1"/>
      <c r="D28" s="1" t="s">
        <v>6</v>
      </c>
      <c r="E28" s="7">
        <v>534</v>
      </c>
      <c r="F28" s="7">
        <v>323</v>
      </c>
    </row>
    <row r="29" spans="1:6">
      <c r="A29" s="15">
        <f t="shared" si="0"/>
        <v>23</v>
      </c>
      <c r="D29" s="1" t="s">
        <v>33</v>
      </c>
      <c r="E29" s="7">
        <v>590330</v>
      </c>
      <c r="F29" s="7">
        <v>368140</v>
      </c>
    </row>
    <row r="30" spans="1:6">
      <c r="A30" s="15">
        <f t="shared" si="0"/>
        <v>24</v>
      </c>
      <c r="D30" s="1" t="s">
        <v>34</v>
      </c>
      <c r="E30" s="7">
        <v>737236</v>
      </c>
      <c r="F30" s="7">
        <v>291019</v>
      </c>
    </row>
    <row r="31" spans="1:6" ht="13.8" thickBot="1">
      <c r="A31" s="15">
        <f t="shared" si="0"/>
        <v>25</v>
      </c>
    </row>
    <row r="32" spans="1:6">
      <c r="A32" s="15">
        <f t="shared" si="0"/>
        <v>26</v>
      </c>
      <c r="B32" s="4" t="s">
        <v>17</v>
      </c>
      <c r="C32" s="16" t="s">
        <v>18</v>
      </c>
      <c r="D32" s="4"/>
      <c r="E32" s="4"/>
      <c r="F32" s="4"/>
    </row>
    <row r="33" spans="1:6">
      <c r="A33" s="15">
        <f t="shared" si="0"/>
        <v>27</v>
      </c>
      <c r="C33" s="1"/>
      <c r="D33" s="1" t="s">
        <v>6</v>
      </c>
      <c r="E33" s="7">
        <v>709</v>
      </c>
      <c r="F33" s="7">
        <v>673</v>
      </c>
    </row>
    <row r="34" spans="1:6">
      <c r="A34" s="15">
        <f t="shared" si="0"/>
        <v>28</v>
      </c>
      <c r="D34" s="1" t="s">
        <v>29</v>
      </c>
      <c r="E34" s="7">
        <v>32261894</v>
      </c>
      <c r="F34" s="7">
        <v>34051767</v>
      </c>
    </row>
    <row r="35" spans="1:6">
      <c r="A35" s="15">
        <f t="shared" si="0"/>
        <v>29</v>
      </c>
      <c r="D35" s="1" t="s">
        <v>25</v>
      </c>
      <c r="E35" s="7">
        <v>4880040</v>
      </c>
      <c r="F35" s="7">
        <v>3449280</v>
      </c>
    </row>
    <row r="36" spans="1:6">
      <c r="A36" s="15">
        <f t="shared" si="0"/>
        <v>30</v>
      </c>
      <c r="D36" s="1" t="s">
        <v>36</v>
      </c>
      <c r="E36" s="7">
        <v>110932</v>
      </c>
      <c r="F36" s="7">
        <v>110568</v>
      </c>
    </row>
    <row r="37" spans="1:6" ht="13.8" thickBot="1">
      <c r="A37" s="15">
        <f t="shared" si="0"/>
        <v>31</v>
      </c>
    </row>
    <row r="38" spans="1:6">
      <c r="A38" s="15">
        <f t="shared" si="0"/>
        <v>32</v>
      </c>
      <c r="B38" s="4" t="s">
        <v>26</v>
      </c>
      <c r="C38" s="16" t="s">
        <v>19</v>
      </c>
      <c r="D38" s="4"/>
      <c r="E38" s="4"/>
      <c r="F38" s="4"/>
    </row>
    <row r="39" spans="1:6">
      <c r="A39" s="15">
        <f t="shared" si="0"/>
        <v>33</v>
      </c>
      <c r="C39" s="1"/>
      <c r="D39" s="1" t="s">
        <v>6</v>
      </c>
      <c r="E39" s="7">
        <f>288</f>
        <v>288</v>
      </c>
      <c r="F39" s="7">
        <v>281</v>
      </c>
    </row>
    <row r="40" spans="1:6">
      <c r="A40" s="15">
        <f t="shared" si="0"/>
        <v>34</v>
      </c>
      <c r="D40" s="1" t="s">
        <v>29</v>
      </c>
      <c r="E40" s="7">
        <v>22347816</v>
      </c>
      <c r="F40" s="7">
        <v>80741257</v>
      </c>
    </row>
    <row r="41" spans="1:6">
      <c r="A41" s="15">
        <f t="shared" si="0"/>
        <v>35</v>
      </c>
      <c r="D41" s="1" t="s">
        <v>25</v>
      </c>
      <c r="E41" s="7">
        <f>59902200</f>
        <v>59902200</v>
      </c>
      <c r="F41" s="7">
        <v>0</v>
      </c>
    </row>
    <row r="42" spans="1:6">
      <c r="A42" s="15">
        <f t="shared" si="0"/>
        <v>36</v>
      </c>
      <c r="D42" s="1" t="s">
        <v>36</v>
      </c>
      <c r="E42" s="7">
        <f>218147</f>
        <v>218147</v>
      </c>
      <c r="F42" s="7">
        <v>208910</v>
      </c>
    </row>
    <row r="43" spans="1:6" ht="13.8" thickBot="1">
      <c r="A43" s="15">
        <f t="shared" si="0"/>
        <v>37</v>
      </c>
    </row>
    <row r="44" spans="1:6">
      <c r="A44" s="15">
        <f t="shared" si="0"/>
        <v>38</v>
      </c>
      <c r="B44" s="4" t="s">
        <v>22</v>
      </c>
      <c r="C44" s="16" t="s">
        <v>20</v>
      </c>
      <c r="D44" s="4"/>
      <c r="E44" s="4"/>
      <c r="F44" s="4"/>
    </row>
    <row r="45" spans="1:6">
      <c r="A45" s="15">
        <f t="shared" si="0"/>
        <v>39</v>
      </c>
      <c r="C45" s="1"/>
      <c r="D45" s="1" t="s">
        <v>6</v>
      </c>
      <c r="E45" s="7">
        <f>60</f>
        <v>60</v>
      </c>
      <c r="F45" s="7">
        <v>60</v>
      </c>
    </row>
    <row r="46" spans="1:6">
      <c r="A46" s="15">
        <f t="shared" si="0"/>
        <v>40</v>
      </c>
      <c r="D46" s="1" t="s">
        <v>37</v>
      </c>
      <c r="E46" s="7">
        <f>289800+56400</f>
        <v>346200</v>
      </c>
      <c r="F46" s="7">
        <v>363601</v>
      </c>
    </row>
    <row r="47" spans="1:6">
      <c r="A47" s="15">
        <f t="shared" si="0"/>
        <v>41</v>
      </c>
      <c r="B47" s="5"/>
      <c r="D47" s="1" t="s">
        <v>38</v>
      </c>
      <c r="E47" s="7">
        <f>39564+220</f>
        <v>39784</v>
      </c>
      <c r="F47" s="7">
        <v>15994.288999999999</v>
      </c>
    </row>
    <row r="48" spans="1:6">
      <c r="A48" s="15">
        <f t="shared" si="0"/>
        <v>42</v>
      </c>
      <c r="B48" s="5"/>
      <c r="D48" s="1" t="s">
        <v>39</v>
      </c>
      <c r="E48" s="7">
        <f>56400+220</f>
        <v>56620</v>
      </c>
      <c r="F48" s="7">
        <v>24927.68</v>
      </c>
    </row>
    <row r="49" spans="1:6">
      <c r="A49" s="15">
        <f t="shared" si="0"/>
        <v>43</v>
      </c>
      <c r="B49" s="17"/>
      <c r="D49" s="1" t="s">
        <v>29</v>
      </c>
      <c r="E49" s="7">
        <f>200724889</f>
        <v>200724889</v>
      </c>
      <c r="F49" s="7">
        <v>198304474</v>
      </c>
    </row>
    <row r="50" spans="1:6">
      <c r="A50" s="15"/>
    </row>
    <row r="51" spans="1:6">
      <c r="A51" s="15"/>
      <c r="B51" s="207" t="s">
        <v>384</v>
      </c>
      <c r="C51" s="208"/>
      <c r="D51" s="207"/>
      <c r="E51" s="207"/>
    </row>
  </sheetData>
  <printOptions horizontalCentered="1"/>
  <pageMargins left="0.7" right="0.7" top="0.75" bottom="0.75" header="0.3" footer="0.3"/>
  <pageSetup scale="55" fitToHeight="3" orientation="portrait" r:id="rId1"/>
  <headerFooter>
    <oddHeader>&amp;R&amp;"Arial,Bold"&amp;12Exhibit 3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5ABC-DD09-44EB-9456-8E6BFF88B284}">
  <sheetPr>
    <tabColor rgb="FFFFFF00"/>
  </sheetPr>
  <dimension ref="A1:V418"/>
  <sheetViews>
    <sheetView topLeftCell="A25" zoomScale="75" zoomScaleNormal="75" zoomScaleSheetLayoutView="75" workbookViewId="0">
      <selection activeCell="N6" sqref="N6"/>
    </sheetView>
  </sheetViews>
  <sheetFormatPr defaultRowHeight="14.4"/>
  <cols>
    <col min="1" max="1" width="29.5546875" customWidth="1"/>
    <col min="2" max="2" width="12.6640625" customWidth="1"/>
    <col min="3" max="3" width="12" customWidth="1"/>
    <col min="4" max="4" width="10.88671875" customWidth="1"/>
    <col min="5" max="5" width="12.33203125" customWidth="1"/>
    <col min="6" max="6" width="10.88671875" customWidth="1"/>
    <col min="7" max="7" width="12.44140625" customWidth="1"/>
    <col min="9" max="9" width="11.6640625" style="62" customWidth="1"/>
    <col min="10" max="10" width="11" style="62" customWidth="1"/>
    <col min="11" max="11" width="11.6640625" style="62" customWidth="1"/>
    <col min="12" max="12" width="12.109375" style="61" customWidth="1"/>
    <col min="13" max="13" width="12.109375" style="62" customWidth="1"/>
    <col min="14" max="15" width="11.6640625" style="62" customWidth="1"/>
    <col min="16" max="16" width="8.88671875" style="62"/>
    <col min="17" max="17" width="10.88671875" bestFit="1" customWidth="1"/>
    <col min="22" max="22" width="11.6640625" customWidth="1"/>
  </cols>
  <sheetData>
    <row r="1" spans="1:14">
      <c r="A1" s="211" t="s">
        <v>93</v>
      </c>
      <c r="B1" s="211"/>
      <c r="C1" s="211"/>
      <c r="D1" s="211"/>
      <c r="E1" s="211"/>
      <c r="I1"/>
      <c r="J1"/>
      <c r="K1" s="60" t="s">
        <v>47</v>
      </c>
    </row>
    <row r="2" spans="1:14">
      <c r="A2" s="211" t="s">
        <v>94</v>
      </c>
      <c r="B2" s="211"/>
      <c r="C2" s="211"/>
      <c r="D2" s="211"/>
      <c r="E2" s="211"/>
      <c r="I2"/>
      <c r="J2"/>
      <c r="K2" s="25" t="s">
        <v>95</v>
      </c>
    </row>
    <row r="3" spans="1:14">
      <c r="A3" s="211" t="s">
        <v>96</v>
      </c>
      <c r="B3" s="211"/>
      <c r="C3" s="211"/>
      <c r="D3" s="211"/>
      <c r="E3" s="211"/>
      <c r="I3"/>
      <c r="J3"/>
      <c r="K3" s="25" t="s">
        <v>97</v>
      </c>
    </row>
    <row r="4" spans="1:14">
      <c r="A4" s="216" t="s">
        <v>98</v>
      </c>
      <c r="B4" s="216"/>
      <c r="C4" s="216"/>
      <c r="D4" s="216"/>
      <c r="E4" s="216"/>
      <c r="I4"/>
      <c r="J4"/>
      <c r="K4" s="25" t="s">
        <v>85</v>
      </c>
    </row>
    <row r="5" spans="1:14">
      <c r="A5" s="21"/>
      <c r="B5" s="21"/>
      <c r="C5" s="21"/>
      <c r="D5" s="21"/>
      <c r="L5" s="223" t="s">
        <v>385</v>
      </c>
    </row>
    <row r="6" spans="1:14">
      <c r="A6" s="211" t="s">
        <v>64</v>
      </c>
      <c r="B6" s="211"/>
      <c r="C6" s="211"/>
      <c r="D6" s="211"/>
      <c r="E6" s="211"/>
      <c r="L6" s="223" t="s">
        <v>386</v>
      </c>
      <c r="N6" s="62" t="s">
        <v>99</v>
      </c>
    </row>
    <row r="8" spans="1:14">
      <c r="B8" s="63"/>
      <c r="C8" s="64" t="s">
        <v>100</v>
      </c>
      <c r="D8" s="65" t="s">
        <v>52</v>
      </c>
      <c r="E8" s="66"/>
      <c r="F8" s="67"/>
      <c r="G8" s="68"/>
      <c r="H8" s="67"/>
      <c r="I8" s="68"/>
      <c r="J8" s="67"/>
      <c r="K8" s="68"/>
      <c r="L8" s="33"/>
      <c r="M8"/>
    </row>
    <row r="9" spans="1:14">
      <c r="B9" s="69" t="s">
        <v>101</v>
      </c>
      <c r="C9" s="70" t="s">
        <v>102</v>
      </c>
      <c r="D9" s="71" t="s">
        <v>103</v>
      </c>
      <c r="E9" s="72"/>
      <c r="F9" s="71" t="s">
        <v>104</v>
      </c>
      <c r="G9" s="72"/>
      <c r="H9" s="212" t="s">
        <v>105</v>
      </c>
      <c r="I9" s="213"/>
      <c r="J9" s="212" t="s">
        <v>106</v>
      </c>
      <c r="K9" s="213"/>
      <c r="L9" s="73"/>
      <c r="M9" s="27"/>
    </row>
    <row r="10" spans="1:14" ht="15.6">
      <c r="A10" s="30" t="s">
        <v>107</v>
      </c>
      <c r="B10" s="74" t="s">
        <v>108</v>
      </c>
      <c r="C10" s="74" t="s">
        <v>109</v>
      </c>
      <c r="D10" s="75" t="s">
        <v>110</v>
      </c>
      <c r="E10" s="76" t="s">
        <v>109</v>
      </c>
      <c r="F10" s="75" t="s">
        <v>110</v>
      </c>
      <c r="G10" s="76" t="s">
        <v>109</v>
      </c>
      <c r="H10" s="75" t="s">
        <v>110</v>
      </c>
      <c r="I10" s="76" t="s">
        <v>109</v>
      </c>
      <c r="J10" s="75" t="s">
        <v>110</v>
      </c>
      <c r="K10" s="76" t="s">
        <v>109</v>
      </c>
      <c r="L10" s="73"/>
      <c r="M10" s="27"/>
    </row>
    <row r="12" spans="1:14">
      <c r="A12" t="s">
        <v>6</v>
      </c>
      <c r="B12" s="77">
        <f>+monthly!C281+monthly!C284</f>
        <v>624720</v>
      </c>
      <c r="C12" s="78">
        <f>+B12*D12</f>
        <v>6078525.6000000006</v>
      </c>
      <c r="D12" s="79">
        <v>9.73</v>
      </c>
      <c r="E12" s="78">
        <f>($B12*D12)</f>
        <v>6078525.6000000006</v>
      </c>
      <c r="F12" s="79">
        <v>12</v>
      </c>
      <c r="G12" s="78">
        <f>($B12*F12)</f>
        <v>7496640</v>
      </c>
      <c r="H12" s="80">
        <v>14</v>
      </c>
      <c r="I12" s="62">
        <f>(H12*B12)</f>
        <v>8746080</v>
      </c>
      <c r="J12" s="81">
        <v>16.5</v>
      </c>
      <c r="K12" s="62">
        <f>(J12*B12)</f>
        <v>10307880</v>
      </c>
      <c r="L12" s="82">
        <f>K12/(K12+K14)</f>
        <v>0.13208645945968425</v>
      </c>
      <c r="N12" s="62" t="s">
        <v>111</v>
      </c>
    </row>
    <row r="13" spans="1:14">
      <c r="A13" t="s">
        <v>112</v>
      </c>
      <c r="B13" s="77">
        <f>+monthly!C285</f>
        <v>9123</v>
      </c>
      <c r="C13" s="77">
        <f>+B13*D13</f>
        <v>168593.04</v>
      </c>
      <c r="D13" s="79">
        <f>9.73+8.75</f>
        <v>18.48</v>
      </c>
      <c r="E13" s="77">
        <f>($B13*D13)</f>
        <v>168593.04</v>
      </c>
      <c r="F13" s="79">
        <f>F12+8.75</f>
        <v>20.75</v>
      </c>
      <c r="G13" s="77">
        <f>($B13*F13)</f>
        <v>189302.25</v>
      </c>
      <c r="H13" s="79">
        <f>H12+8.75</f>
        <v>22.75</v>
      </c>
      <c r="I13" s="62">
        <f>(H13*B13)</f>
        <v>207548.25</v>
      </c>
      <c r="J13" s="83">
        <f>J12+8.75</f>
        <v>25.25</v>
      </c>
      <c r="K13" s="62">
        <f>(J13*B13)</f>
        <v>230355.75</v>
      </c>
      <c r="L13" s="82"/>
      <c r="N13" s="62" t="s">
        <v>113</v>
      </c>
    </row>
    <row r="14" spans="1:14">
      <c r="A14" t="s">
        <v>114</v>
      </c>
      <c r="B14" s="77">
        <f>+monthly!D281+monthly!D284+monthly!D285-B373</f>
        <v>793939806</v>
      </c>
      <c r="C14" s="77">
        <f>+B14*D14-32394</f>
        <v>71033158.035060003</v>
      </c>
      <c r="D14" s="84">
        <v>8.9510000000000006E-2</v>
      </c>
      <c r="E14" s="77">
        <f>($B14*D14)</f>
        <v>71065552.035060003</v>
      </c>
      <c r="F14" s="84">
        <v>8.8900000000000007E-2</v>
      </c>
      <c r="G14" s="77">
        <f>($B14*F14)</f>
        <v>70581248.753399998</v>
      </c>
      <c r="H14">
        <v>8.7309999999999999E-2</v>
      </c>
      <c r="I14" s="62">
        <f>(H14*B14)</f>
        <v>69318884.461860001</v>
      </c>
      <c r="J14" s="85">
        <v>8.5309999999999997E-2</v>
      </c>
      <c r="K14" s="62">
        <f>(J14*B14)</f>
        <v>67731004.849859998</v>
      </c>
      <c r="L14" s="82">
        <f>K14/(K12+K14)</f>
        <v>0.86791354054031578</v>
      </c>
    </row>
    <row r="15" spans="1:14">
      <c r="B15" s="77"/>
      <c r="C15" s="86"/>
      <c r="E15" s="86"/>
      <c r="G15" s="86"/>
      <c r="I15" s="87"/>
      <c r="K15" s="87"/>
    </row>
    <row r="16" spans="1:14">
      <c r="E16" s="77"/>
      <c r="G16" s="77"/>
    </row>
    <row r="17" spans="1:16" ht="15" thickBot="1">
      <c r="A17" t="s">
        <v>75</v>
      </c>
      <c r="B17" s="77"/>
      <c r="C17" s="77">
        <f>SUM(C12:C15)</f>
        <v>77280276.675060004</v>
      </c>
      <c r="E17" s="88">
        <f>SUM(E11:E15)</f>
        <v>77312670.675060004</v>
      </c>
      <c r="G17" s="88">
        <f>SUM(G11:G15)</f>
        <v>78267191.003399998</v>
      </c>
      <c r="I17" s="89">
        <f>SUM(I11:I15)</f>
        <v>78272512.711860001</v>
      </c>
      <c r="J17" s="78"/>
      <c r="K17" s="89">
        <f>SUM(K11:K15)</f>
        <v>78269240.599859998</v>
      </c>
      <c r="L17" s="90"/>
      <c r="M17" s="78"/>
      <c r="N17" s="62">
        <f>+monthly!F281+monthly!F284+monthly!F285</f>
        <v>77288142.409999996</v>
      </c>
      <c r="O17" s="61">
        <f>+N17-C17</f>
        <v>7865.7349399924278</v>
      </c>
    </row>
    <row r="18" spans="1:16" ht="15" thickTop="1">
      <c r="B18" s="77"/>
      <c r="E18" s="77"/>
      <c r="G18" s="77" t="s">
        <v>45</v>
      </c>
      <c r="I18" s="62" t="str">
        <f>(G18)</f>
        <v xml:space="preserve"> </v>
      </c>
      <c r="O18" s="91">
        <f>+C408</f>
        <v>0.40863902866840363</v>
      </c>
      <c r="P18" s="62" t="s">
        <v>115</v>
      </c>
    </row>
    <row r="19" spans="1:16">
      <c r="A19" t="s">
        <v>116</v>
      </c>
      <c r="B19" s="77"/>
      <c r="C19" s="77">
        <f>+monthly!G281+monthly!G284+monthly!G285</f>
        <v>-142183.16999999998</v>
      </c>
      <c r="E19" s="77"/>
      <c r="G19" s="77" t="s">
        <v>45</v>
      </c>
      <c r="I19" s="62" t="s">
        <v>45</v>
      </c>
    </row>
    <row r="20" spans="1:16">
      <c r="A20" t="s">
        <v>117</v>
      </c>
      <c r="B20" s="77"/>
      <c r="C20" s="86">
        <f>+monthly!I281+monthly!I284+monthly!I285</f>
        <v>8637210.2499999981</v>
      </c>
      <c r="E20" s="77"/>
      <c r="G20" s="92" t="s">
        <v>45</v>
      </c>
      <c r="I20" s="93" t="s">
        <v>45</v>
      </c>
      <c r="J20" s="93"/>
      <c r="K20" s="93"/>
      <c r="L20" s="94"/>
      <c r="M20" s="93"/>
      <c r="O20" s="95">
        <f>9.73+8.75</f>
        <v>18.48</v>
      </c>
    </row>
    <row r="21" spans="1:16">
      <c r="B21" s="77"/>
      <c r="E21" s="77"/>
      <c r="F21" t="s">
        <v>45</v>
      </c>
      <c r="G21" s="77"/>
    </row>
    <row r="22" spans="1:16" ht="15" thickBot="1">
      <c r="A22" t="s">
        <v>118</v>
      </c>
      <c r="B22" s="77"/>
      <c r="C22" s="88">
        <f>SUM(C17:C20)</f>
        <v>85775303.755060002</v>
      </c>
      <c r="O22" s="96">
        <v>2010129.4375515601</v>
      </c>
    </row>
    <row r="23" spans="1:16" ht="15" thickTop="1">
      <c r="E23" s="77"/>
      <c r="G23" s="77"/>
    </row>
    <row r="24" spans="1:16">
      <c r="A24" t="s">
        <v>62</v>
      </c>
      <c r="B24" s="77"/>
      <c r="E24" s="78">
        <f>E17-C17</f>
        <v>32394</v>
      </c>
      <c r="G24" s="78">
        <f>G17-E17</f>
        <v>954520.32833999395</v>
      </c>
      <c r="I24" s="97">
        <f>I17-E17</f>
        <v>959842.03679999709</v>
      </c>
      <c r="K24" s="97">
        <f>K17-E17</f>
        <v>956569.92479999363</v>
      </c>
    </row>
    <row r="25" spans="1:16">
      <c r="A25" t="s">
        <v>42</v>
      </c>
      <c r="D25" s="98"/>
      <c r="E25" s="98">
        <f>(E24/C17)</f>
        <v>4.1917551791651695E-4</v>
      </c>
      <c r="F25" s="98"/>
      <c r="G25" s="99">
        <f>(G24/E17)</f>
        <v>1.234623406494104E-2</v>
      </c>
      <c r="I25" s="99">
        <f>(I24/G17)</f>
        <v>1.226365766414564E-2</v>
      </c>
      <c r="K25" s="99">
        <f>(K24/I17)</f>
        <v>1.222101976362198E-2</v>
      </c>
    </row>
    <row r="27" spans="1:16">
      <c r="A27" t="s">
        <v>119</v>
      </c>
      <c r="C27" s="79">
        <f>C17/$B12</f>
        <v>123.70386201027661</v>
      </c>
      <c r="D27" s="79"/>
      <c r="E27" s="79">
        <f>E17/$B12</f>
        <v>123.75571564070304</v>
      </c>
      <c r="F27" s="79"/>
      <c r="G27" s="79">
        <f>G17/$B12</f>
        <v>125.28363267287745</v>
      </c>
      <c r="I27" s="79">
        <f>I17/$B12</f>
        <v>125.29215122272379</v>
      </c>
      <c r="K27" s="79">
        <f>K17/$B12</f>
        <v>125.28691349702267</v>
      </c>
    </row>
    <row r="28" spans="1:16">
      <c r="A28" t="s">
        <v>62</v>
      </c>
      <c r="E28" s="79">
        <f>E27-C27</f>
        <v>5.1853630426435871E-2</v>
      </c>
      <c r="G28" s="79">
        <f>G27-E27</f>
        <v>1.5279170321744004</v>
      </c>
      <c r="I28" s="79">
        <f>I27-E27</f>
        <v>1.5364355820207436</v>
      </c>
      <c r="K28" s="79">
        <f>K27-E27</f>
        <v>1.531197856319622</v>
      </c>
    </row>
    <row r="29" spans="1:16">
      <c r="A29" t="s">
        <v>42</v>
      </c>
      <c r="E29" s="98">
        <f>E28/C27</f>
        <v>4.1917551791655598E-4</v>
      </c>
      <c r="G29" s="98">
        <f>G28/E27</f>
        <v>1.2346234064941007E-2</v>
      </c>
      <c r="I29" s="98">
        <f>I28/G27</f>
        <v>1.2263657664145665E-2</v>
      </c>
      <c r="K29" s="98">
        <f>K28/I27</f>
        <v>1.2221019763621986E-2</v>
      </c>
    </row>
    <row r="30" spans="1:16">
      <c r="E30" s="98"/>
      <c r="G30" s="98"/>
    </row>
    <row r="32" spans="1:16">
      <c r="A32" s="21" t="str">
        <f>+A1</f>
        <v>Blue Grass Energy Cooperative</v>
      </c>
      <c r="B32" s="21"/>
      <c r="C32" s="21"/>
      <c r="D32" s="21"/>
      <c r="I32" s="60" t="s">
        <v>47</v>
      </c>
    </row>
    <row r="33" spans="1:14">
      <c r="A33" s="21" t="str">
        <f>+A2</f>
        <v>Case No.  2014-00339</v>
      </c>
      <c r="B33" s="21"/>
      <c r="C33" s="21"/>
      <c r="D33" s="21"/>
      <c r="I33" s="25" t="s">
        <v>95</v>
      </c>
    </row>
    <row r="34" spans="1:14">
      <c r="A34" s="21" t="str">
        <f>+A3</f>
        <v>Billing Analysis</v>
      </c>
      <c r="B34" s="21"/>
      <c r="C34" s="21"/>
      <c r="D34" s="21"/>
      <c r="I34" s="25" t="s">
        <v>120</v>
      </c>
    </row>
    <row r="35" spans="1:14">
      <c r="A35" s="21" t="str">
        <f>+A4</f>
        <v>December 31, 2013</v>
      </c>
      <c r="B35" s="21"/>
      <c r="C35" s="21"/>
      <c r="D35" s="21"/>
      <c r="I35" s="25" t="s">
        <v>85</v>
      </c>
    </row>
    <row r="36" spans="1:14">
      <c r="A36" s="21"/>
      <c r="B36" s="21"/>
      <c r="C36" s="21"/>
      <c r="D36" s="21"/>
    </row>
    <row r="37" spans="1:14">
      <c r="A37" s="21" t="s">
        <v>65</v>
      </c>
      <c r="B37" s="21"/>
      <c r="C37" s="21"/>
      <c r="D37" s="21"/>
      <c r="N37" s="62" t="s">
        <v>121</v>
      </c>
    </row>
    <row r="39" spans="1:14">
      <c r="B39" s="63"/>
      <c r="C39" s="64" t="s">
        <v>100</v>
      </c>
      <c r="D39" s="65" t="s">
        <v>52</v>
      </c>
      <c r="E39" s="66"/>
      <c r="F39" s="67"/>
      <c r="G39" s="67"/>
      <c r="H39" s="100"/>
      <c r="I39" s="101"/>
      <c r="J39"/>
      <c r="K39"/>
      <c r="L39" s="33"/>
      <c r="M39"/>
    </row>
    <row r="40" spans="1:14">
      <c r="B40" s="69" t="s">
        <v>101</v>
      </c>
      <c r="C40" s="70" t="s">
        <v>102</v>
      </c>
      <c r="D40" s="71" t="str">
        <f>+D9</f>
        <v>Case No. 2010-00497</v>
      </c>
      <c r="E40" s="72"/>
      <c r="F40" s="71" t="s">
        <v>122</v>
      </c>
      <c r="G40" s="71"/>
      <c r="H40" s="102" t="s">
        <v>123</v>
      </c>
      <c r="I40" s="103"/>
      <c r="J40" s="21" t="s">
        <v>45</v>
      </c>
      <c r="K40" s="21"/>
      <c r="L40" s="104"/>
      <c r="M40" s="21"/>
    </row>
    <row r="41" spans="1:14" ht="15.6">
      <c r="A41" s="30" t="s">
        <v>107</v>
      </c>
      <c r="B41" s="74" t="s">
        <v>108</v>
      </c>
      <c r="C41" s="74" t="s">
        <v>109</v>
      </c>
      <c r="D41" s="75" t="s">
        <v>110</v>
      </c>
      <c r="E41" s="76" t="s">
        <v>109</v>
      </c>
      <c r="F41" s="75" t="s">
        <v>110</v>
      </c>
      <c r="G41" s="105" t="s">
        <v>109</v>
      </c>
      <c r="H41" s="106" t="s">
        <v>110</v>
      </c>
      <c r="I41" s="107" t="s">
        <v>109</v>
      </c>
      <c r="J41" s="27"/>
      <c r="K41" s="27"/>
      <c r="L41" s="73"/>
      <c r="M41" s="27"/>
    </row>
    <row r="43" spans="1:14">
      <c r="A43" t="s">
        <v>6</v>
      </c>
      <c r="B43" s="77">
        <f>+monthly!C282</f>
        <v>447</v>
      </c>
      <c r="C43" s="78">
        <f>+B43*D43</f>
        <v>6968.73</v>
      </c>
      <c r="D43" s="79">
        <v>15.59</v>
      </c>
      <c r="E43" s="78">
        <f>($B43*D43)</f>
        <v>6968.73</v>
      </c>
      <c r="F43" s="79">
        <v>20</v>
      </c>
      <c r="G43" s="78">
        <f>($B43*F43)</f>
        <v>8940</v>
      </c>
      <c r="H43" s="81">
        <v>25</v>
      </c>
      <c r="I43" s="62">
        <f>(B43*H43)</f>
        <v>11175</v>
      </c>
      <c r="L43" s="82">
        <f>I43/I49</f>
        <v>0.29021273604817116</v>
      </c>
    </row>
    <row r="44" spans="1:14">
      <c r="A44" t="s">
        <v>114</v>
      </c>
      <c r="B44" s="77"/>
      <c r="C44" s="78"/>
      <c r="D44" s="79"/>
      <c r="E44" s="78"/>
      <c r="F44" s="79"/>
      <c r="G44" s="78"/>
      <c r="H44" s="108"/>
      <c r="L44" s="82"/>
    </row>
    <row r="45" spans="1:14">
      <c r="A45" t="s">
        <v>124</v>
      </c>
      <c r="B45" s="77">
        <f>+monthly!D282-'Exhibit C-2'!B46</f>
        <v>58291</v>
      </c>
      <c r="C45" s="77">
        <f>+B45*D45</f>
        <v>9192.4907000000003</v>
      </c>
      <c r="D45" s="84">
        <v>0.15770000000000001</v>
      </c>
      <c r="E45" s="77">
        <f>($B45*D45)</f>
        <v>9192.4907000000003</v>
      </c>
      <c r="F45" s="84">
        <f>+D45-0.0554+0.0383</f>
        <v>0.1406</v>
      </c>
      <c r="G45" s="77">
        <f>($B45*F45)</f>
        <v>8195.7145999999993</v>
      </c>
      <c r="H45" s="108">
        <v>0.10228</v>
      </c>
      <c r="I45" s="109">
        <f>(B45*H45)</f>
        <v>5962.0034799999994</v>
      </c>
      <c r="L45" s="82">
        <f>I45/I49</f>
        <v>0.15483215590689195</v>
      </c>
    </row>
    <row r="46" spans="1:14">
      <c r="A46" t="s">
        <v>125</v>
      </c>
      <c r="B46" s="110">
        <v>379156</v>
      </c>
      <c r="C46" s="77">
        <f>+B46*D46</f>
        <v>21369.23216</v>
      </c>
      <c r="D46" s="111">
        <v>5.636E-2</v>
      </c>
      <c r="E46" s="77">
        <f>+B46*D46</f>
        <v>21369.23216</v>
      </c>
      <c r="F46" s="111">
        <f>+D46</f>
        <v>5.636E-2</v>
      </c>
      <c r="G46" s="77">
        <f>+B46*F46</f>
        <v>21369.23216</v>
      </c>
      <c r="H46" s="112">
        <f>(F46)</f>
        <v>5.636E-2</v>
      </c>
      <c r="I46" s="62">
        <f>(B46*F46)</f>
        <v>21369.23216</v>
      </c>
      <c r="L46" s="82">
        <f>I46/I49</f>
        <v>0.55495510804493686</v>
      </c>
      <c r="N46" s="62" t="s">
        <v>126</v>
      </c>
    </row>
    <row r="47" spans="1:14" ht="15" thickBot="1">
      <c r="B47" s="113">
        <f>SUM(B45:B46)</f>
        <v>437447</v>
      </c>
      <c r="C47" s="86"/>
      <c r="E47" s="86"/>
      <c r="G47" s="86"/>
      <c r="I47" s="87"/>
      <c r="L47" s="82"/>
    </row>
    <row r="48" spans="1:14" ht="15" thickTop="1">
      <c r="E48" s="77"/>
      <c r="G48" s="77"/>
    </row>
    <row r="49" spans="1:15" ht="15" thickBot="1">
      <c r="A49" t="s">
        <v>75</v>
      </c>
      <c r="B49" s="77"/>
      <c r="C49" s="77">
        <f>SUM(C43:C47)</f>
        <v>37530.452859999998</v>
      </c>
      <c r="E49" s="88">
        <f>SUM(E42:E47)</f>
        <v>37530.452859999998</v>
      </c>
      <c r="G49" s="88">
        <f>SUM(G42:G47)</f>
        <v>38504.946759999999</v>
      </c>
      <c r="I49" s="114">
        <f>SUM(I43:I46)</f>
        <v>38506.235639999999</v>
      </c>
      <c r="N49" s="62">
        <f>+monthly!F282</f>
        <v>37530.879999999997</v>
      </c>
      <c r="O49" s="61">
        <f>+N49-C49</f>
        <v>0.42713999999978114</v>
      </c>
    </row>
    <row r="50" spans="1:15" ht="15" thickTop="1">
      <c r="B50" s="77"/>
      <c r="E50" s="77"/>
      <c r="G50" s="77" t="s">
        <v>45</v>
      </c>
      <c r="I50" s="62" t="str">
        <f>(G50)</f>
        <v xml:space="preserve"> </v>
      </c>
    </row>
    <row r="51" spans="1:15">
      <c r="A51" t="s">
        <v>116</v>
      </c>
      <c r="B51" s="77"/>
      <c r="C51" s="77">
        <f>+monthly!G282</f>
        <v>-55.629999999999967</v>
      </c>
      <c r="E51" s="77"/>
      <c r="G51" s="77" t="s">
        <v>45</v>
      </c>
      <c r="I51" s="77" t="s">
        <v>45</v>
      </c>
      <c r="O51" s="96">
        <v>975.79177435999986</v>
      </c>
    </row>
    <row r="52" spans="1:15">
      <c r="A52" t="s">
        <v>117</v>
      </c>
      <c r="B52" s="77"/>
      <c r="C52" s="86">
        <f>+monthly!I282</f>
        <v>4098.8600000000006</v>
      </c>
      <c r="E52" s="77"/>
      <c r="G52" s="115" t="s">
        <v>45</v>
      </c>
      <c r="I52" s="93" t="s">
        <v>45</v>
      </c>
    </row>
    <row r="53" spans="1:15">
      <c r="B53" s="77"/>
      <c r="E53" s="77"/>
      <c r="G53" s="77"/>
    </row>
    <row r="54" spans="1:15" ht="15" thickBot="1">
      <c r="A54" t="s">
        <v>118</v>
      </c>
      <c r="B54" s="77"/>
      <c r="C54" s="88">
        <f>SUM(C49:C52)</f>
        <v>41573.682860000001</v>
      </c>
    </row>
    <row r="55" spans="1:15" ht="15" thickTop="1">
      <c r="E55" s="77"/>
      <c r="G55" s="77"/>
    </row>
    <row r="56" spans="1:15">
      <c r="A56" t="s">
        <v>62</v>
      </c>
      <c r="B56" s="77"/>
      <c r="E56" s="78">
        <f>E49-C49</f>
        <v>0</v>
      </c>
      <c r="G56" s="78">
        <f>G49-E49</f>
        <v>974.4939000000013</v>
      </c>
    </row>
    <row r="57" spans="1:15">
      <c r="A57" t="s">
        <v>42</v>
      </c>
      <c r="D57" s="98"/>
      <c r="E57" s="98">
        <f>(E56/C49)</f>
        <v>0</v>
      </c>
      <c r="F57" s="98"/>
      <c r="G57" s="98">
        <f>(G56/E49)</f>
        <v>2.5965418100206781E-2</v>
      </c>
    </row>
    <row r="59" spans="1:15">
      <c r="A59" t="s">
        <v>119</v>
      </c>
      <c r="C59" s="79">
        <f>C49/$B43</f>
        <v>83.960744653243836</v>
      </c>
      <c r="D59" s="79"/>
      <c r="E59" s="79">
        <f>E49/$B43</f>
        <v>83.960744653243836</v>
      </c>
      <c r="F59" s="79"/>
      <c r="G59" s="79">
        <f>G49/$B43</f>
        <v>86.140820492170022</v>
      </c>
    </row>
    <row r="60" spans="1:15">
      <c r="A60" t="s">
        <v>62</v>
      </c>
      <c r="E60" s="79">
        <f>E59-C59</f>
        <v>0</v>
      </c>
      <c r="G60" s="79">
        <f>G59-E59</f>
        <v>2.1800758389261858</v>
      </c>
    </row>
    <row r="61" spans="1:15">
      <c r="A61" t="s">
        <v>42</v>
      </c>
      <c r="E61" s="98">
        <f>E60/C59</f>
        <v>0</v>
      </c>
      <c r="G61" s="98">
        <f>G60/E59</f>
        <v>2.5965418100206885E-2</v>
      </c>
    </row>
    <row r="62" spans="1:15">
      <c r="E62" s="98"/>
      <c r="G62" s="98"/>
    </row>
    <row r="63" spans="1:15">
      <c r="I63" s="60" t="s">
        <v>47</v>
      </c>
    </row>
    <row r="64" spans="1:15">
      <c r="A64" s="21" t="str">
        <f>A1</f>
        <v>Blue Grass Energy Cooperative</v>
      </c>
      <c r="B64" s="21"/>
      <c r="C64" s="21"/>
      <c r="D64" s="21"/>
      <c r="I64" s="25" t="s">
        <v>95</v>
      </c>
      <c r="N64" s="62" t="s">
        <v>127</v>
      </c>
    </row>
    <row r="65" spans="1:16">
      <c r="A65" s="21" t="str">
        <f>A2</f>
        <v>Case No.  2014-00339</v>
      </c>
      <c r="B65" s="21"/>
      <c r="C65" s="21"/>
      <c r="D65" s="21"/>
      <c r="I65" s="25" t="s">
        <v>128</v>
      </c>
    </row>
    <row r="66" spans="1:16">
      <c r="A66" s="21" t="str">
        <f>A3</f>
        <v>Billing Analysis</v>
      </c>
      <c r="B66" s="21"/>
      <c r="C66" s="21"/>
      <c r="D66" s="21"/>
      <c r="I66" s="25" t="s">
        <v>85</v>
      </c>
    </row>
    <row r="67" spans="1:16">
      <c r="A67" s="21" t="str">
        <f>A4</f>
        <v>December 31, 2013</v>
      </c>
      <c r="B67" s="21"/>
      <c r="C67" s="21"/>
      <c r="D67" s="21"/>
      <c r="E67" s="77"/>
    </row>
    <row r="68" spans="1:16">
      <c r="A68" s="21"/>
      <c r="B68" s="21"/>
      <c r="C68" s="21"/>
      <c r="D68" s="21"/>
    </row>
    <row r="69" spans="1:16">
      <c r="A69" s="21" t="s">
        <v>129</v>
      </c>
      <c r="B69" s="21"/>
      <c r="C69" s="21"/>
      <c r="D69" s="21"/>
      <c r="E69" s="77"/>
    </row>
    <row r="71" spans="1:16">
      <c r="B71" s="63"/>
      <c r="C71" s="64" t="s">
        <v>100</v>
      </c>
      <c r="D71" s="65" t="s">
        <v>52</v>
      </c>
      <c r="E71" s="66"/>
      <c r="F71" s="67"/>
      <c r="G71" s="68"/>
    </row>
    <row r="72" spans="1:16">
      <c r="B72" s="69" t="s">
        <v>101</v>
      </c>
      <c r="C72" s="70" t="s">
        <v>102</v>
      </c>
      <c r="D72" s="71" t="str">
        <f>+D9</f>
        <v>Case No. 2010-00497</v>
      </c>
      <c r="E72" s="72"/>
      <c r="F72" s="71" t="s">
        <v>28</v>
      </c>
      <c r="G72" s="72"/>
    </row>
    <row r="73" spans="1:16" ht="15.6">
      <c r="A73" s="30" t="s">
        <v>107</v>
      </c>
      <c r="B73" s="74" t="s">
        <v>108</v>
      </c>
      <c r="C73" s="74" t="s">
        <v>109</v>
      </c>
      <c r="D73" s="75" t="s">
        <v>110</v>
      </c>
      <c r="E73" s="76" t="s">
        <v>109</v>
      </c>
      <c r="F73" s="75" t="s">
        <v>110</v>
      </c>
      <c r="G73" s="76" t="s">
        <v>109</v>
      </c>
    </row>
    <row r="74" spans="1:16">
      <c r="E74" s="77"/>
      <c r="G74" s="77"/>
    </row>
    <row r="75" spans="1:16">
      <c r="A75" t="s">
        <v>6</v>
      </c>
      <c r="B75" s="77">
        <f>+monthly!C286+monthly!C287</f>
        <v>30758</v>
      </c>
      <c r="C75" s="78">
        <f>+B75*D75</f>
        <v>854764.82</v>
      </c>
      <c r="D75" s="79">
        <v>27.79</v>
      </c>
      <c r="E75" s="78">
        <f>($B75*D75)</f>
        <v>854764.82</v>
      </c>
      <c r="F75" s="116">
        <v>32.5</v>
      </c>
      <c r="G75" s="78">
        <f>($B75*F75)</f>
        <v>999635</v>
      </c>
      <c r="L75" s="82">
        <f>G75/G80</f>
        <v>0.12102454708795683</v>
      </c>
      <c r="N75" s="62" t="s">
        <v>130</v>
      </c>
    </row>
    <row r="76" spans="1:16">
      <c r="A76" t="s">
        <v>131</v>
      </c>
      <c r="B76" s="77">
        <v>157176</v>
      </c>
      <c r="C76" s="77">
        <f>+B76*D76</f>
        <v>1222829.28</v>
      </c>
      <c r="D76" s="79">
        <v>7.78</v>
      </c>
      <c r="E76" s="77">
        <f>($B76*D76)</f>
        <v>1222829.28</v>
      </c>
      <c r="F76" s="116">
        <f>+D76</f>
        <v>7.78</v>
      </c>
      <c r="G76" s="77">
        <f>($B76*F76)</f>
        <v>1222829.28</v>
      </c>
      <c r="L76" s="82">
        <f>G76/G80</f>
        <v>0.14804639671269249</v>
      </c>
      <c r="N76" s="62">
        <f>+monthly!K286</f>
        <v>1222827.6000000001</v>
      </c>
      <c r="O76" s="61">
        <f>+N76-C76</f>
        <v>-1.6799999999348074</v>
      </c>
      <c r="P76" s="62">
        <f>+N76/7.78</f>
        <v>157175.78406169667</v>
      </c>
    </row>
    <row r="77" spans="1:16">
      <c r="A77" t="s">
        <v>132</v>
      </c>
      <c r="B77" s="77">
        <f>+monthly!D286+monthly!D287</f>
        <v>70405905</v>
      </c>
      <c r="C77" s="77">
        <f>+B77*D77</f>
        <v>5902831.0751999998</v>
      </c>
      <c r="D77" s="84">
        <v>8.3839999999999998E-2</v>
      </c>
      <c r="E77" s="77">
        <f>($B77*D77)</f>
        <v>5902831.0751999998</v>
      </c>
      <c r="F77" s="117">
        <v>8.5750000000000007E-2</v>
      </c>
      <c r="G77" s="77">
        <f>($B77*F77)</f>
        <v>6037306.3537500007</v>
      </c>
      <c r="L77" s="82">
        <f>G77/G80</f>
        <v>0.73092905619935067</v>
      </c>
    </row>
    <row r="78" spans="1:16">
      <c r="B78" s="77"/>
      <c r="C78" s="86"/>
      <c r="E78" s="86"/>
      <c r="G78" s="86"/>
    </row>
    <row r="79" spans="1:16">
      <c r="B79" s="77"/>
      <c r="C79" s="77"/>
      <c r="E79" s="77"/>
      <c r="G79" s="77"/>
    </row>
    <row r="80" spans="1:16" ht="15" thickBot="1">
      <c r="A80" t="s">
        <v>75</v>
      </c>
      <c r="B80" s="77"/>
      <c r="C80" s="77">
        <f>SUM(C74:C78)</f>
        <v>7980425.1752000004</v>
      </c>
      <c r="E80" s="88">
        <f>SUM(E75:E79)</f>
        <v>7980425.1752000004</v>
      </c>
      <c r="G80" s="88">
        <f>SUM(G75:G79)</f>
        <v>8259770.633750001</v>
      </c>
      <c r="N80" s="62">
        <f>+monthly!F286+monthly!F287</f>
        <v>7976491.7400000002</v>
      </c>
      <c r="O80" s="61">
        <f>+N80-C80</f>
        <v>-3933.4352000001818</v>
      </c>
    </row>
    <row r="81" spans="1:15" ht="15" thickTop="1">
      <c r="B81" s="77"/>
      <c r="C81" s="77"/>
      <c r="E81" s="77"/>
      <c r="G81" s="77" t="s">
        <v>45</v>
      </c>
    </row>
    <row r="82" spans="1:15">
      <c r="A82" t="s">
        <v>116</v>
      </c>
      <c r="B82" s="77"/>
      <c r="C82" s="77">
        <f>+monthly!G286+monthly!G287</f>
        <v>-16839.759999999995</v>
      </c>
      <c r="E82" s="77"/>
      <c r="G82" s="77" t="s">
        <v>45</v>
      </c>
    </row>
    <row r="83" spans="1:15">
      <c r="A83" t="s">
        <v>117</v>
      </c>
      <c r="B83" s="77"/>
      <c r="C83" s="86">
        <f>+monthly!I286+monthly!I287</f>
        <v>886080.67999999993</v>
      </c>
      <c r="E83" s="77"/>
      <c r="G83" s="92" t="s">
        <v>45</v>
      </c>
      <c r="O83" s="96">
        <v>279314.88113200007</v>
      </c>
    </row>
    <row r="84" spans="1:15">
      <c r="B84" s="77"/>
      <c r="C84" s="77"/>
      <c r="E84" s="77"/>
      <c r="G84" s="77"/>
    </row>
    <row r="85" spans="1:15" ht="15" thickBot="1">
      <c r="A85" t="s">
        <v>118</v>
      </c>
      <c r="B85" s="77"/>
      <c r="C85" s="88">
        <f>SUM(C79:C83)</f>
        <v>8849666.0952000003</v>
      </c>
    </row>
    <row r="86" spans="1:15" ht="15" thickTop="1">
      <c r="B86" s="77"/>
      <c r="C86" s="77"/>
      <c r="E86" s="77"/>
      <c r="G86" s="77"/>
    </row>
    <row r="87" spans="1:15">
      <c r="A87" t="s">
        <v>62</v>
      </c>
      <c r="B87" s="77"/>
      <c r="C87" s="77"/>
      <c r="E87" s="78">
        <f>(E80-C80)</f>
        <v>0</v>
      </c>
      <c r="G87" s="78">
        <f>(G80-E80)</f>
        <v>279345.45855000056</v>
      </c>
    </row>
    <row r="88" spans="1:15">
      <c r="A88" t="s">
        <v>42</v>
      </c>
      <c r="D88" s="98"/>
      <c r="E88" s="98">
        <f>(E87/C80)</f>
        <v>0</v>
      </c>
      <c r="F88" s="98"/>
      <c r="G88" s="98">
        <f>(G87/E80)</f>
        <v>3.5003831552496173E-2</v>
      </c>
    </row>
    <row r="90" spans="1:15">
      <c r="A90" t="s">
        <v>119</v>
      </c>
      <c r="C90" s="79">
        <f>C80/$B75</f>
        <v>259.45852055400223</v>
      </c>
      <c r="D90" s="79"/>
      <c r="E90" s="79">
        <f>E80/$B75</f>
        <v>259.45852055400223</v>
      </c>
      <c r="F90" s="79"/>
      <c r="G90" s="79">
        <f>G80/$B75</f>
        <v>268.54056290233439</v>
      </c>
    </row>
    <row r="91" spans="1:15">
      <c r="A91" t="s">
        <v>62</v>
      </c>
      <c r="E91" s="79">
        <f>E90-C90</f>
        <v>0</v>
      </c>
      <c r="G91" s="79">
        <f>G90-E90</f>
        <v>9.082042348332152</v>
      </c>
    </row>
    <row r="92" spans="1:15">
      <c r="A92" t="s">
        <v>42</v>
      </c>
      <c r="E92" s="98">
        <f>E91/C90</f>
        <v>0</v>
      </c>
      <c r="G92" s="98">
        <f>G91/E90</f>
        <v>3.5003831552496138E-2</v>
      </c>
    </row>
    <row r="95" spans="1:15">
      <c r="A95" s="21" t="str">
        <f>A1</f>
        <v>Blue Grass Energy Cooperative</v>
      </c>
      <c r="B95" s="21"/>
      <c r="C95" s="21"/>
      <c r="D95" s="21"/>
      <c r="I95" s="60" t="s">
        <v>47</v>
      </c>
      <c r="N95" s="62" t="s">
        <v>133</v>
      </c>
    </row>
    <row r="96" spans="1:15">
      <c r="A96" s="21" t="str">
        <f>A2</f>
        <v>Case No.  2014-00339</v>
      </c>
      <c r="B96" s="21"/>
      <c r="C96" s="21"/>
      <c r="D96" s="21"/>
      <c r="I96" s="25" t="s">
        <v>95</v>
      </c>
    </row>
    <row r="97" spans="1:14">
      <c r="A97" s="21" t="str">
        <f>A3</f>
        <v>Billing Analysis</v>
      </c>
      <c r="B97" s="21"/>
      <c r="C97" s="21"/>
      <c r="D97" s="21"/>
      <c r="I97" s="25" t="s">
        <v>134</v>
      </c>
    </row>
    <row r="98" spans="1:14">
      <c r="A98" s="21" t="str">
        <f>A4</f>
        <v>December 31, 2013</v>
      </c>
      <c r="B98" s="21"/>
      <c r="C98" s="21"/>
      <c r="D98" s="21"/>
      <c r="E98" s="77"/>
      <c r="I98" s="25" t="s">
        <v>85</v>
      </c>
    </row>
    <row r="99" spans="1:14">
      <c r="A99" s="21"/>
      <c r="B99" s="21"/>
      <c r="C99" s="21"/>
      <c r="D99" s="21"/>
    </row>
    <row r="100" spans="1:14">
      <c r="A100" s="21" t="s">
        <v>135</v>
      </c>
      <c r="B100" s="21"/>
      <c r="C100" s="21"/>
      <c r="D100" s="21"/>
      <c r="E100" s="77"/>
    </row>
    <row r="102" spans="1:14">
      <c r="B102" s="63"/>
      <c r="C102" s="64" t="s">
        <v>100</v>
      </c>
      <c r="D102" s="65" t="s">
        <v>52</v>
      </c>
      <c r="E102" s="66"/>
      <c r="F102" s="67"/>
      <c r="G102" s="68"/>
    </row>
    <row r="103" spans="1:14">
      <c r="B103" s="69" t="s">
        <v>101</v>
      </c>
      <c r="C103" s="70" t="s">
        <v>102</v>
      </c>
      <c r="D103" s="71" t="str">
        <f>D9</f>
        <v>Case No. 2010-00497</v>
      </c>
      <c r="E103" s="72"/>
      <c r="F103" s="71" t="s">
        <v>28</v>
      </c>
      <c r="G103" s="72"/>
    </row>
    <row r="104" spans="1:14" ht="15.6">
      <c r="A104" s="30" t="s">
        <v>107</v>
      </c>
      <c r="B104" s="74" t="s">
        <v>108</v>
      </c>
      <c r="C104" s="74" t="s">
        <v>109</v>
      </c>
      <c r="D104" s="75" t="s">
        <v>110</v>
      </c>
      <c r="E104" s="76" t="s">
        <v>109</v>
      </c>
      <c r="F104" s="75" t="s">
        <v>110</v>
      </c>
      <c r="G104" s="76" t="s">
        <v>109</v>
      </c>
    </row>
    <row r="105" spans="1:14">
      <c r="E105" s="77"/>
      <c r="G105" s="77"/>
    </row>
    <row r="106" spans="1:14">
      <c r="A106" t="s">
        <v>6</v>
      </c>
      <c r="B106" s="77">
        <f>+monthly!C288</f>
        <v>323</v>
      </c>
      <c r="C106" s="118">
        <f>+B106*D106</f>
        <v>11305</v>
      </c>
      <c r="D106" s="79">
        <v>35</v>
      </c>
      <c r="E106" s="78">
        <f>($B106*D106)</f>
        <v>11305</v>
      </c>
      <c r="F106" s="116">
        <v>40</v>
      </c>
      <c r="G106" s="78">
        <f>($B106*F106)</f>
        <v>12920</v>
      </c>
      <c r="L106" s="82">
        <f>G106/G113</f>
        <v>0.15953794846571109</v>
      </c>
    </row>
    <row r="107" spans="1:14">
      <c r="A107" t="s">
        <v>114</v>
      </c>
      <c r="B107" s="77"/>
      <c r="C107" s="118"/>
      <c r="D107" s="79"/>
      <c r="E107" s="78"/>
      <c r="F107" s="116"/>
      <c r="G107" s="78"/>
      <c r="L107" s="82">
        <f>G108/G113</f>
        <v>0.5889140487697383</v>
      </c>
    </row>
    <row r="108" spans="1:14">
      <c r="A108" t="s">
        <v>124</v>
      </c>
      <c r="B108" s="77">
        <f>+monthly!D288-B109</f>
        <v>368140</v>
      </c>
      <c r="C108" s="77">
        <f>+B108*D108</f>
        <v>46569.71</v>
      </c>
      <c r="D108" s="84">
        <v>0.1265</v>
      </c>
      <c r="E108" s="77">
        <f>+B108*D108</f>
        <v>46569.71</v>
      </c>
      <c r="F108" s="117">
        <f>+D108+0.00263+0.00042</f>
        <v>0.12955</v>
      </c>
      <c r="G108" s="77">
        <f>+B108*F108</f>
        <v>47692.536999999997</v>
      </c>
      <c r="L108" s="82">
        <f>G109/G113</f>
        <v>0.25154800276455064</v>
      </c>
    </row>
    <row r="109" spans="1:14">
      <c r="A109" t="s">
        <v>125</v>
      </c>
      <c r="B109" s="110">
        <v>291019</v>
      </c>
      <c r="C109" s="77">
        <f>+B109*D109</f>
        <v>20371.330000000002</v>
      </c>
      <c r="D109" s="84">
        <v>7.0000000000000007E-2</v>
      </c>
      <c r="E109" s="77">
        <f>+B109*D109</f>
        <v>20371.330000000002</v>
      </c>
      <c r="F109" s="117">
        <f>+D109</f>
        <v>7.0000000000000007E-2</v>
      </c>
      <c r="G109" s="77">
        <f>+B109*F109</f>
        <v>20371.330000000002</v>
      </c>
      <c r="N109" s="62" t="s">
        <v>136</v>
      </c>
    </row>
    <row r="110" spans="1:14" ht="15" thickBot="1">
      <c r="B110" s="113">
        <f>+B108+B109</f>
        <v>659159</v>
      </c>
      <c r="C110" s="77"/>
      <c r="D110" s="79"/>
      <c r="E110" s="78"/>
      <c r="F110" s="79"/>
      <c r="G110" s="78"/>
    </row>
    <row r="111" spans="1:14" ht="15" thickTop="1">
      <c r="B111" s="77"/>
      <c r="C111" s="86"/>
      <c r="E111" s="86"/>
      <c r="G111" s="86"/>
    </row>
    <row r="112" spans="1:14">
      <c r="B112" s="77"/>
      <c r="C112" s="77"/>
      <c r="E112" s="77"/>
      <c r="G112" s="77"/>
    </row>
    <row r="113" spans="1:15" ht="15" thickBot="1">
      <c r="A113" t="s">
        <v>75</v>
      </c>
      <c r="B113" s="77"/>
      <c r="C113" s="77">
        <f>SUM(C105:C111)</f>
        <v>78246.040000000008</v>
      </c>
      <c r="E113" s="88">
        <f>SUM(E106:E112)</f>
        <v>78246.040000000008</v>
      </c>
      <c r="G113" s="88">
        <f>SUM(G106:G112)</f>
        <v>80983.866999999998</v>
      </c>
      <c r="N113" s="62">
        <f>+monthly!F288</f>
        <v>78245.61</v>
      </c>
      <c r="O113" s="62">
        <f>+N113-C113</f>
        <v>-0.430000000007567</v>
      </c>
    </row>
    <row r="114" spans="1:15" ht="15" thickTop="1">
      <c r="B114" s="77"/>
      <c r="C114" s="77"/>
      <c r="E114" s="77"/>
      <c r="G114" s="77" t="s">
        <v>45</v>
      </c>
    </row>
    <row r="115" spans="1:15">
      <c r="A115" t="s">
        <v>116</v>
      </c>
      <c r="B115" s="77"/>
      <c r="C115" s="77">
        <f>+monthly!G288</f>
        <v>-573.55999999999995</v>
      </c>
      <c r="E115" s="77"/>
      <c r="G115" s="77" t="s">
        <v>45</v>
      </c>
    </row>
    <row r="116" spans="1:15">
      <c r="A116" t="s">
        <v>117</v>
      </c>
      <c r="B116" s="77"/>
      <c r="C116" s="86">
        <f>+monthly!I288</f>
        <v>8698.77</v>
      </c>
      <c r="E116" s="77"/>
      <c r="G116" s="92" t="s">
        <v>45</v>
      </c>
    </row>
    <row r="117" spans="1:15">
      <c r="B117" s="77"/>
      <c r="C117" s="77"/>
      <c r="E117" s="77"/>
      <c r="G117" s="77"/>
      <c r="O117" s="96">
        <v>2738.6114000000007</v>
      </c>
    </row>
    <row r="118" spans="1:15" ht="15" thickBot="1">
      <c r="A118" t="s">
        <v>118</v>
      </c>
      <c r="B118" s="77"/>
      <c r="C118" s="88">
        <f>SUM(C112:C116)</f>
        <v>86371.250000000015</v>
      </c>
    </row>
    <row r="119" spans="1:15" ht="15" thickTop="1">
      <c r="B119" s="77"/>
      <c r="C119" s="77"/>
      <c r="E119" s="77"/>
      <c r="G119" s="77"/>
    </row>
    <row r="120" spans="1:15">
      <c r="A120" t="s">
        <v>62</v>
      </c>
      <c r="B120" s="77"/>
      <c r="C120" s="77"/>
      <c r="E120" s="78">
        <f>(E113-C113)</f>
        <v>0</v>
      </c>
      <c r="G120" s="78">
        <f>(G113-E113)</f>
        <v>2737.8269999999902</v>
      </c>
    </row>
    <row r="121" spans="1:15">
      <c r="A121" t="s">
        <v>42</v>
      </c>
      <c r="D121" s="98"/>
      <c r="E121" s="98">
        <f>(E120/C113)</f>
        <v>0</v>
      </c>
      <c r="F121" s="98"/>
      <c r="G121" s="98">
        <f>(G120/E113)</f>
        <v>3.498997521152495E-2</v>
      </c>
    </row>
    <row r="123" spans="1:15">
      <c r="A123" t="s">
        <v>119</v>
      </c>
      <c r="C123" s="79">
        <f>C113/$B106</f>
        <v>242.24780185758516</v>
      </c>
      <c r="D123" s="79"/>
      <c r="E123" s="79">
        <f>E113/$B106</f>
        <v>242.24780185758516</v>
      </c>
      <c r="F123" s="79"/>
      <c r="G123" s="79">
        <f>G113/$B106</f>
        <v>250.72404643962847</v>
      </c>
    </row>
    <row r="124" spans="1:15">
      <c r="A124" t="s">
        <v>62</v>
      </c>
      <c r="E124" s="79">
        <f>E123-C123</f>
        <v>0</v>
      </c>
      <c r="G124" s="79">
        <f>G123-E123</f>
        <v>8.4762445820433072</v>
      </c>
    </row>
    <row r="125" spans="1:15">
      <c r="A125" t="s">
        <v>42</v>
      </c>
      <c r="E125" s="98">
        <f>E124/C123</f>
        <v>0</v>
      </c>
      <c r="G125" s="98">
        <f>G124/E123</f>
        <v>3.4989975211524929E-2</v>
      </c>
    </row>
    <row r="129" spans="1:16">
      <c r="A129" s="21" t="str">
        <f>+A1</f>
        <v>Blue Grass Energy Cooperative</v>
      </c>
      <c r="B129" s="21"/>
      <c r="C129" s="21"/>
      <c r="D129" s="21"/>
      <c r="I129" s="60" t="s">
        <v>47</v>
      </c>
      <c r="N129" s="62" t="s">
        <v>137</v>
      </c>
    </row>
    <row r="130" spans="1:16">
      <c r="A130" s="21" t="str">
        <f>+A2</f>
        <v>Case No.  2014-00339</v>
      </c>
      <c r="B130" s="21"/>
      <c r="C130" s="21"/>
      <c r="D130" s="21"/>
      <c r="I130" s="25" t="s">
        <v>95</v>
      </c>
    </row>
    <row r="131" spans="1:16">
      <c r="A131" s="21" t="str">
        <f>+A3</f>
        <v>Billing Analysis</v>
      </c>
      <c r="B131" s="21"/>
      <c r="C131" s="21"/>
      <c r="D131" s="21"/>
      <c r="I131" s="25" t="s">
        <v>138</v>
      </c>
    </row>
    <row r="132" spans="1:16">
      <c r="A132" s="21" t="str">
        <f>+A4</f>
        <v>December 31, 2013</v>
      </c>
      <c r="B132" s="21"/>
      <c r="C132" s="21"/>
      <c r="D132" s="21"/>
      <c r="E132" s="77"/>
      <c r="I132" s="25" t="s">
        <v>85</v>
      </c>
    </row>
    <row r="133" spans="1:16">
      <c r="A133" s="21"/>
      <c r="B133" s="21"/>
      <c r="C133" s="21"/>
      <c r="D133" s="21"/>
    </row>
    <row r="134" spans="1:16">
      <c r="A134" s="21" t="s">
        <v>139</v>
      </c>
      <c r="B134" s="21"/>
      <c r="C134" s="21"/>
      <c r="D134" s="21"/>
      <c r="E134" s="77"/>
    </row>
    <row r="136" spans="1:16">
      <c r="B136" s="63"/>
      <c r="C136" s="64" t="s">
        <v>100</v>
      </c>
      <c r="D136" s="65" t="s">
        <v>52</v>
      </c>
      <c r="E136" s="66"/>
      <c r="F136" s="67"/>
      <c r="G136" s="68"/>
    </row>
    <row r="137" spans="1:16">
      <c r="B137" s="69" t="s">
        <v>101</v>
      </c>
      <c r="C137" s="70" t="s">
        <v>102</v>
      </c>
      <c r="D137" s="71" t="str">
        <f>+D9</f>
        <v>Case No. 2010-00497</v>
      </c>
      <c r="E137" s="72"/>
      <c r="F137" s="71" t="s">
        <v>28</v>
      </c>
      <c r="G137" s="72"/>
    </row>
    <row r="138" spans="1:16" ht="15.6">
      <c r="A138" s="30" t="s">
        <v>107</v>
      </c>
      <c r="B138" s="74" t="s">
        <v>108</v>
      </c>
      <c r="C138" s="74" t="s">
        <v>109</v>
      </c>
      <c r="D138" s="75" t="s">
        <v>110</v>
      </c>
      <c r="E138" s="76" t="s">
        <v>109</v>
      </c>
      <c r="F138" s="75" t="s">
        <v>110</v>
      </c>
      <c r="G138" s="76" t="s">
        <v>109</v>
      </c>
    </row>
    <row r="139" spans="1:16">
      <c r="E139" s="77"/>
      <c r="G139" s="77"/>
    </row>
    <row r="140" spans="1:16">
      <c r="A140" t="s">
        <v>6</v>
      </c>
      <c r="B140" s="77">
        <f>+monthly!C289+monthly!C291</f>
        <v>673</v>
      </c>
      <c r="C140" s="118">
        <f>+B140*D140</f>
        <v>37398.61</v>
      </c>
      <c r="D140" s="79">
        <v>55.57</v>
      </c>
      <c r="E140" s="78">
        <f>($B140*D140)</f>
        <v>37398.61</v>
      </c>
      <c r="F140" s="116">
        <f>+D140</f>
        <v>55.57</v>
      </c>
      <c r="G140" s="78">
        <f>($B140*F140)</f>
        <v>37398.61</v>
      </c>
      <c r="L140" s="82">
        <f>G140/G147</f>
        <v>1.2250100676693703E-2</v>
      </c>
    </row>
    <row r="141" spans="1:16">
      <c r="A141" t="s">
        <v>140</v>
      </c>
      <c r="B141" s="77">
        <v>110568</v>
      </c>
      <c r="C141" s="119">
        <f>+B141*D141</f>
        <v>922137.12</v>
      </c>
      <c r="D141" s="79">
        <v>8.34</v>
      </c>
      <c r="E141" s="77">
        <f>($B141*D141)</f>
        <v>922137.12</v>
      </c>
      <c r="F141" s="116">
        <f>+D141</f>
        <v>8.34</v>
      </c>
      <c r="G141" s="77">
        <f>($B141*F141)</f>
        <v>922137.12</v>
      </c>
      <c r="L141" s="82">
        <f>G141/G147</f>
        <v>0.30205059914570037</v>
      </c>
      <c r="N141" s="62">
        <f>+monthly!K289+monthly!K291</f>
        <v>922139.71999999986</v>
      </c>
      <c r="O141" s="61">
        <f>+N141-C141</f>
        <v>2.5999999998603016</v>
      </c>
      <c r="P141" s="62">
        <f>+N141/D141</f>
        <v>110568.3117505995</v>
      </c>
    </row>
    <row r="142" spans="1:16">
      <c r="A142" t="s">
        <v>141</v>
      </c>
      <c r="B142" s="77">
        <f>+monthly!D289</f>
        <v>34051767</v>
      </c>
      <c r="C142" s="119">
        <f>+B142*D142</f>
        <v>1909623.0933599998</v>
      </c>
      <c r="D142" s="84">
        <v>5.6079999999999998E-2</v>
      </c>
      <c r="E142" s="77">
        <f>+B142*D142</f>
        <v>1909623.0933599998</v>
      </c>
      <c r="F142" s="117">
        <f>+D142</f>
        <v>5.6079999999999998E-2</v>
      </c>
      <c r="G142" s="77">
        <f>+F142*B142</f>
        <v>1909623.0933599998</v>
      </c>
      <c r="L142" s="82">
        <f>G142/G147</f>
        <v>0.62550654016818419</v>
      </c>
    </row>
    <row r="143" spans="1:16">
      <c r="A143" t="s">
        <v>142</v>
      </c>
      <c r="B143" s="110">
        <f>+monthly!D291</f>
        <v>3449280</v>
      </c>
      <c r="C143" s="119">
        <f>+B143*D143</f>
        <v>193435.62239999999</v>
      </c>
      <c r="D143" s="84">
        <f>+D142</f>
        <v>5.6079999999999998E-2</v>
      </c>
      <c r="E143" s="77">
        <f>+B143*D143</f>
        <v>193435.62239999999</v>
      </c>
      <c r="F143" s="117">
        <f>+D143</f>
        <v>5.6079999999999998E-2</v>
      </c>
      <c r="G143" s="77">
        <f>+B143*F143</f>
        <v>193435.62239999999</v>
      </c>
      <c r="L143" s="82">
        <f>G143/G147</f>
        <v>6.3360800009917673E-2</v>
      </c>
      <c r="N143" s="62" t="s">
        <v>143</v>
      </c>
    </row>
    <row r="144" spans="1:16">
      <c r="A144" t="s">
        <v>144</v>
      </c>
      <c r="B144" s="77"/>
      <c r="C144" s="119">
        <f>(+C143*0.05)*-1</f>
        <v>-9671.7811199999996</v>
      </c>
      <c r="D144" s="84"/>
      <c r="E144" s="119">
        <f>(+E143*0.05)*-1</f>
        <v>-9671.7811199999996</v>
      </c>
      <c r="F144" s="84"/>
      <c r="G144" s="119">
        <f>(+G143*0.05)*-1</f>
        <v>-9671.7811199999996</v>
      </c>
      <c r="L144" s="82">
        <f>G144/G147</f>
        <v>-3.1680400004958837E-3</v>
      </c>
    </row>
    <row r="145" spans="1:15" ht="15" thickBot="1">
      <c r="B145" s="120">
        <f>+B142+B143</f>
        <v>37501047</v>
      </c>
      <c r="C145" s="86"/>
      <c r="E145" s="86"/>
      <c r="G145" s="86">
        <f>E145</f>
        <v>0</v>
      </c>
    </row>
    <row r="146" spans="1:15" ht="15" thickTop="1">
      <c r="B146" s="77"/>
      <c r="C146" s="77"/>
      <c r="E146" s="77"/>
      <c r="G146" s="77"/>
    </row>
    <row r="147" spans="1:15" ht="15" thickBot="1">
      <c r="A147" t="s">
        <v>75</v>
      </c>
      <c r="B147" s="77"/>
      <c r="C147" s="77">
        <f>SUM(C139:C145)</f>
        <v>3052922.6646399996</v>
      </c>
      <c r="E147" s="88">
        <f>SUM(E140:E146)</f>
        <v>3052922.6646399996</v>
      </c>
      <c r="G147" s="88">
        <f>SUM(G140:G146)</f>
        <v>3052922.6646399996</v>
      </c>
      <c r="N147" s="62">
        <f>+monthly!F289+monthly!F291</f>
        <v>3045344.0300000003</v>
      </c>
      <c r="O147" s="61">
        <f>+N147-C147</f>
        <v>-7578.6346399993636</v>
      </c>
    </row>
    <row r="148" spans="1:15" ht="15" thickTop="1">
      <c r="B148" s="77"/>
      <c r="C148" s="77"/>
      <c r="E148" s="77"/>
      <c r="G148" s="77"/>
    </row>
    <row r="149" spans="1:15">
      <c r="A149" t="s">
        <v>116</v>
      </c>
      <c r="B149" s="77"/>
      <c r="C149" s="77">
        <f>+monthly!G289+monthly!G291</f>
        <v>-10608.500000000002</v>
      </c>
      <c r="E149" s="77"/>
      <c r="G149" s="77"/>
    </row>
    <row r="150" spans="1:15">
      <c r="A150" t="s">
        <v>117</v>
      </c>
      <c r="B150" s="77"/>
      <c r="C150" s="86">
        <f>+monthly!I289+monthly!I291</f>
        <v>332669.04000000004</v>
      </c>
      <c r="E150" s="77"/>
      <c r="G150" s="77"/>
    </row>
    <row r="151" spans="1:15">
      <c r="B151" s="77"/>
      <c r="C151" s="77"/>
      <c r="E151" s="77"/>
      <c r="G151" s="77"/>
    </row>
    <row r="152" spans="1:15" ht="15" thickBot="1">
      <c r="A152" t="s">
        <v>118</v>
      </c>
      <c r="B152" s="77"/>
      <c r="C152" s="88">
        <f>SUM(C146:C150)</f>
        <v>3374983.2046399997</v>
      </c>
    </row>
    <row r="153" spans="1:15" ht="15" thickTop="1">
      <c r="B153" s="77"/>
      <c r="C153" s="77"/>
      <c r="E153" s="77"/>
      <c r="G153" s="77"/>
    </row>
    <row r="154" spans="1:15">
      <c r="A154" t="s">
        <v>62</v>
      </c>
      <c r="B154" s="77"/>
      <c r="C154" s="77"/>
      <c r="E154" s="78">
        <f>(E147-C147)</f>
        <v>0</v>
      </c>
      <c r="G154" s="78">
        <f>(G147-E147)</f>
        <v>0</v>
      </c>
    </row>
    <row r="155" spans="1:15">
      <c r="A155" t="s">
        <v>42</v>
      </c>
      <c r="D155" s="98"/>
      <c r="E155" s="98">
        <f>(E154/C147)</f>
        <v>0</v>
      </c>
      <c r="F155" s="98"/>
      <c r="G155" s="98">
        <f>(G154/E147)</f>
        <v>0</v>
      </c>
    </row>
    <row r="157" spans="1:15">
      <c r="A157" t="s">
        <v>119</v>
      </c>
      <c r="C157" s="79">
        <f>C147/$B140</f>
        <v>4536.2892490936101</v>
      </c>
      <c r="D157" s="79"/>
      <c r="E157" s="79">
        <f>E147/$B140</f>
        <v>4536.2892490936101</v>
      </c>
      <c r="F157" s="79"/>
      <c r="G157" s="79">
        <f>G147/$B140</f>
        <v>4536.2892490936101</v>
      </c>
    </row>
    <row r="158" spans="1:15">
      <c r="A158" t="s">
        <v>62</v>
      </c>
      <c r="E158" s="79">
        <f>E157-C157</f>
        <v>0</v>
      </c>
      <c r="G158" s="79">
        <f>G157-E157</f>
        <v>0</v>
      </c>
    </row>
    <row r="159" spans="1:15">
      <c r="A159" t="s">
        <v>42</v>
      </c>
      <c r="E159" s="98">
        <f>E158/C157</f>
        <v>0</v>
      </c>
      <c r="G159" s="98">
        <f>G158/E157</f>
        <v>0</v>
      </c>
    </row>
    <row r="162" spans="1:15">
      <c r="A162" s="21" t="str">
        <f>+A1</f>
        <v>Blue Grass Energy Cooperative</v>
      </c>
      <c r="B162" s="21"/>
      <c r="C162" s="21"/>
      <c r="D162" s="21"/>
      <c r="I162" s="60" t="s">
        <v>47</v>
      </c>
      <c r="N162" s="62" t="s">
        <v>145</v>
      </c>
    </row>
    <row r="163" spans="1:15">
      <c r="A163" s="21" t="str">
        <f>+A2</f>
        <v>Case No.  2014-00339</v>
      </c>
      <c r="B163" s="21"/>
      <c r="C163" s="21"/>
      <c r="D163" s="21"/>
      <c r="I163" s="25" t="s">
        <v>95</v>
      </c>
    </row>
    <row r="164" spans="1:15">
      <c r="A164" s="21" t="str">
        <f>+A3</f>
        <v>Billing Analysis</v>
      </c>
      <c r="B164" s="21"/>
      <c r="C164" s="21"/>
      <c r="D164" s="21"/>
      <c r="I164" s="25" t="s">
        <v>146</v>
      </c>
    </row>
    <row r="165" spans="1:15">
      <c r="A165" s="21" t="str">
        <f>+A4</f>
        <v>December 31, 2013</v>
      </c>
      <c r="B165" s="21"/>
      <c r="C165" s="21"/>
      <c r="D165" s="21"/>
      <c r="E165" s="77"/>
      <c r="I165" s="25" t="s">
        <v>85</v>
      </c>
    </row>
    <row r="166" spans="1:15">
      <c r="A166" s="21"/>
      <c r="B166" s="21"/>
      <c r="C166" s="21"/>
      <c r="D166" s="21"/>
    </row>
    <row r="167" spans="1:15">
      <c r="A167" s="21" t="s">
        <v>147</v>
      </c>
      <c r="B167" s="21"/>
      <c r="C167" s="21"/>
      <c r="D167" s="21"/>
      <c r="E167" s="77"/>
    </row>
    <row r="169" spans="1:15">
      <c r="B169" s="63"/>
      <c r="C169" s="64" t="s">
        <v>100</v>
      </c>
      <c r="D169" s="65" t="s">
        <v>52</v>
      </c>
      <c r="E169" s="66"/>
      <c r="F169" s="67"/>
      <c r="G169" s="68"/>
    </row>
    <row r="170" spans="1:15">
      <c r="B170" s="69" t="s">
        <v>101</v>
      </c>
      <c r="C170" s="70" t="s">
        <v>102</v>
      </c>
      <c r="D170" s="71" t="str">
        <f>+D9</f>
        <v>Case No. 2010-00497</v>
      </c>
      <c r="E170" s="72"/>
      <c r="F170" s="71" t="s">
        <v>28</v>
      </c>
      <c r="G170" s="72"/>
    </row>
    <row r="171" spans="1:15" ht="15.6">
      <c r="A171" s="30" t="s">
        <v>107</v>
      </c>
      <c r="B171" s="74" t="s">
        <v>108</v>
      </c>
      <c r="C171" s="74" t="s">
        <v>109</v>
      </c>
      <c r="D171" s="75" t="s">
        <v>110</v>
      </c>
      <c r="E171" s="76" t="s">
        <v>109</v>
      </c>
      <c r="F171" s="75" t="s">
        <v>110</v>
      </c>
      <c r="G171" s="76" t="s">
        <v>109</v>
      </c>
    </row>
    <row r="172" spans="1:15">
      <c r="E172" s="77"/>
      <c r="G172" s="77"/>
    </row>
    <row r="173" spans="1:15">
      <c r="A173" t="s">
        <v>6</v>
      </c>
      <c r="B173" s="77">
        <f>+monthly!C290+monthly!C292</f>
        <v>276</v>
      </c>
      <c r="C173" s="118">
        <f>+B173*D173</f>
        <v>30674.639999999999</v>
      </c>
      <c r="D173" s="79">
        <v>111.14</v>
      </c>
      <c r="E173" s="78">
        <f>($B173*D173)</f>
        <v>30674.639999999999</v>
      </c>
      <c r="F173" s="116">
        <f>+D173</f>
        <v>111.14</v>
      </c>
      <c r="G173" s="78">
        <f>($B173*F173)</f>
        <v>30674.639999999999</v>
      </c>
      <c r="L173" s="82">
        <f>G173/G180</f>
        <v>5.4982193762278427E-3</v>
      </c>
    </row>
    <row r="174" spans="1:15">
      <c r="A174" t="s">
        <v>6</v>
      </c>
      <c r="B174" s="77">
        <f>+monthly!C293-B256</f>
        <v>5</v>
      </c>
      <c r="C174" s="118">
        <f>+B174*D174</f>
        <v>5995.7000000000007</v>
      </c>
      <c r="D174" s="79">
        <v>1199.1400000000001</v>
      </c>
      <c r="E174" s="78">
        <f>($B174*D174)</f>
        <v>5995.7000000000007</v>
      </c>
      <c r="F174" s="79">
        <f>+D174</f>
        <v>1199.1400000000001</v>
      </c>
      <c r="G174" s="78">
        <f>($B174*F174)</f>
        <v>5995.7000000000007</v>
      </c>
      <c r="L174" s="82">
        <f>G174/G180</f>
        <v>1.0746882086977803E-3</v>
      </c>
    </row>
    <row r="175" spans="1:15">
      <c r="A175" t="s">
        <v>140</v>
      </c>
      <c r="B175" s="77">
        <f>(+monthly!J290+monthly!J292+monthly!J293-B257)</f>
        <v>208910.122</v>
      </c>
      <c r="C175" s="119">
        <f>+B175*D175</f>
        <v>1742310.4174800001</v>
      </c>
      <c r="D175" s="79">
        <v>8.34</v>
      </c>
      <c r="E175" s="77">
        <f>($B175*D175)</f>
        <v>1742310.4174800001</v>
      </c>
      <c r="F175" s="116">
        <f>+D175</f>
        <v>8.34</v>
      </c>
      <c r="G175" s="77">
        <f>($B175*F175)</f>
        <v>1742310.4174800001</v>
      </c>
      <c r="L175" s="82">
        <f>G175/G180</f>
        <v>0.31229722326952031</v>
      </c>
      <c r="N175" s="62">
        <f>+monthly!K290+monthly!K292+monthly!K293</f>
        <v>2345509.62</v>
      </c>
      <c r="O175" s="121">
        <f>+N175-C175</f>
        <v>603199.20252000005</v>
      </c>
    </row>
    <row r="176" spans="1:15">
      <c r="A176" t="s">
        <v>132</v>
      </c>
      <c r="B176" s="77">
        <f>(+monthly!D290+monthly!D292+monthly!D293-B258)</f>
        <v>80741257</v>
      </c>
      <c r="C176" s="119">
        <f>+B176*D176</f>
        <v>4032218.3745800001</v>
      </c>
      <c r="D176" s="84">
        <v>4.9939999999999998E-2</v>
      </c>
      <c r="E176" s="77">
        <f>+B176*D176</f>
        <v>4032218.3745800001</v>
      </c>
      <c r="F176" s="117">
        <f>(D176)</f>
        <v>4.9939999999999998E-2</v>
      </c>
      <c r="G176" s="77">
        <f>+B176*F176</f>
        <v>4032218.3745800001</v>
      </c>
      <c r="L176" s="82">
        <f>G176/G180</f>
        <v>0.72274755942686508</v>
      </c>
    </row>
    <row r="177" spans="1:15">
      <c r="A177" t="s">
        <v>144</v>
      </c>
      <c r="B177" s="77"/>
      <c r="C177" s="119">
        <f>(+monthly!$D$292+monthly!$D$293)*'Exhibit C-2'!D176*0.05*-1</f>
        <v>-232185.65496499999</v>
      </c>
      <c r="D177" s="84"/>
      <c r="E177" s="119">
        <f>(+monthly!$D$292+monthly!$D$293)*'Exhibit C-2'!D176*0.05*-1</f>
        <v>-232185.65496499999</v>
      </c>
      <c r="F177" s="84"/>
      <c r="G177" s="119">
        <f>(+monthly!$D$292+monthly!$D$293)*'Exhibit C-2'!F176*0.05*-1</f>
        <v>-232185.65496499999</v>
      </c>
      <c r="L177" s="82">
        <f>G177/G180</f>
        <v>-4.1617690281311057E-2</v>
      </c>
    </row>
    <row r="178" spans="1:15">
      <c r="B178" s="77"/>
      <c r="C178" s="86"/>
      <c r="E178" s="86"/>
      <c r="G178" s="86">
        <f>E178</f>
        <v>0</v>
      </c>
    </row>
    <row r="179" spans="1:15">
      <c r="B179" s="77"/>
      <c r="C179" s="77"/>
      <c r="E179" s="77"/>
      <c r="G179" s="77"/>
    </row>
    <row r="180" spans="1:15" ht="15" thickBot="1">
      <c r="A180" t="s">
        <v>75</v>
      </c>
      <c r="B180" s="77"/>
      <c r="C180" s="77">
        <f>SUM(C172:C178)</f>
        <v>5579013.4770950004</v>
      </c>
      <c r="E180" s="88">
        <f>SUM(E173:E179)</f>
        <v>5579013.4770950004</v>
      </c>
      <c r="G180" s="88">
        <f>SUM(G173:G179)</f>
        <v>5579013.4770950004</v>
      </c>
      <c r="N180" s="62">
        <f>+monthly!F290+monthly!F292+monthly!F293</f>
        <v>8021133.9699999988</v>
      </c>
      <c r="O180" s="61">
        <f>+N180-C180</f>
        <v>2442120.4929049984</v>
      </c>
    </row>
    <row r="181" spans="1:15" ht="15" thickTop="1">
      <c r="B181" s="77"/>
      <c r="C181" s="77"/>
      <c r="E181" s="77"/>
      <c r="G181" s="77" t="s">
        <v>45</v>
      </c>
    </row>
    <row r="182" spans="1:15">
      <c r="A182" t="s">
        <v>116</v>
      </c>
      <c r="B182" s="77"/>
      <c r="C182" s="77">
        <f>+monthly!G290+monthly!G292+monthly!G293</f>
        <v>-3948.2300000000023</v>
      </c>
      <c r="E182" s="77"/>
      <c r="G182" s="122">
        <f>(O185/B176)</f>
        <v>0</v>
      </c>
    </row>
    <row r="183" spans="1:15">
      <c r="A183" t="s">
        <v>117</v>
      </c>
      <c r="B183" s="77"/>
      <c r="C183" s="86">
        <f>+monthly!I290+monthly!I292+monthly!I293</f>
        <v>884318.44000000006</v>
      </c>
      <c r="E183" s="77"/>
      <c r="G183" s="77"/>
    </row>
    <row r="184" spans="1:15">
      <c r="B184" s="77"/>
      <c r="C184" s="77"/>
      <c r="E184" s="77"/>
      <c r="G184" s="77"/>
    </row>
    <row r="185" spans="1:15" ht="15" thickBot="1">
      <c r="A185" t="s">
        <v>118</v>
      </c>
      <c r="B185" s="77"/>
      <c r="C185" s="88">
        <f>SUM(C179:C183)</f>
        <v>6459383.6870950004</v>
      </c>
      <c r="O185" s="96">
        <v>0</v>
      </c>
    </row>
    <row r="186" spans="1:15" ht="15" thickTop="1">
      <c r="B186" s="77"/>
      <c r="C186" s="77"/>
      <c r="E186" s="77"/>
      <c r="G186" s="77"/>
    </row>
    <row r="187" spans="1:15">
      <c r="A187" t="s">
        <v>62</v>
      </c>
      <c r="B187" s="77"/>
      <c r="C187" s="77"/>
      <c r="E187" s="78">
        <f>(E180-C180)</f>
        <v>0</v>
      </c>
      <c r="G187" s="78">
        <f>(G180-E180)</f>
        <v>0</v>
      </c>
    </row>
    <row r="188" spans="1:15">
      <c r="A188" t="s">
        <v>42</v>
      </c>
      <c r="D188" s="98"/>
      <c r="E188" s="98">
        <f>(E187/C180)</f>
        <v>0</v>
      </c>
      <c r="F188" s="98"/>
      <c r="G188" s="98">
        <f>(G187/E180)</f>
        <v>0</v>
      </c>
    </row>
    <row r="190" spans="1:15">
      <c r="A190" t="s">
        <v>119</v>
      </c>
      <c r="C190" s="79">
        <f>C180/$B173</f>
        <v>20213.816945996379</v>
      </c>
      <c r="D190" s="79"/>
      <c r="E190" s="79">
        <f>E180/$B173</f>
        <v>20213.816945996379</v>
      </c>
      <c r="F190" s="79"/>
      <c r="G190" s="79">
        <f>G180/$B173</f>
        <v>20213.816945996379</v>
      </c>
    </row>
    <row r="191" spans="1:15">
      <c r="A191" t="s">
        <v>62</v>
      </c>
      <c r="E191" s="79">
        <f>E190-C190</f>
        <v>0</v>
      </c>
      <c r="G191" s="79">
        <f>G190-E190</f>
        <v>0</v>
      </c>
    </row>
    <row r="192" spans="1:15">
      <c r="A192" t="s">
        <v>42</v>
      </c>
      <c r="E192" s="98">
        <f>E191/C190</f>
        <v>0</v>
      </c>
      <c r="G192" s="98">
        <f>G191/E190</f>
        <v>0</v>
      </c>
    </row>
    <row r="195" spans="1:19">
      <c r="A195" s="21" t="str">
        <f>+A1</f>
        <v>Blue Grass Energy Cooperative</v>
      </c>
      <c r="B195" s="21"/>
      <c r="C195" s="21"/>
      <c r="D195" s="21"/>
      <c r="I195" s="60" t="s">
        <v>47</v>
      </c>
      <c r="N195" s="62" t="s">
        <v>148</v>
      </c>
    </row>
    <row r="196" spans="1:19">
      <c r="A196" s="21" t="str">
        <f>+A2</f>
        <v>Case No.  2014-00339</v>
      </c>
      <c r="B196" s="21"/>
      <c r="C196" s="21"/>
      <c r="D196" s="21"/>
      <c r="I196" s="25" t="s">
        <v>95</v>
      </c>
    </row>
    <row r="197" spans="1:19">
      <c r="A197" s="21" t="str">
        <f>+A3</f>
        <v>Billing Analysis</v>
      </c>
      <c r="B197" s="21"/>
      <c r="C197" s="21"/>
      <c r="D197" s="21"/>
      <c r="I197" s="25" t="s">
        <v>149</v>
      </c>
    </row>
    <row r="198" spans="1:19">
      <c r="A198" s="21" t="str">
        <f>+A4</f>
        <v>December 31, 2013</v>
      </c>
      <c r="B198" s="21"/>
      <c r="C198" s="21"/>
      <c r="D198" s="21"/>
      <c r="E198" s="77"/>
      <c r="I198" s="25" t="s">
        <v>85</v>
      </c>
    </row>
    <row r="199" spans="1:19">
      <c r="A199" s="21"/>
      <c r="B199" s="21"/>
      <c r="C199" s="21"/>
      <c r="D199" s="21"/>
    </row>
    <row r="200" spans="1:19">
      <c r="A200" s="21" t="s">
        <v>70</v>
      </c>
      <c r="B200" s="21"/>
      <c r="C200" s="21"/>
      <c r="D200" s="21"/>
      <c r="E200" s="77"/>
    </row>
    <row r="202" spans="1:19">
      <c r="B202" s="63"/>
      <c r="C202" s="64" t="s">
        <v>100</v>
      </c>
      <c r="D202" s="65" t="s">
        <v>52</v>
      </c>
      <c r="E202" s="66"/>
      <c r="F202" s="67"/>
      <c r="G202" s="68"/>
    </row>
    <row r="203" spans="1:19">
      <c r="B203" s="69" t="s">
        <v>101</v>
      </c>
      <c r="C203" s="70" t="s">
        <v>102</v>
      </c>
      <c r="D203" s="71" t="str">
        <f>+D9</f>
        <v>Case No. 2010-00497</v>
      </c>
      <c r="E203" s="72"/>
      <c r="F203" s="71" t="s">
        <v>28</v>
      </c>
      <c r="G203" s="72"/>
    </row>
    <row r="204" spans="1:19" ht="15.6">
      <c r="A204" s="30" t="s">
        <v>107</v>
      </c>
      <c r="B204" s="74" t="s">
        <v>108</v>
      </c>
      <c r="C204" s="74" t="s">
        <v>109</v>
      </c>
      <c r="D204" s="75" t="s">
        <v>110</v>
      </c>
      <c r="E204" s="76" t="s">
        <v>109</v>
      </c>
      <c r="F204" s="75" t="s">
        <v>110</v>
      </c>
      <c r="G204" s="76" t="s">
        <v>109</v>
      </c>
    </row>
    <row r="205" spans="1:19">
      <c r="E205" s="77"/>
      <c r="G205" s="77"/>
    </row>
    <row r="206" spans="1:19">
      <c r="A206" t="s">
        <v>6</v>
      </c>
      <c r="B206" s="77">
        <f>+monthly!C294+monthly!C296+monthly!C297+monthly!C298+monthly!C299</f>
        <v>60</v>
      </c>
      <c r="C206" s="118">
        <f>+B206*D206</f>
        <v>133371</v>
      </c>
      <c r="D206" s="79">
        <v>2222.85</v>
      </c>
      <c r="E206" s="78">
        <f>($B206*D206)</f>
        <v>133371</v>
      </c>
      <c r="F206" s="116">
        <f>+D206</f>
        <v>2222.85</v>
      </c>
      <c r="G206" s="78">
        <f>($B206*F206)</f>
        <v>133371</v>
      </c>
      <c r="L206" s="82">
        <f>G206/G215</f>
        <v>1.1392172126159509E-2</v>
      </c>
    </row>
    <row r="207" spans="1:19">
      <c r="A207" t="s">
        <v>140</v>
      </c>
      <c r="B207" s="77"/>
      <c r="C207" s="118"/>
      <c r="D207" s="79"/>
      <c r="E207" s="78"/>
      <c r="F207" s="79"/>
      <c r="G207" s="78"/>
      <c r="L207" s="82"/>
    </row>
    <row r="208" spans="1:19">
      <c r="A208" t="s">
        <v>150</v>
      </c>
      <c r="B208" s="77">
        <f>SUM(monthly!J294:J299)-monthly!J295-B209</f>
        <v>363601</v>
      </c>
      <c r="C208" s="119">
        <f>+B208*D208</f>
        <v>2512482.91</v>
      </c>
      <c r="D208" s="79">
        <v>6.91</v>
      </c>
      <c r="E208" s="77">
        <f>($B208*D208)</f>
        <v>2512482.91</v>
      </c>
      <c r="F208" s="116">
        <v>7.17</v>
      </c>
      <c r="G208" s="77">
        <f>($B208*F208)</f>
        <v>2607019.17</v>
      </c>
      <c r="L208" s="82">
        <f>G208/G215</f>
        <v>0.22268417512680791</v>
      </c>
      <c r="N208" s="62">
        <f>SUM(monthly!K294:K299)-monthly!K295</f>
        <v>2526825.7208000002</v>
      </c>
      <c r="O208" s="61">
        <f>+N208-C208-C209-C210</f>
        <v>232.70151000012993</v>
      </c>
      <c r="Q208" t="s">
        <v>151</v>
      </c>
      <c r="S208" s="123">
        <v>7.17</v>
      </c>
    </row>
    <row r="209" spans="1:19">
      <c r="A209" t="s">
        <v>152</v>
      </c>
      <c r="B209" s="77">
        <f>2713.44+348+6470.638+3020.515+3441.696</f>
        <v>15994.288999999999</v>
      </c>
      <c r="C209" s="119">
        <f>+B209*D209</f>
        <v>153705.11728999997</v>
      </c>
      <c r="D209" s="79">
        <v>9.61</v>
      </c>
      <c r="E209" s="77">
        <f>($B209*D209)</f>
        <v>153705.11728999997</v>
      </c>
      <c r="F209" s="116">
        <v>9.98</v>
      </c>
      <c r="G209" s="77">
        <f>($B209*F209)</f>
        <v>159623.00422</v>
      </c>
      <c r="L209" s="82">
        <f>G209/G215</f>
        <v>1.3634543786647215E-2</v>
      </c>
      <c r="Q209" t="s">
        <v>153</v>
      </c>
      <c r="S209" s="123">
        <v>9.98</v>
      </c>
    </row>
    <row r="210" spans="1:19">
      <c r="A210" t="s">
        <v>154</v>
      </c>
      <c r="B210" s="77">
        <f>(5533.92+5581.44+5611.68+5415.84+5284.8)-(500*5)</f>
        <v>24927.68</v>
      </c>
      <c r="C210" s="119">
        <f>+B210*D210</f>
        <v>-139595.008</v>
      </c>
      <c r="D210" s="79">
        <v>-5.6</v>
      </c>
      <c r="E210" s="77">
        <f>($B210*D210)</f>
        <v>-139595.008</v>
      </c>
      <c r="F210" s="116">
        <f>+D210</f>
        <v>-5.6</v>
      </c>
      <c r="G210" s="77">
        <f>($B210*F210)</f>
        <v>-139595.008</v>
      </c>
      <c r="L210" s="82">
        <f>G210/G215</f>
        <v>-1.1923809217060783E-2</v>
      </c>
    </row>
    <row r="211" spans="1:19">
      <c r="A211" t="s">
        <v>132</v>
      </c>
      <c r="B211" s="77">
        <f>SUM(monthly!D294:D299)-monthly!D295</f>
        <v>198304474</v>
      </c>
      <c r="C211" s="119">
        <f>+B211*D211</f>
        <v>9034751.8354400005</v>
      </c>
      <c r="D211" s="84">
        <v>4.5560000000000003E-2</v>
      </c>
      <c r="E211" s="77">
        <f>($B211*D211)</f>
        <v>9034751.8354400005</v>
      </c>
      <c r="F211" s="117">
        <f>+D211-0.0005</f>
        <v>4.5060000000000003E-2</v>
      </c>
      <c r="G211" s="77">
        <f>+B211*F211</f>
        <v>8935599.5984400008</v>
      </c>
      <c r="L211" s="82">
        <f>G211/G215</f>
        <v>0.76325354594229844</v>
      </c>
    </row>
    <row r="212" spans="1:19">
      <c r="A212" t="s">
        <v>155</v>
      </c>
      <c r="C212" s="119">
        <f>+monthly!L294</f>
        <v>11231.61</v>
      </c>
      <c r="D212" s="84"/>
      <c r="E212" s="77">
        <f>+C212</f>
        <v>11231.61</v>
      </c>
      <c r="F212" s="84"/>
      <c r="G212" s="77">
        <f>+E212</f>
        <v>11231.61</v>
      </c>
      <c r="L212" s="82">
        <f>G212/G215</f>
        <v>9.5937223514777886E-4</v>
      </c>
    </row>
    <row r="213" spans="1:19">
      <c r="B213" s="77"/>
      <c r="C213" s="86"/>
      <c r="E213" s="86"/>
      <c r="G213" s="86"/>
    </row>
    <row r="214" spans="1:19">
      <c r="B214" s="77"/>
      <c r="C214" s="77"/>
      <c r="E214" s="77"/>
      <c r="G214" s="77"/>
    </row>
    <row r="215" spans="1:19" ht="15" thickBot="1">
      <c r="A215" t="s">
        <v>75</v>
      </c>
      <c r="B215" s="77"/>
      <c r="C215" s="77">
        <f>SUM(C205:C213)</f>
        <v>11705947.46473</v>
      </c>
      <c r="E215" s="88">
        <f>SUM(E206:E214)</f>
        <v>11705947.46473</v>
      </c>
      <c r="G215" s="88">
        <f>SUM(G206:G214)</f>
        <v>11707249.37466</v>
      </c>
      <c r="N215" s="62">
        <f>SUM(monthly!F294:F299)-monthly!F295+monthly!L294</f>
        <v>11708431.739999998</v>
      </c>
      <c r="O215" s="61">
        <f>+N215-C215</f>
        <v>2484.2752699982375</v>
      </c>
    </row>
    <row r="216" spans="1:19" ht="15" thickTop="1">
      <c r="B216" s="77"/>
      <c r="C216" s="77"/>
      <c r="E216" s="77"/>
      <c r="G216" s="77" t="s">
        <v>45</v>
      </c>
    </row>
    <row r="217" spans="1:19">
      <c r="A217" t="s">
        <v>116</v>
      </c>
      <c r="B217" s="77"/>
      <c r="C217" s="77">
        <f>+monthly!G294+monthly!G296+monthly!G297+monthly!G298+monthly!G299</f>
        <v>-65637.850000000006</v>
      </c>
      <c r="E217" s="77"/>
      <c r="G217" s="124" t="s">
        <v>45</v>
      </c>
    </row>
    <row r="218" spans="1:19">
      <c r="A218" t="s">
        <v>117</v>
      </c>
      <c r="B218" s="77"/>
      <c r="C218" s="86">
        <f>+monthly!I294+monthly!I296+monthly!I297+monthly!I298+monthly!I299</f>
        <v>1271217.82</v>
      </c>
      <c r="E218" s="77"/>
      <c r="G218" s="77"/>
    </row>
    <row r="219" spans="1:19">
      <c r="B219" s="77"/>
      <c r="C219" s="77"/>
      <c r="E219" s="77"/>
      <c r="G219" s="77"/>
    </row>
    <row r="220" spans="1:19" ht="15" thickBot="1">
      <c r="A220" t="s">
        <v>118</v>
      </c>
      <c r="B220" s="77"/>
      <c r="C220" s="88">
        <f>SUM(C214:C218)</f>
        <v>12911527.434730001</v>
      </c>
    </row>
    <row r="221" spans="1:19" ht="15" thickTop="1">
      <c r="B221" s="77"/>
      <c r="C221" s="77"/>
      <c r="E221" s="77"/>
      <c r="G221" s="77"/>
    </row>
    <row r="222" spans="1:19">
      <c r="A222" t="s">
        <v>62</v>
      </c>
      <c r="B222" s="77"/>
      <c r="C222" s="77"/>
      <c r="E222" s="78">
        <f>(E215-C215)</f>
        <v>0</v>
      </c>
      <c r="G222" s="78">
        <f>(G215-E215)</f>
        <v>1301.9099300000817</v>
      </c>
    </row>
    <row r="223" spans="1:19">
      <c r="A223" t="s">
        <v>42</v>
      </c>
      <c r="D223" s="98"/>
      <c r="E223" s="98">
        <f>(E222/C215)</f>
        <v>0</v>
      </c>
      <c r="F223" s="98"/>
      <c r="G223" s="98">
        <f>(G222/E215)</f>
        <v>1.1121781760278132E-4</v>
      </c>
    </row>
    <row r="225" spans="1:14">
      <c r="A225" t="s">
        <v>119</v>
      </c>
      <c r="C225" s="79">
        <f>C215/$B206</f>
        <v>195099.12441216668</v>
      </c>
      <c r="D225" s="79"/>
      <c r="E225" s="79">
        <f>E215/$B206</f>
        <v>195099.12441216668</v>
      </c>
      <c r="F225" s="79"/>
      <c r="G225" s="79">
        <f>G215/$B206</f>
        <v>195120.822911</v>
      </c>
    </row>
    <row r="226" spans="1:14">
      <c r="A226" t="s">
        <v>62</v>
      </c>
      <c r="E226" s="79">
        <f>E225-C225</f>
        <v>0</v>
      </c>
      <c r="G226" s="79">
        <f>G225-E225</f>
        <v>21.698498833313351</v>
      </c>
    </row>
    <row r="227" spans="1:14">
      <c r="A227" t="s">
        <v>42</v>
      </c>
      <c r="E227" s="98">
        <f>E226/C225</f>
        <v>0</v>
      </c>
      <c r="G227" s="98">
        <f>G226/E225</f>
        <v>1.1121781760267193E-4</v>
      </c>
    </row>
    <row r="230" spans="1:14">
      <c r="A230" s="21" t="str">
        <f>+A1</f>
        <v>Blue Grass Energy Cooperative</v>
      </c>
      <c r="B230" s="21"/>
      <c r="C230" s="21"/>
      <c r="D230" s="21"/>
      <c r="I230" s="60" t="s">
        <v>47</v>
      </c>
      <c r="N230" s="62" t="s">
        <v>156</v>
      </c>
    </row>
    <row r="231" spans="1:14">
      <c r="A231" s="21" t="str">
        <f>+A2</f>
        <v>Case No.  2014-00339</v>
      </c>
      <c r="B231" s="21"/>
      <c r="C231" s="21"/>
      <c r="D231" s="21"/>
      <c r="I231" s="25" t="s">
        <v>95</v>
      </c>
      <c r="N231" s="62" t="s">
        <v>157</v>
      </c>
    </row>
    <row r="232" spans="1:14">
      <c r="A232" s="21" t="str">
        <f>+A3</f>
        <v>Billing Analysis</v>
      </c>
      <c r="B232" s="21"/>
      <c r="C232" s="21"/>
      <c r="D232" s="21"/>
      <c r="I232" s="25" t="s">
        <v>158</v>
      </c>
    </row>
    <row r="233" spans="1:14">
      <c r="A233" s="21" t="str">
        <f>+A4</f>
        <v>December 31, 2013</v>
      </c>
      <c r="B233" s="21"/>
      <c r="C233" s="21"/>
      <c r="D233" s="21"/>
      <c r="E233" s="77"/>
      <c r="I233" s="25" t="s">
        <v>85</v>
      </c>
    </row>
    <row r="234" spans="1:14" ht="9.9" customHeight="1">
      <c r="A234" s="21"/>
      <c r="B234" s="21"/>
      <c r="C234" s="21"/>
      <c r="D234" s="21"/>
    </row>
    <row r="235" spans="1:14">
      <c r="A235" s="21" t="s">
        <v>159</v>
      </c>
      <c r="B235" s="21"/>
      <c r="C235" s="21"/>
      <c r="D235" s="21"/>
      <c r="E235" s="77"/>
    </row>
    <row r="236" spans="1:14" ht="9.9" customHeight="1"/>
    <row r="237" spans="1:14">
      <c r="B237" s="63"/>
      <c r="C237" s="64" t="s">
        <v>100</v>
      </c>
      <c r="D237" s="65" t="s">
        <v>52</v>
      </c>
      <c r="E237" s="66"/>
      <c r="F237" s="67"/>
      <c r="G237" s="68"/>
    </row>
    <row r="238" spans="1:14">
      <c r="B238" s="69" t="s">
        <v>101</v>
      </c>
      <c r="C238" s="70" t="s">
        <v>102</v>
      </c>
      <c r="D238" s="71" t="str">
        <f>+D9</f>
        <v>Case No. 2010-00497</v>
      </c>
      <c r="E238" s="72"/>
      <c r="F238" s="71" t="s">
        <v>28</v>
      </c>
      <c r="G238" s="72"/>
    </row>
    <row r="239" spans="1:14" ht="15.6">
      <c r="A239" s="30" t="s">
        <v>107</v>
      </c>
      <c r="B239" s="74" t="s">
        <v>108</v>
      </c>
      <c r="C239" s="74" t="s">
        <v>109</v>
      </c>
      <c r="D239" s="75" t="s">
        <v>110</v>
      </c>
      <c r="E239" s="76" t="s">
        <v>109</v>
      </c>
      <c r="F239" s="75" t="s">
        <v>110</v>
      </c>
      <c r="G239" s="76" t="s">
        <v>109</v>
      </c>
    </row>
    <row r="240" spans="1:14" ht="8.1" customHeight="1">
      <c r="E240" s="77"/>
      <c r="G240" s="77"/>
    </row>
    <row r="241" spans="1:15" ht="15" customHeight="1">
      <c r="A241" s="125" t="s">
        <v>160</v>
      </c>
      <c r="E241" s="77"/>
      <c r="G241" s="77"/>
    </row>
    <row r="242" spans="1:15">
      <c r="A242" t="s">
        <v>6</v>
      </c>
      <c r="B242" s="77">
        <f>+monthly!C295-B247</f>
        <v>5</v>
      </c>
      <c r="C242" s="118">
        <f>+B242*D242</f>
        <v>27270</v>
      </c>
      <c r="D242" s="79">
        <v>5454</v>
      </c>
      <c r="E242" s="78" t="s">
        <v>45</v>
      </c>
      <c r="F242" s="79" t="s">
        <v>161</v>
      </c>
      <c r="G242" s="78" t="s">
        <v>45</v>
      </c>
    </row>
    <row r="243" spans="1:15">
      <c r="A243" t="s">
        <v>140</v>
      </c>
      <c r="B243" s="77">
        <f>+monthly!J295-B249-B250</f>
        <v>75674.87999999999</v>
      </c>
      <c r="C243" s="119">
        <f>+B243*D243</f>
        <v>528210.66239999991</v>
      </c>
      <c r="D243" s="79">
        <v>6.98</v>
      </c>
      <c r="E243" s="126" t="s">
        <v>45</v>
      </c>
      <c r="F243" s="79" t="s">
        <v>45</v>
      </c>
      <c r="G243" s="126" t="s">
        <v>45</v>
      </c>
      <c r="N243" s="62">
        <f>+monthly!K295</f>
        <v>671428.01000000013</v>
      </c>
      <c r="O243" s="121">
        <f>+N243-C243-C249-C250</f>
        <v>540.00504000021192</v>
      </c>
    </row>
    <row r="244" spans="1:15">
      <c r="A244" t="s">
        <v>132</v>
      </c>
      <c r="B244" s="77">
        <f>+monthly!D295-B251</f>
        <v>43361268</v>
      </c>
      <c r="C244" s="119">
        <f>+B244*D244</f>
        <v>1879580.8839959998</v>
      </c>
      <c r="D244" s="127">
        <v>4.3346999999999997E-2</v>
      </c>
      <c r="E244" s="126" t="s">
        <v>45</v>
      </c>
      <c r="F244" s="84" t="s">
        <v>45</v>
      </c>
      <c r="G244" s="126" t="s">
        <v>45</v>
      </c>
    </row>
    <row r="245" spans="1:15" ht="9.9" customHeight="1"/>
    <row r="246" spans="1:15">
      <c r="A246" s="125" t="s">
        <v>162</v>
      </c>
      <c r="B246" s="77"/>
      <c r="C246" s="119"/>
      <c r="D246" s="84"/>
      <c r="E246" s="77"/>
      <c r="F246" s="84"/>
      <c r="G246" s="77"/>
    </row>
    <row r="247" spans="1:15">
      <c r="A247" t="s">
        <v>6</v>
      </c>
      <c r="B247" s="77">
        <v>7</v>
      </c>
      <c r="C247" s="118">
        <f>+B247*D247</f>
        <v>7780.01</v>
      </c>
      <c r="D247" s="79">
        <v>1111.43</v>
      </c>
      <c r="E247" s="78"/>
      <c r="F247" s="79"/>
      <c r="G247" s="78"/>
    </row>
    <row r="248" spans="1:15">
      <c r="A248" t="s">
        <v>140</v>
      </c>
      <c r="B248" s="77"/>
      <c r="C248" s="118"/>
      <c r="D248" s="79"/>
      <c r="E248" s="78"/>
      <c r="F248" s="79"/>
      <c r="G248" s="78"/>
    </row>
    <row r="249" spans="1:15">
      <c r="A249" t="s">
        <v>150</v>
      </c>
      <c r="B249" s="77">
        <f>+monthly!J19+monthly!J42+monthly!J65+monthly!J88+monthly!J111+monthly!J134+monthly!J157-B250</f>
        <v>20200</v>
      </c>
      <c r="C249" s="119">
        <f>+B249*D249</f>
        <v>139582</v>
      </c>
      <c r="D249" s="79">
        <v>6.91</v>
      </c>
      <c r="E249" s="78"/>
      <c r="F249" s="79"/>
      <c r="G249" s="78"/>
    </row>
    <row r="250" spans="1:15">
      <c r="A250" t="s">
        <v>152</v>
      </c>
      <c r="B250" s="62">
        <v>322.096</v>
      </c>
      <c r="C250" s="119">
        <f>+B250*D250</f>
        <v>3095.34256</v>
      </c>
      <c r="D250" s="79">
        <v>9.61</v>
      </c>
      <c r="E250" s="77"/>
      <c r="F250" s="79"/>
      <c r="G250" s="77"/>
      <c r="O250" s="121"/>
    </row>
    <row r="251" spans="1:15">
      <c r="A251" t="s">
        <v>132</v>
      </c>
      <c r="B251" s="77">
        <f>+monthly!D19+monthly!D42+monthly!D65+monthly!D88+monthly!D111+monthly!D134+monthly!D157</f>
        <v>12698636</v>
      </c>
      <c r="C251" s="119">
        <f>+B251*D251</f>
        <v>641281.11800000002</v>
      </c>
      <c r="D251" s="84">
        <v>5.0500000000000003E-2</v>
      </c>
      <c r="E251" s="77"/>
      <c r="F251" s="84"/>
      <c r="G251" s="77"/>
    </row>
    <row r="252" spans="1:15">
      <c r="A252" t="s">
        <v>163</v>
      </c>
      <c r="B252" s="77"/>
      <c r="C252" s="77">
        <f>(+C251*0.05)*-1</f>
        <v>-32064.055900000003</v>
      </c>
      <c r="E252" s="86"/>
      <c r="G252" s="86"/>
    </row>
    <row r="253" spans="1:15">
      <c r="B253" s="77"/>
      <c r="C253" s="77"/>
      <c r="E253" s="77"/>
      <c r="G253" s="77"/>
    </row>
    <row r="254" spans="1:15">
      <c r="A254" s="125" t="s">
        <v>164</v>
      </c>
      <c r="B254" s="77"/>
      <c r="C254" s="77"/>
      <c r="E254" s="77"/>
      <c r="G254" s="77"/>
    </row>
    <row r="255" spans="1:15">
      <c r="A255" t="s">
        <v>6</v>
      </c>
      <c r="B255" s="77"/>
      <c r="C255" s="77"/>
      <c r="D255" s="79">
        <f>(D173)</f>
        <v>111.14</v>
      </c>
      <c r="E255" s="77"/>
      <c r="G255" s="77"/>
    </row>
    <row r="256" spans="1:15">
      <c r="A256" t="s">
        <v>6</v>
      </c>
      <c r="B256" s="77">
        <v>7</v>
      </c>
      <c r="C256" s="118">
        <f>+B256*D256</f>
        <v>8393.9800000000014</v>
      </c>
      <c r="D256" s="79">
        <f>(D174)</f>
        <v>1199.1400000000001</v>
      </c>
      <c r="E256" s="77"/>
      <c r="G256" s="77"/>
    </row>
    <row r="257" spans="1:14">
      <c r="A257" t="s">
        <v>140</v>
      </c>
      <c r="B257" s="77">
        <v>72326.040000000008</v>
      </c>
      <c r="C257" s="118">
        <f>+B257*D257</f>
        <v>603199.1736000001</v>
      </c>
      <c r="D257" s="79">
        <f>(D175)</f>
        <v>8.34</v>
      </c>
      <c r="E257" s="77"/>
      <c r="G257" s="77"/>
    </row>
    <row r="258" spans="1:14">
      <c r="A258" t="s">
        <v>165</v>
      </c>
      <c r="B258" s="77">
        <v>36512548</v>
      </c>
      <c r="C258" s="118">
        <f>+B258*D258</f>
        <v>1823436.6471199999</v>
      </c>
      <c r="D258" s="79">
        <f>(D176)</f>
        <v>4.9939999999999998E-2</v>
      </c>
      <c r="E258" s="77"/>
      <c r="G258" s="77"/>
    </row>
    <row r="259" spans="1:14">
      <c r="B259" s="77"/>
      <c r="C259" s="118"/>
      <c r="D259" s="79"/>
      <c r="E259" s="77"/>
      <c r="G259" s="77"/>
    </row>
    <row r="260" spans="1:14">
      <c r="A260" s="21">
        <f>+A31</f>
        <v>0</v>
      </c>
      <c r="B260" s="21"/>
      <c r="C260" s="21"/>
      <c r="D260" s="21"/>
      <c r="I260" s="60" t="s">
        <v>47</v>
      </c>
      <c r="N260" s="62" t="s">
        <v>156</v>
      </c>
    </row>
    <row r="261" spans="1:14">
      <c r="A261" s="21" t="str">
        <f>+A32</f>
        <v>Blue Grass Energy Cooperative</v>
      </c>
      <c r="B261" s="21"/>
      <c r="C261" s="21"/>
      <c r="D261" s="21"/>
      <c r="I261" s="25" t="s">
        <v>95</v>
      </c>
      <c r="N261" s="62" t="s">
        <v>157</v>
      </c>
    </row>
    <row r="262" spans="1:14">
      <c r="A262" s="21" t="str">
        <f>+A33</f>
        <v>Case No.  2014-00339</v>
      </c>
      <c r="B262" s="21"/>
      <c r="C262" s="21"/>
      <c r="D262" s="21"/>
      <c r="I262" s="25" t="s">
        <v>166</v>
      </c>
    </row>
    <row r="263" spans="1:14">
      <c r="A263" s="21" t="str">
        <f>+A34</f>
        <v>Billing Analysis</v>
      </c>
      <c r="B263" s="21"/>
      <c r="C263" s="21"/>
      <c r="D263" s="21"/>
      <c r="E263" s="77"/>
      <c r="I263" s="25" t="s">
        <v>85</v>
      </c>
    </row>
    <row r="264" spans="1:14" ht="9.9" customHeight="1">
      <c r="A264" s="21"/>
      <c r="B264" s="21"/>
      <c r="C264" s="21"/>
      <c r="D264" s="21"/>
    </row>
    <row r="265" spans="1:14">
      <c r="A265" s="21" t="s">
        <v>159</v>
      </c>
      <c r="B265" s="21"/>
      <c r="C265" s="21"/>
      <c r="D265" s="21"/>
      <c r="E265" s="77"/>
    </row>
    <row r="266" spans="1:14" ht="9.9" customHeight="1"/>
    <row r="267" spans="1:14">
      <c r="B267" s="63"/>
      <c r="C267" s="64" t="s">
        <v>100</v>
      </c>
      <c r="D267" s="65" t="s">
        <v>52</v>
      </c>
      <c r="E267" s="66"/>
      <c r="F267" s="67"/>
      <c r="G267" s="68"/>
    </row>
    <row r="268" spans="1:14">
      <c r="B268" s="69" t="s">
        <v>101</v>
      </c>
      <c r="C268" s="70" t="s">
        <v>102</v>
      </c>
      <c r="D268" s="71" t="str">
        <f>+D39</f>
        <v>Normalized</v>
      </c>
      <c r="E268" s="72"/>
      <c r="F268" s="71" t="s">
        <v>28</v>
      </c>
      <c r="G268" s="72"/>
    </row>
    <row r="269" spans="1:14" ht="15.6">
      <c r="A269" s="30" t="s">
        <v>107</v>
      </c>
      <c r="B269" s="74" t="s">
        <v>108</v>
      </c>
      <c r="C269" s="74" t="s">
        <v>109</v>
      </c>
      <c r="D269" s="75" t="s">
        <v>110</v>
      </c>
      <c r="E269" s="76" t="s">
        <v>109</v>
      </c>
      <c r="F269" s="75" t="s">
        <v>110</v>
      </c>
      <c r="G269" s="76" t="s">
        <v>109</v>
      </c>
    </row>
    <row r="270" spans="1:14">
      <c r="B270" s="77"/>
      <c r="C270" s="118"/>
      <c r="D270" s="79"/>
      <c r="E270" s="77"/>
      <c r="G270" s="77"/>
    </row>
    <row r="271" spans="1:14">
      <c r="B271" s="77"/>
      <c r="C271" s="118"/>
      <c r="D271" s="79"/>
      <c r="E271" s="77"/>
      <c r="G271" s="77"/>
    </row>
    <row r="272" spans="1:14">
      <c r="A272" s="125" t="s">
        <v>167</v>
      </c>
      <c r="B272" s="77"/>
      <c r="C272" s="118"/>
      <c r="D272" s="79"/>
      <c r="E272" s="77"/>
      <c r="G272" s="77"/>
    </row>
    <row r="273" spans="1:17">
      <c r="A273" t="s">
        <v>6</v>
      </c>
      <c r="B273" s="77">
        <f>(B242+B247)</f>
        <v>12</v>
      </c>
      <c r="D273" s="128">
        <f>(D242)</f>
        <v>5454</v>
      </c>
      <c r="E273" s="77">
        <f>(B273*D273)</f>
        <v>65448</v>
      </c>
      <c r="F273" s="126">
        <f t="shared" ref="F273:G275" si="0">(D273)</f>
        <v>5454</v>
      </c>
      <c r="G273" s="129">
        <f t="shared" si="0"/>
        <v>65448</v>
      </c>
    </row>
    <row r="274" spans="1:17">
      <c r="A274" t="s">
        <v>140</v>
      </c>
      <c r="B274" s="77">
        <f>SUM(B257+B250+B249+B243)</f>
        <v>168523.016</v>
      </c>
      <c r="D274" s="128">
        <f>(D243)</f>
        <v>6.98</v>
      </c>
      <c r="E274" s="77">
        <f>(B274*D274)</f>
        <v>1176290.6516800001</v>
      </c>
      <c r="F274" s="130">
        <f t="shared" si="0"/>
        <v>6.98</v>
      </c>
      <c r="G274" s="129">
        <f t="shared" si="0"/>
        <v>1176290.6516800001</v>
      </c>
    </row>
    <row r="275" spans="1:17">
      <c r="A275" t="s">
        <v>132</v>
      </c>
      <c r="B275" s="77">
        <f>SUM(B251,B244,B258)</f>
        <v>92572452</v>
      </c>
      <c r="D275" s="131">
        <f>(D244)</f>
        <v>4.3346999999999997E-2</v>
      </c>
      <c r="E275" s="77">
        <f>(B275*D275)</f>
        <v>4012738.0768439998</v>
      </c>
      <c r="F275" s="132">
        <f t="shared" si="0"/>
        <v>4.3346999999999997E-2</v>
      </c>
      <c r="G275" s="129">
        <f t="shared" si="0"/>
        <v>4012738.0768439998</v>
      </c>
    </row>
    <row r="276" spans="1:17">
      <c r="B276" s="77"/>
      <c r="C276" s="118"/>
      <c r="D276" s="79"/>
      <c r="E276" s="77"/>
      <c r="G276" s="77"/>
    </row>
    <row r="277" spans="1:17" ht="9.9" customHeight="1">
      <c r="B277" s="77"/>
      <c r="C277" s="77"/>
      <c r="E277" s="77"/>
      <c r="G277" s="77"/>
    </row>
    <row r="278" spans="1:17" ht="15" thickBot="1">
      <c r="A278" t="s">
        <v>75</v>
      </c>
      <c r="B278" s="77"/>
      <c r="C278" s="77">
        <f>SUM(C242:C258)</f>
        <v>5629765.7617759993</v>
      </c>
      <c r="E278" s="88">
        <f>SUM(E242:E277)</f>
        <v>5254476.7285239995</v>
      </c>
      <c r="G278" s="88">
        <f>SUM(G242:G277)</f>
        <v>5254476.7285239995</v>
      </c>
      <c r="N278" s="62">
        <f>+monthly!F295</f>
        <v>3195275.96</v>
      </c>
      <c r="O278" s="61">
        <f>+N278-C278</f>
        <v>-2434489.8017759994</v>
      </c>
    </row>
    <row r="279" spans="1:17" ht="9.9" customHeight="1" thickTop="1">
      <c r="B279" s="77"/>
      <c r="C279" s="77"/>
      <c r="E279" s="77"/>
      <c r="G279" s="77"/>
    </row>
    <row r="280" spans="1:17">
      <c r="A280" t="s">
        <v>116</v>
      </c>
      <c r="B280" s="77"/>
      <c r="C280" s="77">
        <f>+monthly!G295</f>
        <v>-88825.45</v>
      </c>
      <c r="E280" s="77"/>
      <c r="G280" s="77"/>
      <c r="Q280" s="118">
        <f>SUM(C242:C252)</f>
        <v>3194735.9610559996</v>
      </c>
    </row>
    <row r="281" spans="1:17">
      <c r="A281" t="s">
        <v>117</v>
      </c>
      <c r="B281" s="77"/>
      <c r="C281" s="86">
        <f>+monthly!I295</f>
        <v>331576.71000000002</v>
      </c>
      <c r="E281" s="77"/>
      <c r="G281" s="77"/>
    </row>
    <row r="282" spans="1:17" ht="9.9" customHeight="1">
      <c r="B282" s="77"/>
      <c r="C282" s="77"/>
      <c r="E282" s="77"/>
      <c r="G282" s="77"/>
    </row>
    <row r="283" spans="1:17" ht="15" thickBot="1">
      <c r="A283" t="s">
        <v>118</v>
      </c>
      <c r="B283" s="77">
        <f>SUM(B258+B251+B244)</f>
        <v>92572452</v>
      </c>
      <c r="C283" s="88">
        <f>SUM(C277:C281)</f>
        <v>5872517.0217759991</v>
      </c>
    </row>
    <row r="284" spans="1:17" ht="9.9" customHeight="1" thickTop="1">
      <c r="B284" s="77"/>
      <c r="C284" s="77"/>
      <c r="E284" s="77"/>
      <c r="G284" s="77"/>
    </row>
    <row r="285" spans="1:17">
      <c r="A285" t="s">
        <v>62</v>
      </c>
      <c r="B285" s="77"/>
      <c r="C285" s="77"/>
      <c r="E285" s="78">
        <f>(E278-C278)</f>
        <v>-375289.03325199988</v>
      </c>
      <c r="G285" s="78">
        <f>(G278-E278)</f>
        <v>0</v>
      </c>
    </row>
    <row r="286" spans="1:17">
      <c r="A286" t="s">
        <v>42</v>
      </c>
      <c r="D286" s="98"/>
      <c r="E286" s="98">
        <f>(E285/C278)</f>
        <v>-6.6661571570183584E-2</v>
      </c>
      <c r="F286" s="98"/>
      <c r="G286" s="98">
        <f>(G285/E278)</f>
        <v>0</v>
      </c>
    </row>
    <row r="287" spans="1:17" ht="9.9" customHeight="1"/>
    <row r="288" spans="1:17">
      <c r="A288" t="s">
        <v>119</v>
      </c>
      <c r="C288" s="78">
        <f>C278/$B242</f>
        <v>1125953.1523551999</v>
      </c>
      <c r="D288" s="79"/>
      <c r="E288" s="126">
        <f>E278/$B242</f>
        <v>1050895.3457048</v>
      </c>
      <c r="F288" s="79"/>
      <c r="G288" s="78">
        <f>G278/$B242</f>
        <v>1050895.3457048</v>
      </c>
    </row>
    <row r="289" spans="1:22">
      <c r="A289" t="s">
        <v>62</v>
      </c>
      <c r="E289" s="97">
        <f>E288-C288</f>
        <v>-75057.806650399929</v>
      </c>
      <c r="G289" s="79">
        <f>G288-E288</f>
        <v>0</v>
      </c>
    </row>
    <row r="290" spans="1:22">
      <c r="A290" t="s">
        <v>42</v>
      </c>
      <c r="E290" s="98">
        <f>E289/C288</f>
        <v>-6.6661571570183542E-2</v>
      </c>
      <c r="G290" s="98">
        <f>G289/E288</f>
        <v>0</v>
      </c>
    </row>
    <row r="293" spans="1:22">
      <c r="A293" s="211" t="str">
        <f>A1</f>
        <v>Blue Grass Energy Cooperative</v>
      </c>
      <c r="B293" s="211"/>
      <c r="C293" s="211"/>
      <c r="D293" s="211"/>
      <c r="E293" s="211"/>
      <c r="F293" s="211"/>
      <c r="G293" s="211"/>
      <c r="I293" s="60" t="s">
        <v>47</v>
      </c>
    </row>
    <row r="294" spans="1:22">
      <c r="A294" s="211"/>
      <c r="B294" s="211"/>
      <c r="C294" s="211"/>
      <c r="D294" s="211"/>
      <c r="E294" s="211"/>
      <c r="F294" s="211"/>
      <c r="G294" s="211"/>
      <c r="I294" s="25" t="s">
        <v>95</v>
      </c>
    </row>
    <row r="295" spans="1:22">
      <c r="A295" s="211" t="str">
        <f>A3</f>
        <v>Billing Analysis</v>
      </c>
      <c r="B295" s="211"/>
      <c r="C295" s="211"/>
      <c r="D295" s="211"/>
      <c r="E295" s="211"/>
      <c r="F295" s="211"/>
      <c r="G295" s="211"/>
      <c r="I295" s="25" t="s">
        <v>168</v>
      </c>
    </row>
    <row r="296" spans="1:22">
      <c r="A296" s="211" t="str">
        <f>A4</f>
        <v>December 31, 2013</v>
      </c>
      <c r="B296" s="211"/>
      <c r="C296" s="211"/>
      <c r="D296" s="211"/>
      <c r="E296" s="211"/>
      <c r="F296" s="211"/>
      <c r="G296" s="211"/>
      <c r="I296" s="25" t="s">
        <v>85</v>
      </c>
    </row>
    <row r="297" spans="1:22">
      <c r="A297" s="21"/>
      <c r="B297" s="21"/>
      <c r="C297" s="21"/>
      <c r="D297" s="21"/>
    </row>
    <row r="298" spans="1:22">
      <c r="A298" s="214" t="s">
        <v>169</v>
      </c>
      <c r="B298" s="214"/>
      <c r="C298" s="214"/>
      <c r="D298" s="214"/>
      <c r="E298" s="214"/>
      <c r="F298" s="214"/>
      <c r="G298" s="214"/>
    </row>
    <row r="300" spans="1:22">
      <c r="B300" s="63"/>
      <c r="C300" s="64" t="s">
        <v>100</v>
      </c>
      <c r="D300" s="65" t="s">
        <v>52</v>
      </c>
      <c r="E300" s="66"/>
      <c r="F300" s="67"/>
      <c r="G300" s="68"/>
    </row>
    <row r="301" spans="1:22">
      <c r="B301" s="69" t="s">
        <v>101</v>
      </c>
      <c r="C301" s="70" t="s">
        <v>102</v>
      </c>
      <c r="D301" s="71" t="str">
        <f>D9</f>
        <v>Case No. 2010-00497</v>
      </c>
      <c r="E301" s="72"/>
      <c r="F301" s="71" t="s">
        <v>28</v>
      </c>
      <c r="G301" s="72"/>
    </row>
    <row r="302" spans="1:22" ht="15.6">
      <c r="A302" s="30" t="s">
        <v>107</v>
      </c>
      <c r="B302" s="74" t="s">
        <v>108</v>
      </c>
      <c r="C302" s="74" t="s">
        <v>109</v>
      </c>
      <c r="D302" s="75" t="s">
        <v>110</v>
      </c>
      <c r="E302" s="76" t="s">
        <v>109</v>
      </c>
      <c r="F302" s="75" t="s">
        <v>110</v>
      </c>
      <c r="G302" s="76" t="s">
        <v>109</v>
      </c>
      <c r="P302" s="25" t="s">
        <v>170</v>
      </c>
      <c r="Q302" s="25"/>
    </row>
    <row r="303" spans="1:22">
      <c r="E303" s="77"/>
      <c r="G303" s="77"/>
      <c r="O303" s="62" t="s">
        <v>171</v>
      </c>
      <c r="P303" s="133" t="s">
        <v>172</v>
      </c>
      <c r="Q303" s="133" t="s">
        <v>173</v>
      </c>
      <c r="R303" s="134"/>
      <c r="S303" s="134"/>
      <c r="T303" s="134"/>
      <c r="U303" s="134"/>
      <c r="V303" s="134"/>
    </row>
    <row r="304" spans="1:22">
      <c r="A304" s="135" t="s">
        <v>174</v>
      </c>
      <c r="B304" s="77">
        <f>+monthly!P245</f>
        <v>33173</v>
      </c>
      <c r="C304" s="77">
        <f>+B304*D304</f>
        <v>361253.97000000003</v>
      </c>
      <c r="D304" s="79">
        <v>10.89</v>
      </c>
      <c r="E304" s="77">
        <f>($B304*D304)</f>
        <v>361253.97000000003</v>
      </c>
      <c r="F304" s="79" t="s">
        <v>45</v>
      </c>
      <c r="G304" s="77" t="s">
        <v>45</v>
      </c>
      <c r="H304" s="123"/>
      <c r="J304" s="136">
        <f>+monthly!P245</f>
        <v>33173</v>
      </c>
      <c r="K304" s="136"/>
      <c r="L304" s="137"/>
      <c r="M304" s="136"/>
      <c r="N304" s="62">
        <f>+monthly!R245</f>
        <v>362354.68</v>
      </c>
      <c r="O304" s="138">
        <f t="shared" ref="O304:O319" si="1">+N304-C304</f>
        <v>1100.7099999999627</v>
      </c>
      <c r="P304">
        <v>1</v>
      </c>
      <c r="Q304">
        <v>1</v>
      </c>
      <c r="R304" s="123"/>
      <c r="U304" s="136"/>
      <c r="V304" s="119"/>
    </row>
    <row r="305" spans="1:22">
      <c r="A305" s="135" t="s">
        <v>175</v>
      </c>
      <c r="B305" s="77">
        <f>+monthly!P246</f>
        <v>854</v>
      </c>
      <c r="C305" s="77">
        <f t="shared" ref="C305:C319" si="2">+B305*D305</f>
        <v>15209.74</v>
      </c>
      <c r="D305" s="79">
        <v>17.809999999999999</v>
      </c>
      <c r="E305" s="77">
        <f>($B305*D305)</f>
        <v>15209.74</v>
      </c>
      <c r="F305" s="79" t="s">
        <v>45</v>
      </c>
      <c r="G305" s="77" t="s">
        <v>45</v>
      </c>
      <c r="H305" s="123"/>
      <c r="J305" s="136">
        <f>+monthly!P246</f>
        <v>854</v>
      </c>
      <c r="K305" s="136"/>
      <c r="L305" s="137"/>
      <c r="M305" s="136"/>
      <c r="N305" s="62">
        <f>+monthly!R246</f>
        <v>15242.39</v>
      </c>
      <c r="O305" s="138">
        <f t="shared" si="1"/>
        <v>32.649999999999636</v>
      </c>
      <c r="P305">
        <v>1</v>
      </c>
      <c r="Q305">
        <v>2</v>
      </c>
      <c r="R305" s="123"/>
      <c r="U305" s="136"/>
      <c r="V305" s="119"/>
    </row>
    <row r="306" spans="1:22">
      <c r="A306" s="135" t="s">
        <v>176</v>
      </c>
      <c r="B306" s="77">
        <f>+monthly!P254</f>
        <v>5739</v>
      </c>
      <c r="C306" s="77">
        <f t="shared" si="2"/>
        <v>96587.37</v>
      </c>
      <c r="D306" s="79">
        <v>16.829999999999998</v>
      </c>
      <c r="E306" s="77">
        <f>($B306*D306)</f>
        <v>96587.37</v>
      </c>
      <c r="F306" s="79" t="s">
        <v>45</v>
      </c>
      <c r="G306" s="77" t="s">
        <v>45</v>
      </c>
      <c r="H306" s="123"/>
      <c r="J306" s="136">
        <f>+monthly!P254</f>
        <v>5739</v>
      </c>
      <c r="K306" s="136"/>
      <c r="L306" s="137"/>
      <c r="M306" s="136"/>
      <c r="N306" s="62">
        <f>+monthly!R254</f>
        <v>97022.86</v>
      </c>
      <c r="O306" s="138">
        <f t="shared" si="1"/>
        <v>435.49000000000524</v>
      </c>
      <c r="P306">
        <v>1</v>
      </c>
      <c r="Q306">
        <v>9</v>
      </c>
      <c r="R306" s="123"/>
      <c r="U306" s="136"/>
      <c r="V306" s="119"/>
    </row>
    <row r="307" spans="1:22">
      <c r="A307" s="135" t="s">
        <v>177</v>
      </c>
      <c r="B307" s="77">
        <f>+monthly!P255</f>
        <v>483</v>
      </c>
      <c r="C307" s="77">
        <f t="shared" si="2"/>
        <v>8529.7800000000007</v>
      </c>
      <c r="D307" s="79">
        <v>17.66</v>
      </c>
      <c r="E307" s="77">
        <f>($B307*D307)</f>
        <v>8529.7800000000007</v>
      </c>
      <c r="F307" s="79" t="s">
        <v>45</v>
      </c>
      <c r="G307" s="77" t="s">
        <v>45</v>
      </c>
      <c r="H307" s="123"/>
      <c r="J307" s="136">
        <f>+monthly!P255</f>
        <v>483</v>
      </c>
      <c r="K307" s="136"/>
      <c r="L307" s="137"/>
      <c r="M307" s="136"/>
      <c r="N307" s="62">
        <f>+monthly!R255</f>
        <v>8441.5499999999993</v>
      </c>
      <c r="O307" s="138">
        <f t="shared" si="1"/>
        <v>-88.230000000001382</v>
      </c>
      <c r="P307">
        <v>1</v>
      </c>
      <c r="Q307">
        <v>11</v>
      </c>
      <c r="R307" s="123"/>
      <c r="U307" s="136"/>
      <c r="V307" s="119"/>
    </row>
    <row r="308" spans="1:22">
      <c r="A308" s="135" t="s">
        <v>178</v>
      </c>
      <c r="B308" s="77">
        <f>+monthly!P257</f>
        <v>419</v>
      </c>
      <c r="C308" s="77">
        <f t="shared" si="2"/>
        <v>7893.96</v>
      </c>
      <c r="D308" s="79">
        <v>18.84</v>
      </c>
      <c r="E308" s="77">
        <f t="shared" ref="E308:E318" si="3">($B308*D308)</f>
        <v>7893.96</v>
      </c>
      <c r="F308" s="79" t="s">
        <v>45</v>
      </c>
      <c r="G308" s="77" t="s">
        <v>45</v>
      </c>
      <c r="H308" s="123"/>
      <c r="J308" s="136">
        <f>+monthly!P257</f>
        <v>419</v>
      </c>
      <c r="K308" s="136"/>
      <c r="L308" s="137"/>
      <c r="M308" s="136"/>
      <c r="N308" s="62">
        <f>+monthly!R257</f>
        <v>7837.24</v>
      </c>
      <c r="O308" s="138">
        <f t="shared" si="1"/>
        <v>-56.720000000000255</v>
      </c>
      <c r="P308">
        <v>3</v>
      </c>
      <c r="Q308">
        <v>13</v>
      </c>
      <c r="R308" s="123"/>
      <c r="U308" s="136"/>
      <c r="V308" s="119"/>
    </row>
    <row r="309" spans="1:22">
      <c r="A309" s="135" t="s">
        <v>179</v>
      </c>
      <c r="B309" s="77">
        <f>+monthly!P258</f>
        <v>429</v>
      </c>
      <c r="C309" s="77">
        <f t="shared" si="2"/>
        <v>7829.25</v>
      </c>
      <c r="D309" s="79">
        <v>18.25</v>
      </c>
      <c r="E309" s="77">
        <f t="shared" si="3"/>
        <v>7829.25</v>
      </c>
      <c r="F309" s="79" t="s">
        <v>45</v>
      </c>
      <c r="G309" s="77" t="s">
        <v>45</v>
      </c>
      <c r="H309" s="123"/>
      <c r="J309" s="136">
        <f>+monthly!P258</f>
        <v>429</v>
      </c>
      <c r="K309" s="136"/>
      <c r="L309" s="137"/>
      <c r="M309" s="136"/>
      <c r="N309" s="62">
        <f>+monthly!R258</f>
        <v>7774.5</v>
      </c>
      <c r="O309" s="138">
        <f t="shared" si="1"/>
        <v>-54.75</v>
      </c>
      <c r="P309">
        <v>3</v>
      </c>
      <c r="Q309">
        <v>14</v>
      </c>
      <c r="R309" s="123"/>
      <c r="U309" s="136"/>
      <c r="V309" s="119"/>
    </row>
    <row r="310" spans="1:22">
      <c r="A310" s="135" t="s">
        <v>180</v>
      </c>
      <c r="B310" s="77">
        <f>+monthly!P259</f>
        <v>3319</v>
      </c>
      <c r="C310" s="77">
        <f t="shared" si="2"/>
        <v>51212.17</v>
      </c>
      <c r="D310" s="79">
        <v>15.43</v>
      </c>
      <c r="E310" s="77">
        <f t="shared" si="3"/>
        <v>51212.17</v>
      </c>
      <c r="F310" s="79" t="s">
        <v>45</v>
      </c>
      <c r="G310" s="77" t="s">
        <v>45</v>
      </c>
      <c r="H310" s="123"/>
      <c r="J310" s="136">
        <f>+monthly!P259</f>
        <v>3319</v>
      </c>
      <c r="K310" s="136"/>
      <c r="L310" s="137"/>
      <c r="M310" s="136"/>
      <c r="N310" s="62">
        <f>+monthly!R259</f>
        <v>52224.340000000004</v>
      </c>
      <c r="O310" s="138">
        <f t="shared" si="1"/>
        <v>1012.1700000000055</v>
      </c>
      <c r="P310">
        <v>3</v>
      </c>
      <c r="Q310">
        <v>15</v>
      </c>
      <c r="R310" s="123"/>
      <c r="U310" s="136"/>
      <c r="V310" s="119"/>
    </row>
    <row r="311" spans="1:22">
      <c r="A311" s="135" t="s">
        <v>181</v>
      </c>
      <c r="B311" s="77">
        <f>+monthly!P260</f>
        <v>242</v>
      </c>
      <c r="C311" s="77">
        <f t="shared" si="2"/>
        <v>5657.96</v>
      </c>
      <c r="D311" s="79">
        <v>23.38</v>
      </c>
      <c r="E311" s="77">
        <f t="shared" si="3"/>
        <v>5657.96</v>
      </c>
      <c r="F311" s="79" t="s">
        <v>45</v>
      </c>
      <c r="G311" s="77" t="s">
        <v>45</v>
      </c>
      <c r="H311" s="123"/>
      <c r="J311" s="136">
        <f>+monthly!P260</f>
        <v>242</v>
      </c>
      <c r="K311" s="136"/>
      <c r="L311" s="137"/>
      <c r="M311" s="136"/>
      <c r="N311" s="62">
        <f>+monthly!R260</f>
        <v>5744.4299999999994</v>
      </c>
      <c r="O311" s="138">
        <f t="shared" si="1"/>
        <v>86.469999999999345</v>
      </c>
      <c r="P311">
        <v>3</v>
      </c>
      <c r="Q311">
        <v>16</v>
      </c>
      <c r="R311" s="123"/>
      <c r="U311" s="136"/>
      <c r="V311" s="119"/>
    </row>
    <row r="312" spans="1:22">
      <c r="A312" s="135" t="s">
        <v>182</v>
      </c>
      <c r="B312" s="77">
        <f>+monthly!P248</f>
        <v>8376</v>
      </c>
      <c r="C312" s="77">
        <f t="shared" si="2"/>
        <v>84681.36</v>
      </c>
      <c r="D312" s="79">
        <v>10.11</v>
      </c>
      <c r="E312" s="77">
        <f t="shared" si="3"/>
        <v>84681.36</v>
      </c>
      <c r="F312" s="79" t="s">
        <v>45</v>
      </c>
      <c r="G312" s="77" t="s">
        <v>45</v>
      </c>
      <c r="H312" s="123"/>
      <c r="J312" s="136">
        <f>+monthly!P248</f>
        <v>8376</v>
      </c>
      <c r="K312" s="136"/>
      <c r="L312" s="137"/>
      <c r="M312" s="136"/>
      <c r="N312" s="62">
        <f>+monthly!R248</f>
        <v>84681.36</v>
      </c>
      <c r="O312" s="138">
        <f t="shared" si="1"/>
        <v>0</v>
      </c>
      <c r="P312">
        <v>1</v>
      </c>
      <c r="Q312">
        <v>4</v>
      </c>
      <c r="R312" s="123"/>
      <c r="U312" s="136"/>
      <c r="V312" s="119"/>
    </row>
    <row r="313" spans="1:22">
      <c r="A313" s="135" t="s">
        <v>183</v>
      </c>
      <c r="B313" s="77">
        <f>+monthly!P249</f>
        <v>6516</v>
      </c>
      <c r="C313" s="77">
        <f t="shared" si="2"/>
        <v>73435.319999999992</v>
      </c>
      <c r="D313" s="79">
        <v>11.27</v>
      </c>
      <c r="E313" s="77">
        <f t="shared" si="3"/>
        <v>73435.319999999992</v>
      </c>
      <c r="F313" s="79" t="s">
        <v>45</v>
      </c>
      <c r="G313" s="77" t="s">
        <v>45</v>
      </c>
      <c r="H313" s="123"/>
      <c r="J313" s="136">
        <f>+monthly!P249</f>
        <v>6516</v>
      </c>
      <c r="K313" s="136"/>
      <c r="L313" s="137"/>
      <c r="M313" s="136"/>
      <c r="N313" s="62">
        <f>+monthly!R249</f>
        <v>73485.24000000002</v>
      </c>
      <c r="O313" s="138">
        <f t="shared" si="1"/>
        <v>49.920000000027358</v>
      </c>
      <c r="P313">
        <v>1</v>
      </c>
      <c r="Q313">
        <v>5</v>
      </c>
      <c r="R313" s="123"/>
      <c r="U313" s="136"/>
      <c r="V313" s="119"/>
    </row>
    <row r="314" spans="1:22">
      <c r="A314" s="135" t="s">
        <v>184</v>
      </c>
      <c r="B314" s="77">
        <f>+monthly!P250</f>
        <v>2369</v>
      </c>
      <c r="C314" s="77">
        <f t="shared" si="2"/>
        <v>35961.42</v>
      </c>
      <c r="D314" s="79">
        <v>15.18</v>
      </c>
      <c r="E314" s="77">
        <f t="shared" si="3"/>
        <v>35961.42</v>
      </c>
      <c r="F314" s="79" t="s">
        <v>45</v>
      </c>
      <c r="G314" s="77" t="s">
        <v>45</v>
      </c>
      <c r="H314" s="123"/>
      <c r="J314" s="136">
        <f>+monthly!P250</f>
        <v>2369</v>
      </c>
      <c r="K314" s="136"/>
      <c r="L314" s="137"/>
      <c r="M314" s="136"/>
      <c r="N314" s="62">
        <f>+monthly!R250</f>
        <v>36002.419999999991</v>
      </c>
      <c r="O314" s="138">
        <f t="shared" si="1"/>
        <v>40.999999999992724</v>
      </c>
      <c r="P314">
        <v>1</v>
      </c>
      <c r="Q314">
        <v>6</v>
      </c>
      <c r="R314" s="123"/>
      <c r="U314" s="136"/>
      <c r="V314" s="119"/>
    </row>
    <row r="315" spans="1:22">
      <c r="A315" s="135" t="s">
        <v>185</v>
      </c>
      <c r="B315" s="77">
        <f>+monthly!P253</f>
        <v>5257</v>
      </c>
      <c r="C315" s="77">
        <f t="shared" si="2"/>
        <v>49363.23</v>
      </c>
      <c r="D315" s="79">
        <v>9.39</v>
      </c>
      <c r="E315" s="77">
        <f t="shared" si="3"/>
        <v>49363.23</v>
      </c>
      <c r="F315" s="79" t="s">
        <v>45</v>
      </c>
      <c r="G315" s="77" t="s">
        <v>45</v>
      </c>
      <c r="H315" s="123"/>
      <c r="J315" s="136">
        <f>+monthly!P253</f>
        <v>5257</v>
      </c>
      <c r="K315" s="136"/>
      <c r="L315" s="137"/>
      <c r="M315" s="136"/>
      <c r="N315" s="62">
        <f>+monthly!R253</f>
        <v>49386.710000000006</v>
      </c>
      <c r="O315" s="138">
        <f t="shared" si="1"/>
        <v>23.480000000003201</v>
      </c>
      <c r="P315">
        <v>1</v>
      </c>
      <c r="Q315">
        <v>8</v>
      </c>
      <c r="R315" s="123"/>
      <c r="U315" s="136"/>
      <c r="V315" s="119"/>
    </row>
    <row r="316" spans="1:22">
      <c r="A316" s="135" t="s">
        <v>186</v>
      </c>
      <c r="B316" s="77">
        <f>+monthly!P252</f>
        <v>2606</v>
      </c>
      <c r="C316" s="77">
        <f t="shared" si="2"/>
        <v>40080.28</v>
      </c>
      <c r="D316" s="79">
        <v>15.38</v>
      </c>
      <c r="E316" s="77">
        <f t="shared" si="3"/>
        <v>40080.28</v>
      </c>
      <c r="F316" s="79" t="s">
        <v>45</v>
      </c>
      <c r="G316" s="77" t="s">
        <v>45</v>
      </c>
      <c r="H316" s="123"/>
      <c r="J316" s="136">
        <f>+monthly!P252</f>
        <v>2606</v>
      </c>
      <c r="K316" s="136"/>
      <c r="L316" s="137"/>
      <c r="M316" s="136"/>
      <c r="N316" s="62">
        <f>+monthly!R252</f>
        <v>40105.440000000002</v>
      </c>
      <c r="O316" s="138">
        <f t="shared" si="1"/>
        <v>25.160000000003492</v>
      </c>
      <c r="P316">
        <v>4</v>
      </c>
      <c r="Q316">
        <v>7</v>
      </c>
      <c r="R316" s="123"/>
      <c r="U316" s="136"/>
      <c r="V316" s="119"/>
    </row>
    <row r="317" spans="1:22">
      <c r="A317" s="135" t="s">
        <v>187</v>
      </c>
      <c r="B317" s="77">
        <f>+monthly!P256</f>
        <v>4470</v>
      </c>
      <c r="C317" s="77">
        <f t="shared" si="2"/>
        <v>50376.9</v>
      </c>
      <c r="D317" s="79">
        <v>11.27</v>
      </c>
      <c r="E317" s="77">
        <f t="shared" si="3"/>
        <v>50376.9</v>
      </c>
      <c r="F317" s="79" t="s">
        <v>45</v>
      </c>
      <c r="G317" s="77" t="s">
        <v>45</v>
      </c>
      <c r="H317" s="123"/>
      <c r="J317" s="136">
        <f>+monthly!P256</f>
        <v>4470</v>
      </c>
      <c r="K317" s="136"/>
      <c r="L317" s="137"/>
      <c r="M317" s="136"/>
      <c r="N317" s="62">
        <f>+monthly!R256</f>
        <v>50377.259999999995</v>
      </c>
      <c r="O317" s="138">
        <f t="shared" si="1"/>
        <v>0.35999999999330612</v>
      </c>
      <c r="P317">
        <v>4</v>
      </c>
      <c r="Q317">
        <v>12</v>
      </c>
      <c r="R317" s="123"/>
      <c r="U317" s="136"/>
      <c r="V317" s="119"/>
    </row>
    <row r="318" spans="1:22">
      <c r="A318" s="135" t="s">
        <v>188</v>
      </c>
      <c r="B318" s="77">
        <f>+monthly!P247</f>
        <v>104540</v>
      </c>
      <c r="C318" s="77">
        <f t="shared" si="2"/>
        <v>1123805</v>
      </c>
      <c r="D318" s="79">
        <v>10.75</v>
      </c>
      <c r="E318" s="77">
        <f t="shared" si="3"/>
        <v>1123805</v>
      </c>
      <c r="F318" s="79" t="s">
        <v>45</v>
      </c>
      <c r="G318" s="77" t="s">
        <v>45</v>
      </c>
      <c r="H318" s="123"/>
      <c r="J318" s="136">
        <f>+monthly!P247</f>
        <v>104540</v>
      </c>
      <c r="K318" s="136"/>
      <c r="L318" s="137"/>
      <c r="M318" s="136"/>
      <c r="N318" s="62">
        <f>+monthly!R247</f>
        <v>1122553.6299999999</v>
      </c>
      <c r="O318" s="138">
        <f t="shared" si="1"/>
        <v>-1251.3700000001118</v>
      </c>
      <c r="P318">
        <v>1</v>
      </c>
      <c r="Q318">
        <v>3</v>
      </c>
      <c r="R318" s="123"/>
      <c r="U318" s="136"/>
      <c r="V318" s="119"/>
    </row>
    <row r="319" spans="1:22">
      <c r="A319" t="s">
        <v>189</v>
      </c>
      <c r="B319" s="77">
        <f>+monthly!P251</f>
        <v>2070</v>
      </c>
      <c r="C319" s="77">
        <f t="shared" si="2"/>
        <v>33782.400000000001</v>
      </c>
      <c r="D319" s="79">
        <v>16.32</v>
      </c>
      <c r="E319" s="77">
        <f>($B319*D319)</f>
        <v>33782.400000000001</v>
      </c>
      <c r="F319" s="79" t="s">
        <v>45</v>
      </c>
      <c r="G319" s="77" t="s">
        <v>45</v>
      </c>
      <c r="H319" s="123"/>
      <c r="J319" s="136">
        <f>+monthly!P251</f>
        <v>2070</v>
      </c>
      <c r="K319" s="136"/>
      <c r="L319" s="137"/>
      <c r="M319" s="136"/>
      <c r="N319" s="62">
        <f>+monthly!R251</f>
        <v>33636.19</v>
      </c>
      <c r="O319" s="138">
        <f t="shared" si="1"/>
        <v>-146.20999999999913</v>
      </c>
      <c r="P319">
        <v>1</v>
      </c>
      <c r="Q319">
        <v>7</v>
      </c>
      <c r="R319" s="123"/>
      <c r="U319" s="136"/>
      <c r="V319" s="119"/>
    </row>
    <row r="320" spans="1:22">
      <c r="B320" s="139">
        <f>SUM(B304:B319)</f>
        <v>180862</v>
      </c>
      <c r="C320" s="110"/>
      <c r="D320" s="79"/>
      <c r="E320" s="110"/>
      <c r="F320" s="79" t="s">
        <v>45</v>
      </c>
      <c r="G320" s="110" t="s">
        <v>45</v>
      </c>
      <c r="J320" s="136">
        <v>180862</v>
      </c>
      <c r="K320" s="136"/>
      <c r="L320" s="137"/>
      <c r="M320" s="136"/>
      <c r="O320" s="138">
        <f>SUM(O304:O319)</f>
        <v>1210.1299999998801</v>
      </c>
      <c r="R320" s="79"/>
      <c r="U320" s="136"/>
      <c r="V320" s="119"/>
    </row>
    <row r="321" spans="1:15" ht="15" thickBot="1">
      <c r="A321" t="s">
        <v>190</v>
      </c>
      <c r="B321" s="140">
        <f>+monthly!E301</f>
        <v>9008707</v>
      </c>
      <c r="G321" s="77" t="s">
        <v>45</v>
      </c>
    </row>
    <row r="322" spans="1:15" ht="15.6" thickTop="1" thickBot="1">
      <c r="A322" t="s">
        <v>75</v>
      </c>
      <c r="B322" s="77"/>
      <c r="C322" s="77">
        <f>SUM(C303:C321)</f>
        <v>2045660.1099999999</v>
      </c>
      <c r="E322" s="88">
        <f>SUM(E304:E321)</f>
        <v>2045660.1099999999</v>
      </c>
      <c r="G322" s="88">
        <f>SUM(G304:G321)</f>
        <v>0</v>
      </c>
      <c r="N322" s="62">
        <f>+monthly!H301</f>
        <v>2046870.2400000005</v>
      </c>
      <c r="O322" s="61">
        <f>+N322-C322</f>
        <v>1210.1300000005867</v>
      </c>
    </row>
    <row r="323" spans="1:15" ht="15" thickTop="1">
      <c r="B323" s="77"/>
      <c r="C323" s="77"/>
      <c r="E323" s="78"/>
      <c r="G323" s="78"/>
      <c r="O323" s="61"/>
    </row>
    <row r="324" spans="1:15">
      <c r="B324" s="77"/>
      <c r="C324" s="77"/>
      <c r="E324" s="78"/>
      <c r="G324" s="78"/>
      <c r="O324" s="61"/>
    </row>
    <row r="325" spans="1:15">
      <c r="B325" s="77"/>
      <c r="C325" s="77"/>
      <c r="E325" s="78"/>
      <c r="G325" s="78"/>
      <c r="I325" s="60" t="s">
        <v>47</v>
      </c>
      <c r="O325" s="61"/>
    </row>
    <row r="326" spans="1:15">
      <c r="A326" s="211" t="str">
        <f>(A293)</f>
        <v>Blue Grass Energy Cooperative</v>
      </c>
      <c r="B326" s="211"/>
      <c r="C326" s="211"/>
      <c r="D326" s="211"/>
      <c r="E326" s="211"/>
      <c r="F326" s="211"/>
      <c r="G326" s="211"/>
      <c r="I326" s="25" t="s">
        <v>95</v>
      </c>
      <c r="O326" s="61"/>
    </row>
    <row r="327" spans="1:15">
      <c r="A327" s="211">
        <f t="shared" ref="A327:A329" si="4">(A294)</f>
        <v>0</v>
      </c>
      <c r="B327" s="211"/>
      <c r="C327" s="211"/>
      <c r="D327" s="211"/>
      <c r="E327" s="211"/>
      <c r="F327" s="211"/>
      <c r="G327" s="211"/>
      <c r="I327" s="25" t="s">
        <v>191</v>
      </c>
      <c r="O327" s="61"/>
    </row>
    <row r="328" spans="1:15">
      <c r="A328" s="211" t="str">
        <f t="shared" si="4"/>
        <v>Billing Analysis</v>
      </c>
      <c r="B328" s="211"/>
      <c r="C328" s="211"/>
      <c r="D328" s="211"/>
      <c r="E328" s="211"/>
      <c r="F328" s="211"/>
      <c r="G328" s="211"/>
      <c r="I328" s="25" t="s">
        <v>85</v>
      </c>
      <c r="O328" s="61"/>
    </row>
    <row r="329" spans="1:15">
      <c r="A329" s="211" t="str">
        <f t="shared" si="4"/>
        <v>December 31, 2013</v>
      </c>
      <c r="B329" s="211"/>
      <c r="C329" s="211"/>
      <c r="D329" s="211"/>
      <c r="E329" s="211"/>
      <c r="F329" s="211"/>
      <c r="G329" s="211"/>
      <c r="O329" s="61"/>
    </row>
    <row r="330" spans="1:15">
      <c r="A330" t="s">
        <v>45</v>
      </c>
      <c r="B330" s="77"/>
      <c r="C330" s="77"/>
      <c r="E330" s="78"/>
      <c r="G330" s="78"/>
      <c r="O330" s="61"/>
    </row>
    <row r="331" spans="1:15">
      <c r="A331" s="215" t="s">
        <v>192</v>
      </c>
      <c r="B331" s="215"/>
      <c r="C331" s="215"/>
      <c r="D331" s="215"/>
      <c r="E331" s="215"/>
      <c r="F331" s="215"/>
      <c r="G331" s="215"/>
      <c r="O331" s="61"/>
    </row>
    <row r="332" spans="1:15">
      <c r="B332" s="77"/>
      <c r="C332" s="77"/>
      <c r="E332" s="141" t="s">
        <v>101</v>
      </c>
      <c r="F332" s="27"/>
      <c r="G332" s="141"/>
      <c r="O332" s="61"/>
    </row>
    <row r="333" spans="1:15">
      <c r="B333" s="77"/>
      <c r="C333" s="77"/>
      <c r="E333" s="141" t="s">
        <v>108</v>
      </c>
      <c r="F333" s="27" t="s">
        <v>110</v>
      </c>
      <c r="G333" s="141" t="s">
        <v>60</v>
      </c>
      <c r="O333" s="61"/>
    </row>
    <row r="334" spans="1:15">
      <c r="A334" s="142" t="s">
        <v>193</v>
      </c>
      <c r="B334" s="77"/>
      <c r="C334" s="77"/>
      <c r="E334" s="143">
        <v>137713</v>
      </c>
      <c r="F334" s="128">
        <v>11.6</v>
      </c>
      <c r="G334" s="78">
        <f>(E334*F334)</f>
        <v>1597470.8</v>
      </c>
      <c r="O334" s="61"/>
    </row>
    <row r="335" spans="1:15">
      <c r="A335" s="142" t="s">
        <v>194</v>
      </c>
      <c r="B335" s="77"/>
      <c r="C335" s="77"/>
      <c r="E335" s="143">
        <v>2924</v>
      </c>
      <c r="F335" s="128">
        <v>18.059999999999999</v>
      </c>
      <c r="G335" s="78">
        <f t="shared" ref="G335:G345" si="5">(E335*F335)</f>
        <v>52807.439999999995</v>
      </c>
      <c r="O335" s="61"/>
    </row>
    <row r="336" spans="1:15">
      <c r="A336" s="142" t="s">
        <v>195</v>
      </c>
      <c r="B336" s="77"/>
      <c r="C336" s="77"/>
      <c r="E336" s="143">
        <v>6222</v>
      </c>
      <c r="F336" s="128">
        <v>18.21</v>
      </c>
      <c r="G336" s="78">
        <f t="shared" si="5"/>
        <v>113302.62000000001</v>
      </c>
      <c r="O336" s="61"/>
    </row>
    <row r="337" spans="1:15">
      <c r="A337" s="142" t="s">
        <v>196</v>
      </c>
      <c r="B337" s="77"/>
      <c r="C337" s="77"/>
      <c r="E337" s="143">
        <v>419</v>
      </c>
      <c r="F337" s="128">
        <v>20.32</v>
      </c>
      <c r="G337" s="78">
        <f t="shared" si="5"/>
        <v>8514.08</v>
      </c>
      <c r="O337" s="61"/>
    </row>
    <row r="338" spans="1:15">
      <c r="A338" s="142" t="s">
        <v>197</v>
      </c>
      <c r="B338" s="77"/>
      <c r="C338" s="77"/>
      <c r="E338" s="143">
        <v>429</v>
      </c>
      <c r="F338" s="128">
        <v>19.68</v>
      </c>
      <c r="G338" s="78">
        <f t="shared" si="5"/>
        <v>8442.7199999999993</v>
      </c>
      <c r="O338" s="61"/>
    </row>
    <row r="339" spans="1:15">
      <c r="A339" s="142" t="s">
        <v>198</v>
      </c>
      <c r="B339" s="77"/>
      <c r="C339" s="77"/>
      <c r="E339" s="143">
        <v>3319</v>
      </c>
      <c r="F339" s="128">
        <v>16.64</v>
      </c>
      <c r="G339" s="78">
        <f t="shared" si="5"/>
        <v>55228.160000000003</v>
      </c>
      <c r="O339" s="61"/>
    </row>
    <row r="340" spans="1:15">
      <c r="A340" s="142" t="s">
        <v>199</v>
      </c>
      <c r="B340" s="77"/>
      <c r="C340" s="77"/>
      <c r="E340" s="143">
        <v>242</v>
      </c>
      <c r="F340" s="128">
        <v>25.21</v>
      </c>
      <c r="G340" s="78">
        <f t="shared" si="5"/>
        <v>6100.8200000000006</v>
      </c>
      <c r="O340" s="61"/>
    </row>
    <row r="341" spans="1:15">
      <c r="A341" s="142" t="s">
        <v>200</v>
      </c>
      <c r="B341" s="77"/>
      <c r="C341" s="77"/>
      <c r="E341" s="143">
        <v>14892</v>
      </c>
      <c r="F341" s="128">
        <v>11.45</v>
      </c>
      <c r="G341" s="78">
        <f t="shared" si="5"/>
        <v>170513.4</v>
      </c>
      <c r="O341" s="61"/>
    </row>
    <row r="342" spans="1:15">
      <c r="A342" s="142" t="s">
        <v>201</v>
      </c>
      <c r="B342" s="77"/>
      <c r="C342" s="77"/>
      <c r="E342" s="143">
        <v>2369</v>
      </c>
      <c r="F342" s="128">
        <v>16.37</v>
      </c>
      <c r="G342" s="78">
        <f t="shared" si="5"/>
        <v>38780.53</v>
      </c>
      <c r="O342" s="61"/>
    </row>
    <row r="343" spans="1:15">
      <c r="A343" s="142" t="s">
        <v>202</v>
      </c>
      <c r="B343" s="77"/>
      <c r="C343" s="77"/>
      <c r="E343" s="143">
        <v>5257</v>
      </c>
      <c r="F343" s="128">
        <v>10.119999999999999</v>
      </c>
      <c r="G343" s="78">
        <f t="shared" si="5"/>
        <v>53200.84</v>
      </c>
      <c r="O343" s="61"/>
    </row>
    <row r="344" spans="1:15">
      <c r="A344" s="142" t="s">
        <v>203</v>
      </c>
      <c r="B344" s="77"/>
      <c r="C344" s="77"/>
      <c r="E344" s="143">
        <v>2606</v>
      </c>
      <c r="F344" s="128">
        <v>17.87</v>
      </c>
      <c r="G344" s="78">
        <f t="shared" si="5"/>
        <v>46569.22</v>
      </c>
      <c r="O344" s="61"/>
    </row>
    <row r="345" spans="1:15">
      <c r="A345" s="142" t="s">
        <v>204</v>
      </c>
      <c r="B345" s="77"/>
      <c r="C345" s="77"/>
      <c r="E345" s="143">
        <v>4470</v>
      </c>
      <c r="F345" s="128">
        <v>12.15</v>
      </c>
      <c r="G345" s="78">
        <f t="shared" si="5"/>
        <v>54310.5</v>
      </c>
      <c r="O345" s="61"/>
    </row>
    <row r="346" spans="1:15">
      <c r="B346" s="77"/>
      <c r="C346" s="77"/>
      <c r="E346" s="78"/>
      <c r="G346" s="78">
        <f>SUM(G334:G345)</f>
        <v>2205241.1300000004</v>
      </c>
      <c r="O346" s="61"/>
    </row>
    <row r="347" spans="1:15">
      <c r="B347" s="77"/>
      <c r="C347" s="77"/>
      <c r="E347" s="78"/>
      <c r="G347" s="78"/>
      <c r="O347" s="61"/>
    </row>
    <row r="348" spans="1:15">
      <c r="A348" t="s">
        <v>62</v>
      </c>
      <c r="B348" s="77"/>
      <c r="C348" s="77"/>
      <c r="E348" s="78"/>
      <c r="G348" s="78">
        <f>(G346-E322)</f>
        <v>159581.02000000048</v>
      </c>
      <c r="O348" s="61"/>
    </row>
    <row r="349" spans="1:15">
      <c r="A349" t="s">
        <v>42</v>
      </c>
      <c r="B349" s="77"/>
      <c r="C349" s="77"/>
      <c r="E349" s="78"/>
      <c r="G349" s="144">
        <f>(G348/E322)</f>
        <v>7.8009547734692097E-2</v>
      </c>
      <c r="O349" s="61"/>
    </row>
    <row r="350" spans="1:15">
      <c r="C350" s="77"/>
      <c r="E350" s="77"/>
      <c r="G350" s="77"/>
    </row>
    <row r="351" spans="1:15">
      <c r="A351" t="s">
        <v>116</v>
      </c>
      <c r="B351" s="77"/>
      <c r="C351" s="77">
        <f>+monthly!G283+monthly!G300</f>
        <v>-444.85000000000014</v>
      </c>
      <c r="E351" s="77"/>
      <c r="G351" s="77"/>
    </row>
    <row r="352" spans="1:15">
      <c r="A352" t="s">
        <v>117</v>
      </c>
      <c r="B352" s="77"/>
      <c r="C352" s="86">
        <f>+monthly!I283+monthly!I300</f>
        <v>45057.07</v>
      </c>
      <c r="E352" s="77"/>
      <c r="G352" s="77"/>
    </row>
    <row r="353" spans="1:9">
      <c r="B353" s="77"/>
      <c r="C353" s="77"/>
      <c r="E353" s="77"/>
      <c r="G353" s="77"/>
    </row>
    <row r="354" spans="1:9" ht="15" thickBot="1">
      <c r="A354" t="s">
        <v>118</v>
      </c>
      <c r="B354" s="77"/>
      <c r="C354" s="88">
        <f>SUM(C322:C352)</f>
        <v>2090272.3299999998</v>
      </c>
    </row>
    <row r="355" spans="1:9" ht="15" thickTop="1">
      <c r="A355" t="s">
        <v>205</v>
      </c>
      <c r="B355" s="126">
        <f>(B321/B320)</f>
        <v>49.809838440357844</v>
      </c>
      <c r="C355" s="77"/>
      <c r="E355" s="128">
        <f>(E322/B320)</f>
        <v>11.310613119394898</v>
      </c>
      <c r="G355" s="128">
        <f>(G346/B320)</f>
        <v>12.192948933440968</v>
      </c>
    </row>
    <row r="356" spans="1:9">
      <c r="A356" t="s">
        <v>62</v>
      </c>
      <c r="E356" s="145">
        <f>(E322-C322)</f>
        <v>0</v>
      </c>
      <c r="G356" s="130">
        <f>(G355-E355)</f>
        <v>0.88233581404607087</v>
      </c>
    </row>
    <row r="357" spans="1:9">
      <c r="A357" t="s">
        <v>42</v>
      </c>
      <c r="D357" s="77"/>
      <c r="E357" s="99">
        <f>(E356/C322)</f>
        <v>0</v>
      </c>
      <c r="F357" s="77"/>
      <c r="G357" s="99">
        <f>(G356/E355)</f>
        <v>7.8009547734692083E-2</v>
      </c>
    </row>
    <row r="358" spans="1:9">
      <c r="D358" s="77"/>
      <c r="E358" s="99"/>
      <c r="G358" s="144" t="s">
        <v>45</v>
      </c>
    </row>
    <row r="359" spans="1:9">
      <c r="D359" s="77"/>
      <c r="E359" s="99"/>
      <c r="I359" s="60" t="s">
        <v>47</v>
      </c>
    </row>
    <row r="360" spans="1:9">
      <c r="A360" s="211" t="str">
        <f>A1</f>
        <v>Blue Grass Energy Cooperative</v>
      </c>
      <c r="B360" s="211"/>
      <c r="C360" s="211"/>
      <c r="D360" s="211"/>
      <c r="I360" s="25" t="s">
        <v>95</v>
      </c>
    </row>
    <row r="361" spans="1:9">
      <c r="A361" s="211" t="str">
        <f>A2</f>
        <v>Case No.  2014-00339</v>
      </c>
      <c r="B361" s="211"/>
      <c r="C361" s="211"/>
      <c r="D361" s="211"/>
      <c r="I361" s="25" t="s">
        <v>206</v>
      </c>
    </row>
    <row r="362" spans="1:9">
      <c r="A362" s="211" t="str">
        <f>A3</f>
        <v>Billing Analysis</v>
      </c>
      <c r="B362" s="211"/>
      <c r="C362" s="211"/>
      <c r="D362" s="211"/>
      <c r="I362" s="25" t="s">
        <v>85</v>
      </c>
    </row>
    <row r="363" spans="1:9">
      <c r="A363" s="211" t="str">
        <f>A4</f>
        <v>December 31, 2013</v>
      </c>
      <c r="B363" s="211"/>
      <c r="C363" s="211"/>
      <c r="D363" s="211"/>
      <c r="E363" s="99"/>
    </row>
    <row r="364" spans="1:9">
      <c r="D364" s="77"/>
      <c r="E364" s="99"/>
    </row>
    <row r="365" spans="1:9">
      <c r="A365" s="21" t="s">
        <v>73</v>
      </c>
      <c r="B365" s="21"/>
      <c r="C365" s="21"/>
      <c r="D365" s="21"/>
      <c r="E365" s="77"/>
    </row>
    <row r="367" spans="1:9">
      <c r="B367" s="63"/>
      <c r="C367" s="64" t="s">
        <v>100</v>
      </c>
      <c r="D367" s="65" t="s">
        <v>52</v>
      </c>
      <c r="E367" s="66"/>
      <c r="F367" s="67"/>
      <c r="G367" s="68"/>
    </row>
    <row r="368" spans="1:9">
      <c r="B368" s="69" t="s">
        <v>101</v>
      </c>
      <c r="C368" s="70" t="s">
        <v>102</v>
      </c>
      <c r="D368" s="71" t="str">
        <f>+D9</f>
        <v>Case No. 2010-00497</v>
      </c>
      <c r="E368" s="72"/>
      <c r="F368" s="71" t="s">
        <v>28</v>
      </c>
      <c r="G368" s="72"/>
    </row>
    <row r="369" spans="1:7" ht="15.6">
      <c r="A369" s="30" t="s">
        <v>107</v>
      </c>
      <c r="B369" s="74" t="s">
        <v>108</v>
      </c>
      <c r="C369" s="74" t="s">
        <v>109</v>
      </c>
      <c r="D369" s="75" t="s">
        <v>110</v>
      </c>
      <c r="E369" s="76" t="s">
        <v>109</v>
      </c>
      <c r="F369" s="75" t="s">
        <v>110</v>
      </c>
      <c r="G369" s="76" t="s">
        <v>109</v>
      </c>
    </row>
    <row r="370" spans="1:7">
      <c r="E370" s="77"/>
      <c r="G370" s="77"/>
    </row>
    <row r="371" spans="1:7">
      <c r="A371" t="s">
        <v>73</v>
      </c>
      <c r="B371" s="77"/>
      <c r="C371" s="77">
        <f>+B373*D371</f>
        <v>7678.35</v>
      </c>
      <c r="D371" s="84">
        <v>2.8250000000000001E-2</v>
      </c>
      <c r="E371" s="77">
        <f>+D371*B373</f>
        <v>7678.35</v>
      </c>
      <c r="F371" s="84">
        <v>2.8250000000000001E-2</v>
      </c>
      <c r="G371" s="77">
        <f>+E371</f>
        <v>7678.35</v>
      </c>
    </row>
    <row r="372" spans="1:7">
      <c r="B372" s="77"/>
      <c r="C372" s="77"/>
      <c r="D372" s="79"/>
      <c r="E372" s="77"/>
      <c r="F372" s="79"/>
      <c r="G372" s="77"/>
    </row>
    <row r="373" spans="1:7" ht="15" thickBot="1">
      <c r="A373" t="s">
        <v>190</v>
      </c>
      <c r="B373" s="140">
        <f>+'power cost'!K24</f>
        <v>271800</v>
      </c>
    </row>
    <row r="374" spans="1:7" ht="15" thickTop="1">
      <c r="B374" s="77"/>
    </row>
    <row r="375" spans="1:7">
      <c r="A375" t="s">
        <v>207</v>
      </c>
      <c r="B375" s="77"/>
      <c r="C375" s="86"/>
      <c r="E375" s="86">
        <v>0</v>
      </c>
      <c r="G375" s="86">
        <f>E375</f>
        <v>0</v>
      </c>
    </row>
    <row r="376" spans="1:7">
      <c r="B376" s="77"/>
      <c r="C376" s="77"/>
      <c r="E376" s="77"/>
      <c r="G376" s="77"/>
    </row>
    <row r="377" spans="1:7" ht="15" thickBot="1">
      <c r="A377" t="s">
        <v>75</v>
      </c>
      <c r="B377" s="77"/>
      <c r="C377" s="77">
        <f>SUM(C370:C375)</f>
        <v>7678.35</v>
      </c>
      <c r="E377" s="88">
        <f>SUM(E371:E375)</f>
        <v>7678.35</v>
      </c>
      <c r="G377" s="88">
        <f>SUM(G371:G375)</f>
        <v>7678.35</v>
      </c>
    </row>
    <row r="378" spans="1:7" ht="15" thickTop="1">
      <c r="B378" s="77"/>
      <c r="C378" s="77"/>
      <c r="E378" s="77"/>
      <c r="G378" s="77"/>
    </row>
    <row r="379" spans="1:7">
      <c r="A379" t="s">
        <v>116</v>
      </c>
      <c r="B379" s="77"/>
      <c r="C379" s="77"/>
      <c r="E379" s="77"/>
      <c r="G379" s="77"/>
    </row>
    <row r="380" spans="1:7">
      <c r="A380" t="s">
        <v>117</v>
      </c>
      <c r="B380" s="77"/>
      <c r="C380" s="86"/>
      <c r="E380" s="77"/>
      <c r="G380" s="77"/>
    </row>
    <row r="381" spans="1:7">
      <c r="B381" s="77"/>
      <c r="C381" s="77"/>
      <c r="E381" s="77"/>
      <c r="G381" s="77"/>
    </row>
    <row r="382" spans="1:7" ht="15" thickBot="1">
      <c r="A382" t="s">
        <v>118</v>
      </c>
      <c r="B382" s="77"/>
      <c r="C382" s="88">
        <f>SUM(C376:C380)</f>
        <v>7678.35</v>
      </c>
    </row>
    <row r="383" spans="1:7" ht="15" thickTop="1">
      <c r="B383" s="77"/>
      <c r="C383" s="77"/>
      <c r="E383" s="77"/>
      <c r="G383" s="77"/>
    </row>
    <row r="384" spans="1:7">
      <c r="A384" t="s">
        <v>62</v>
      </c>
      <c r="E384" s="78">
        <f>(E377-C377)</f>
        <v>0</v>
      </c>
      <c r="G384" s="78">
        <f>(G377-E377)</f>
        <v>0</v>
      </c>
    </row>
    <row r="385" spans="1:9">
      <c r="A385" t="s">
        <v>42</v>
      </c>
      <c r="D385" s="98"/>
      <c r="E385" s="98">
        <f>(E384/C377)</f>
        <v>0</v>
      </c>
      <c r="F385" s="98"/>
      <c r="G385" s="98">
        <f>(G384/E377)</f>
        <v>0</v>
      </c>
    </row>
    <row r="386" spans="1:9">
      <c r="D386" s="77"/>
      <c r="E386" s="99"/>
    </row>
    <row r="387" spans="1:9">
      <c r="D387" s="77"/>
      <c r="E387" s="99"/>
    </row>
    <row r="388" spans="1:9">
      <c r="A388" s="211" t="str">
        <f>A1</f>
        <v>Blue Grass Energy Cooperative</v>
      </c>
      <c r="B388" s="211"/>
      <c r="C388" s="211"/>
      <c r="D388" s="211"/>
      <c r="E388" s="211"/>
      <c r="I388" s="60" t="s">
        <v>47</v>
      </c>
    </row>
    <row r="389" spans="1:9">
      <c r="A389" s="211" t="str">
        <f>A2</f>
        <v>Case No.  2014-00339</v>
      </c>
      <c r="B389" s="211"/>
      <c r="C389" s="211"/>
      <c r="D389" s="211"/>
      <c r="E389" s="211"/>
      <c r="I389" s="25" t="s">
        <v>95</v>
      </c>
    </row>
    <row r="390" spans="1:9">
      <c r="A390" s="211" t="str">
        <f>A3</f>
        <v>Billing Analysis</v>
      </c>
      <c r="B390" s="211"/>
      <c r="C390" s="211"/>
      <c r="D390" s="211"/>
      <c r="E390" s="211"/>
      <c r="I390" s="25" t="s">
        <v>208</v>
      </c>
    </row>
    <row r="391" spans="1:9">
      <c r="A391" s="211" t="str">
        <f>A4</f>
        <v>December 31, 2013</v>
      </c>
      <c r="B391" s="211"/>
      <c r="C391" s="211"/>
      <c r="D391" s="211"/>
      <c r="E391" s="211"/>
      <c r="I391" s="25" t="s">
        <v>85</v>
      </c>
    </row>
    <row r="392" spans="1:9">
      <c r="A392" s="211" t="s">
        <v>209</v>
      </c>
      <c r="B392" s="211"/>
      <c r="C392" s="211"/>
      <c r="D392" s="211"/>
      <c r="E392" s="211"/>
    </row>
    <row r="393" spans="1:9">
      <c r="E393" s="77"/>
    </row>
    <row r="395" spans="1:9">
      <c r="B395" s="63"/>
      <c r="C395" s="64" t="s">
        <v>100</v>
      </c>
      <c r="D395" s="65" t="s">
        <v>52</v>
      </c>
      <c r="E395" s="66"/>
      <c r="F395" s="67"/>
      <c r="G395" s="68"/>
    </row>
    <row r="396" spans="1:9">
      <c r="A396" s="27" t="s">
        <v>101</v>
      </c>
      <c r="B396" s="69" t="s">
        <v>101</v>
      </c>
      <c r="C396" s="70" t="s">
        <v>102</v>
      </c>
      <c r="D396" s="71" t="str">
        <f>D9</f>
        <v>Case No. 2010-00497</v>
      </c>
      <c r="E396" s="72"/>
      <c r="F396" s="71" t="s">
        <v>28</v>
      </c>
      <c r="G396" s="72"/>
    </row>
    <row r="397" spans="1:9">
      <c r="A397" s="27" t="s">
        <v>108</v>
      </c>
      <c r="B397" s="74" t="s">
        <v>108</v>
      </c>
      <c r="C397" s="74" t="s">
        <v>109</v>
      </c>
      <c r="D397" s="75" t="s">
        <v>110</v>
      </c>
      <c r="E397" s="76" t="s">
        <v>109</v>
      </c>
      <c r="F397" s="75" t="s">
        <v>110</v>
      </c>
      <c r="G397" s="76" t="s">
        <v>109</v>
      </c>
    </row>
    <row r="400" spans="1:9">
      <c r="A400" t="s">
        <v>75</v>
      </c>
      <c r="B400" s="146">
        <f>+B14+B47+B77+B110+B145+B176+B211+B283+B321+B373</f>
        <v>1283842054</v>
      </c>
      <c r="C400" s="77">
        <f>+'Exhibit C-2'!C17+'Exhibit C-2'!C49+'Exhibit C-2'!C80+'Exhibit C-2'!C113+'Exhibit C-2'!C147+'Exhibit C-2'!C180+'Exhibit C-2'!C215+'Exhibit C-2'!C278+'Exhibit C-2'!C322+'Exhibit C-2'!C377</f>
        <v>113397466.17136098</v>
      </c>
      <c r="E400" s="77">
        <f>SUM(E17,E49,E80,E113,E147,E180,E215,E278,E322,E377)</f>
        <v>113054571.13810898</v>
      </c>
      <c r="G400" s="77">
        <f>SUM(G17,G49,G80,G113,G147,G180,G215,G278,G346,G377)</f>
        <v>114453032.17582898</v>
      </c>
    </row>
    <row r="401" spans="1:10">
      <c r="C401" s="77"/>
    </row>
    <row r="402" spans="1:10">
      <c r="A402" t="s">
        <v>116</v>
      </c>
      <c r="C402" s="77">
        <f>+'Exhibit C-2'!C19+'Exhibit C-2'!C51+'Exhibit C-2'!C82+'Exhibit C-2'!C115+'Exhibit C-2'!C149+'Exhibit C-2'!C182+'Exhibit C-2'!C217+'Exhibit C-2'!C280+'Exhibit C-2'!C351+'Exhibit C-2'!C379</f>
        <v>-329117</v>
      </c>
    </row>
    <row r="403" spans="1:10">
      <c r="A403" t="s">
        <v>117</v>
      </c>
      <c r="B403" s="77"/>
      <c r="C403" s="77">
        <f>+'Exhibit C-2'!C20+'Exhibit C-2'!C52+'Exhibit C-2'!C83+'Exhibit C-2'!C116+'Exhibit C-2'!C150+'Exhibit C-2'!C183+'Exhibit C-2'!C218+'Exhibit C-2'!C281+'Exhibit C-2'!C352+'Exhibit C-2'!C380</f>
        <v>12400927.639999999</v>
      </c>
      <c r="I403" s="147"/>
    </row>
    <row r="404" spans="1:10">
      <c r="C404" s="77"/>
    </row>
    <row r="405" spans="1:10">
      <c r="A405" t="s">
        <v>118</v>
      </c>
      <c r="C405" s="77">
        <f>+C22+C85+C118+C152+C354+C382</f>
        <v>100184274.9849</v>
      </c>
    </row>
    <row r="406" spans="1:10">
      <c r="C406" s="77"/>
    </row>
    <row r="407" spans="1:10">
      <c r="A407" t="s">
        <v>210</v>
      </c>
      <c r="B407" s="146">
        <f>+monthly!H305</f>
        <v>1283842054</v>
      </c>
      <c r="C407" s="77">
        <f>+monthly!F301+monthly!H301+monthly!L301</f>
        <v>113397466.58000001</v>
      </c>
    </row>
    <row r="408" spans="1:10">
      <c r="A408" t="s">
        <v>171</v>
      </c>
      <c r="B408" s="148">
        <f>+B407-B400</f>
        <v>0</v>
      </c>
      <c r="C408" s="149">
        <f>+C407-C400</f>
        <v>0.40863902866840363</v>
      </c>
    </row>
    <row r="409" spans="1:10">
      <c r="A409" t="s">
        <v>40</v>
      </c>
    </row>
    <row r="410" spans="1:10">
      <c r="A410" t="s">
        <v>211</v>
      </c>
      <c r="E410" s="77">
        <f>(E400-C400)</f>
        <v>-342895.03325200081</v>
      </c>
      <c r="G410" s="77">
        <f>(G400-E400)</f>
        <v>1398461.0377199948</v>
      </c>
    </row>
    <row r="411" spans="1:10">
      <c r="A411" t="s">
        <v>212</v>
      </c>
      <c r="C411" s="77"/>
      <c r="D411" s="98"/>
      <c r="E411" s="98">
        <f>(E410/C400)</f>
        <v>-3.0238332903650047E-3</v>
      </c>
      <c r="F411" s="98"/>
      <c r="G411" s="99">
        <f>(G410/E400)</f>
        <v>1.2369787648936512E-2</v>
      </c>
    </row>
    <row r="412" spans="1:10">
      <c r="C412" s="77"/>
      <c r="G412" s="77" t="s">
        <v>45</v>
      </c>
      <c r="J412" s="62" t="s">
        <v>45</v>
      </c>
    </row>
    <row r="413" spans="1:10">
      <c r="A413" t="s">
        <v>213</v>
      </c>
    </row>
    <row r="414" spans="1:10">
      <c r="A414" t="s">
        <v>214</v>
      </c>
      <c r="C414" s="119">
        <f>+monthly!G301</f>
        <v>-329117.00000000006</v>
      </c>
    </row>
    <row r="415" spans="1:10">
      <c r="A415" t="s">
        <v>215</v>
      </c>
      <c r="C415" s="119">
        <f>+monthly!I301</f>
        <v>12400927.639999999</v>
      </c>
    </row>
    <row r="416" spans="1:10">
      <c r="A416" t="s">
        <v>171</v>
      </c>
    </row>
    <row r="417" spans="1:3">
      <c r="A417" t="s">
        <v>214</v>
      </c>
      <c r="C417" s="62">
        <f>+C414-C402</f>
        <v>0</v>
      </c>
    </row>
    <row r="418" spans="1:3">
      <c r="A418" t="s">
        <v>215</v>
      </c>
      <c r="C418" s="62">
        <f>+C415-C403</f>
        <v>0</v>
      </c>
    </row>
  </sheetData>
  <mergeCells count="25">
    <mergeCell ref="A1:E1"/>
    <mergeCell ref="A2:E2"/>
    <mergeCell ref="A3:E3"/>
    <mergeCell ref="A4:E4"/>
    <mergeCell ref="A6:E6"/>
    <mergeCell ref="A361:D361"/>
    <mergeCell ref="J9:K9"/>
    <mergeCell ref="A293:G294"/>
    <mergeCell ref="A295:G295"/>
    <mergeCell ref="A296:G296"/>
    <mergeCell ref="A298:G298"/>
    <mergeCell ref="A326:G326"/>
    <mergeCell ref="H9:I9"/>
    <mergeCell ref="A327:G327"/>
    <mergeCell ref="A328:G328"/>
    <mergeCell ref="A329:G329"/>
    <mergeCell ref="A331:G331"/>
    <mergeCell ref="A360:D360"/>
    <mergeCell ref="A392:E392"/>
    <mergeCell ref="A362:D362"/>
    <mergeCell ref="A363:D363"/>
    <mergeCell ref="A388:E388"/>
    <mergeCell ref="A389:E389"/>
    <mergeCell ref="A390:E390"/>
    <mergeCell ref="A391:E391"/>
  </mergeCells>
  <pageMargins left="0.7" right="0.7" top="0.75" bottom="0.75" header="0.3" footer="0.3"/>
  <pageSetup scale="80" orientation="landscape" verticalDpi="599" r:id="rId1"/>
  <rowBreaks count="12" manualBreakCount="12">
    <brk id="30" max="16383" man="1"/>
    <brk id="61" max="16383" man="1"/>
    <brk id="93" max="11" man="1"/>
    <brk id="126" max="11" man="1"/>
    <brk id="160" max="11" man="1"/>
    <brk id="193" max="11" man="1"/>
    <brk id="228" max="11" man="1"/>
    <brk id="258" max="11" man="1"/>
    <brk id="290" max="11" man="1"/>
    <brk id="324" max="11" man="1"/>
    <brk id="357" max="11" man="1"/>
    <brk id="38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62CE-DBA9-42A5-95E8-72B13C0431CC}">
  <sheetPr>
    <tabColor rgb="FFFFFF00"/>
    <pageSetUpPr fitToPage="1"/>
  </sheetPr>
  <dimension ref="A1:O60"/>
  <sheetViews>
    <sheetView workbookViewId="0">
      <selection activeCell="N4" sqref="N4"/>
    </sheetView>
  </sheetViews>
  <sheetFormatPr defaultRowHeight="14.4"/>
  <cols>
    <col min="1" max="1" width="4.6640625" customWidth="1"/>
    <col min="2" max="2" width="34.6640625" customWidth="1"/>
    <col min="3" max="3" width="14.88671875" bestFit="1" customWidth="1"/>
    <col min="4" max="4" width="16.88671875" bestFit="1" customWidth="1"/>
    <col min="5" max="5" width="9.33203125" bestFit="1" customWidth="1"/>
    <col min="6" max="6" width="14.88671875" bestFit="1" customWidth="1"/>
    <col min="7" max="7" width="9.33203125" bestFit="1" customWidth="1"/>
    <col min="8" max="8" width="14.88671875" bestFit="1" customWidth="1"/>
    <col min="9" max="9" width="9.33203125" bestFit="1" customWidth="1"/>
    <col min="10" max="10" width="13.5546875" bestFit="1" customWidth="1"/>
    <col min="11" max="11" width="9.33203125" bestFit="1" customWidth="1"/>
    <col min="14" max="14" width="14.6640625" bestFit="1" customWidth="1"/>
  </cols>
  <sheetData>
    <row r="1" spans="1:15" ht="18">
      <c r="A1" s="19">
        <v>1</v>
      </c>
      <c r="B1" s="20" t="str">
        <f>+'Exhibit C-2'!A1</f>
        <v>Blue Grass Energy Cooperative</v>
      </c>
      <c r="C1" s="21"/>
      <c r="D1" s="21"/>
      <c r="E1" s="21"/>
      <c r="F1" s="21"/>
      <c r="G1" s="22"/>
      <c r="H1" s="21"/>
      <c r="I1" s="21"/>
      <c r="J1" s="21"/>
      <c r="K1" s="23" t="s">
        <v>47</v>
      </c>
    </row>
    <row r="2" spans="1:15" ht="18">
      <c r="A2" s="19">
        <f>+A1+1</f>
        <v>2</v>
      </c>
      <c r="B2" s="20" t="str">
        <f>+'Exhibit C-2'!A2</f>
        <v>Case No.  2014-00339</v>
      </c>
      <c r="C2" s="21"/>
      <c r="D2" s="21"/>
      <c r="E2" s="21"/>
      <c r="F2" s="21"/>
      <c r="G2" s="22"/>
      <c r="H2" s="21"/>
      <c r="I2" s="21"/>
      <c r="J2" s="21"/>
      <c r="K2" s="24" t="s">
        <v>48</v>
      </c>
    </row>
    <row r="3" spans="1:15" ht="18">
      <c r="A3" s="19">
        <f>+A2+1</f>
        <v>3</v>
      </c>
      <c r="B3" s="20" t="s">
        <v>49</v>
      </c>
      <c r="C3" s="21"/>
      <c r="D3" s="21"/>
      <c r="E3" s="21"/>
      <c r="F3" s="21"/>
      <c r="G3" s="22"/>
      <c r="H3" s="21"/>
      <c r="I3" s="21"/>
      <c r="J3" s="21"/>
      <c r="K3" s="24" t="s">
        <v>50</v>
      </c>
    </row>
    <row r="4" spans="1:15" ht="18">
      <c r="A4" s="19">
        <f t="shared" ref="A4:A36" si="0">(A3+1)</f>
        <v>4</v>
      </c>
      <c r="B4" s="20" t="str">
        <f>+'Exhibit C-2'!A4</f>
        <v>December 31, 2013</v>
      </c>
      <c r="C4" s="21"/>
      <c r="D4" s="21"/>
      <c r="E4" s="21"/>
      <c r="F4" s="21"/>
      <c r="G4" s="22"/>
      <c r="H4" s="21"/>
      <c r="I4" s="21"/>
      <c r="J4" s="21"/>
      <c r="K4" s="25" t="s">
        <v>51</v>
      </c>
    </row>
    <row r="5" spans="1:15" ht="15.6">
      <c r="A5" s="19">
        <f t="shared" si="0"/>
        <v>5</v>
      </c>
      <c r="B5" s="26"/>
    </row>
    <row r="6" spans="1:15" ht="15.6">
      <c r="A6" s="19">
        <f t="shared" si="0"/>
        <v>6</v>
      </c>
      <c r="C6" s="27"/>
      <c r="D6" s="27"/>
      <c r="E6" s="28" t="s">
        <v>42</v>
      </c>
      <c r="F6" s="28" t="s">
        <v>52</v>
      </c>
      <c r="G6" s="28" t="s">
        <v>42</v>
      </c>
      <c r="H6" s="27"/>
      <c r="I6" s="28" t="s">
        <v>42</v>
      </c>
    </row>
    <row r="7" spans="1:15" ht="15.6">
      <c r="A7" s="19">
        <f t="shared" si="0"/>
        <v>7</v>
      </c>
      <c r="B7" s="28" t="s">
        <v>41</v>
      </c>
      <c r="C7" s="28" t="s">
        <v>53</v>
      </c>
      <c r="D7" s="28" t="s">
        <v>54</v>
      </c>
      <c r="E7" s="28" t="s">
        <v>55</v>
      </c>
      <c r="F7" s="28" t="s">
        <v>56</v>
      </c>
      <c r="G7" s="28" t="s">
        <v>55</v>
      </c>
      <c r="H7" s="28" t="s">
        <v>28</v>
      </c>
      <c r="I7" s="28" t="s">
        <v>55</v>
      </c>
      <c r="J7" s="29" t="s">
        <v>57</v>
      </c>
      <c r="K7" s="21"/>
    </row>
    <row r="8" spans="1:15" ht="15.6">
      <c r="A8" s="19">
        <f t="shared" si="0"/>
        <v>8</v>
      </c>
      <c r="B8" s="30" t="s">
        <v>58</v>
      </c>
      <c r="C8" s="30" t="s">
        <v>59</v>
      </c>
      <c r="D8" s="30" t="s">
        <v>60</v>
      </c>
      <c r="E8" s="30" t="s">
        <v>43</v>
      </c>
      <c r="F8" s="31" t="s">
        <v>61</v>
      </c>
      <c r="G8" s="30" t="s">
        <v>43</v>
      </c>
      <c r="H8" s="30" t="s">
        <v>60</v>
      </c>
      <c r="I8" s="30" t="s">
        <v>43</v>
      </c>
      <c r="J8" s="30" t="s">
        <v>62</v>
      </c>
      <c r="K8" s="30" t="s">
        <v>42</v>
      </c>
      <c r="N8" s="32" t="s">
        <v>63</v>
      </c>
      <c r="O8" s="33"/>
    </row>
    <row r="9" spans="1:15">
      <c r="A9" s="19">
        <f t="shared" si="0"/>
        <v>9</v>
      </c>
      <c r="N9" s="33"/>
      <c r="O9" s="33"/>
    </row>
    <row r="10" spans="1:15" ht="15.6">
      <c r="A10" s="19">
        <f t="shared" si="0"/>
        <v>10</v>
      </c>
      <c r="B10" s="34" t="s">
        <v>64</v>
      </c>
      <c r="C10" s="35">
        <f>+'Exhibit C-2'!B14</f>
        <v>793939806</v>
      </c>
      <c r="D10" s="36">
        <f>+'Exhibit C-2'!C17</f>
        <v>77280276.675060004</v>
      </c>
      <c r="E10" s="37">
        <f t="shared" ref="E10:E16" si="1">(D10/$D$22)</f>
        <v>0.68149914882822549</v>
      </c>
      <c r="F10" s="36">
        <f>+'Exhibit C-2'!E17</f>
        <v>77312670.675060004</v>
      </c>
      <c r="G10" s="37">
        <f t="shared" ref="G10:G16" si="2">(F10/$F$22)</f>
        <v>0.68385267306541553</v>
      </c>
      <c r="H10" s="36">
        <f>+'Exhibit C-2'!G17</f>
        <v>78267191.003399998</v>
      </c>
      <c r="I10" s="37">
        <f t="shared" ref="I10:I16" si="3">(H10/$H$22)</f>
        <v>0.68383676269198079</v>
      </c>
      <c r="J10" s="36">
        <f>+H10-F10</f>
        <v>954520.32833999395</v>
      </c>
      <c r="K10" s="38">
        <f>+J10/F10</f>
        <v>1.234623406494104E-2</v>
      </c>
      <c r="N10" s="39">
        <f>'Exhibit C-2'!K17</f>
        <v>78269240.599859998</v>
      </c>
      <c r="O10" s="40">
        <f>N10/N$22</f>
        <v>0.68388829609013979</v>
      </c>
    </row>
    <row r="11" spans="1:15" ht="15.6">
      <c r="A11" s="19">
        <f t="shared" si="0"/>
        <v>11</v>
      </c>
      <c r="B11" s="41" t="s">
        <v>65</v>
      </c>
      <c r="C11" s="35">
        <f>+'Exhibit C-2'!B47</f>
        <v>437447</v>
      </c>
      <c r="D11" s="35">
        <f>+'Exhibit C-2'!C49</f>
        <v>37530.452859999998</v>
      </c>
      <c r="E11" s="37">
        <f t="shared" si="1"/>
        <v>3.3096376953684064E-4</v>
      </c>
      <c r="F11" s="35">
        <f>+'Exhibit C-2'!E49</f>
        <v>37530.452859999998</v>
      </c>
      <c r="G11" s="37">
        <f t="shared" si="2"/>
        <v>3.3196758416917339E-4</v>
      </c>
      <c r="H11" s="35">
        <f>+'Exhibit C-2'!G49</f>
        <v>38504.946759999999</v>
      </c>
      <c r="I11" s="37">
        <f t="shared" si="3"/>
        <v>3.3642574624712958E-4</v>
      </c>
      <c r="J11" s="42">
        <f t="shared" ref="J11:J19" si="4">+H11-F11</f>
        <v>974.4939000000013</v>
      </c>
      <c r="K11" s="38">
        <f t="shared" ref="K11:K19" si="5">+J11/F11</f>
        <v>2.5965418100206781E-2</v>
      </c>
      <c r="N11" s="39">
        <f>'Exhibit C-2'!I49</f>
        <v>38506.235639999999</v>
      </c>
      <c r="O11" s="40">
        <f t="shared" ref="O11:O18" si="6">N11/N$22</f>
        <v>3.3645355032015117E-4</v>
      </c>
    </row>
    <row r="12" spans="1:15" ht="15.6">
      <c r="A12" s="19">
        <f t="shared" si="0"/>
        <v>12</v>
      </c>
      <c r="B12" s="41" t="s">
        <v>66</v>
      </c>
      <c r="C12" s="35">
        <f>+'Exhibit C-2'!B77</f>
        <v>70405905</v>
      </c>
      <c r="D12" s="35">
        <f>+'Exhibit C-2'!C80</f>
        <v>7980425.1752000004</v>
      </c>
      <c r="E12" s="37">
        <f t="shared" si="1"/>
        <v>7.0375692197040388E-2</v>
      </c>
      <c r="F12" s="35">
        <f>+'Exhibit C-2'!E80</f>
        <v>7980425.1752000004</v>
      </c>
      <c r="G12" s="37">
        <f t="shared" si="2"/>
        <v>7.058914199454179E-2</v>
      </c>
      <c r="H12" s="35">
        <f>+'Exhibit C-2'!G80</f>
        <v>8259770.633750001</v>
      </c>
      <c r="I12" s="37">
        <f t="shared" si="3"/>
        <v>7.2167337786742877E-2</v>
      </c>
      <c r="J12" s="42">
        <f t="shared" si="4"/>
        <v>279345.45855000056</v>
      </c>
      <c r="K12" s="38">
        <f t="shared" si="5"/>
        <v>3.5003831552496173E-2</v>
      </c>
      <c r="N12" s="39">
        <f>'Exhibit C-2'!G80</f>
        <v>8259770.633750001</v>
      </c>
      <c r="O12" s="40">
        <f t="shared" si="6"/>
        <v>7.2170886308826232E-2</v>
      </c>
    </row>
    <row r="13" spans="1:15" ht="15.6">
      <c r="A13" s="19">
        <f t="shared" si="0"/>
        <v>13</v>
      </c>
      <c r="B13" s="41" t="s">
        <v>67</v>
      </c>
      <c r="C13" s="35">
        <f>+'Exhibit C-2'!B110</f>
        <v>659159</v>
      </c>
      <c r="D13" s="35">
        <f>+'Exhibit C-2'!C113</f>
        <v>78246.040000000008</v>
      </c>
      <c r="E13" s="37">
        <f t="shared" si="1"/>
        <v>6.9001577056191212E-4</v>
      </c>
      <c r="F13" s="35">
        <f>+'Exhibit C-2'!E113</f>
        <v>78246.040000000008</v>
      </c>
      <c r="G13" s="37">
        <f t="shared" si="2"/>
        <v>6.9210859156162378E-4</v>
      </c>
      <c r="H13" s="35">
        <f>+'Exhibit C-2'!G113</f>
        <v>80983.866999999998</v>
      </c>
      <c r="I13" s="37">
        <f t="shared" si="3"/>
        <v>7.0757292716883352E-4</v>
      </c>
      <c r="J13" s="42">
        <f t="shared" si="4"/>
        <v>2737.8269999999902</v>
      </c>
      <c r="K13" s="38">
        <f t="shared" si="5"/>
        <v>3.498997521152495E-2</v>
      </c>
      <c r="N13" s="39">
        <f>'Exhibit C-2'!G113</f>
        <v>80983.866999999998</v>
      </c>
      <c r="O13" s="40">
        <f t="shared" si="6"/>
        <v>7.0760771905993894E-4</v>
      </c>
    </row>
    <row r="14" spans="1:15" ht="15.6">
      <c r="A14" s="19">
        <f t="shared" si="0"/>
        <v>14</v>
      </c>
      <c r="B14" s="34" t="s">
        <v>68</v>
      </c>
      <c r="C14" s="35">
        <f>+'Exhibit C-2'!B145</f>
        <v>37501047</v>
      </c>
      <c r="D14" s="35">
        <f>+'Exhibit C-2'!C147</f>
        <v>3052922.6646399996</v>
      </c>
      <c r="E14" s="37">
        <f t="shared" si="1"/>
        <v>2.6922318176197734E-2</v>
      </c>
      <c r="F14" s="35">
        <f>+'Exhibit C-2'!E147</f>
        <v>3052922.6646399996</v>
      </c>
      <c r="G14" s="37">
        <f t="shared" si="2"/>
        <v>2.7003973690816165E-2</v>
      </c>
      <c r="H14" s="35">
        <f>+'Exhibit C-2'!G147</f>
        <v>3052922.6646399996</v>
      </c>
      <c r="I14" s="37">
        <f t="shared" si="3"/>
        <v>2.6674021706562859E-2</v>
      </c>
      <c r="J14" s="42">
        <f t="shared" si="4"/>
        <v>0</v>
      </c>
      <c r="K14" s="38">
        <f t="shared" si="5"/>
        <v>0</v>
      </c>
      <c r="N14" s="39">
        <f>'Exhibit C-2'!G147</f>
        <v>3052922.6646399996</v>
      </c>
      <c r="O14" s="40">
        <f t="shared" si="6"/>
        <v>2.667533328820049E-2</v>
      </c>
    </row>
    <row r="15" spans="1:15" ht="15.6">
      <c r="A15" s="19">
        <f t="shared" si="0"/>
        <v>15</v>
      </c>
      <c r="B15" s="34" t="s">
        <v>69</v>
      </c>
      <c r="C15" s="35">
        <f>+'Exhibit C-2'!B176</f>
        <v>80741257</v>
      </c>
      <c r="D15" s="35">
        <f>+'Exhibit C-2'!C180</f>
        <v>5579013.4770950004</v>
      </c>
      <c r="E15" s="37">
        <f t="shared" si="1"/>
        <v>4.9198749014940549E-2</v>
      </c>
      <c r="F15" s="35">
        <f>+'Exhibit C-2'!E180</f>
        <v>5579013.4770950004</v>
      </c>
      <c r="G15" s="37">
        <f t="shared" si="2"/>
        <v>4.9347969046555425E-2</v>
      </c>
      <c r="H15" s="35">
        <f>+'Exhibit C-2'!G180</f>
        <v>5579013.4770950004</v>
      </c>
      <c r="I15" s="37">
        <f t="shared" si="3"/>
        <v>4.8745003701817322E-2</v>
      </c>
      <c r="J15" s="42">
        <f t="shared" si="4"/>
        <v>0</v>
      </c>
      <c r="K15" s="38">
        <f t="shared" si="5"/>
        <v>0</v>
      </c>
      <c r="N15" s="39">
        <f>'Exhibit C-2'!G180</f>
        <v>5579013.4770950004</v>
      </c>
      <c r="O15" s="40">
        <f t="shared" si="6"/>
        <v>4.874740053018032E-2</v>
      </c>
    </row>
    <row r="16" spans="1:15" ht="15.6">
      <c r="A16" s="19">
        <f t="shared" si="0"/>
        <v>16</v>
      </c>
      <c r="B16" s="34" t="s">
        <v>70</v>
      </c>
      <c r="C16" s="35">
        <f>+'Exhibit C-2'!B211</f>
        <v>198304474</v>
      </c>
      <c r="D16" s="35">
        <f>+'Exhibit C-2'!C215</f>
        <v>11705947.46473</v>
      </c>
      <c r="E16" s="37">
        <f t="shared" si="1"/>
        <v>0.10322935652760103</v>
      </c>
      <c r="F16" s="35">
        <f>+'Exhibit C-2'!E215</f>
        <v>11705947.46473</v>
      </c>
      <c r="G16" s="37">
        <f t="shared" si="2"/>
        <v>0.10354245163983558</v>
      </c>
      <c r="H16" s="35">
        <f>+'Exhibit C-2'!G215</f>
        <v>11707249.37466</v>
      </c>
      <c r="I16" s="37">
        <f t="shared" si="3"/>
        <v>0.10228867817739146</v>
      </c>
      <c r="J16" s="42">
        <f t="shared" si="4"/>
        <v>1301.9099300000817</v>
      </c>
      <c r="K16" s="38">
        <f t="shared" si="5"/>
        <v>1.1121781760278132E-4</v>
      </c>
      <c r="N16" s="39">
        <f>'Exhibit C-2'!G215</f>
        <v>11707249.37466</v>
      </c>
      <c r="O16" s="40">
        <f t="shared" si="6"/>
        <v>0.10229370778835567</v>
      </c>
    </row>
    <row r="17" spans="1:15" ht="15.6">
      <c r="A17" s="19">
        <f t="shared" si="0"/>
        <v>17</v>
      </c>
      <c r="B17" s="34" t="s">
        <v>71</v>
      </c>
      <c r="C17" s="35">
        <f>+'Exhibit C-2'!B283</f>
        <v>92572452</v>
      </c>
      <c r="D17" s="35">
        <f>+'Exhibit C-2'!C278</f>
        <v>5629765.7617759993</v>
      </c>
      <c r="E17" s="37">
        <f>(D17/$D$22)</f>
        <v>4.9646310026615223E-2</v>
      </c>
      <c r="F17" s="35">
        <f>+'Exhibit C-2'!E278</f>
        <v>5254476.7285239995</v>
      </c>
      <c r="G17" s="37">
        <f>(F17/$F$22)</f>
        <v>4.6477348731923981E-2</v>
      </c>
      <c r="H17" s="35">
        <f>+'Exhibit C-2'!G278</f>
        <v>5254476.7285239995</v>
      </c>
      <c r="I17" s="37">
        <f>(H17/$H$22)</f>
        <v>4.5909458479455455E-2</v>
      </c>
      <c r="J17" s="42">
        <f>+H17-F17</f>
        <v>0</v>
      </c>
      <c r="K17" s="38">
        <f t="shared" si="5"/>
        <v>0</v>
      </c>
      <c r="N17" s="39">
        <f>'Exhibit C-2'!G278</f>
        <v>5254476.7285239995</v>
      </c>
      <c r="O17" s="40">
        <f t="shared" si="6"/>
        <v>4.5911715881934823E-2</v>
      </c>
    </row>
    <row r="18" spans="1:15" ht="15.6">
      <c r="A18" s="19">
        <f t="shared" si="0"/>
        <v>18</v>
      </c>
      <c r="B18" s="34" t="s">
        <v>72</v>
      </c>
      <c r="C18" s="35">
        <f>+'Exhibit C-2'!B321</f>
        <v>9008707</v>
      </c>
      <c r="D18" s="35">
        <f>+'Exhibit C-2'!C322</f>
        <v>2045660.1099999999</v>
      </c>
      <c r="E18" s="37">
        <f>(D18/$D$22)</f>
        <v>1.8039733858856186E-2</v>
      </c>
      <c r="F18" s="35">
        <f>+'Exhibit C-2'!E322</f>
        <v>2045660.1099999999</v>
      </c>
      <c r="G18" s="37">
        <f>(F18/$F$22)</f>
        <v>1.8094448454463587E-2</v>
      </c>
      <c r="H18" s="35">
        <f>('Exhibit C-2'!G346)</f>
        <v>2205241.1300000004</v>
      </c>
      <c r="I18" s="37">
        <f>(H18/$H$22)</f>
        <v>1.9267651438121699E-2</v>
      </c>
      <c r="J18" s="42">
        <f>+H18-F18</f>
        <v>159581.02000000048</v>
      </c>
      <c r="K18" s="38">
        <f t="shared" si="5"/>
        <v>7.8009547734692097E-2</v>
      </c>
      <c r="N18" s="39">
        <f>'Exhibit C-2'!G346</f>
        <v>2205241.1300000004</v>
      </c>
      <c r="O18" s="40">
        <f t="shared" si="6"/>
        <v>1.9268598842982671E-2</v>
      </c>
    </row>
    <row r="19" spans="1:15" ht="15.6">
      <c r="A19" s="19">
        <f t="shared" si="0"/>
        <v>19</v>
      </c>
      <c r="B19" s="34" t="s">
        <v>73</v>
      </c>
      <c r="C19" s="35">
        <f>+'Exhibit C-2'!B373</f>
        <v>271800</v>
      </c>
      <c r="D19" s="35">
        <f>+'Exhibit C-2'!C377</f>
        <v>7678.35</v>
      </c>
      <c r="E19" s="37">
        <f>(D19/$D$22)</f>
        <v>6.7711830424824787E-5</v>
      </c>
      <c r="F19" s="35">
        <f>+'Exhibit C-2'!E377</f>
        <v>7678.35</v>
      </c>
      <c r="G19" s="37">
        <f>(F19/$F$22)</f>
        <v>6.791720071734229E-5</v>
      </c>
      <c r="H19" s="35">
        <f>+'Exhibit C-2'!G377</f>
        <v>7678.35</v>
      </c>
      <c r="I19" s="37">
        <f>(H19/$H$22)</f>
        <v>6.7087344511800276E-5</v>
      </c>
      <c r="J19" s="42">
        <f t="shared" si="4"/>
        <v>0</v>
      </c>
      <c r="K19" s="38">
        <f t="shared" si="5"/>
        <v>0</v>
      </c>
      <c r="N19" s="43"/>
    </row>
    <row r="20" spans="1:15" ht="15.6">
      <c r="A20" s="19">
        <f t="shared" si="0"/>
        <v>20</v>
      </c>
      <c r="B20" s="34" t="s">
        <v>74</v>
      </c>
      <c r="C20" s="44"/>
      <c r="D20" s="44"/>
      <c r="E20" s="26"/>
      <c r="F20" s="45"/>
      <c r="G20" s="26"/>
      <c r="H20" s="44">
        <v>0</v>
      </c>
      <c r="I20" s="26"/>
      <c r="J20" s="46">
        <f>+H20</f>
        <v>0</v>
      </c>
      <c r="K20" s="26"/>
      <c r="N20" s="43"/>
    </row>
    <row r="21" spans="1:15" ht="15.6">
      <c r="A21" s="19">
        <f t="shared" si="0"/>
        <v>21</v>
      </c>
      <c r="B21" s="26"/>
      <c r="C21" s="35"/>
      <c r="D21" s="35"/>
      <c r="E21" s="26"/>
      <c r="F21" s="26"/>
      <c r="G21" s="26"/>
      <c r="H21" s="26"/>
      <c r="I21" s="26"/>
      <c r="J21" s="26"/>
      <c r="K21" s="26"/>
      <c r="N21" s="43"/>
    </row>
    <row r="22" spans="1:15" ht="16.2" thickBot="1">
      <c r="A22" s="19">
        <f t="shared" si="0"/>
        <v>22</v>
      </c>
      <c r="B22" s="26" t="s">
        <v>75</v>
      </c>
      <c r="C22" s="47">
        <f>SUM(C10:C20)</f>
        <v>1283842054</v>
      </c>
      <c r="D22" s="35">
        <f>SUM(D10:D20)</f>
        <v>113397466.17136098</v>
      </c>
      <c r="E22" s="37">
        <f>(C22/$C$22)</f>
        <v>1</v>
      </c>
      <c r="F22" s="48">
        <f>SUM(F10:F20)</f>
        <v>113054571.13810898</v>
      </c>
      <c r="G22" s="37">
        <f>(F22/$F$22)</f>
        <v>1</v>
      </c>
      <c r="H22" s="48">
        <f>SUM(H10:H20)</f>
        <v>114453032.17582898</v>
      </c>
      <c r="I22" s="37">
        <f>(H22/$H$22)</f>
        <v>1</v>
      </c>
      <c r="J22" s="48">
        <f>SUM(J10:J20)</f>
        <v>1398461.0377199952</v>
      </c>
      <c r="K22" s="38">
        <f>+J22/H22</f>
        <v>1.2218645597537365E-2</v>
      </c>
      <c r="N22" s="43">
        <f>SUM(N10:N21)</f>
        <v>114447404.71116899</v>
      </c>
    </row>
    <row r="23" spans="1:15" ht="16.2" thickTop="1">
      <c r="A23" s="19">
        <f t="shared" si="0"/>
        <v>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5" ht="15.6">
      <c r="A24" s="19">
        <f t="shared" si="0"/>
        <v>24</v>
      </c>
      <c r="B24" s="26" t="s">
        <v>76</v>
      </c>
      <c r="C24" s="26"/>
      <c r="D24" s="35">
        <f>+'Exhibit C-2'!C414</f>
        <v>-329117.00000000006</v>
      </c>
      <c r="E24" s="26"/>
      <c r="F24" s="26"/>
      <c r="G24" s="26"/>
      <c r="H24" s="26"/>
      <c r="I24" s="26"/>
      <c r="J24" s="26"/>
      <c r="K24" s="26"/>
    </row>
    <row r="25" spans="1:15" ht="15.6">
      <c r="A25" s="19">
        <f t="shared" si="0"/>
        <v>25</v>
      </c>
      <c r="B25" s="26" t="s">
        <v>77</v>
      </c>
      <c r="C25" s="26"/>
      <c r="D25" s="44">
        <f>+'Exhibit C-2'!C403</f>
        <v>12400927.639999999</v>
      </c>
      <c r="E25" s="26"/>
      <c r="F25" s="26"/>
      <c r="G25" s="26"/>
      <c r="H25" s="26"/>
      <c r="I25" s="26"/>
      <c r="J25" s="26"/>
      <c r="K25" s="26"/>
    </row>
    <row r="26" spans="1:15" ht="15.6">
      <c r="A26" s="19">
        <f t="shared" si="0"/>
        <v>26</v>
      </c>
      <c r="B26" s="26"/>
      <c r="C26" s="26"/>
      <c r="D26" s="49">
        <f>SUM(D22:D25)</f>
        <v>125469276.81136099</v>
      </c>
      <c r="E26" s="26"/>
      <c r="F26" s="26"/>
      <c r="G26" s="26"/>
      <c r="H26" s="26"/>
      <c r="I26" s="26"/>
      <c r="J26" s="26"/>
      <c r="K26" s="26"/>
    </row>
    <row r="27" spans="1:15" ht="15.6">
      <c r="A27" s="19">
        <f t="shared" si="0"/>
        <v>27</v>
      </c>
      <c r="B27" s="26" t="s">
        <v>78</v>
      </c>
      <c r="C27" s="26"/>
      <c r="D27" s="26"/>
      <c r="E27" s="26"/>
      <c r="F27" s="50">
        <f>(F22-D22)</f>
        <v>-342895.03325200081</v>
      </c>
      <c r="G27" s="36"/>
      <c r="H27" s="50">
        <f>(H22-F22)</f>
        <v>1398461.0377199948</v>
      </c>
      <c r="I27" s="26"/>
      <c r="J27" s="26"/>
      <c r="K27" s="26"/>
    </row>
    <row r="28" spans="1:15" ht="15.6">
      <c r="A28" s="19">
        <f t="shared" si="0"/>
        <v>28</v>
      </c>
      <c r="B28" s="26"/>
      <c r="C28" s="26"/>
      <c r="D28" s="26"/>
      <c r="E28" s="26"/>
      <c r="F28" s="50"/>
      <c r="G28" s="36"/>
      <c r="H28" s="50"/>
      <c r="I28" s="26"/>
      <c r="J28" s="26"/>
      <c r="K28" s="26"/>
    </row>
    <row r="29" spans="1:15" ht="15.6">
      <c r="A29" s="19">
        <f t="shared" si="0"/>
        <v>29</v>
      </c>
      <c r="B29" s="26" t="s">
        <v>79</v>
      </c>
      <c r="C29" s="26"/>
      <c r="D29" s="35"/>
      <c r="E29" s="26"/>
      <c r="H29" s="26"/>
      <c r="I29" s="26"/>
      <c r="J29" s="26"/>
      <c r="K29" s="26"/>
    </row>
    <row r="30" spans="1:15" ht="15.6">
      <c r="A30" s="19">
        <f t="shared" si="0"/>
        <v>30</v>
      </c>
      <c r="B30" s="26" t="s">
        <v>80</v>
      </c>
      <c r="C30" s="26"/>
      <c r="D30" s="35">
        <f>+monthly!D309</f>
        <v>-199841</v>
      </c>
      <c r="E30" s="26"/>
      <c r="F30" s="42"/>
      <c r="G30" s="26"/>
      <c r="H30" s="26"/>
      <c r="I30" s="26"/>
      <c r="J30" s="26"/>
      <c r="K30" s="26"/>
    </row>
    <row r="31" spans="1:15" ht="15.6">
      <c r="A31" s="19">
        <f t="shared" si="0"/>
        <v>31</v>
      </c>
      <c r="B31" s="26" t="s">
        <v>81</v>
      </c>
      <c r="C31" s="26"/>
      <c r="D31" s="51">
        <f>+monthly!D310+monthly!D311</f>
        <v>-263522.64</v>
      </c>
      <c r="E31" s="26"/>
      <c r="F31" s="26"/>
      <c r="G31" s="26"/>
      <c r="H31" s="26"/>
      <c r="I31" s="26"/>
      <c r="J31" s="26"/>
      <c r="K31" s="26"/>
    </row>
    <row r="32" spans="1:15" ht="15.6">
      <c r="A32" s="19">
        <f t="shared" si="0"/>
        <v>32</v>
      </c>
      <c r="B32" s="26"/>
      <c r="C32" s="26"/>
      <c r="D32" s="26"/>
      <c r="E32" s="26"/>
      <c r="F32" s="35"/>
      <c r="G32" s="26"/>
      <c r="H32" s="26"/>
      <c r="I32" s="26"/>
      <c r="J32" s="26"/>
      <c r="K32" s="26"/>
    </row>
    <row r="33" spans="1:11" ht="16.2" thickBot="1">
      <c r="A33" s="19">
        <f t="shared" si="0"/>
        <v>33</v>
      </c>
      <c r="B33" s="26" t="s">
        <v>82</v>
      </c>
      <c r="C33" s="26"/>
      <c r="D33" s="52">
        <f>SUM(D26:D31)</f>
        <v>125005913.17136098</v>
      </c>
      <c r="E33" s="26"/>
      <c r="F33" s="36"/>
      <c r="G33" s="26"/>
      <c r="H33" s="26"/>
      <c r="I33" s="26"/>
      <c r="J33" s="26"/>
      <c r="K33" s="26"/>
    </row>
    <row r="34" spans="1:11" ht="15" thickTop="1">
      <c r="A34" s="19">
        <f t="shared" si="0"/>
        <v>34</v>
      </c>
    </row>
    <row r="35" spans="1:11">
      <c r="A35" s="19">
        <f t="shared" si="0"/>
        <v>35</v>
      </c>
    </row>
    <row r="36" spans="1:11">
      <c r="A36" s="19">
        <f t="shared" si="0"/>
        <v>36</v>
      </c>
    </row>
    <row r="37" spans="1:11">
      <c r="A37" s="53"/>
    </row>
    <row r="38" spans="1:11" ht="15.6">
      <c r="A38" s="53">
        <v>1</v>
      </c>
      <c r="E38" s="24" t="s">
        <v>83</v>
      </c>
    </row>
    <row r="39" spans="1:11" ht="15.6">
      <c r="A39" s="53">
        <f t="shared" ref="A39:A60" si="7">(A38+1)</f>
        <v>2</v>
      </c>
      <c r="E39" s="24" t="s">
        <v>84</v>
      </c>
    </row>
    <row r="40" spans="1:11" ht="15.6">
      <c r="A40" s="53">
        <f t="shared" si="7"/>
        <v>3</v>
      </c>
      <c r="E40" s="24" t="s">
        <v>85</v>
      </c>
    </row>
    <row r="41" spans="1:11" ht="18">
      <c r="A41" s="53">
        <f t="shared" si="7"/>
        <v>4</v>
      </c>
      <c r="B41" s="209" t="str">
        <f>B1</f>
        <v>Blue Grass Energy Cooperative</v>
      </c>
      <c r="C41" s="209"/>
      <c r="D41" s="209"/>
      <c r="E41" s="209"/>
      <c r="F41" s="26"/>
      <c r="G41" s="26"/>
    </row>
    <row r="42" spans="1:11" ht="18">
      <c r="A42" s="53">
        <f t="shared" si="7"/>
        <v>5</v>
      </c>
      <c r="B42" s="209" t="str">
        <f>B2</f>
        <v>Case No.  2014-00339</v>
      </c>
      <c r="C42" s="209"/>
      <c r="D42" s="209"/>
      <c r="E42" s="209"/>
      <c r="F42" s="26"/>
      <c r="G42" s="26"/>
    </row>
    <row r="43" spans="1:11" ht="15.6">
      <c r="A43" s="19">
        <f t="shared" si="7"/>
        <v>6</v>
      </c>
      <c r="B43" s="210" t="s">
        <v>86</v>
      </c>
      <c r="C43" s="210"/>
      <c r="D43" s="210"/>
      <c r="E43" s="210"/>
      <c r="F43" s="26"/>
    </row>
    <row r="44" spans="1:11" ht="15.6">
      <c r="A44" s="19">
        <f t="shared" si="7"/>
        <v>7</v>
      </c>
      <c r="C44" s="26"/>
      <c r="D44" s="26"/>
      <c r="E44" s="26"/>
      <c r="F44" s="26"/>
    </row>
    <row r="45" spans="1:11" ht="15.6">
      <c r="A45" s="19">
        <f t="shared" si="7"/>
        <v>8</v>
      </c>
      <c r="C45" s="26"/>
      <c r="D45" s="26"/>
      <c r="E45" s="26"/>
      <c r="F45" s="26"/>
    </row>
    <row r="46" spans="1:11" ht="15.6">
      <c r="A46" s="19">
        <f t="shared" si="7"/>
        <v>9</v>
      </c>
      <c r="B46" s="26" t="s">
        <v>87</v>
      </c>
      <c r="C46" s="26"/>
      <c r="D46" s="54">
        <f>+F22</f>
        <v>113054571.13810898</v>
      </c>
      <c r="E46" s="26"/>
      <c r="F46" s="26"/>
    </row>
    <row r="47" spans="1:11" ht="15.6">
      <c r="A47" s="19">
        <f t="shared" si="7"/>
        <v>10</v>
      </c>
      <c r="B47" s="26"/>
      <c r="C47" s="26"/>
      <c r="D47" s="35"/>
      <c r="E47" s="26"/>
      <c r="F47" s="26"/>
    </row>
    <row r="48" spans="1:11" ht="15.6">
      <c r="A48" s="19">
        <f t="shared" si="7"/>
        <v>11</v>
      </c>
      <c r="B48" s="26" t="s">
        <v>88</v>
      </c>
      <c r="C48" s="26"/>
      <c r="D48" s="55">
        <f>+D22</f>
        <v>113397466.17136098</v>
      </c>
      <c r="E48" s="26"/>
      <c r="F48" s="26"/>
    </row>
    <row r="49" spans="1:6" ht="15.6">
      <c r="A49" s="19">
        <f t="shared" si="7"/>
        <v>12</v>
      </c>
      <c r="B49" s="26"/>
      <c r="C49" s="26"/>
      <c r="D49" s="35"/>
      <c r="E49" s="26"/>
      <c r="F49" s="26"/>
    </row>
    <row r="50" spans="1:6" ht="15.6">
      <c r="A50" s="19">
        <f t="shared" si="7"/>
        <v>13</v>
      </c>
      <c r="B50" s="26" t="s">
        <v>89</v>
      </c>
      <c r="C50" s="26"/>
      <c r="D50" s="56">
        <f>+D46-D48</f>
        <v>-342895.03325200081</v>
      </c>
      <c r="E50" s="26"/>
      <c r="F50" s="26"/>
    </row>
    <row r="51" spans="1:6" ht="15.6">
      <c r="A51" s="19">
        <f t="shared" si="7"/>
        <v>14</v>
      </c>
      <c r="B51" s="26"/>
      <c r="C51" s="26"/>
      <c r="D51" s="35"/>
      <c r="E51" s="26"/>
      <c r="F51" s="26"/>
    </row>
    <row r="52" spans="1:6" ht="15.6">
      <c r="A52" s="19">
        <f t="shared" si="7"/>
        <v>15</v>
      </c>
      <c r="B52" s="26" t="s">
        <v>90</v>
      </c>
      <c r="C52" s="26"/>
      <c r="D52" s="35">
        <f>-D30</f>
        <v>199841</v>
      </c>
      <c r="E52" s="26"/>
      <c r="F52" s="26"/>
    </row>
    <row r="53" spans="1:6" ht="15.6">
      <c r="A53" s="19">
        <f t="shared" si="7"/>
        <v>16</v>
      </c>
      <c r="B53" s="26" t="s">
        <v>91</v>
      </c>
      <c r="C53" s="26"/>
      <c r="D53" s="57">
        <f>-D31</f>
        <v>263522.64</v>
      </c>
      <c r="E53" s="26"/>
      <c r="F53" s="26"/>
    </row>
    <row r="54" spans="1:6" ht="15.6">
      <c r="A54" s="19">
        <f t="shared" si="7"/>
        <v>17</v>
      </c>
      <c r="B54" s="26"/>
      <c r="C54" s="26"/>
      <c r="D54" s="26"/>
      <c r="E54" s="26"/>
      <c r="F54" s="26"/>
    </row>
    <row r="55" spans="1:6" ht="16.2" thickBot="1">
      <c r="A55" s="19">
        <f t="shared" si="7"/>
        <v>18</v>
      </c>
      <c r="B55" s="26" t="s">
        <v>92</v>
      </c>
      <c r="D55" s="58">
        <f>SUM(D50:D53)</f>
        <v>120468.60674799921</v>
      </c>
    </row>
    <row r="56" spans="1:6" ht="16.2" thickTop="1">
      <c r="A56" s="19">
        <f t="shared" si="7"/>
        <v>19</v>
      </c>
      <c r="D56" s="59"/>
    </row>
    <row r="57" spans="1:6">
      <c r="A57" s="19">
        <f t="shared" si="7"/>
        <v>20</v>
      </c>
    </row>
    <row r="58" spans="1:6">
      <c r="A58" s="19">
        <f t="shared" si="7"/>
        <v>21</v>
      </c>
    </row>
    <row r="59" spans="1:6">
      <c r="A59" s="19">
        <f t="shared" si="7"/>
        <v>22</v>
      </c>
    </row>
    <row r="60" spans="1:6">
      <c r="A60" s="19">
        <f t="shared" si="7"/>
        <v>23</v>
      </c>
    </row>
  </sheetData>
  <mergeCells count="3">
    <mergeCell ref="B41:E41"/>
    <mergeCell ref="B42:E42"/>
    <mergeCell ref="B43:E43"/>
  </mergeCells>
  <pageMargins left="0.5" right="0.5" top="0.5" bottom="0.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ADDF-DE00-4074-8AB2-20B97F6200F4}">
  <dimension ref="A1:S315"/>
  <sheetViews>
    <sheetView zoomScaleNormal="100" workbookViewId="0">
      <pane xSplit="2" ySplit="4" topLeftCell="C5" activePane="bottomRight" state="frozen"/>
      <selection activeCell="H18" sqref="H18"/>
      <selection pane="topRight" activeCell="H18" sqref="H18"/>
      <selection pane="bottomLeft" activeCell="H18" sqref="H18"/>
      <selection pane="bottomRight" activeCell="H18" sqref="H18"/>
    </sheetView>
  </sheetViews>
  <sheetFormatPr defaultRowHeight="14.4"/>
  <cols>
    <col min="1" max="1" width="10.6640625" customWidth="1"/>
    <col min="3" max="3" width="19.44140625" customWidth="1"/>
    <col min="4" max="4" width="14.44140625" customWidth="1"/>
    <col min="5" max="5" width="10.6640625" customWidth="1"/>
    <col min="6" max="6" width="14.88671875" bestFit="1" customWidth="1"/>
    <col min="7" max="7" width="12" bestFit="1" customWidth="1"/>
    <col min="8" max="8" width="12.6640625" bestFit="1" customWidth="1"/>
    <col min="9" max="9" width="13.88671875" bestFit="1" customWidth="1"/>
    <col min="10" max="10" width="14.44140625" customWidth="1"/>
    <col min="11" max="11" width="12.6640625" bestFit="1" customWidth="1"/>
    <col min="12" max="12" width="10.109375" bestFit="1" customWidth="1"/>
    <col min="13" max="13" width="13.33203125" bestFit="1" customWidth="1"/>
    <col min="16" max="16" width="16.33203125" bestFit="1" customWidth="1"/>
    <col min="17" max="17" width="9.6640625" bestFit="1" customWidth="1"/>
    <col min="18" max="18" width="12.6640625" bestFit="1" customWidth="1"/>
  </cols>
  <sheetData>
    <row r="1" spans="1:18">
      <c r="A1" t="s">
        <v>216</v>
      </c>
    </row>
    <row r="3" spans="1:18">
      <c r="A3" s="134"/>
      <c r="B3" s="134"/>
      <c r="C3" s="134"/>
      <c r="D3" s="134"/>
      <c r="E3" s="134" t="s">
        <v>217</v>
      </c>
      <c r="F3" s="134"/>
      <c r="G3" s="134"/>
      <c r="H3" s="134"/>
      <c r="I3" s="134"/>
      <c r="J3" s="134" t="s">
        <v>218</v>
      </c>
      <c r="K3" s="134" t="s">
        <v>219</v>
      </c>
      <c r="L3" t="s">
        <v>220</v>
      </c>
      <c r="N3" t="s">
        <v>170</v>
      </c>
      <c r="P3" t="s">
        <v>221</v>
      </c>
    </row>
    <row r="4" spans="1:18">
      <c r="A4" s="134" t="s">
        <v>222</v>
      </c>
      <c r="B4" s="134" t="s">
        <v>223</v>
      </c>
      <c r="C4" s="134" t="s">
        <v>224</v>
      </c>
      <c r="D4" s="134" t="s">
        <v>225</v>
      </c>
      <c r="E4" s="134" t="s">
        <v>225</v>
      </c>
      <c r="F4" s="134" t="s">
        <v>226</v>
      </c>
      <c r="G4" s="134" t="s">
        <v>227</v>
      </c>
      <c r="H4" s="134" t="s">
        <v>228</v>
      </c>
      <c r="I4" s="134" t="s">
        <v>229</v>
      </c>
      <c r="J4" s="134" t="s">
        <v>219</v>
      </c>
      <c r="K4" s="134" t="s">
        <v>230</v>
      </c>
      <c r="L4" s="134" t="s">
        <v>231</v>
      </c>
      <c r="N4" s="134" t="s">
        <v>172</v>
      </c>
      <c r="O4" s="134" t="s">
        <v>173</v>
      </c>
      <c r="P4" s="134" t="s">
        <v>232</v>
      </c>
      <c r="Q4" s="134" t="s">
        <v>233</v>
      </c>
      <c r="R4" s="134" t="s">
        <v>234</v>
      </c>
    </row>
    <row r="5" spans="1:18">
      <c r="A5" t="s">
        <v>10</v>
      </c>
      <c r="B5">
        <v>11</v>
      </c>
      <c r="C5" s="136">
        <v>52205</v>
      </c>
      <c r="D5" s="136">
        <v>84846446</v>
      </c>
      <c r="E5" s="136">
        <v>541402</v>
      </c>
      <c r="F5" s="123">
        <v>8101847.0599999996</v>
      </c>
      <c r="G5" s="123">
        <v>98171.14</v>
      </c>
      <c r="H5" s="123">
        <v>122367.43</v>
      </c>
      <c r="I5" s="123">
        <v>1116055.45</v>
      </c>
      <c r="J5" s="150">
        <v>0</v>
      </c>
      <c r="K5" s="123">
        <v>0</v>
      </c>
      <c r="N5">
        <v>1</v>
      </c>
      <c r="O5">
        <v>1</v>
      </c>
      <c r="P5" s="136">
        <v>2926</v>
      </c>
      <c r="Q5" s="136">
        <v>212814</v>
      </c>
      <c r="R5" s="123">
        <v>31757.85</v>
      </c>
    </row>
    <row r="6" spans="1:18">
      <c r="A6" s="25" t="s">
        <v>14</v>
      </c>
      <c r="B6">
        <v>12</v>
      </c>
      <c r="C6" s="136">
        <v>38</v>
      </c>
      <c r="D6" s="136">
        <v>68264</v>
      </c>
      <c r="E6" s="136">
        <v>74</v>
      </c>
      <c r="F6" s="123">
        <v>5153.99</v>
      </c>
      <c r="G6" s="123">
        <v>78.63</v>
      </c>
      <c r="H6" s="123">
        <v>21.5</v>
      </c>
      <c r="I6" s="123">
        <v>704.56</v>
      </c>
      <c r="J6" s="150">
        <v>0</v>
      </c>
      <c r="K6" s="123">
        <v>0</v>
      </c>
      <c r="N6">
        <v>1</v>
      </c>
      <c r="O6">
        <v>2</v>
      </c>
      <c r="P6" s="136">
        <v>74</v>
      </c>
      <c r="Q6" s="136">
        <v>11745</v>
      </c>
      <c r="R6" s="123">
        <v>1315.56</v>
      </c>
    </row>
    <row r="7" spans="1:18">
      <c r="A7" t="s">
        <v>235</v>
      </c>
      <c r="B7">
        <v>15</v>
      </c>
      <c r="C7" s="136">
        <v>145</v>
      </c>
      <c r="D7" s="136"/>
      <c r="E7" s="136">
        <v>21315</v>
      </c>
      <c r="F7" s="123"/>
      <c r="G7" s="123">
        <v>23.54</v>
      </c>
      <c r="H7" s="123">
        <v>4824.32</v>
      </c>
      <c r="I7" s="123">
        <v>650.24</v>
      </c>
      <c r="J7" s="150">
        <v>0</v>
      </c>
      <c r="K7" s="123">
        <v>0</v>
      </c>
      <c r="N7">
        <v>1</v>
      </c>
      <c r="O7">
        <v>3</v>
      </c>
      <c r="P7" s="136">
        <v>8657</v>
      </c>
      <c r="Q7" s="136">
        <v>320988</v>
      </c>
      <c r="R7" s="123">
        <v>93187.93</v>
      </c>
    </row>
    <row r="8" spans="1:18">
      <c r="A8" t="s">
        <v>10</v>
      </c>
      <c r="B8">
        <v>17</v>
      </c>
      <c r="C8" s="136">
        <v>23</v>
      </c>
      <c r="D8" s="136">
        <v>36949</v>
      </c>
      <c r="E8" s="136">
        <v>37</v>
      </c>
      <c r="F8" s="123">
        <v>2988.86</v>
      </c>
      <c r="G8" s="123">
        <v>35.590000000000003</v>
      </c>
      <c r="H8" s="123">
        <v>10.75</v>
      </c>
      <c r="I8" s="123">
        <v>407.01</v>
      </c>
      <c r="J8" s="150">
        <v>0</v>
      </c>
      <c r="K8" s="123">
        <v>0</v>
      </c>
      <c r="N8">
        <v>1</v>
      </c>
      <c r="O8">
        <v>4</v>
      </c>
      <c r="P8" s="136">
        <v>698</v>
      </c>
      <c r="Q8" s="136">
        <v>16054</v>
      </c>
      <c r="R8" s="123">
        <v>7056.78</v>
      </c>
    </row>
    <row r="9" spans="1:18">
      <c r="A9" t="s">
        <v>236</v>
      </c>
      <c r="B9">
        <v>19</v>
      </c>
      <c r="C9" s="136">
        <v>279</v>
      </c>
      <c r="D9" s="136">
        <v>399849</v>
      </c>
      <c r="E9" s="136">
        <v>1596</v>
      </c>
      <c r="F9" s="123">
        <v>40276.82</v>
      </c>
      <c r="G9" s="123">
        <v>461.57</v>
      </c>
      <c r="H9" s="123">
        <v>367.04</v>
      </c>
      <c r="I9" s="123">
        <v>5512.27</v>
      </c>
      <c r="J9" s="150">
        <v>0</v>
      </c>
      <c r="K9" s="123">
        <v>0</v>
      </c>
      <c r="N9">
        <v>1</v>
      </c>
      <c r="O9">
        <v>5</v>
      </c>
      <c r="P9" s="136">
        <v>543</v>
      </c>
      <c r="Q9" s="136">
        <v>20054</v>
      </c>
      <c r="R9" s="123">
        <v>6123.77</v>
      </c>
    </row>
    <row r="10" spans="1:18">
      <c r="A10" s="27" t="s">
        <v>16</v>
      </c>
      <c r="B10">
        <v>21</v>
      </c>
      <c r="C10" s="136">
        <v>2502</v>
      </c>
      <c r="D10" s="136">
        <v>5772945</v>
      </c>
      <c r="E10" s="136">
        <v>75952</v>
      </c>
      <c r="F10" s="123">
        <v>657031.02</v>
      </c>
      <c r="G10" s="123">
        <v>6724.5</v>
      </c>
      <c r="H10" s="123">
        <v>11935.84</v>
      </c>
      <c r="I10" s="123">
        <v>90755.57</v>
      </c>
      <c r="J10" s="150">
        <v>26076.394</v>
      </c>
      <c r="K10" s="123">
        <v>104624.93</v>
      </c>
      <c r="N10">
        <v>1</v>
      </c>
      <c r="O10">
        <v>6</v>
      </c>
      <c r="P10" s="136">
        <v>201</v>
      </c>
      <c r="Q10" s="136">
        <v>20502</v>
      </c>
      <c r="R10" s="123">
        <v>3051.18</v>
      </c>
    </row>
    <row r="11" spans="1:18">
      <c r="A11" s="27" t="s">
        <v>16</v>
      </c>
      <c r="B11">
        <v>22</v>
      </c>
      <c r="C11" s="136">
        <v>85</v>
      </c>
      <c r="D11" s="136">
        <v>32926</v>
      </c>
      <c r="E11" s="136">
        <v>1378</v>
      </c>
      <c r="F11" s="123">
        <v>4955.87</v>
      </c>
      <c r="G11" s="123">
        <v>39.4</v>
      </c>
      <c r="H11" s="123">
        <v>382.06</v>
      </c>
      <c r="I11" s="123">
        <v>721.19</v>
      </c>
      <c r="J11" s="150">
        <v>0</v>
      </c>
      <c r="K11" s="123">
        <v>0</v>
      </c>
      <c r="N11">
        <v>1</v>
      </c>
      <c r="O11">
        <v>7</v>
      </c>
      <c r="P11" s="136">
        <v>179</v>
      </c>
      <c r="Q11" s="136">
        <v>17893</v>
      </c>
      <c r="R11" s="123">
        <v>2863.87</v>
      </c>
    </row>
    <row r="12" spans="1:18">
      <c r="A12" t="s">
        <v>23</v>
      </c>
      <c r="B12">
        <v>23</v>
      </c>
      <c r="C12" s="136">
        <v>1</v>
      </c>
      <c r="D12" s="136">
        <v>644</v>
      </c>
      <c r="E12" s="136"/>
      <c r="F12" s="123">
        <v>99.22</v>
      </c>
      <c r="G12" s="123">
        <v>0.75</v>
      </c>
      <c r="H12" s="123"/>
      <c r="I12" s="123">
        <v>13.41</v>
      </c>
      <c r="J12" s="150">
        <v>0</v>
      </c>
      <c r="K12" s="123">
        <v>0</v>
      </c>
      <c r="N12">
        <v>4</v>
      </c>
      <c r="O12">
        <v>7</v>
      </c>
      <c r="P12" s="136">
        <v>209</v>
      </c>
      <c r="Q12" s="136">
        <v>17609</v>
      </c>
      <c r="R12" s="123">
        <v>3224.16</v>
      </c>
    </row>
    <row r="13" spans="1:18">
      <c r="A13" s="25" t="s">
        <v>18</v>
      </c>
      <c r="B13">
        <v>31</v>
      </c>
      <c r="C13" s="136">
        <v>50</v>
      </c>
      <c r="D13" s="136">
        <v>2471221</v>
      </c>
      <c r="E13" s="136">
        <v>4772</v>
      </c>
      <c r="F13" s="123">
        <v>202280.24</v>
      </c>
      <c r="G13" s="123">
        <v>2847.38</v>
      </c>
      <c r="H13" s="123">
        <v>626.66</v>
      </c>
      <c r="I13" s="123">
        <v>27591.64</v>
      </c>
      <c r="J13" s="150">
        <v>7293.6869999999999</v>
      </c>
      <c r="K13" s="123">
        <v>60971.24</v>
      </c>
      <c r="N13">
        <v>1</v>
      </c>
      <c r="O13">
        <v>8</v>
      </c>
      <c r="P13" s="136">
        <v>451</v>
      </c>
      <c r="Q13" s="136">
        <v>10392</v>
      </c>
      <c r="R13" s="123">
        <v>4242.72</v>
      </c>
    </row>
    <row r="14" spans="1:18">
      <c r="A14" s="27" t="s">
        <v>19</v>
      </c>
      <c r="B14">
        <v>32</v>
      </c>
      <c r="C14" s="136">
        <v>10</v>
      </c>
      <c r="D14" s="136">
        <v>1826664</v>
      </c>
      <c r="E14" s="136">
        <v>2426</v>
      </c>
      <c r="F14" s="123">
        <v>128560.28</v>
      </c>
      <c r="G14" s="123">
        <v>2103.41</v>
      </c>
      <c r="H14" s="123">
        <v>307.64999999999998</v>
      </c>
      <c r="I14" s="123">
        <v>17563.259999999998</v>
      </c>
      <c r="J14" s="150">
        <v>4343.558</v>
      </c>
      <c r="K14" s="123">
        <v>36225.269999999997</v>
      </c>
      <c r="N14">
        <v>1</v>
      </c>
      <c r="O14">
        <v>9</v>
      </c>
      <c r="P14" s="136">
        <v>477</v>
      </c>
      <c r="Q14" s="136">
        <v>77176</v>
      </c>
      <c r="R14" s="123">
        <v>8168.68</v>
      </c>
    </row>
    <row r="15" spans="1:18">
      <c r="A15" s="25" t="s">
        <v>18</v>
      </c>
      <c r="B15">
        <v>33</v>
      </c>
      <c r="C15" s="136">
        <v>4</v>
      </c>
      <c r="D15" s="136">
        <v>255000</v>
      </c>
      <c r="E15" s="136">
        <v>5409</v>
      </c>
      <c r="F15" s="123">
        <v>25837.26</v>
      </c>
      <c r="G15" s="123">
        <v>284.73</v>
      </c>
      <c r="H15" s="123">
        <v>613.03</v>
      </c>
      <c r="I15" s="123">
        <v>3585.16</v>
      </c>
      <c r="J15" s="150">
        <v>1442.4</v>
      </c>
      <c r="K15" s="123">
        <v>12029.61</v>
      </c>
      <c r="N15">
        <v>1</v>
      </c>
      <c r="O15">
        <v>11</v>
      </c>
      <c r="P15" s="136">
        <v>43</v>
      </c>
      <c r="Q15" s="136">
        <v>6922</v>
      </c>
      <c r="R15" s="123">
        <v>775.42</v>
      </c>
    </row>
    <row r="16" spans="1:18">
      <c r="A16" s="27" t="s">
        <v>19</v>
      </c>
      <c r="B16">
        <v>35</v>
      </c>
      <c r="C16" s="136">
        <v>13</v>
      </c>
      <c r="D16" s="136">
        <v>8193000</v>
      </c>
      <c r="E16" s="136">
        <v>4944</v>
      </c>
      <c r="F16" s="123">
        <v>541872.68999999994</v>
      </c>
      <c r="G16" s="123">
        <v>8956.49</v>
      </c>
      <c r="H16" s="123">
        <v>628.66</v>
      </c>
      <c r="I16" s="123">
        <v>73950.490000000005</v>
      </c>
      <c r="J16" s="150">
        <v>18192.732</v>
      </c>
      <c r="K16" s="123">
        <v>151727.38</v>
      </c>
      <c r="N16">
        <v>4</v>
      </c>
      <c r="O16">
        <v>12</v>
      </c>
      <c r="P16" s="136">
        <v>354</v>
      </c>
      <c r="Q16" s="136">
        <v>13098</v>
      </c>
      <c r="R16" s="123">
        <v>3989.58</v>
      </c>
    </row>
    <row r="17" spans="1:18">
      <c r="A17" s="27" t="s">
        <v>19</v>
      </c>
      <c r="B17">
        <v>36</v>
      </c>
      <c r="C17" s="136">
        <v>1</v>
      </c>
      <c r="D17" s="136">
        <v>746400</v>
      </c>
      <c r="E17" s="136"/>
      <c r="F17" s="123">
        <v>46658.63</v>
      </c>
      <c r="G17" s="123">
        <v>815.44</v>
      </c>
      <c r="H17" s="123"/>
      <c r="I17" s="123">
        <v>6366.27</v>
      </c>
      <c r="J17" s="150">
        <v>1204.8</v>
      </c>
      <c r="K17" s="123">
        <v>10048.030000000001</v>
      </c>
      <c r="N17">
        <v>3</v>
      </c>
      <c r="O17">
        <v>13</v>
      </c>
      <c r="P17" s="136">
        <v>35</v>
      </c>
      <c r="Q17" s="136">
        <v>1295</v>
      </c>
      <c r="R17" s="123">
        <v>652.58000000000004</v>
      </c>
    </row>
    <row r="18" spans="1:18">
      <c r="A18" t="s">
        <v>20</v>
      </c>
      <c r="B18">
        <v>45</v>
      </c>
      <c r="C18" s="136">
        <v>1</v>
      </c>
      <c r="D18" s="136">
        <v>2141636</v>
      </c>
      <c r="E18" s="136"/>
      <c r="F18" s="123">
        <v>136215.15</v>
      </c>
      <c r="G18" s="123">
        <v>2462.88</v>
      </c>
      <c r="H18" s="123"/>
      <c r="I18" s="123">
        <v>18596.72</v>
      </c>
      <c r="J18" s="150">
        <v>5114.88</v>
      </c>
      <c r="K18" s="123">
        <f>+J18*6.91</f>
        <v>35343.820800000001</v>
      </c>
      <c r="M18">
        <f>((+F18-K18)-2222.85)/D18</f>
        <v>4.6062206275949785E-2</v>
      </c>
      <c r="N18">
        <v>3</v>
      </c>
      <c r="O18">
        <v>14</v>
      </c>
      <c r="P18" s="136">
        <v>32</v>
      </c>
      <c r="Q18" s="136">
        <v>1184</v>
      </c>
      <c r="R18" s="123">
        <v>584</v>
      </c>
    </row>
    <row r="19" spans="1:18">
      <c r="A19" s="27" t="s">
        <v>21</v>
      </c>
      <c r="B19">
        <v>46</v>
      </c>
      <c r="C19" s="136">
        <v>1</v>
      </c>
      <c r="D19" s="136">
        <v>1815074</v>
      </c>
      <c r="E19" s="136"/>
      <c r="F19" s="123">
        <v>108228.59</v>
      </c>
      <c r="G19" s="123">
        <v>1982.97</v>
      </c>
      <c r="H19" s="123"/>
      <c r="I19" s="123">
        <v>14779.37</v>
      </c>
      <c r="J19" s="150">
        <v>2900</v>
      </c>
      <c r="K19" s="123">
        <v>20039</v>
      </c>
      <c r="M19" s="62">
        <f>+D19-((1111.43*1)+(D19*0.0505)+(J19*6.91))</f>
        <v>1702262.3330000001</v>
      </c>
      <c r="N19">
        <v>3</v>
      </c>
      <c r="O19">
        <v>15</v>
      </c>
      <c r="P19" s="136">
        <v>254</v>
      </c>
      <c r="Q19" s="136">
        <v>9398</v>
      </c>
      <c r="R19" s="123">
        <v>3919.22</v>
      </c>
    </row>
    <row r="20" spans="1:18">
      <c r="A20" t="s">
        <v>20</v>
      </c>
      <c r="B20">
        <v>47</v>
      </c>
      <c r="C20" s="136">
        <v>1</v>
      </c>
      <c r="D20" s="136">
        <v>2175198</v>
      </c>
      <c r="E20" s="136">
        <v>2134</v>
      </c>
      <c r="F20" s="123">
        <v>133110.87</v>
      </c>
      <c r="G20" s="123">
        <v>2503.92</v>
      </c>
      <c r="H20" s="123">
        <v>292.86</v>
      </c>
      <c r="I20" s="123">
        <v>18225.22</v>
      </c>
      <c r="J20" s="150">
        <v>4600</v>
      </c>
      <c r="K20" s="123">
        <v>31786</v>
      </c>
      <c r="N20">
        <v>3</v>
      </c>
      <c r="O20">
        <v>16</v>
      </c>
      <c r="P20" s="151">
        <v>30</v>
      </c>
      <c r="Q20" s="151">
        <v>4659</v>
      </c>
      <c r="R20" s="152">
        <v>685.03</v>
      </c>
    </row>
    <row r="21" spans="1:18">
      <c r="A21" t="s">
        <v>20</v>
      </c>
      <c r="B21">
        <v>48</v>
      </c>
      <c r="C21" s="136">
        <v>1</v>
      </c>
      <c r="D21" s="136">
        <v>3332750</v>
      </c>
      <c r="E21" s="136">
        <v>84</v>
      </c>
      <c r="F21" s="123">
        <v>204714.95</v>
      </c>
      <c r="G21" s="123">
        <v>3832.76</v>
      </c>
      <c r="H21" s="123">
        <v>15.38</v>
      </c>
      <c r="I21" s="123">
        <v>27968.31</v>
      </c>
      <c r="J21" s="150">
        <v>7195.3180000000002</v>
      </c>
      <c r="K21" s="123">
        <v>50652.01</v>
      </c>
      <c r="O21" t="s">
        <v>43</v>
      </c>
      <c r="P21" s="136">
        <f>SUM(P5:P20)</f>
        <v>15163</v>
      </c>
      <c r="Q21" s="136">
        <f>SUM(Q5:Q20)</f>
        <v>761783</v>
      </c>
      <c r="R21" s="123">
        <f>SUM(R5:R20)</f>
        <v>171598.32999999996</v>
      </c>
    </row>
    <row r="22" spans="1:18">
      <c r="A22" t="s">
        <v>20</v>
      </c>
      <c r="B22">
        <v>49</v>
      </c>
      <c r="C22" s="136">
        <v>1</v>
      </c>
      <c r="D22" s="136">
        <v>3691048</v>
      </c>
      <c r="E22" s="136"/>
      <c r="F22" s="123">
        <v>213229</v>
      </c>
      <c r="G22" s="123">
        <v>4244.71</v>
      </c>
      <c r="H22" s="123"/>
      <c r="I22" s="123">
        <v>29163.22</v>
      </c>
      <c r="J22" s="150">
        <v>6200</v>
      </c>
      <c r="K22" s="123">
        <v>42842</v>
      </c>
    </row>
    <row r="23" spans="1:18">
      <c r="A23" t="s">
        <v>20</v>
      </c>
      <c r="B23">
        <v>50</v>
      </c>
      <c r="C23" s="136">
        <v>1</v>
      </c>
      <c r="D23" s="136">
        <v>3161683</v>
      </c>
      <c r="E23" s="136"/>
      <c r="F23" s="123">
        <v>199270.35</v>
      </c>
      <c r="G23" s="123">
        <v>3635.94</v>
      </c>
      <c r="H23" s="123"/>
      <c r="I23" s="123">
        <v>27209.73</v>
      </c>
      <c r="J23" s="150">
        <v>7500</v>
      </c>
      <c r="K23" s="123">
        <f>+J23*6.91</f>
        <v>51825</v>
      </c>
      <c r="M23">
        <f>((+F23-K23)-2222.85)/D23</f>
        <v>4.5932024178262018E-2</v>
      </c>
      <c r="N23" t="s">
        <v>170</v>
      </c>
      <c r="P23" t="s">
        <v>237</v>
      </c>
    </row>
    <row r="24" spans="1:18">
      <c r="A24" t="s">
        <v>235</v>
      </c>
      <c r="B24">
        <v>51</v>
      </c>
      <c r="C24" s="151">
        <v>58</v>
      </c>
      <c r="D24" s="151"/>
      <c r="E24" s="151">
        <v>100260</v>
      </c>
      <c r="F24" s="152"/>
      <c r="G24" s="152">
        <v>117.3</v>
      </c>
      <c r="H24" s="152">
        <v>29205.15</v>
      </c>
      <c r="I24" s="152">
        <v>3932.17</v>
      </c>
      <c r="J24" s="153">
        <v>0</v>
      </c>
      <c r="K24" s="152">
        <v>0</v>
      </c>
      <c r="N24" s="134" t="s">
        <v>172</v>
      </c>
      <c r="O24" s="134" t="s">
        <v>173</v>
      </c>
      <c r="P24" s="134" t="s">
        <v>232</v>
      </c>
      <c r="Q24" s="134" t="s">
        <v>233</v>
      </c>
      <c r="R24" s="134" t="s">
        <v>234</v>
      </c>
    </row>
    <row r="25" spans="1:18">
      <c r="B25" t="s">
        <v>43</v>
      </c>
      <c r="C25" s="136">
        <f>SUM(C5:C24)</f>
        <v>55420</v>
      </c>
      <c r="D25" s="136">
        <f t="shared" ref="D25:K25" si="0">SUM(D5:D24)</f>
        <v>120967697</v>
      </c>
      <c r="E25" s="136">
        <f t="shared" si="0"/>
        <v>761783</v>
      </c>
      <c r="F25" s="123">
        <f t="shared" si="0"/>
        <v>10752330.849999998</v>
      </c>
      <c r="G25" s="123">
        <f t="shared" si="0"/>
        <v>139323.04999999999</v>
      </c>
      <c r="H25" s="123">
        <f t="shared" si="0"/>
        <v>171598.33</v>
      </c>
      <c r="I25" s="123">
        <f t="shared" si="0"/>
        <v>1483751.2599999998</v>
      </c>
      <c r="J25" s="150">
        <f t="shared" si="0"/>
        <v>92063.769</v>
      </c>
      <c r="K25" s="123">
        <f t="shared" si="0"/>
        <v>608114.29080000008</v>
      </c>
      <c r="N25">
        <v>1</v>
      </c>
      <c r="O25">
        <v>1</v>
      </c>
      <c r="P25" s="136">
        <v>2878</v>
      </c>
      <c r="Q25" s="136">
        <v>210253</v>
      </c>
      <c r="R25" s="123">
        <v>31370.03</v>
      </c>
    </row>
    <row r="26" spans="1:18">
      <c r="F26" s="123"/>
      <c r="G26" s="123"/>
      <c r="H26" s="123"/>
      <c r="I26" s="123"/>
      <c r="N26">
        <v>1</v>
      </c>
      <c r="O26">
        <v>2</v>
      </c>
      <c r="P26" s="136">
        <v>74</v>
      </c>
      <c r="Q26" s="136">
        <v>11766</v>
      </c>
      <c r="R26" s="123">
        <v>1317.94</v>
      </c>
    </row>
    <row r="27" spans="1:18">
      <c r="A27" s="134" t="s">
        <v>237</v>
      </c>
      <c r="B27" s="134" t="s">
        <v>223</v>
      </c>
      <c r="N27">
        <v>1</v>
      </c>
      <c r="O27">
        <v>3</v>
      </c>
      <c r="P27" s="136">
        <v>8678</v>
      </c>
      <c r="Q27" s="136">
        <v>320747</v>
      </c>
      <c r="R27" s="123">
        <v>93127.97</v>
      </c>
    </row>
    <row r="28" spans="1:18">
      <c r="A28" t="s">
        <v>10</v>
      </c>
      <c r="B28">
        <v>11</v>
      </c>
      <c r="C28" s="136">
        <v>52163</v>
      </c>
      <c r="D28" s="136">
        <v>91232321</v>
      </c>
      <c r="E28" s="136">
        <v>538805</v>
      </c>
      <c r="F28" s="123">
        <v>8673652.9100000001</v>
      </c>
      <c r="G28" s="123">
        <v>243233.37</v>
      </c>
      <c r="H28" s="123">
        <v>121914.61</v>
      </c>
      <c r="I28" s="123">
        <v>974383.07</v>
      </c>
      <c r="J28" s="150">
        <v>0</v>
      </c>
      <c r="K28" s="123">
        <v>0</v>
      </c>
      <c r="N28">
        <v>1</v>
      </c>
      <c r="O28">
        <v>4</v>
      </c>
      <c r="P28" s="136">
        <v>698</v>
      </c>
      <c r="Q28" s="136">
        <v>16054</v>
      </c>
      <c r="R28" s="123">
        <v>7056.78</v>
      </c>
    </row>
    <row r="29" spans="1:18">
      <c r="A29" s="25" t="s">
        <v>14</v>
      </c>
      <c r="B29">
        <v>12</v>
      </c>
      <c r="C29" s="136">
        <v>38</v>
      </c>
      <c r="D29" s="136">
        <v>79940</v>
      </c>
      <c r="E29" s="136">
        <v>74</v>
      </c>
      <c r="F29" s="123">
        <v>6008.92</v>
      </c>
      <c r="G29" s="123">
        <v>212.05</v>
      </c>
      <c r="H29" s="123">
        <v>21.5</v>
      </c>
      <c r="I29" s="123">
        <v>672.94</v>
      </c>
      <c r="J29" s="150">
        <v>0</v>
      </c>
      <c r="K29" s="123">
        <v>0</v>
      </c>
      <c r="N29">
        <v>1</v>
      </c>
      <c r="O29">
        <v>5</v>
      </c>
      <c r="P29" s="136">
        <v>543</v>
      </c>
      <c r="Q29" s="136">
        <v>20054</v>
      </c>
      <c r="R29" s="123">
        <v>6123.77</v>
      </c>
    </row>
    <row r="30" spans="1:18">
      <c r="A30" t="s">
        <v>235</v>
      </c>
      <c r="B30">
        <v>15</v>
      </c>
      <c r="C30" s="136">
        <v>142</v>
      </c>
      <c r="D30" s="136"/>
      <c r="E30" s="136">
        <v>20971</v>
      </c>
      <c r="F30" s="123"/>
      <c r="G30" s="123">
        <v>57.09</v>
      </c>
      <c r="H30" s="123">
        <v>4769.24</v>
      </c>
      <c r="I30" s="123">
        <v>519.91999999999996</v>
      </c>
      <c r="J30" s="150">
        <v>0</v>
      </c>
      <c r="K30" s="123">
        <v>0</v>
      </c>
      <c r="N30">
        <v>1</v>
      </c>
      <c r="O30">
        <v>6</v>
      </c>
      <c r="P30" s="136">
        <v>201</v>
      </c>
      <c r="Q30" s="136">
        <v>20502</v>
      </c>
      <c r="R30" s="123">
        <v>3051.18</v>
      </c>
    </row>
    <row r="31" spans="1:18">
      <c r="A31" t="s">
        <v>10</v>
      </c>
      <c r="B31">
        <v>17</v>
      </c>
      <c r="C31" s="136">
        <v>23</v>
      </c>
      <c r="D31" s="136">
        <v>39304</v>
      </c>
      <c r="E31" s="136">
        <v>37</v>
      </c>
      <c r="F31" s="123">
        <v>3034.49</v>
      </c>
      <c r="G31" s="123">
        <v>83.31</v>
      </c>
      <c r="H31" s="123">
        <v>10.75</v>
      </c>
      <c r="I31" s="123">
        <v>337.27</v>
      </c>
      <c r="J31" s="150">
        <v>0</v>
      </c>
      <c r="K31" s="123">
        <v>0</v>
      </c>
      <c r="N31">
        <v>1</v>
      </c>
      <c r="O31">
        <v>7</v>
      </c>
      <c r="P31" s="136">
        <v>178</v>
      </c>
      <c r="Q31" s="136">
        <v>18083</v>
      </c>
      <c r="R31" s="123">
        <v>2894.33</v>
      </c>
    </row>
    <row r="32" spans="1:18">
      <c r="A32" t="s">
        <v>236</v>
      </c>
      <c r="B32">
        <v>19</v>
      </c>
      <c r="C32" s="136">
        <v>330</v>
      </c>
      <c r="D32" s="136">
        <v>415724</v>
      </c>
      <c r="E32" s="136">
        <v>1718</v>
      </c>
      <c r="F32" s="123">
        <v>41960.34</v>
      </c>
      <c r="G32" s="123">
        <v>1106.23</v>
      </c>
      <c r="H32" s="123">
        <v>398.27</v>
      </c>
      <c r="I32" s="123">
        <v>4685.5600000000004</v>
      </c>
      <c r="J32" s="150">
        <v>0</v>
      </c>
      <c r="K32" s="123">
        <v>0</v>
      </c>
      <c r="N32">
        <v>4</v>
      </c>
      <c r="O32">
        <v>7</v>
      </c>
      <c r="P32" s="136">
        <v>209</v>
      </c>
      <c r="Q32" s="136">
        <v>17556</v>
      </c>
      <c r="R32" s="123">
        <v>3214.42</v>
      </c>
    </row>
    <row r="33" spans="1:18">
      <c r="A33" s="27" t="s">
        <v>16</v>
      </c>
      <c r="B33">
        <v>21</v>
      </c>
      <c r="C33" s="136">
        <v>2502</v>
      </c>
      <c r="D33" s="136">
        <v>6578565</v>
      </c>
      <c r="E33" s="136">
        <v>76909</v>
      </c>
      <c r="F33" s="123">
        <v>732994.62</v>
      </c>
      <c r="G33" s="123">
        <v>17637.14</v>
      </c>
      <c r="H33" s="123">
        <v>12037.15</v>
      </c>
      <c r="I33" s="123">
        <v>82215.460000000006</v>
      </c>
      <c r="J33" s="150">
        <v>27423.84</v>
      </c>
      <c r="K33" s="123">
        <v>112229.63</v>
      </c>
      <c r="N33">
        <v>1</v>
      </c>
      <c r="O33">
        <v>8</v>
      </c>
      <c r="P33" s="136">
        <v>450</v>
      </c>
      <c r="Q33" s="136">
        <v>10360</v>
      </c>
      <c r="R33" s="123">
        <v>4229.57</v>
      </c>
    </row>
    <row r="34" spans="1:18">
      <c r="A34" s="27" t="s">
        <v>16</v>
      </c>
      <c r="B34">
        <v>22</v>
      </c>
      <c r="C34" s="136">
        <v>86</v>
      </c>
      <c r="D34" s="136">
        <v>33295</v>
      </c>
      <c r="E34" s="136">
        <v>1378</v>
      </c>
      <c r="F34" s="123">
        <v>5014.6400000000003</v>
      </c>
      <c r="G34" s="123">
        <v>91.9</v>
      </c>
      <c r="H34" s="123">
        <v>382.06</v>
      </c>
      <c r="I34" s="123">
        <v>591.69000000000005</v>
      </c>
      <c r="J34" s="150">
        <v>0</v>
      </c>
      <c r="K34" s="123">
        <v>0</v>
      </c>
      <c r="N34">
        <v>1</v>
      </c>
      <c r="O34">
        <v>9</v>
      </c>
      <c r="P34" s="136">
        <v>485</v>
      </c>
      <c r="Q34" s="136">
        <v>76084</v>
      </c>
      <c r="R34" s="123">
        <v>8052.68</v>
      </c>
    </row>
    <row r="35" spans="1:18">
      <c r="A35" t="s">
        <v>23</v>
      </c>
      <c r="B35">
        <v>23</v>
      </c>
      <c r="C35" s="136">
        <v>2</v>
      </c>
      <c r="D35" s="136">
        <v>5282</v>
      </c>
      <c r="E35" s="136"/>
      <c r="F35" s="123">
        <v>554.1</v>
      </c>
      <c r="G35" s="123">
        <v>13.99</v>
      </c>
      <c r="H35" s="123"/>
      <c r="I35" s="123">
        <v>61.24</v>
      </c>
      <c r="J35" s="150">
        <v>0</v>
      </c>
      <c r="K35" s="123">
        <v>0</v>
      </c>
      <c r="N35">
        <v>1</v>
      </c>
      <c r="O35">
        <v>11</v>
      </c>
      <c r="P35" s="136">
        <v>43</v>
      </c>
      <c r="Q35" s="136">
        <v>6541</v>
      </c>
      <c r="R35" s="123">
        <v>733.03</v>
      </c>
    </row>
    <row r="36" spans="1:18">
      <c r="A36" s="25" t="s">
        <v>18</v>
      </c>
      <c r="B36">
        <v>31</v>
      </c>
      <c r="C36" s="136">
        <v>50</v>
      </c>
      <c r="D36" s="136">
        <v>2932520</v>
      </c>
      <c r="E36" s="136">
        <v>4772</v>
      </c>
      <c r="F36" s="123">
        <v>236958.27</v>
      </c>
      <c r="G36" s="123">
        <v>7783.79</v>
      </c>
      <c r="H36" s="123">
        <v>626.66</v>
      </c>
      <c r="I36" s="123">
        <v>26450.75</v>
      </c>
      <c r="J36" s="150">
        <v>8388.4920000000002</v>
      </c>
      <c r="K36" s="123">
        <v>70101.899999999994</v>
      </c>
      <c r="N36">
        <v>4</v>
      </c>
      <c r="O36">
        <v>12</v>
      </c>
      <c r="P36" s="136">
        <v>354</v>
      </c>
      <c r="Q36" s="136">
        <v>13098</v>
      </c>
      <c r="R36" s="123">
        <v>3989.58</v>
      </c>
    </row>
    <row r="37" spans="1:18">
      <c r="A37" s="27" t="s">
        <v>19</v>
      </c>
      <c r="B37">
        <v>32</v>
      </c>
      <c r="C37" s="136">
        <v>10</v>
      </c>
      <c r="D37" s="136">
        <v>1921752</v>
      </c>
      <c r="E37" s="136">
        <v>2426</v>
      </c>
      <c r="F37" s="123">
        <v>134232.28</v>
      </c>
      <c r="G37" s="123">
        <v>5099.05</v>
      </c>
      <c r="H37" s="123">
        <v>307.64999999999998</v>
      </c>
      <c r="I37" s="123">
        <v>15053.08</v>
      </c>
      <c r="J37" s="150">
        <v>4454.2669999999998</v>
      </c>
      <c r="K37" s="123">
        <v>37148.6</v>
      </c>
      <c r="N37">
        <v>3</v>
      </c>
      <c r="O37">
        <v>13</v>
      </c>
      <c r="P37" s="136">
        <v>35</v>
      </c>
      <c r="Q37" s="136">
        <v>1295</v>
      </c>
      <c r="R37" s="123">
        <v>652.58000000000004</v>
      </c>
    </row>
    <row r="38" spans="1:18">
      <c r="A38" s="25" t="s">
        <v>18</v>
      </c>
      <c r="B38">
        <v>33</v>
      </c>
      <c r="C38" s="136">
        <v>4</v>
      </c>
      <c r="D38" s="136">
        <v>286800</v>
      </c>
      <c r="E38" s="136">
        <v>2567</v>
      </c>
      <c r="F38" s="123">
        <v>18720.55</v>
      </c>
      <c r="G38" s="123">
        <v>728.82</v>
      </c>
      <c r="H38" s="123">
        <v>305.43</v>
      </c>
      <c r="I38" s="123">
        <v>2004.97</v>
      </c>
      <c r="J38" s="150">
        <v>954</v>
      </c>
      <c r="K38" s="123">
        <v>7956.36</v>
      </c>
      <c r="N38">
        <v>3</v>
      </c>
      <c r="O38">
        <v>14</v>
      </c>
      <c r="P38" s="136">
        <v>32</v>
      </c>
      <c r="Q38" s="136">
        <v>1184</v>
      </c>
      <c r="R38" s="123">
        <v>584</v>
      </c>
    </row>
    <row r="39" spans="1:18">
      <c r="A39" s="27" t="s">
        <v>19</v>
      </c>
      <c r="B39">
        <v>35</v>
      </c>
      <c r="C39" s="136">
        <v>13</v>
      </c>
      <c r="D39" s="136">
        <v>9202200</v>
      </c>
      <c r="E39" s="136">
        <v>4944</v>
      </c>
      <c r="F39" s="123">
        <v>597989.67000000004</v>
      </c>
      <c r="G39" s="123">
        <v>23179.63</v>
      </c>
      <c r="H39" s="123">
        <v>628.66</v>
      </c>
      <c r="I39" s="123">
        <v>67029.820000000007</v>
      </c>
      <c r="J39" s="150">
        <v>19180.437999999998</v>
      </c>
      <c r="K39" s="123">
        <v>159964.85999999999</v>
      </c>
      <c r="N39">
        <v>3</v>
      </c>
      <c r="O39">
        <v>15</v>
      </c>
      <c r="P39" s="136">
        <v>255</v>
      </c>
      <c r="Q39" s="136">
        <v>9421</v>
      </c>
      <c r="R39" s="123">
        <v>3928.99</v>
      </c>
    </row>
    <row r="40" spans="1:18">
      <c r="A40" s="27" t="s">
        <v>19</v>
      </c>
      <c r="B40">
        <v>36</v>
      </c>
      <c r="C40" s="136">
        <v>1</v>
      </c>
      <c r="D40" s="136">
        <v>731200</v>
      </c>
      <c r="E40" s="136"/>
      <c r="F40" s="123">
        <v>45810.720000000001</v>
      </c>
      <c r="G40" s="123">
        <v>1840.8</v>
      </c>
      <c r="H40" s="123"/>
      <c r="I40" s="123">
        <v>5136.83</v>
      </c>
      <c r="J40" s="150">
        <v>1189.5999999999999</v>
      </c>
      <c r="K40" s="123">
        <v>9921.26</v>
      </c>
      <c r="N40">
        <v>3</v>
      </c>
      <c r="O40">
        <v>16</v>
      </c>
      <c r="P40" s="151">
        <v>28</v>
      </c>
      <c r="Q40" s="151">
        <v>4452</v>
      </c>
      <c r="R40" s="152">
        <v>654.64</v>
      </c>
    </row>
    <row r="41" spans="1:18">
      <c r="A41" t="s">
        <v>20</v>
      </c>
      <c r="B41">
        <v>45</v>
      </c>
      <c r="C41" s="136">
        <v>1</v>
      </c>
      <c r="D41" s="136">
        <v>3135116</v>
      </c>
      <c r="E41" s="136"/>
      <c r="F41" s="123">
        <v>181328.38</v>
      </c>
      <c r="G41" s="123">
        <v>8308.06</v>
      </c>
      <c r="H41" s="123"/>
      <c r="I41" s="123">
        <v>20442.810000000001</v>
      </c>
      <c r="J41" s="150">
        <v>5207.04</v>
      </c>
      <c r="K41" s="123">
        <v>36269.65</v>
      </c>
      <c r="M41" s="123">
        <f>+K41/J41</f>
        <v>6.9655024735742384</v>
      </c>
      <c r="O41" t="s">
        <v>43</v>
      </c>
      <c r="P41" s="136">
        <f>SUM(P25:P40)</f>
        <v>15141</v>
      </c>
      <c r="Q41" s="136">
        <f>SUM(Q25:Q40)</f>
        <v>757450</v>
      </c>
      <c r="R41" s="123">
        <f>SUM(R25:R40)</f>
        <v>170981.48999999996</v>
      </c>
    </row>
    <row r="42" spans="1:18">
      <c r="A42" s="27" t="s">
        <v>21</v>
      </c>
      <c r="B42">
        <v>46</v>
      </c>
      <c r="C42" s="136">
        <v>1</v>
      </c>
      <c r="D42" s="136">
        <v>1855707</v>
      </c>
      <c r="E42" s="136"/>
      <c r="F42" s="123">
        <v>111217.71</v>
      </c>
      <c r="G42" s="123">
        <v>4671.74</v>
      </c>
      <c r="H42" s="123"/>
      <c r="I42" s="123">
        <v>12492.88</v>
      </c>
      <c r="J42" s="150">
        <v>2952</v>
      </c>
      <c r="K42" s="123">
        <v>21078.720000000001</v>
      </c>
    </row>
    <row r="43" spans="1:18">
      <c r="A43" t="s">
        <v>20</v>
      </c>
      <c r="B43">
        <v>47</v>
      </c>
      <c r="C43" s="136">
        <v>1</v>
      </c>
      <c r="D43" s="136">
        <v>2438735</v>
      </c>
      <c r="E43" s="136">
        <v>2134</v>
      </c>
      <c r="F43" s="123">
        <v>146495.31</v>
      </c>
      <c r="G43" s="123">
        <v>6468.3</v>
      </c>
      <c r="H43" s="123">
        <v>292.86</v>
      </c>
      <c r="I43" s="123">
        <v>16521.05</v>
      </c>
      <c r="J43" s="150">
        <v>4743.3599999999997</v>
      </c>
      <c r="K43" s="123">
        <v>33163.69</v>
      </c>
      <c r="N43" t="s">
        <v>170</v>
      </c>
      <c r="P43" t="s">
        <v>238</v>
      </c>
    </row>
    <row r="44" spans="1:18">
      <c r="A44" t="s">
        <v>20</v>
      </c>
      <c r="B44">
        <v>48</v>
      </c>
      <c r="C44" s="136">
        <v>1</v>
      </c>
      <c r="D44" s="136">
        <v>3874756</v>
      </c>
      <c r="E44" s="136">
        <v>84</v>
      </c>
      <c r="F44" s="123">
        <v>227149.91</v>
      </c>
      <c r="G44" s="123">
        <v>10268.32</v>
      </c>
      <c r="H44" s="123">
        <v>15.38</v>
      </c>
      <c r="I44" s="123">
        <v>25595.34</v>
      </c>
      <c r="J44" s="150">
        <v>6960.268</v>
      </c>
      <c r="K44" s="123">
        <v>48393.18</v>
      </c>
      <c r="N44" s="134" t="s">
        <v>172</v>
      </c>
      <c r="O44" s="134" t="s">
        <v>173</v>
      </c>
      <c r="P44" s="134" t="s">
        <v>232</v>
      </c>
      <c r="Q44" s="134" t="s">
        <v>233</v>
      </c>
      <c r="R44" s="134" t="s">
        <v>234</v>
      </c>
    </row>
    <row r="45" spans="1:18">
      <c r="A45" t="s">
        <v>20</v>
      </c>
      <c r="B45">
        <v>49</v>
      </c>
      <c r="C45" s="136">
        <v>1</v>
      </c>
      <c r="D45" s="136">
        <v>3706338</v>
      </c>
      <c r="E45" s="136"/>
      <c r="F45" s="123">
        <v>216897.78</v>
      </c>
      <c r="G45" s="123">
        <v>9821.7999999999993</v>
      </c>
      <c r="H45" s="123"/>
      <c r="I45" s="123">
        <v>24440.37</v>
      </c>
      <c r="J45" s="150">
        <v>6509.2790000000005</v>
      </c>
      <c r="K45" s="123">
        <v>45814.17</v>
      </c>
      <c r="N45">
        <v>1</v>
      </c>
      <c r="O45">
        <v>1</v>
      </c>
      <c r="P45" s="136">
        <v>2855</v>
      </c>
      <c r="Q45" s="136">
        <v>208571</v>
      </c>
      <c r="R45" s="123">
        <v>31108.57</v>
      </c>
    </row>
    <row r="46" spans="1:18">
      <c r="A46" t="s">
        <v>20</v>
      </c>
      <c r="B46">
        <v>50</v>
      </c>
      <c r="C46" s="136">
        <v>1</v>
      </c>
      <c r="D46" s="136">
        <v>3670098</v>
      </c>
      <c r="E46" s="136"/>
      <c r="F46" s="123">
        <v>221257.51</v>
      </c>
      <c r="G46" s="123">
        <v>9725.76</v>
      </c>
      <c r="H46" s="123"/>
      <c r="I46" s="123">
        <v>24900</v>
      </c>
      <c r="J46" s="150">
        <v>7500</v>
      </c>
      <c r="K46" s="123">
        <v>51825</v>
      </c>
      <c r="M46" s="123">
        <f>+K46/J46</f>
        <v>6.91</v>
      </c>
      <c r="N46">
        <v>1</v>
      </c>
      <c r="O46">
        <v>2</v>
      </c>
      <c r="P46" s="136">
        <v>73</v>
      </c>
      <c r="Q46" s="136">
        <v>11607</v>
      </c>
      <c r="R46" s="123">
        <v>1300.1300000000001</v>
      </c>
    </row>
    <row r="47" spans="1:18">
      <c r="A47" t="s">
        <v>235</v>
      </c>
      <c r="B47">
        <v>51</v>
      </c>
      <c r="C47" s="151">
        <v>60</v>
      </c>
      <c r="D47" s="151"/>
      <c r="E47" s="151">
        <v>100631</v>
      </c>
      <c r="F47" s="152"/>
      <c r="G47" s="152">
        <v>267.33999999999997</v>
      </c>
      <c r="H47" s="152">
        <v>29271.27</v>
      </c>
      <c r="I47" s="152">
        <v>3184.26</v>
      </c>
      <c r="J47" s="153">
        <v>0</v>
      </c>
      <c r="K47" s="152">
        <v>0</v>
      </c>
      <c r="N47">
        <v>1</v>
      </c>
      <c r="O47">
        <v>3</v>
      </c>
      <c r="P47" s="136">
        <v>8679</v>
      </c>
      <c r="Q47" s="136">
        <v>321463</v>
      </c>
      <c r="R47" s="123">
        <v>93321.49</v>
      </c>
    </row>
    <row r="48" spans="1:18">
      <c r="B48" t="s">
        <v>43</v>
      </c>
      <c r="C48" s="136">
        <f>SUM(C28:C47)</f>
        <v>55430</v>
      </c>
      <c r="D48" s="136">
        <f t="shared" ref="D48:K48" si="1">SUM(D28:D47)</f>
        <v>132139653</v>
      </c>
      <c r="E48" s="136">
        <f t="shared" si="1"/>
        <v>757450</v>
      </c>
      <c r="F48" s="123">
        <f t="shared" si="1"/>
        <v>11601278.110000001</v>
      </c>
      <c r="G48" s="123">
        <f t="shared" si="1"/>
        <v>350598.49</v>
      </c>
      <c r="H48" s="123">
        <f t="shared" si="1"/>
        <v>170981.49</v>
      </c>
      <c r="I48" s="123">
        <f t="shared" si="1"/>
        <v>1306719.3100000003</v>
      </c>
      <c r="J48" s="150">
        <f t="shared" si="1"/>
        <v>95462.583999999988</v>
      </c>
      <c r="K48" s="123">
        <f t="shared" si="1"/>
        <v>633867.02</v>
      </c>
      <c r="N48">
        <v>1</v>
      </c>
      <c r="O48">
        <v>4</v>
      </c>
      <c r="P48" s="136">
        <v>698</v>
      </c>
      <c r="Q48" s="136">
        <v>16054</v>
      </c>
      <c r="R48" s="123">
        <v>7056.78</v>
      </c>
    </row>
    <row r="49" spans="1:18">
      <c r="N49">
        <v>1</v>
      </c>
      <c r="O49">
        <v>5</v>
      </c>
      <c r="P49" s="136">
        <v>543</v>
      </c>
      <c r="Q49" s="136">
        <v>20054</v>
      </c>
      <c r="R49" s="123">
        <v>6123.77</v>
      </c>
    </row>
    <row r="50" spans="1:18">
      <c r="A50" s="134" t="s">
        <v>238</v>
      </c>
      <c r="B50" s="134" t="s">
        <v>223</v>
      </c>
      <c r="N50">
        <v>1</v>
      </c>
      <c r="O50">
        <v>6</v>
      </c>
      <c r="P50" s="136">
        <v>199</v>
      </c>
      <c r="Q50" s="136">
        <v>20518</v>
      </c>
      <c r="R50" s="123">
        <v>3053.72</v>
      </c>
    </row>
    <row r="51" spans="1:18">
      <c r="A51" t="s">
        <v>10</v>
      </c>
      <c r="B51">
        <v>11</v>
      </c>
      <c r="C51" s="136">
        <v>52274</v>
      </c>
      <c r="D51" s="136">
        <v>77591828</v>
      </c>
      <c r="E51" s="136">
        <v>537252</v>
      </c>
      <c r="F51" s="123">
        <v>7453505.4800000004</v>
      </c>
      <c r="G51" s="123">
        <v>-7804.72</v>
      </c>
      <c r="H51" s="123">
        <v>121737.47</v>
      </c>
      <c r="I51" s="123">
        <v>756752.85</v>
      </c>
      <c r="J51" s="150">
        <v>0</v>
      </c>
      <c r="K51" s="123">
        <v>0</v>
      </c>
      <c r="N51">
        <v>1</v>
      </c>
      <c r="O51">
        <v>7</v>
      </c>
      <c r="P51" s="136">
        <v>178</v>
      </c>
      <c r="Q51" s="136">
        <v>18100</v>
      </c>
      <c r="R51" s="123">
        <v>2897.05</v>
      </c>
    </row>
    <row r="52" spans="1:18">
      <c r="A52" s="25" t="s">
        <v>14</v>
      </c>
      <c r="B52">
        <v>12</v>
      </c>
      <c r="C52" s="136">
        <v>40</v>
      </c>
      <c r="D52" s="136">
        <v>69966</v>
      </c>
      <c r="E52" s="136">
        <v>74</v>
      </c>
      <c r="F52" s="123">
        <v>5385.02</v>
      </c>
      <c r="G52" s="123">
        <v>-7.06</v>
      </c>
      <c r="H52" s="123">
        <v>21.5</v>
      </c>
      <c r="I52" s="123">
        <v>540.01</v>
      </c>
      <c r="J52" s="150">
        <v>0</v>
      </c>
      <c r="K52" s="123">
        <v>0</v>
      </c>
      <c r="N52">
        <v>4</v>
      </c>
      <c r="O52">
        <v>7</v>
      </c>
      <c r="P52" s="136">
        <v>207</v>
      </c>
      <c r="Q52" s="136">
        <v>17488</v>
      </c>
      <c r="R52" s="123">
        <v>3202.12</v>
      </c>
    </row>
    <row r="53" spans="1:18">
      <c r="A53" t="s">
        <v>235</v>
      </c>
      <c r="B53">
        <v>15</v>
      </c>
      <c r="C53" s="136">
        <v>140</v>
      </c>
      <c r="D53" s="136"/>
      <c r="E53" s="136">
        <v>21171</v>
      </c>
      <c r="F53" s="123"/>
      <c r="G53" s="123">
        <v>-1.41</v>
      </c>
      <c r="H53" s="123">
        <v>4784.16</v>
      </c>
      <c r="I53" s="123">
        <v>478.65</v>
      </c>
      <c r="J53" s="150">
        <v>0</v>
      </c>
      <c r="K53" s="123">
        <v>0</v>
      </c>
      <c r="N53">
        <v>1</v>
      </c>
      <c r="O53">
        <v>8</v>
      </c>
      <c r="P53" s="136">
        <v>450</v>
      </c>
      <c r="Q53" s="136">
        <v>10350</v>
      </c>
      <c r="R53" s="123">
        <v>4225.5</v>
      </c>
    </row>
    <row r="54" spans="1:18">
      <c r="A54" t="s">
        <v>10</v>
      </c>
      <c r="B54">
        <v>17</v>
      </c>
      <c r="C54" s="136">
        <v>24</v>
      </c>
      <c r="D54" s="136">
        <v>34508</v>
      </c>
      <c r="E54" s="136">
        <v>37</v>
      </c>
      <c r="F54" s="123">
        <v>2565.4</v>
      </c>
      <c r="G54" s="123">
        <v>-2.59</v>
      </c>
      <c r="H54" s="123">
        <v>10.75</v>
      </c>
      <c r="I54" s="123">
        <v>257.35000000000002</v>
      </c>
      <c r="J54" s="150">
        <v>0</v>
      </c>
      <c r="K54" s="123">
        <v>0</v>
      </c>
      <c r="N54">
        <v>1</v>
      </c>
      <c r="O54">
        <v>9</v>
      </c>
      <c r="P54" s="136">
        <v>469</v>
      </c>
      <c r="Q54" s="136">
        <v>76674</v>
      </c>
      <c r="R54" s="123">
        <v>8114.96</v>
      </c>
    </row>
    <row r="55" spans="1:18">
      <c r="A55" t="s">
        <v>236</v>
      </c>
      <c r="B55">
        <v>19</v>
      </c>
      <c r="C55" s="136">
        <v>411</v>
      </c>
      <c r="D55" s="136">
        <v>562761</v>
      </c>
      <c r="E55" s="136">
        <v>2085</v>
      </c>
      <c r="F55" s="123">
        <v>56942.99</v>
      </c>
      <c r="G55" s="123">
        <v>-67.37</v>
      </c>
      <c r="H55" s="123">
        <v>484.6</v>
      </c>
      <c r="I55" s="123">
        <v>5731.89</v>
      </c>
      <c r="J55" s="150">
        <v>0</v>
      </c>
      <c r="K55" s="123">
        <v>0</v>
      </c>
      <c r="N55">
        <v>1</v>
      </c>
      <c r="O55">
        <v>11</v>
      </c>
      <c r="P55" s="136">
        <v>41</v>
      </c>
      <c r="Q55" s="136">
        <v>6587</v>
      </c>
      <c r="R55" s="123">
        <v>738.35</v>
      </c>
    </row>
    <row r="56" spans="1:18">
      <c r="A56" s="27" t="s">
        <v>16</v>
      </c>
      <c r="B56">
        <v>21</v>
      </c>
      <c r="C56" s="136">
        <v>2509</v>
      </c>
      <c r="D56" s="136">
        <v>5804506</v>
      </c>
      <c r="E56" s="136">
        <v>75969</v>
      </c>
      <c r="F56" s="123">
        <v>662222.22</v>
      </c>
      <c r="G56" s="123">
        <v>-587.85</v>
      </c>
      <c r="H56" s="123">
        <v>11932.43</v>
      </c>
      <c r="I56" s="123">
        <v>67358.080000000002</v>
      </c>
      <c r="J56" s="150">
        <v>26355.414000000001</v>
      </c>
      <c r="K56" s="123">
        <v>106236.87</v>
      </c>
      <c r="N56">
        <v>4</v>
      </c>
      <c r="O56">
        <v>12</v>
      </c>
      <c r="P56" s="136">
        <v>354</v>
      </c>
      <c r="Q56" s="136">
        <v>13098</v>
      </c>
      <c r="R56" s="123">
        <v>3989.58</v>
      </c>
    </row>
    <row r="57" spans="1:18">
      <c r="A57" s="27" t="s">
        <v>16</v>
      </c>
      <c r="B57">
        <v>22</v>
      </c>
      <c r="C57" s="136">
        <v>84</v>
      </c>
      <c r="D57" s="136">
        <v>31243</v>
      </c>
      <c r="E57" s="136">
        <v>786</v>
      </c>
      <c r="F57" s="123">
        <v>4814.8500000000004</v>
      </c>
      <c r="G57" s="123">
        <v>-3.09</v>
      </c>
      <c r="H57" s="123">
        <v>210.06</v>
      </c>
      <c r="I57" s="123">
        <v>502.25</v>
      </c>
      <c r="J57" s="150">
        <v>0</v>
      </c>
      <c r="K57" s="123">
        <v>0</v>
      </c>
      <c r="N57">
        <v>3</v>
      </c>
      <c r="O57">
        <v>13</v>
      </c>
      <c r="P57" s="136">
        <v>35</v>
      </c>
      <c r="Q57" s="136">
        <v>1318</v>
      </c>
      <c r="R57" s="123">
        <v>664.51</v>
      </c>
    </row>
    <row r="58" spans="1:18">
      <c r="A58" t="s">
        <v>23</v>
      </c>
      <c r="B58">
        <v>23</v>
      </c>
      <c r="C58" s="136">
        <v>9</v>
      </c>
      <c r="D58" s="136">
        <v>35228</v>
      </c>
      <c r="E58" s="136">
        <v>189</v>
      </c>
      <c r="F58" s="123">
        <v>3647.1</v>
      </c>
      <c r="G58" s="123">
        <v>-3.54</v>
      </c>
      <c r="H58" s="123">
        <v>33.119999999999997</v>
      </c>
      <c r="I58" s="123">
        <v>367.67</v>
      </c>
      <c r="J58" s="150">
        <v>0</v>
      </c>
      <c r="K58" s="123">
        <v>0</v>
      </c>
      <c r="N58">
        <v>3</v>
      </c>
      <c r="O58">
        <v>14</v>
      </c>
      <c r="P58" s="136">
        <v>32</v>
      </c>
      <c r="Q58" s="136">
        <v>1184</v>
      </c>
      <c r="R58" s="123">
        <v>584</v>
      </c>
    </row>
    <row r="59" spans="1:18">
      <c r="A59" s="25" t="s">
        <v>18</v>
      </c>
      <c r="B59">
        <v>31</v>
      </c>
      <c r="C59" s="136">
        <v>51</v>
      </c>
      <c r="D59" s="136">
        <v>2687981</v>
      </c>
      <c r="E59" s="136">
        <v>5068</v>
      </c>
      <c r="F59" s="123">
        <v>220650.36</v>
      </c>
      <c r="G59" s="123">
        <v>-269.41000000000003</v>
      </c>
      <c r="H59" s="123">
        <v>653.71</v>
      </c>
      <c r="I59" s="123">
        <v>22103.49</v>
      </c>
      <c r="J59" s="150">
        <v>8032.134</v>
      </c>
      <c r="K59" s="123">
        <v>67129.91</v>
      </c>
      <c r="N59">
        <v>3</v>
      </c>
      <c r="O59">
        <v>15</v>
      </c>
      <c r="P59" s="136">
        <v>265</v>
      </c>
      <c r="Q59" s="136">
        <v>9785</v>
      </c>
      <c r="R59" s="123">
        <v>4078.65</v>
      </c>
    </row>
    <row r="60" spans="1:18">
      <c r="A60" s="27" t="s">
        <v>19</v>
      </c>
      <c r="B60">
        <v>32</v>
      </c>
      <c r="C60" s="136">
        <v>10</v>
      </c>
      <c r="D60" s="136">
        <v>1718064</v>
      </c>
      <c r="E60" s="136">
        <v>2426</v>
      </c>
      <c r="F60" s="123">
        <v>124980.19</v>
      </c>
      <c r="G60" s="123">
        <v>-172.1</v>
      </c>
      <c r="H60" s="123">
        <v>307.64999999999998</v>
      </c>
      <c r="I60" s="123">
        <v>12511.57</v>
      </c>
      <c r="J60" s="150">
        <v>4564.5879999999997</v>
      </c>
      <c r="K60" s="123">
        <v>38068.660000000003</v>
      </c>
      <c r="N60">
        <v>3</v>
      </c>
      <c r="O60">
        <v>16</v>
      </c>
      <c r="P60" s="151">
        <v>28</v>
      </c>
      <c r="Q60" s="151">
        <v>4452</v>
      </c>
      <c r="R60" s="152">
        <v>654.64</v>
      </c>
    </row>
    <row r="61" spans="1:18">
      <c r="A61" s="25" t="s">
        <v>18</v>
      </c>
      <c r="B61">
        <v>33</v>
      </c>
      <c r="C61" s="136">
        <v>4</v>
      </c>
      <c r="D61" s="136">
        <v>279840</v>
      </c>
      <c r="E61" s="136">
        <v>3622</v>
      </c>
      <c r="F61" s="123">
        <v>23317.58</v>
      </c>
      <c r="G61" s="123">
        <v>-26.88</v>
      </c>
      <c r="H61" s="123">
        <v>426.34</v>
      </c>
      <c r="I61" s="123">
        <v>2371.71</v>
      </c>
      <c r="J61" s="150">
        <v>981.6</v>
      </c>
      <c r="K61" s="123">
        <v>8186.54</v>
      </c>
      <c r="O61" t="s">
        <v>43</v>
      </c>
      <c r="P61" s="136">
        <f>SUM(P45:P60)</f>
        <v>15106</v>
      </c>
      <c r="Q61" s="136">
        <f>SUM(Q45:Q60)</f>
        <v>757303</v>
      </c>
      <c r="R61" s="123">
        <f>SUM(R45:R60)</f>
        <v>171113.81999999998</v>
      </c>
    </row>
    <row r="62" spans="1:18">
      <c r="A62" s="27" t="s">
        <v>19</v>
      </c>
      <c r="B62">
        <v>35</v>
      </c>
      <c r="C62" s="136">
        <v>13</v>
      </c>
      <c r="D62" s="136">
        <v>6657086</v>
      </c>
      <c r="E62" s="136">
        <v>4944</v>
      </c>
      <c r="F62" s="123">
        <v>483401.55</v>
      </c>
      <c r="G62" s="123">
        <v>-632.97</v>
      </c>
      <c r="H62" s="123">
        <v>628.66</v>
      </c>
      <c r="I62" s="123">
        <v>48339.73</v>
      </c>
      <c r="J62" s="150">
        <v>19919.014999999999</v>
      </c>
      <c r="K62" s="123">
        <v>166124.57999999999</v>
      </c>
    </row>
    <row r="63" spans="1:18">
      <c r="A63" s="27" t="s">
        <v>19</v>
      </c>
      <c r="B63">
        <v>36</v>
      </c>
      <c r="C63" s="136">
        <v>1</v>
      </c>
      <c r="D63" s="136">
        <v>541600</v>
      </c>
      <c r="E63" s="136"/>
      <c r="F63" s="123">
        <v>35848.089999999997</v>
      </c>
      <c r="G63" s="123">
        <v>-51.45</v>
      </c>
      <c r="H63" s="123"/>
      <c r="I63" s="123">
        <v>3579.66</v>
      </c>
      <c r="J63" s="150">
        <v>1073.5999999999999</v>
      </c>
      <c r="K63" s="123">
        <v>8953.82</v>
      </c>
      <c r="N63" t="s">
        <v>170</v>
      </c>
      <c r="P63" t="s">
        <v>239</v>
      </c>
    </row>
    <row r="64" spans="1:18">
      <c r="A64" t="s">
        <v>20</v>
      </c>
      <c r="B64">
        <v>45</v>
      </c>
      <c r="C64" s="136">
        <v>1</v>
      </c>
      <c r="D64" s="136">
        <v>2913452</v>
      </c>
      <c r="E64" s="136"/>
      <c r="F64" s="123">
        <v>170689.68</v>
      </c>
      <c r="G64" s="123">
        <v>-291.35000000000002</v>
      </c>
      <c r="H64" s="123"/>
      <c r="I64" s="123">
        <v>17039.830000000002</v>
      </c>
      <c r="J64" s="150">
        <v>5150.88</v>
      </c>
      <c r="K64" s="123">
        <v>35729.96</v>
      </c>
      <c r="M64" s="123">
        <f>+K64/J64</f>
        <v>6.9366710154381384</v>
      </c>
      <c r="N64" s="134" t="s">
        <v>172</v>
      </c>
      <c r="O64" s="134" t="s">
        <v>173</v>
      </c>
      <c r="P64" s="134" t="s">
        <v>232</v>
      </c>
      <c r="Q64" s="134" t="s">
        <v>233</v>
      </c>
      <c r="R64" s="134" t="s">
        <v>234</v>
      </c>
    </row>
    <row r="65" spans="1:18">
      <c r="A65" s="27" t="s">
        <v>21</v>
      </c>
      <c r="B65">
        <v>46</v>
      </c>
      <c r="C65" s="136">
        <v>1</v>
      </c>
      <c r="D65" s="136">
        <v>1608897</v>
      </c>
      <c r="E65" s="136"/>
      <c r="F65" s="123">
        <v>96955.26</v>
      </c>
      <c r="G65" s="123">
        <v>-152.85</v>
      </c>
      <c r="H65" s="123"/>
      <c r="I65" s="123">
        <v>9680.24</v>
      </c>
      <c r="J65" s="150">
        <v>2700</v>
      </c>
      <c r="K65" s="123">
        <v>18657</v>
      </c>
      <c r="N65">
        <v>1</v>
      </c>
      <c r="O65">
        <v>1</v>
      </c>
      <c r="P65" s="136">
        <v>2825</v>
      </c>
      <c r="Q65" s="136">
        <v>206803</v>
      </c>
      <c r="R65" s="123">
        <v>30860.89</v>
      </c>
    </row>
    <row r="66" spans="1:18">
      <c r="A66" t="s">
        <v>20</v>
      </c>
      <c r="B66">
        <v>47</v>
      </c>
      <c r="C66" s="136">
        <v>1</v>
      </c>
      <c r="D66" s="136">
        <v>2263057</v>
      </c>
      <c r="E66" s="136">
        <v>2134</v>
      </c>
      <c r="F66" s="123">
        <v>137113.73000000001</v>
      </c>
      <c r="G66" s="123">
        <v>-226.54</v>
      </c>
      <c r="H66" s="123">
        <v>292.86</v>
      </c>
      <c r="I66" s="123">
        <v>13718.01</v>
      </c>
      <c r="J66" s="150">
        <v>4600</v>
      </c>
      <c r="K66" s="123">
        <v>31786</v>
      </c>
      <c r="N66">
        <v>1</v>
      </c>
      <c r="O66">
        <v>2</v>
      </c>
      <c r="P66" s="136">
        <v>72</v>
      </c>
      <c r="Q66" s="136">
        <v>11623</v>
      </c>
      <c r="R66" s="123">
        <v>1301.9100000000001</v>
      </c>
    </row>
    <row r="67" spans="1:18">
      <c r="A67" t="s">
        <v>20</v>
      </c>
      <c r="B67">
        <v>48</v>
      </c>
      <c r="C67" s="136">
        <v>1</v>
      </c>
      <c r="D67" s="136">
        <v>3531001</v>
      </c>
      <c r="E67" s="136">
        <v>84</v>
      </c>
      <c r="F67" s="123">
        <v>213423.24</v>
      </c>
      <c r="G67" s="123">
        <v>-353.11</v>
      </c>
      <c r="H67" s="123">
        <v>15.38</v>
      </c>
      <c r="I67" s="123">
        <v>21308.55</v>
      </c>
      <c r="J67" s="150">
        <v>7161.6</v>
      </c>
      <c r="K67" s="123">
        <v>50327.98</v>
      </c>
      <c r="N67">
        <v>1</v>
      </c>
      <c r="O67">
        <v>3</v>
      </c>
      <c r="P67" s="136">
        <v>8692</v>
      </c>
      <c r="Q67" s="136">
        <v>321358</v>
      </c>
      <c r="R67" s="123">
        <v>93297.97</v>
      </c>
    </row>
    <row r="68" spans="1:18">
      <c r="A68" t="s">
        <v>20</v>
      </c>
      <c r="B68">
        <v>49</v>
      </c>
      <c r="C68" s="136">
        <v>1</v>
      </c>
      <c r="D68" s="136">
        <v>3389583</v>
      </c>
      <c r="E68" s="136"/>
      <c r="F68" s="123">
        <v>202395.12</v>
      </c>
      <c r="G68" s="123">
        <v>-338.96</v>
      </c>
      <c r="H68" s="123"/>
      <c r="I68" s="123">
        <v>20205.62</v>
      </c>
      <c r="J68" s="150">
        <v>6501.86</v>
      </c>
      <c r="K68" s="123">
        <v>45742.87</v>
      </c>
      <c r="N68">
        <v>1</v>
      </c>
      <c r="O68">
        <v>4</v>
      </c>
      <c r="P68" s="136">
        <v>698</v>
      </c>
      <c r="Q68" s="136">
        <v>16054</v>
      </c>
      <c r="R68" s="123">
        <v>7056.78</v>
      </c>
    </row>
    <row r="69" spans="1:18">
      <c r="A69" t="s">
        <v>20</v>
      </c>
      <c r="B69">
        <v>50</v>
      </c>
      <c r="C69" s="136">
        <v>1</v>
      </c>
      <c r="D69" s="136">
        <v>3393598</v>
      </c>
      <c r="E69" s="136"/>
      <c r="F69" s="123">
        <v>208660.17</v>
      </c>
      <c r="G69" s="123">
        <v>-339.36</v>
      </c>
      <c r="H69" s="123"/>
      <c r="I69" s="123">
        <v>20832.080000000002</v>
      </c>
      <c r="J69" s="150">
        <v>7500</v>
      </c>
      <c r="K69" s="123">
        <v>51825</v>
      </c>
      <c r="M69" s="123">
        <f>+K69/J69</f>
        <v>6.91</v>
      </c>
      <c r="N69">
        <v>1</v>
      </c>
      <c r="O69">
        <v>5</v>
      </c>
      <c r="P69" s="136">
        <v>543</v>
      </c>
      <c r="Q69" s="136">
        <v>20054</v>
      </c>
      <c r="R69" s="123">
        <v>6123.77</v>
      </c>
    </row>
    <row r="70" spans="1:18">
      <c r="A70" t="s">
        <v>235</v>
      </c>
      <c r="B70">
        <v>51</v>
      </c>
      <c r="C70" s="151">
        <v>61</v>
      </c>
      <c r="D70" s="151"/>
      <c r="E70" s="151">
        <v>101462</v>
      </c>
      <c r="F70" s="152"/>
      <c r="G70" s="152">
        <v>-3.77</v>
      </c>
      <c r="H70" s="152">
        <v>29575.13</v>
      </c>
      <c r="I70" s="152">
        <v>2957.22</v>
      </c>
      <c r="J70" s="153">
        <v>0</v>
      </c>
      <c r="K70" s="152">
        <v>0</v>
      </c>
      <c r="N70">
        <v>1</v>
      </c>
      <c r="O70">
        <v>6</v>
      </c>
      <c r="P70" s="136">
        <v>199</v>
      </c>
      <c r="Q70" s="136">
        <v>20230</v>
      </c>
      <c r="R70" s="123">
        <v>3010.7</v>
      </c>
    </row>
    <row r="71" spans="1:18">
      <c r="B71" t="s">
        <v>43</v>
      </c>
      <c r="C71" s="136">
        <f t="shared" ref="C71:K71" si="2">SUM(C51:C70)</f>
        <v>55637</v>
      </c>
      <c r="D71" s="136">
        <f t="shared" si="2"/>
        <v>113114199</v>
      </c>
      <c r="E71" s="136">
        <f t="shared" si="2"/>
        <v>757303</v>
      </c>
      <c r="F71" s="123">
        <f t="shared" si="2"/>
        <v>10106518.029999999</v>
      </c>
      <c r="G71" s="123">
        <f t="shared" si="2"/>
        <v>-11336.380000000003</v>
      </c>
      <c r="H71" s="123">
        <f t="shared" si="2"/>
        <v>171113.81999999998</v>
      </c>
      <c r="I71" s="123">
        <f t="shared" si="2"/>
        <v>1026636.4599999998</v>
      </c>
      <c r="J71" s="150">
        <f t="shared" si="2"/>
        <v>94540.691000000006</v>
      </c>
      <c r="K71" s="123">
        <f t="shared" si="2"/>
        <v>628769.19000000006</v>
      </c>
      <c r="N71">
        <v>1</v>
      </c>
      <c r="O71">
        <v>7</v>
      </c>
      <c r="P71" s="136">
        <v>172</v>
      </c>
      <c r="Q71" s="136">
        <v>17570</v>
      </c>
      <c r="R71" s="123">
        <v>2812.19</v>
      </c>
    </row>
    <row r="72" spans="1:18">
      <c r="N72">
        <v>4</v>
      </c>
      <c r="O72">
        <v>7</v>
      </c>
      <c r="P72" s="136">
        <v>209</v>
      </c>
      <c r="Q72" s="136">
        <v>17530</v>
      </c>
      <c r="R72" s="123">
        <v>3209.81</v>
      </c>
    </row>
    <row r="73" spans="1:18">
      <c r="A73" s="134" t="s">
        <v>239</v>
      </c>
      <c r="B73" s="134" t="s">
        <v>223</v>
      </c>
      <c r="N73">
        <v>1</v>
      </c>
      <c r="O73">
        <v>8</v>
      </c>
      <c r="P73" s="136">
        <v>450</v>
      </c>
      <c r="Q73" s="136">
        <v>10350</v>
      </c>
      <c r="R73" s="123">
        <v>4225.5</v>
      </c>
    </row>
    <row r="74" spans="1:18">
      <c r="A74" t="s">
        <v>10</v>
      </c>
      <c r="B74">
        <v>11</v>
      </c>
      <c r="C74" s="136">
        <v>52164</v>
      </c>
      <c r="D74" s="136">
        <v>70214395</v>
      </c>
      <c r="E74" s="136">
        <v>535146</v>
      </c>
      <c r="F74" s="123">
        <v>6791654.5700000003</v>
      </c>
      <c r="G74" s="123">
        <v>-41717.279999999999</v>
      </c>
      <c r="H74" s="123">
        <v>121395.41</v>
      </c>
      <c r="I74" s="123">
        <v>645944.74</v>
      </c>
      <c r="J74" s="150">
        <v>0</v>
      </c>
      <c r="K74" s="123">
        <v>0</v>
      </c>
      <c r="N74">
        <v>1</v>
      </c>
      <c r="O74">
        <v>9</v>
      </c>
      <c r="P74" s="136">
        <v>476</v>
      </c>
      <c r="Q74" s="136">
        <v>76275</v>
      </c>
      <c r="R74" s="123">
        <v>8073.34</v>
      </c>
    </row>
    <row r="75" spans="1:18">
      <c r="A75" s="25" t="s">
        <v>14</v>
      </c>
      <c r="B75">
        <v>12</v>
      </c>
      <c r="C75" s="136">
        <v>37</v>
      </c>
      <c r="D75" s="136">
        <v>61586</v>
      </c>
      <c r="E75" s="136">
        <v>91</v>
      </c>
      <c r="F75" s="123">
        <v>4797.16</v>
      </c>
      <c r="G75" s="123">
        <v>-36.369999999999997</v>
      </c>
      <c r="H75" s="123">
        <v>24.04</v>
      </c>
      <c r="I75" s="123">
        <v>449.8</v>
      </c>
      <c r="J75" s="150">
        <v>0</v>
      </c>
      <c r="K75" s="123">
        <v>0</v>
      </c>
      <c r="N75">
        <v>1</v>
      </c>
      <c r="O75">
        <v>11</v>
      </c>
      <c r="P75" s="136">
        <v>41</v>
      </c>
      <c r="Q75" s="136">
        <v>6419</v>
      </c>
      <c r="R75" s="123">
        <v>719.51</v>
      </c>
    </row>
    <row r="76" spans="1:18">
      <c r="A76" t="s">
        <v>235</v>
      </c>
      <c r="B76">
        <v>15</v>
      </c>
      <c r="C76" s="136">
        <v>140</v>
      </c>
      <c r="D76" s="136"/>
      <c r="E76" s="136">
        <v>21136</v>
      </c>
      <c r="F76" s="123"/>
      <c r="G76" s="123">
        <v>-11.68</v>
      </c>
      <c r="H76" s="123">
        <v>4776.55</v>
      </c>
      <c r="I76" s="123">
        <v>448.02</v>
      </c>
      <c r="J76" s="150">
        <v>0</v>
      </c>
      <c r="K76" s="123">
        <v>0</v>
      </c>
      <c r="N76">
        <v>4</v>
      </c>
      <c r="O76">
        <v>12</v>
      </c>
      <c r="P76" s="136">
        <v>364</v>
      </c>
      <c r="Q76" s="136">
        <v>13530</v>
      </c>
      <c r="R76" s="123">
        <v>4124.79</v>
      </c>
    </row>
    <row r="77" spans="1:18">
      <c r="A77" t="s">
        <v>10</v>
      </c>
      <c r="B77">
        <v>17</v>
      </c>
      <c r="C77" s="136">
        <v>26</v>
      </c>
      <c r="D77" s="136">
        <v>35883</v>
      </c>
      <c r="E77" s="136">
        <v>37</v>
      </c>
      <c r="F77" s="123">
        <v>2528.9699999999998</v>
      </c>
      <c r="G77" s="123">
        <v>-15.08</v>
      </c>
      <c r="H77" s="123">
        <v>10.75</v>
      </c>
      <c r="I77" s="123">
        <v>237.3</v>
      </c>
      <c r="J77" s="150">
        <v>0</v>
      </c>
      <c r="K77" s="123">
        <v>0</v>
      </c>
      <c r="N77">
        <v>3</v>
      </c>
      <c r="O77">
        <v>13</v>
      </c>
      <c r="P77" s="136">
        <v>35</v>
      </c>
      <c r="Q77" s="136">
        <v>1273</v>
      </c>
      <c r="R77" s="123">
        <v>641.28</v>
      </c>
    </row>
    <row r="78" spans="1:18">
      <c r="A78" t="s">
        <v>236</v>
      </c>
      <c r="B78">
        <v>19</v>
      </c>
      <c r="C78" s="136">
        <v>504</v>
      </c>
      <c r="D78" s="136">
        <v>419268</v>
      </c>
      <c r="E78" s="136">
        <v>2730</v>
      </c>
      <c r="F78" s="123">
        <v>45265.29</v>
      </c>
      <c r="G78" s="123">
        <v>-247.39</v>
      </c>
      <c r="H78" s="123">
        <v>656.05</v>
      </c>
      <c r="I78" s="123">
        <v>4295.1499999999996</v>
      </c>
      <c r="J78" s="150">
        <v>0</v>
      </c>
      <c r="K78" s="123">
        <v>0</v>
      </c>
      <c r="N78">
        <v>3</v>
      </c>
      <c r="O78">
        <v>14</v>
      </c>
      <c r="P78" s="136">
        <v>37</v>
      </c>
      <c r="Q78" s="136">
        <v>1259</v>
      </c>
      <c r="R78" s="123">
        <v>620.5</v>
      </c>
    </row>
    <row r="79" spans="1:18">
      <c r="A79" s="27" t="s">
        <v>16</v>
      </c>
      <c r="B79">
        <v>21</v>
      </c>
      <c r="C79" s="136">
        <v>2488</v>
      </c>
      <c r="D79" s="136">
        <v>6325225</v>
      </c>
      <c r="E79" s="136">
        <v>75668</v>
      </c>
      <c r="F79" s="123">
        <v>703399.48</v>
      </c>
      <c r="G79" s="123">
        <v>-3753.6</v>
      </c>
      <c r="H79" s="123">
        <v>11818.22</v>
      </c>
      <c r="I79" s="123">
        <v>66903.61</v>
      </c>
      <c r="J79" s="150">
        <v>25699.13</v>
      </c>
      <c r="K79" s="123">
        <v>102528.14</v>
      </c>
      <c r="N79">
        <v>3</v>
      </c>
      <c r="O79">
        <v>15</v>
      </c>
      <c r="P79" s="136">
        <v>265</v>
      </c>
      <c r="Q79" s="136">
        <v>9805</v>
      </c>
      <c r="R79" s="123">
        <v>4088.95</v>
      </c>
    </row>
    <row r="80" spans="1:18">
      <c r="A80" s="27" t="s">
        <v>16</v>
      </c>
      <c r="B80">
        <v>22</v>
      </c>
      <c r="C80" s="136">
        <v>82</v>
      </c>
      <c r="D80" s="136">
        <v>28126</v>
      </c>
      <c r="E80" s="136">
        <v>786</v>
      </c>
      <c r="F80" s="123">
        <v>4497.92</v>
      </c>
      <c r="G80" s="123">
        <v>-17.05</v>
      </c>
      <c r="H80" s="123">
        <v>210.06</v>
      </c>
      <c r="I80" s="123">
        <v>440.92</v>
      </c>
      <c r="J80" s="150">
        <v>0</v>
      </c>
      <c r="K80" s="123">
        <v>0</v>
      </c>
      <c r="N80">
        <v>3</v>
      </c>
      <c r="O80">
        <v>16</v>
      </c>
      <c r="P80" s="151">
        <v>28</v>
      </c>
      <c r="Q80" s="151">
        <v>4452</v>
      </c>
      <c r="R80" s="152">
        <v>654.64</v>
      </c>
    </row>
    <row r="81" spans="1:18">
      <c r="A81" t="s">
        <v>23</v>
      </c>
      <c r="B81">
        <v>23</v>
      </c>
      <c r="C81" s="136">
        <v>20</v>
      </c>
      <c r="D81" s="136">
        <v>79489</v>
      </c>
      <c r="E81" s="136">
        <v>1208</v>
      </c>
      <c r="F81" s="123">
        <v>8214.56</v>
      </c>
      <c r="G81" s="123">
        <v>-47.58</v>
      </c>
      <c r="H81" s="123">
        <v>182.5</v>
      </c>
      <c r="I81" s="123">
        <v>784.83</v>
      </c>
      <c r="J81" s="150">
        <v>0</v>
      </c>
      <c r="K81" s="123">
        <v>0</v>
      </c>
      <c r="O81" t="s">
        <v>43</v>
      </c>
      <c r="P81" s="136">
        <f>SUM(P65:P80)</f>
        <v>15106</v>
      </c>
      <c r="Q81" s="136">
        <f>SUM(Q65:Q80)</f>
        <v>754585</v>
      </c>
      <c r="R81" s="123">
        <f>SUM(R65:R80)</f>
        <v>170822.53000000006</v>
      </c>
    </row>
    <row r="82" spans="1:18">
      <c r="A82" s="25" t="s">
        <v>18</v>
      </c>
      <c r="B82">
        <v>31</v>
      </c>
      <c r="C82" s="136">
        <v>51</v>
      </c>
      <c r="D82" s="136">
        <v>2825627</v>
      </c>
      <c r="E82" s="136">
        <v>5381</v>
      </c>
      <c r="F82" s="123">
        <v>229081.26</v>
      </c>
      <c r="G82" s="123">
        <v>-1670.18</v>
      </c>
      <c r="H82" s="123">
        <v>680.25</v>
      </c>
      <c r="I82" s="123">
        <v>21440.57</v>
      </c>
      <c r="J82" s="150">
        <v>8117.4679999999998</v>
      </c>
      <c r="K82" s="123">
        <v>67841.600000000006</v>
      </c>
    </row>
    <row r="83" spans="1:18">
      <c r="A83" s="27" t="s">
        <v>19</v>
      </c>
      <c r="B83">
        <v>32</v>
      </c>
      <c r="C83" s="136">
        <v>10</v>
      </c>
      <c r="D83" s="136">
        <v>1859904</v>
      </c>
      <c r="E83" s="136">
        <v>2426</v>
      </c>
      <c r="F83" s="123">
        <v>131458.01</v>
      </c>
      <c r="G83" s="123">
        <v>-1098.71</v>
      </c>
      <c r="H83" s="123">
        <v>307.64999999999998</v>
      </c>
      <c r="I83" s="123">
        <v>12282.68</v>
      </c>
      <c r="J83" s="150">
        <v>4491.9669999999996</v>
      </c>
      <c r="K83" s="123">
        <v>37463</v>
      </c>
      <c r="N83" t="s">
        <v>170</v>
      </c>
      <c r="P83" t="s">
        <v>240</v>
      </c>
    </row>
    <row r="84" spans="1:18">
      <c r="A84" s="25" t="s">
        <v>18</v>
      </c>
      <c r="B84">
        <v>33</v>
      </c>
      <c r="C84" s="136">
        <v>4</v>
      </c>
      <c r="D84" s="136">
        <v>299280</v>
      </c>
      <c r="E84" s="136">
        <v>971</v>
      </c>
      <c r="F84" s="123">
        <v>24903.7</v>
      </c>
      <c r="G84" s="123">
        <v>-168.3</v>
      </c>
      <c r="H84" s="123">
        <v>123.93</v>
      </c>
      <c r="I84" s="123">
        <v>2336.77</v>
      </c>
      <c r="J84" s="150">
        <v>1047.5999999999999</v>
      </c>
      <c r="K84" s="123">
        <v>8736.99</v>
      </c>
      <c r="N84" s="134" t="s">
        <v>172</v>
      </c>
      <c r="O84" s="134" t="s">
        <v>173</v>
      </c>
      <c r="P84" s="134" t="s">
        <v>232</v>
      </c>
      <c r="Q84" s="134" t="s">
        <v>233</v>
      </c>
      <c r="R84" s="134" t="s">
        <v>234</v>
      </c>
    </row>
    <row r="85" spans="1:18">
      <c r="A85" s="27" t="s">
        <v>19</v>
      </c>
      <c r="B85">
        <v>35</v>
      </c>
      <c r="C85" s="136">
        <v>13</v>
      </c>
      <c r="D85" s="136">
        <v>9608403</v>
      </c>
      <c r="E85" s="136">
        <v>4944</v>
      </c>
      <c r="F85" s="123">
        <v>635328.73</v>
      </c>
      <c r="G85" s="123">
        <v>-5388.34</v>
      </c>
      <c r="H85" s="123">
        <v>628.66</v>
      </c>
      <c r="I85" s="123">
        <v>59273.48</v>
      </c>
      <c r="J85" s="150">
        <v>21346.812999999998</v>
      </c>
      <c r="K85" s="123">
        <v>178032.43</v>
      </c>
      <c r="N85">
        <v>1</v>
      </c>
      <c r="O85">
        <v>1</v>
      </c>
      <c r="P85" s="136">
        <v>2808</v>
      </c>
      <c r="Q85" s="136">
        <v>203814</v>
      </c>
      <c r="R85" s="123">
        <v>30408.560000000001</v>
      </c>
    </row>
    <row r="86" spans="1:18">
      <c r="A86" s="27" t="s">
        <v>19</v>
      </c>
      <c r="B86">
        <v>36</v>
      </c>
      <c r="C86" s="136">
        <v>1</v>
      </c>
      <c r="D86" s="136">
        <v>650400</v>
      </c>
      <c r="E86" s="136"/>
      <c r="F86" s="123">
        <v>41577.01</v>
      </c>
      <c r="G86" s="123">
        <v>-364.55</v>
      </c>
      <c r="H86" s="123"/>
      <c r="I86" s="123">
        <v>3873.97</v>
      </c>
      <c r="J86" s="150">
        <v>1141.5999999999999</v>
      </c>
      <c r="K86" s="123">
        <v>9520.94</v>
      </c>
      <c r="N86">
        <v>1</v>
      </c>
      <c r="O86">
        <v>2</v>
      </c>
      <c r="P86" s="136">
        <v>71</v>
      </c>
      <c r="Q86" s="136">
        <v>11358</v>
      </c>
      <c r="R86" s="123">
        <v>1272.23</v>
      </c>
    </row>
    <row r="87" spans="1:18">
      <c r="A87" t="s">
        <v>20</v>
      </c>
      <c r="B87">
        <v>45</v>
      </c>
      <c r="C87" s="136">
        <v>1</v>
      </c>
      <c r="D87" s="136">
        <v>3195500</v>
      </c>
      <c r="E87" s="136"/>
      <c r="F87" s="123">
        <v>184217.87</v>
      </c>
      <c r="G87" s="123">
        <v>-1885.35</v>
      </c>
      <c r="H87" s="123"/>
      <c r="I87" s="123">
        <v>17139.259999999998</v>
      </c>
      <c r="J87" s="150">
        <v>5221.4399999999996</v>
      </c>
      <c r="K87" s="123">
        <v>36408.04</v>
      </c>
      <c r="M87" s="123">
        <f>+K87/J87</f>
        <v>6.9727967763682059</v>
      </c>
      <c r="N87">
        <v>1</v>
      </c>
      <c r="O87">
        <v>3</v>
      </c>
      <c r="P87" s="136">
        <v>8696</v>
      </c>
      <c r="Q87" s="136">
        <v>322795</v>
      </c>
      <c r="R87" s="123">
        <v>93717.39</v>
      </c>
    </row>
    <row r="88" spans="1:18">
      <c r="A88" s="27" t="s">
        <v>21</v>
      </c>
      <c r="B88">
        <v>46</v>
      </c>
      <c r="C88" s="136">
        <v>1</v>
      </c>
      <c r="D88" s="136">
        <v>1817781</v>
      </c>
      <c r="E88" s="136"/>
      <c r="F88" s="123">
        <v>107433.15</v>
      </c>
      <c r="G88" s="123">
        <v>-1018.87</v>
      </c>
      <c r="H88" s="123"/>
      <c r="I88" s="123">
        <v>10002.94</v>
      </c>
      <c r="J88" s="150">
        <v>2747.52</v>
      </c>
      <c r="K88" s="123">
        <v>19113.669999999998</v>
      </c>
      <c r="N88">
        <v>1</v>
      </c>
      <c r="O88">
        <v>4</v>
      </c>
      <c r="P88" s="136">
        <v>698</v>
      </c>
      <c r="Q88" s="136">
        <v>16054</v>
      </c>
      <c r="R88" s="123">
        <v>7056.78</v>
      </c>
    </row>
    <row r="89" spans="1:18">
      <c r="A89" t="s">
        <v>20</v>
      </c>
      <c r="B89">
        <v>47</v>
      </c>
      <c r="C89" s="136">
        <v>1</v>
      </c>
      <c r="D89" s="136">
        <v>2401060</v>
      </c>
      <c r="E89" s="136">
        <v>2134</v>
      </c>
      <c r="F89" s="123">
        <v>144709.64000000001</v>
      </c>
      <c r="G89" s="123">
        <v>-1417.85</v>
      </c>
      <c r="H89" s="123">
        <v>292.86</v>
      </c>
      <c r="I89" s="123">
        <v>13496.96</v>
      </c>
      <c r="J89" s="150">
        <v>4736.16</v>
      </c>
      <c r="K89" s="123">
        <v>33094.5</v>
      </c>
      <c r="N89">
        <v>1</v>
      </c>
      <c r="O89">
        <v>5</v>
      </c>
      <c r="P89" s="136">
        <v>543</v>
      </c>
      <c r="Q89" s="136">
        <v>20054</v>
      </c>
      <c r="R89" s="123">
        <v>6123.77</v>
      </c>
    </row>
    <row r="90" spans="1:18">
      <c r="A90" t="s">
        <v>20</v>
      </c>
      <c r="B90">
        <v>48</v>
      </c>
      <c r="C90" s="136">
        <v>1</v>
      </c>
      <c r="D90" s="136">
        <v>3826272</v>
      </c>
      <c r="E90" s="136">
        <v>84</v>
      </c>
      <c r="F90" s="123">
        <v>225399.67999999999</v>
      </c>
      <c r="G90" s="123">
        <v>-2257.5500000000002</v>
      </c>
      <c r="H90" s="123">
        <v>15.38</v>
      </c>
      <c r="I90" s="123">
        <v>20976.81</v>
      </c>
      <c r="J90" s="150">
        <v>7008</v>
      </c>
      <c r="K90" s="123">
        <v>48851.88</v>
      </c>
      <c r="N90">
        <v>1</v>
      </c>
      <c r="O90">
        <v>6</v>
      </c>
      <c r="P90" s="136">
        <v>197</v>
      </c>
      <c r="Q90" s="136">
        <v>20114</v>
      </c>
      <c r="R90" s="123">
        <v>2993.5</v>
      </c>
    </row>
    <row r="91" spans="1:18">
      <c r="A91" t="s">
        <v>20</v>
      </c>
      <c r="B91">
        <v>49</v>
      </c>
      <c r="C91" s="136">
        <v>1</v>
      </c>
      <c r="D91" s="136">
        <v>3663864</v>
      </c>
      <c r="E91" s="136"/>
      <c r="F91" s="123">
        <v>212077.96</v>
      </c>
      <c r="G91" s="123">
        <v>-2161.6799999999998</v>
      </c>
      <c r="H91" s="123"/>
      <c r="I91" s="123">
        <v>19732.13</v>
      </c>
      <c r="J91" s="150">
        <v>6209.1019999999999</v>
      </c>
      <c r="K91" s="123">
        <v>42929.47</v>
      </c>
      <c r="N91">
        <v>1</v>
      </c>
      <c r="O91">
        <v>7</v>
      </c>
      <c r="P91" s="136">
        <v>173</v>
      </c>
      <c r="Q91" s="136">
        <v>17593</v>
      </c>
      <c r="R91" s="123">
        <v>2815.99</v>
      </c>
    </row>
    <row r="92" spans="1:18">
      <c r="A92" t="s">
        <v>20</v>
      </c>
      <c r="B92">
        <v>50</v>
      </c>
      <c r="C92" s="136">
        <v>1</v>
      </c>
      <c r="D92" s="136">
        <v>3520896</v>
      </c>
      <c r="E92" s="136"/>
      <c r="F92" s="123">
        <v>214459.87</v>
      </c>
      <c r="G92" s="123">
        <v>-2077.33</v>
      </c>
      <c r="H92" s="123"/>
      <c r="I92" s="123">
        <v>19963.96</v>
      </c>
      <c r="J92" s="150">
        <v>7500</v>
      </c>
      <c r="K92" s="123">
        <v>51825</v>
      </c>
      <c r="M92" s="123">
        <f>+K92/J92</f>
        <v>6.91</v>
      </c>
      <c r="N92">
        <v>4</v>
      </c>
      <c r="O92">
        <v>7</v>
      </c>
      <c r="P92" s="136">
        <v>211</v>
      </c>
      <c r="Q92" s="136">
        <v>17718</v>
      </c>
      <c r="R92" s="123">
        <v>3244.16</v>
      </c>
    </row>
    <row r="93" spans="1:18">
      <c r="A93" t="s">
        <v>235</v>
      </c>
      <c r="B93">
        <v>51</v>
      </c>
      <c r="C93" s="151">
        <v>60</v>
      </c>
      <c r="D93" s="151"/>
      <c r="E93" s="151">
        <v>101843</v>
      </c>
      <c r="F93" s="152"/>
      <c r="G93" s="152">
        <v>-54.1</v>
      </c>
      <c r="H93" s="152">
        <v>29700.22</v>
      </c>
      <c r="I93" s="152">
        <v>2786.78</v>
      </c>
      <c r="J93" s="153">
        <v>0</v>
      </c>
      <c r="K93" s="152">
        <v>0</v>
      </c>
      <c r="N93">
        <v>1</v>
      </c>
      <c r="O93">
        <v>8</v>
      </c>
      <c r="P93" s="136">
        <v>449</v>
      </c>
      <c r="Q93" s="136">
        <v>10332</v>
      </c>
      <c r="R93" s="123">
        <v>4217.99</v>
      </c>
    </row>
    <row r="94" spans="1:18">
      <c r="B94" t="s">
        <v>43</v>
      </c>
      <c r="C94" s="136">
        <f t="shared" ref="C94:K94" si="3">SUM(C74:C93)</f>
        <v>55606</v>
      </c>
      <c r="D94" s="136">
        <f t="shared" si="3"/>
        <v>110832959</v>
      </c>
      <c r="E94" s="136">
        <f t="shared" si="3"/>
        <v>754585</v>
      </c>
      <c r="F94" s="123">
        <f t="shared" si="3"/>
        <v>9711004.8300000001</v>
      </c>
      <c r="G94" s="123">
        <f t="shared" si="3"/>
        <v>-65408.840000000018</v>
      </c>
      <c r="H94" s="123">
        <f t="shared" si="3"/>
        <v>170822.52999999997</v>
      </c>
      <c r="I94" s="123">
        <f t="shared" si="3"/>
        <v>922810.68</v>
      </c>
      <c r="J94" s="150">
        <f t="shared" si="3"/>
        <v>95266.799999999988</v>
      </c>
      <c r="K94" s="123">
        <f t="shared" si="3"/>
        <v>636345.65999999992</v>
      </c>
      <c r="N94">
        <v>1</v>
      </c>
      <c r="O94">
        <v>9</v>
      </c>
      <c r="P94" s="136">
        <v>472</v>
      </c>
      <c r="Q94" s="136">
        <v>76062</v>
      </c>
      <c r="R94" s="123">
        <v>8050.89</v>
      </c>
    </row>
    <row r="95" spans="1:18">
      <c r="N95">
        <v>1</v>
      </c>
      <c r="O95">
        <v>11</v>
      </c>
      <c r="P95" s="136">
        <v>39</v>
      </c>
      <c r="Q95" s="136">
        <v>6179</v>
      </c>
      <c r="R95" s="123">
        <v>693.01</v>
      </c>
    </row>
    <row r="96" spans="1:18">
      <c r="A96" s="134" t="s">
        <v>240</v>
      </c>
      <c r="B96" s="134" t="s">
        <v>223</v>
      </c>
      <c r="N96">
        <v>4</v>
      </c>
      <c r="O96">
        <v>12</v>
      </c>
      <c r="P96" s="136">
        <v>381</v>
      </c>
      <c r="Q96" s="136">
        <v>14004</v>
      </c>
      <c r="R96" s="123">
        <v>4265.72</v>
      </c>
    </row>
    <row r="97" spans="1:18">
      <c r="A97" t="s">
        <v>10</v>
      </c>
      <c r="B97">
        <v>11</v>
      </c>
      <c r="C97" s="136">
        <v>52345</v>
      </c>
      <c r="D97" s="136">
        <v>45517162</v>
      </c>
      <c r="E97" s="136">
        <v>533609</v>
      </c>
      <c r="F97" s="123">
        <v>4582489.96</v>
      </c>
      <c r="G97" s="123">
        <v>-40034.9</v>
      </c>
      <c r="H97" s="123">
        <v>121418.4</v>
      </c>
      <c r="I97" s="123">
        <v>507439.6</v>
      </c>
      <c r="J97" s="136">
        <v>0</v>
      </c>
      <c r="K97" s="123">
        <v>0</v>
      </c>
      <c r="N97">
        <v>3</v>
      </c>
      <c r="O97">
        <v>13</v>
      </c>
      <c r="P97" s="136">
        <v>35</v>
      </c>
      <c r="Q97" s="136">
        <v>1295</v>
      </c>
      <c r="R97" s="123">
        <v>652.58000000000004</v>
      </c>
    </row>
    <row r="98" spans="1:18">
      <c r="A98" s="25" t="s">
        <v>14</v>
      </c>
      <c r="B98">
        <v>12</v>
      </c>
      <c r="C98" s="136">
        <v>36</v>
      </c>
      <c r="D98" s="136">
        <v>23880</v>
      </c>
      <c r="E98" s="136">
        <v>74</v>
      </c>
      <c r="F98" s="123">
        <v>2231.6999999999998</v>
      </c>
      <c r="G98" s="123">
        <v>-20.83</v>
      </c>
      <c r="H98" s="123">
        <v>21.5</v>
      </c>
      <c r="I98" s="123">
        <v>242.88</v>
      </c>
      <c r="J98" s="136">
        <v>0</v>
      </c>
      <c r="K98" s="123">
        <v>0</v>
      </c>
      <c r="N98">
        <v>3</v>
      </c>
      <c r="O98">
        <v>14</v>
      </c>
      <c r="P98" s="136">
        <v>37</v>
      </c>
      <c r="Q98" s="136">
        <v>1369</v>
      </c>
      <c r="R98" s="123">
        <v>675.25</v>
      </c>
    </row>
    <row r="99" spans="1:18">
      <c r="A99" t="s">
        <v>235</v>
      </c>
      <c r="B99">
        <v>15</v>
      </c>
      <c r="C99" s="136">
        <v>142</v>
      </c>
      <c r="D99" s="136"/>
      <c r="E99" s="136">
        <v>21016</v>
      </c>
      <c r="F99" s="123"/>
      <c r="G99" s="123">
        <v>-17.55</v>
      </c>
      <c r="H99" s="123">
        <v>4761.63</v>
      </c>
      <c r="I99" s="123">
        <v>516.41999999999996</v>
      </c>
      <c r="J99" s="136">
        <v>0</v>
      </c>
      <c r="K99" s="123">
        <v>0</v>
      </c>
      <c r="N99">
        <v>3</v>
      </c>
      <c r="O99">
        <v>15</v>
      </c>
      <c r="P99" s="136">
        <v>266</v>
      </c>
      <c r="Q99" s="136">
        <v>9835</v>
      </c>
      <c r="R99" s="123">
        <v>4101.29</v>
      </c>
    </row>
    <row r="100" spans="1:18">
      <c r="A100" t="s">
        <v>10</v>
      </c>
      <c r="B100">
        <v>17</v>
      </c>
      <c r="C100" s="136">
        <v>26</v>
      </c>
      <c r="D100" s="136">
        <v>28354</v>
      </c>
      <c r="E100" s="136">
        <v>37</v>
      </c>
      <c r="F100" s="123">
        <v>1725.49</v>
      </c>
      <c r="G100" s="123">
        <v>-14.35</v>
      </c>
      <c r="H100" s="123">
        <v>10.75</v>
      </c>
      <c r="I100" s="123">
        <v>187.34</v>
      </c>
      <c r="J100" s="136">
        <v>0</v>
      </c>
      <c r="K100" s="123">
        <v>0</v>
      </c>
      <c r="N100">
        <v>3</v>
      </c>
      <c r="O100">
        <v>16</v>
      </c>
      <c r="P100" s="151">
        <v>16</v>
      </c>
      <c r="Q100" s="151">
        <v>3240</v>
      </c>
      <c r="R100" s="152">
        <v>476.92</v>
      </c>
    </row>
    <row r="101" spans="1:18">
      <c r="A101" t="s">
        <v>236</v>
      </c>
      <c r="B101">
        <v>19</v>
      </c>
      <c r="C101" s="136">
        <v>621</v>
      </c>
      <c r="D101" s="136">
        <v>428979</v>
      </c>
      <c r="E101" s="136">
        <v>2960</v>
      </c>
      <c r="F101" s="123">
        <v>39124.51</v>
      </c>
      <c r="G101" s="123">
        <v>-288.91000000000003</v>
      </c>
      <c r="H101" s="123">
        <v>698.49</v>
      </c>
      <c r="I101" s="123">
        <v>4306.04</v>
      </c>
      <c r="J101" s="136">
        <v>0</v>
      </c>
      <c r="K101" s="123">
        <v>0</v>
      </c>
      <c r="O101" t="s">
        <v>43</v>
      </c>
      <c r="P101" s="136">
        <f>SUM(P85:P100)</f>
        <v>15092</v>
      </c>
      <c r="Q101" s="136">
        <f>SUM(Q85:Q100)</f>
        <v>751816</v>
      </c>
      <c r="R101" s="123">
        <f>SUM(R85:R100)</f>
        <v>170766.03</v>
      </c>
    </row>
    <row r="102" spans="1:18">
      <c r="A102" s="27" t="s">
        <v>16</v>
      </c>
      <c r="B102">
        <v>21</v>
      </c>
      <c r="C102" s="136">
        <v>2485</v>
      </c>
      <c r="D102" s="136">
        <v>5041649</v>
      </c>
      <c r="E102" s="136">
        <v>74500</v>
      </c>
      <c r="F102" s="123">
        <v>587128.88</v>
      </c>
      <c r="G102" s="123">
        <v>-4452.71</v>
      </c>
      <c r="H102" s="123">
        <v>11657.1</v>
      </c>
      <c r="I102" s="123">
        <v>64676.06</v>
      </c>
      <c r="J102" s="136">
        <v>24498.351999999999</v>
      </c>
      <c r="K102" s="123">
        <v>95629.1</v>
      </c>
    </row>
    <row r="103" spans="1:18">
      <c r="A103" s="27" t="s">
        <v>16</v>
      </c>
      <c r="B103">
        <v>22</v>
      </c>
      <c r="C103" s="136">
        <v>86</v>
      </c>
      <c r="D103" s="136">
        <v>22970</v>
      </c>
      <c r="E103" s="136">
        <v>786</v>
      </c>
      <c r="F103" s="123">
        <v>4148.96</v>
      </c>
      <c r="G103" s="123">
        <v>-20.63</v>
      </c>
      <c r="H103" s="123">
        <v>210.06</v>
      </c>
      <c r="I103" s="123">
        <v>471.93</v>
      </c>
      <c r="J103" s="136">
        <v>0</v>
      </c>
      <c r="K103" s="123">
        <v>0</v>
      </c>
      <c r="N103" t="s">
        <v>170</v>
      </c>
      <c r="P103" t="s">
        <v>241</v>
      </c>
    </row>
    <row r="104" spans="1:18">
      <c r="A104" t="s">
        <v>23</v>
      </c>
      <c r="B104">
        <v>23</v>
      </c>
      <c r="C104" s="136">
        <v>27</v>
      </c>
      <c r="D104" s="136">
        <v>49741</v>
      </c>
      <c r="E104" s="136">
        <v>1843</v>
      </c>
      <c r="F104" s="123">
        <v>5630.32</v>
      </c>
      <c r="G104" s="123">
        <v>-44.84</v>
      </c>
      <c r="H104" s="123">
        <v>283.60000000000002</v>
      </c>
      <c r="I104" s="123">
        <v>612.49</v>
      </c>
      <c r="J104" s="136">
        <v>0</v>
      </c>
      <c r="K104" s="123">
        <v>0</v>
      </c>
      <c r="N104" s="134" t="s">
        <v>172</v>
      </c>
      <c r="O104" s="134" t="s">
        <v>173</v>
      </c>
      <c r="P104" s="134" t="s">
        <v>232</v>
      </c>
      <c r="Q104" s="134" t="s">
        <v>233</v>
      </c>
      <c r="R104" s="134" t="s">
        <v>234</v>
      </c>
    </row>
    <row r="105" spans="1:18">
      <c r="A105" s="25" t="s">
        <v>18</v>
      </c>
      <c r="B105">
        <v>31</v>
      </c>
      <c r="C105" s="136">
        <v>51</v>
      </c>
      <c r="D105" s="136">
        <v>2703658</v>
      </c>
      <c r="E105" s="136">
        <v>5381</v>
      </c>
      <c r="F105" s="123">
        <v>223166.48</v>
      </c>
      <c r="G105" s="123">
        <v>-2356.92</v>
      </c>
      <c r="H105" s="123">
        <v>680.25</v>
      </c>
      <c r="I105" s="123">
        <v>24098.13</v>
      </c>
      <c r="J105" s="136">
        <v>8228.4089999999997</v>
      </c>
      <c r="K105" s="123">
        <v>68766.820000000007</v>
      </c>
      <c r="N105">
        <v>1</v>
      </c>
      <c r="O105">
        <v>1</v>
      </c>
      <c r="P105" s="136">
        <v>2769</v>
      </c>
      <c r="Q105" s="136">
        <v>203951</v>
      </c>
      <c r="R105" s="123">
        <v>30428.21</v>
      </c>
    </row>
    <row r="106" spans="1:18">
      <c r="A106" s="27" t="s">
        <v>19</v>
      </c>
      <c r="B106">
        <v>32</v>
      </c>
      <c r="C106" s="136">
        <v>10</v>
      </c>
      <c r="D106" s="136">
        <v>1835568</v>
      </c>
      <c r="E106" s="136">
        <v>2426</v>
      </c>
      <c r="F106" s="123">
        <v>135027.01999999999</v>
      </c>
      <c r="G106" s="123">
        <v>-1599.06</v>
      </c>
      <c r="H106" s="123">
        <v>307.64999999999998</v>
      </c>
      <c r="I106" s="123">
        <v>14550.42</v>
      </c>
      <c r="J106" s="136">
        <v>5065.6310000000003</v>
      </c>
      <c r="K106" s="123">
        <v>42247.360000000001</v>
      </c>
      <c r="N106">
        <v>1</v>
      </c>
      <c r="O106">
        <v>2</v>
      </c>
      <c r="P106" s="136">
        <v>71</v>
      </c>
      <c r="Q106" s="136">
        <v>11225</v>
      </c>
      <c r="R106" s="123">
        <v>1257.3900000000001</v>
      </c>
    </row>
    <row r="107" spans="1:18">
      <c r="A107" s="25" t="s">
        <v>18</v>
      </c>
      <c r="B107">
        <v>33</v>
      </c>
      <c r="C107" s="136">
        <v>5</v>
      </c>
      <c r="D107" s="136">
        <v>263160</v>
      </c>
      <c r="E107" s="136">
        <v>971</v>
      </c>
      <c r="F107" s="123">
        <v>22149.17</v>
      </c>
      <c r="G107" s="123">
        <v>-218.35</v>
      </c>
      <c r="H107" s="123">
        <v>123.93</v>
      </c>
      <c r="I107" s="123">
        <v>2399.56</v>
      </c>
      <c r="J107" s="136">
        <v>931.44</v>
      </c>
      <c r="K107" s="123">
        <v>7906.78</v>
      </c>
      <c r="N107">
        <v>1</v>
      </c>
      <c r="O107">
        <v>3</v>
      </c>
      <c r="P107" s="136">
        <v>8720</v>
      </c>
      <c r="Q107" s="136">
        <v>322924</v>
      </c>
      <c r="R107" s="123">
        <v>93712.83</v>
      </c>
    </row>
    <row r="108" spans="1:18">
      <c r="A108" s="27" t="s">
        <v>19</v>
      </c>
      <c r="B108">
        <v>35</v>
      </c>
      <c r="C108" s="136">
        <v>13</v>
      </c>
      <c r="D108" s="136">
        <v>10207157</v>
      </c>
      <c r="E108" s="136">
        <v>4944</v>
      </c>
      <c r="F108" s="123">
        <v>669465.34</v>
      </c>
      <c r="G108" s="123">
        <v>-8440.56</v>
      </c>
      <c r="H108" s="123">
        <v>628.66</v>
      </c>
      <c r="I108" s="123">
        <v>71987.899999999994</v>
      </c>
      <c r="J108" s="136">
        <v>22033.859</v>
      </c>
      <c r="K108" s="123">
        <v>183762.38</v>
      </c>
      <c r="N108">
        <v>1</v>
      </c>
      <c r="O108">
        <v>4</v>
      </c>
      <c r="P108" s="136">
        <v>698</v>
      </c>
      <c r="Q108" s="136">
        <v>16054</v>
      </c>
      <c r="R108" s="123">
        <v>7056.78</v>
      </c>
    </row>
    <row r="109" spans="1:18">
      <c r="A109" s="27" t="s">
        <v>19</v>
      </c>
      <c r="B109">
        <v>36</v>
      </c>
      <c r="C109" s="136">
        <v>1</v>
      </c>
      <c r="D109" s="136">
        <v>737600</v>
      </c>
      <c r="E109" s="136"/>
      <c r="F109" s="123">
        <v>46027.63</v>
      </c>
      <c r="G109" s="123">
        <v>-609.63</v>
      </c>
      <c r="H109" s="123"/>
      <c r="I109" s="123">
        <v>4941.4799999999996</v>
      </c>
      <c r="J109" s="136">
        <v>1179.2</v>
      </c>
      <c r="K109" s="123">
        <v>9834.5300000000007</v>
      </c>
      <c r="N109">
        <v>1</v>
      </c>
      <c r="O109">
        <v>5</v>
      </c>
      <c r="P109" s="136">
        <v>543</v>
      </c>
      <c r="Q109" s="136">
        <v>20054</v>
      </c>
      <c r="R109" s="123">
        <v>6123.77</v>
      </c>
    </row>
    <row r="110" spans="1:18">
      <c r="A110" t="s">
        <v>20</v>
      </c>
      <c r="B110">
        <v>45</v>
      </c>
      <c r="C110" s="136">
        <v>1</v>
      </c>
      <c r="D110" s="136">
        <v>2767693</v>
      </c>
      <c r="E110" s="136"/>
      <c r="F110" s="123">
        <v>166235.35999999999</v>
      </c>
      <c r="G110" s="123">
        <v>-2407.89</v>
      </c>
      <c r="H110" s="123"/>
      <c r="I110" s="123">
        <v>17824.43</v>
      </c>
      <c r="J110" s="136">
        <v>5378.4</v>
      </c>
      <c r="K110" s="123">
        <v>37916.42</v>
      </c>
      <c r="M110" s="123">
        <f>+K110/J110</f>
        <v>7.049758292428975</v>
      </c>
      <c r="N110">
        <v>1</v>
      </c>
      <c r="O110">
        <v>6</v>
      </c>
      <c r="P110" s="136">
        <v>196</v>
      </c>
      <c r="Q110" s="136">
        <v>20108</v>
      </c>
      <c r="R110" s="123">
        <v>2992.48</v>
      </c>
    </row>
    <row r="111" spans="1:18">
      <c r="A111" s="27" t="s">
        <v>21</v>
      </c>
      <c r="B111">
        <v>46</v>
      </c>
      <c r="C111" s="136">
        <v>1</v>
      </c>
      <c r="D111" s="136">
        <v>1760498</v>
      </c>
      <c r="E111" s="136"/>
      <c r="F111" s="123">
        <v>106301.32</v>
      </c>
      <c r="G111" s="123">
        <v>-1455.05</v>
      </c>
      <c r="H111" s="123"/>
      <c r="I111" s="123">
        <v>11407.27</v>
      </c>
      <c r="J111" s="136">
        <v>3000</v>
      </c>
      <c r="K111" s="123">
        <v>20730</v>
      </c>
      <c r="N111">
        <v>1</v>
      </c>
      <c r="O111">
        <v>7</v>
      </c>
      <c r="P111" s="136">
        <v>172</v>
      </c>
      <c r="Q111" s="136">
        <v>17533</v>
      </c>
      <c r="R111" s="123">
        <v>2806.21</v>
      </c>
    </row>
    <row r="112" spans="1:18">
      <c r="A112" t="s">
        <v>20</v>
      </c>
      <c r="B112">
        <v>47</v>
      </c>
      <c r="C112" s="136">
        <v>1</v>
      </c>
      <c r="D112" s="136">
        <v>2279516</v>
      </c>
      <c r="E112" s="136">
        <v>2134</v>
      </c>
      <c r="F112" s="123">
        <v>138521.69</v>
      </c>
      <c r="G112" s="123">
        <v>-1985.05</v>
      </c>
      <c r="H112" s="123">
        <v>292.86</v>
      </c>
      <c r="I112" s="123">
        <v>14887.05</v>
      </c>
      <c r="J112" s="136">
        <v>4668.4799999999996</v>
      </c>
      <c r="K112" s="123">
        <v>32444.09</v>
      </c>
      <c r="N112">
        <v>4</v>
      </c>
      <c r="O112">
        <v>7</v>
      </c>
      <c r="P112" s="136">
        <v>215</v>
      </c>
      <c r="Q112" s="136">
        <v>18116</v>
      </c>
      <c r="R112" s="123">
        <v>3316.94</v>
      </c>
    </row>
    <row r="113" spans="1:18">
      <c r="A113" t="s">
        <v>20</v>
      </c>
      <c r="B113">
        <v>48</v>
      </c>
      <c r="C113" s="136">
        <v>1</v>
      </c>
      <c r="D113" s="136">
        <v>4041438</v>
      </c>
      <c r="E113" s="136">
        <v>84</v>
      </c>
      <c r="F113" s="123">
        <v>237015.37</v>
      </c>
      <c r="G113" s="123">
        <v>-3516.12</v>
      </c>
      <c r="H113" s="123">
        <v>15.38</v>
      </c>
      <c r="I113" s="123">
        <v>25406.39</v>
      </c>
      <c r="J113" s="136">
        <v>7196.6289999999999</v>
      </c>
      <c r="K113" s="123">
        <v>50664.6</v>
      </c>
      <c r="N113">
        <v>1</v>
      </c>
      <c r="O113">
        <v>8</v>
      </c>
      <c r="P113" s="136">
        <v>449</v>
      </c>
      <c r="Q113" s="136">
        <v>10327</v>
      </c>
      <c r="R113" s="123">
        <v>4216.1099999999997</v>
      </c>
    </row>
    <row r="114" spans="1:18">
      <c r="A114" t="s">
        <v>20</v>
      </c>
      <c r="B114">
        <v>49</v>
      </c>
      <c r="C114" s="136">
        <v>1</v>
      </c>
      <c r="D114" s="136">
        <v>3390429</v>
      </c>
      <c r="E114" s="136"/>
      <c r="F114" s="123">
        <v>199532.79999999999</v>
      </c>
      <c r="G114" s="123">
        <v>-2949.67</v>
      </c>
      <c r="H114" s="123"/>
      <c r="I114" s="123">
        <v>21388.240000000002</v>
      </c>
      <c r="J114" s="136">
        <v>6200</v>
      </c>
      <c r="K114" s="123">
        <v>42842</v>
      </c>
      <c r="N114">
        <v>1</v>
      </c>
      <c r="O114">
        <v>9</v>
      </c>
      <c r="P114" s="136">
        <v>470</v>
      </c>
      <c r="Q114" s="136">
        <v>74884</v>
      </c>
      <c r="R114" s="123">
        <v>7926.37</v>
      </c>
    </row>
    <row r="115" spans="1:18">
      <c r="A115" t="s">
        <v>20</v>
      </c>
      <c r="B115">
        <v>50</v>
      </c>
      <c r="C115" s="136">
        <v>1</v>
      </c>
      <c r="D115" s="136">
        <v>3737482</v>
      </c>
      <c r="E115" s="136"/>
      <c r="F115" s="123">
        <v>227401.82</v>
      </c>
      <c r="G115" s="123">
        <v>-3251.61</v>
      </c>
      <c r="H115" s="123"/>
      <c r="I115" s="123">
        <v>24387.54</v>
      </c>
      <c r="J115" s="136">
        <v>7819.9049999999997</v>
      </c>
      <c r="K115" s="123">
        <v>54899.29</v>
      </c>
      <c r="M115" s="123">
        <f>+K115/J115</f>
        <v>7.0204548520730112</v>
      </c>
      <c r="N115">
        <v>1</v>
      </c>
      <c r="O115">
        <v>11</v>
      </c>
      <c r="P115" s="136">
        <v>39</v>
      </c>
      <c r="Q115" s="136">
        <v>5968</v>
      </c>
      <c r="R115" s="123">
        <v>669.47</v>
      </c>
    </row>
    <row r="116" spans="1:18">
      <c r="A116" t="s">
        <v>235</v>
      </c>
      <c r="B116">
        <v>51</v>
      </c>
      <c r="C116" s="151">
        <v>55</v>
      </c>
      <c r="D116" s="151"/>
      <c r="E116" s="151">
        <v>101051</v>
      </c>
      <c r="F116" s="152"/>
      <c r="G116" s="152">
        <v>-85.18</v>
      </c>
      <c r="H116" s="152">
        <v>29655.77</v>
      </c>
      <c r="I116" s="152">
        <v>3217.29</v>
      </c>
      <c r="J116" s="151">
        <v>0</v>
      </c>
      <c r="K116" s="152">
        <v>0</v>
      </c>
      <c r="N116">
        <v>4</v>
      </c>
      <c r="O116">
        <v>12</v>
      </c>
      <c r="P116" s="136">
        <v>380</v>
      </c>
      <c r="Q116" s="136">
        <v>14087</v>
      </c>
      <c r="R116" s="123">
        <v>4290.8599999999997</v>
      </c>
    </row>
    <row r="117" spans="1:18">
      <c r="B117" t="s">
        <v>43</v>
      </c>
      <c r="C117" s="136">
        <f t="shared" ref="C117:K117" si="4">SUM(C97:C116)</f>
        <v>55909</v>
      </c>
      <c r="D117" s="136">
        <f t="shared" si="4"/>
        <v>84836934</v>
      </c>
      <c r="E117" s="136">
        <f t="shared" si="4"/>
        <v>751816</v>
      </c>
      <c r="F117" s="123">
        <f t="shared" si="4"/>
        <v>7393323.8200000012</v>
      </c>
      <c r="G117" s="123">
        <f t="shared" si="4"/>
        <v>-73769.809999999983</v>
      </c>
      <c r="H117" s="123">
        <f t="shared" si="4"/>
        <v>170766.02999999997</v>
      </c>
      <c r="I117" s="123">
        <f t="shared" si="4"/>
        <v>814948.46000000031</v>
      </c>
      <c r="J117" s="150">
        <f t="shared" si="4"/>
        <v>96200.304999999993</v>
      </c>
      <c r="K117" s="123">
        <f t="shared" si="4"/>
        <v>647643.37000000011</v>
      </c>
      <c r="N117">
        <v>3</v>
      </c>
      <c r="O117">
        <v>13</v>
      </c>
      <c r="P117" s="136">
        <v>35</v>
      </c>
      <c r="Q117" s="136">
        <v>1295</v>
      </c>
      <c r="R117" s="123">
        <v>652.58000000000004</v>
      </c>
    </row>
    <row r="118" spans="1:18">
      <c r="N118">
        <v>3</v>
      </c>
      <c r="O118">
        <v>14</v>
      </c>
      <c r="P118" s="136">
        <v>37</v>
      </c>
      <c r="Q118" s="136">
        <v>1369</v>
      </c>
      <c r="R118" s="123">
        <v>675.25</v>
      </c>
    </row>
    <row r="119" spans="1:18">
      <c r="A119" s="134" t="s">
        <v>241</v>
      </c>
      <c r="B119" s="134" t="s">
        <v>223</v>
      </c>
      <c r="N119">
        <v>3</v>
      </c>
      <c r="O119">
        <v>15</v>
      </c>
      <c r="P119" s="136">
        <v>266</v>
      </c>
      <c r="Q119" s="136">
        <v>9842</v>
      </c>
      <c r="R119" s="123">
        <v>4104.38</v>
      </c>
    </row>
    <row r="120" spans="1:18">
      <c r="A120" t="s">
        <v>10</v>
      </c>
      <c r="B120">
        <v>11</v>
      </c>
      <c r="C120" s="136">
        <v>52017</v>
      </c>
      <c r="D120" s="136">
        <v>52750653</v>
      </c>
      <c r="E120" s="136">
        <v>532457</v>
      </c>
      <c r="F120" s="123">
        <v>5226974.6100000003</v>
      </c>
      <c r="G120" s="123">
        <v>-15970.81</v>
      </c>
      <c r="H120" s="123">
        <v>121245.33</v>
      </c>
      <c r="I120" s="123">
        <v>578007.13</v>
      </c>
      <c r="J120" s="150">
        <v>0</v>
      </c>
      <c r="K120" s="123">
        <v>0</v>
      </c>
      <c r="N120">
        <v>3</v>
      </c>
      <c r="O120">
        <v>16</v>
      </c>
      <c r="P120" s="151">
        <v>16</v>
      </c>
      <c r="Q120" s="151">
        <v>2544</v>
      </c>
      <c r="R120" s="152">
        <v>374.08</v>
      </c>
    </row>
    <row r="121" spans="1:18">
      <c r="A121" s="25" t="s">
        <v>14</v>
      </c>
      <c r="B121">
        <v>12</v>
      </c>
      <c r="C121" s="136">
        <v>36</v>
      </c>
      <c r="D121" s="136">
        <v>9575</v>
      </c>
      <c r="E121" s="136">
        <v>74</v>
      </c>
      <c r="F121" s="123">
        <v>1363.07</v>
      </c>
      <c r="G121" s="123">
        <v>-2.89</v>
      </c>
      <c r="H121" s="123">
        <v>21.5</v>
      </c>
      <c r="I121" s="123">
        <v>149.79</v>
      </c>
      <c r="J121" s="150">
        <v>0</v>
      </c>
      <c r="K121" s="123">
        <v>0</v>
      </c>
      <c r="O121" t="s">
        <v>43</v>
      </c>
      <c r="P121" s="136">
        <f>SUM(P105:P120)</f>
        <v>15076</v>
      </c>
      <c r="Q121" s="136">
        <f>SUM(Q105:Q120)</f>
        <v>750281</v>
      </c>
      <c r="R121" s="123">
        <f>SUM(R105:R120)</f>
        <v>170603.70999999993</v>
      </c>
    </row>
    <row r="122" spans="1:18">
      <c r="A122" t="s">
        <v>235</v>
      </c>
      <c r="B122">
        <v>15</v>
      </c>
      <c r="C122" s="136">
        <v>138</v>
      </c>
      <c r="D122" s="136"/>
      <c r="E122" s="136">
        <v>20904</v>
      </c>
      <c r="F122" s="123"/>
      <c r="G122" s="123">
        <v>-5.93</v>
      </c>
      <c r="H122" s="123">
        <v>4729.9399999999996</v>
      </c>
      <c r="I122" s="123">
        <v>511.87</v>
      </c>
      <c r="J122" s="150">
        <v>0</v>
      </c>
      <c r="K122" s="123">
        <v>0</v>
      </c>
    </row>
    <row r="123" spans="1:18">
      <c r="A123" t="s">
        <v>10</v>
      </c>
      <c r="B123">
        <v>17</v>
      </c>
      <c r="C123" s="136">
        <v>26</v>
      </c>
      <c r="D123" s="136">
        <v>31183</v>
      </c>
      <c r="E123" s="136">
        <v>37</v>
      </c>
      <c r="F123" s="123">
        <v>1963.08</v>
      </c>
      <c r="G123" s="123">
        <v>-5.75</v>
      </c>
      <c r="H123" s="123">
        <v>10.75</v>
      </c>
      <c r="I123" s="123">
        <v>213.33</v>
      </c>
      <c r="J123" s="150">
        <v>0</v>
      </c>
      <c r="K123" s="123">
        <v>0</v>
      </c>
      <c r="N123" t="s">
        <v>170</v>
      </c>
      <c r="P123" t="s">
        <v>242</v>
      </c>
    </row>
    <row r="124" spans="1:18">
      <c r="A124" t="s">
        <v>236</v>
      </c>
      <c r="B124">
        <v>19</v>
      </c>
      <c r="C124" s="136">
        <v>732</v>
      </c>
      <c r="D124" s="136">
        <v>645690</v>
      </c>
      <c r="E124" s="136">
        <v>3351</v>
      </c>
      <c r="F124" s="123">
        <v>69215.11</v>
      </c>
      <c r="G124" s="123">
        <v>-193.89</v>
      </c>
      <c r="H124" s="123">
        <v>755.68</v>
      </c>
      <c r="I124" s="123">
        <v>7561.7</v>
      </c>
      <c r="J124" s="150">
        <v>0</v>
      </c>
      <c r="K124" s="123">
        <v>0</v>
      </c>
      <c r="N124" s="134" t="s">
        <v>172</v>
      </c>
      <c r="O124" s="134" t="s">
        <v>173</v>
      </c>
      <c r="P124" s="134" t="s">
        <v>232</v>
      </c>
      <c r="Q124" s="134" t="s">
        <v>233</v>
      </c>
      <c r="R124" s="134" t="s">
        <v>234</v>
      </c>
    </row>
    <row r="125" spans="1:18">
      <c r="A125" s="27" t="s">
        <v>16</v>
      </c>
      <c r="B125">
        <v>21</v>
      </c>
      <c r="C125" s="136">
        <v>2460</v>
      </c>
      <c r="D125" s="136">
        <v>5426129</v>
      </c>
      <c r="E125" s="136">
        <v>74042</v>
      </c>
      <c r="F125" s="123">
        <v>620236.79</v>
      </c>
      <c r="G125" s="123">
        <v>-1650.2</v>
      </c>
      <c r="H125" s="123">
        <v>11677.58</v>
      </c>
      <c r="I125" s="123">
        <v>68320.350000000006</v>
      </c>
      <c r="J125" s="150">
        <v>24813.438999999998</v>
      </c>
      <c r="K125" s="123">
        <v>97058.01</v>
      </c>
      <c r="N125">
        <v>1</v>
      </c>
      <c r="O125">
        <v>1</v>
      </c>
      <c r="P125" s="136">
        <v>2744</v>
      </c>
      <c r="Q125" s="136">
        <v>201391</v>
      </c>
      <c r="R125" s="123">
        <v>30053.94</v>
      </c>
    </row>
    <row r="126" spans="1:18">
      <c r="A126" s="27" t="s">
        <v>16</v>
      </c>
      <c r="B126">
        <v>22</v>
      </c>
      <c r="C126" s="136">
        <v>85</v>
      </c>
      <c r="D126" s="136">
        <v>23239</v>
      </c>
      <c r="E126" s="136">
        <v>564</v>
      </c>
      <c r="F126" s="123">
        <v>4199.32</v>
      </c>
      <c r="G126" s="123">
        <v>-7.09</v>
      </c>
      <c r="H126" s="123">
        <v>145.56</v>
      </c>
      <c r="I126" s="123">
        <v>470.17</v>
      </c>
      <c r="J126" s="150">
        <v>0</v>
      </c>
      <c r="K126" s="123">
        <v>0</v>
      </c>
      <c r="N126">
        <v>1</v>
      </c>
      <c r="O126">
        <v>2</v>
      </c>
      <c r="P126" s="136">
        <v>71</v>
      </c>
      <c r="Q126" s="136">
        <v>11294</v>
      </c>
      <c r="R126" s="123">
        <v>1265.0999999999999</v>
      </c>
    </row>
    <row r="127" spans="1:18">
      <c r="A127" t="s">
        <v>23</v>
      </c>
      <c r="B127">
        <v>23</v>
      </c>
      <c r="C127" s="136">
        <v>32</v>
      </c>
      <c r="D127" s="136">
        <v>48759</v>
      </c>
      <c r="E127" s="136">
        <v>2082</v>
      </c>
      <c r="F127" s="123">
        <v>5983.5</v>
      </c>
      <c r="G127" s="123">
        <v>-15.26</v>
      </c>
      <c r="H127" s="123">
        <v>316.86</v>
      </c>
      <c r="I127" s="123">
        <v>681.29</v>
      </c>
      <c r="J127" s="150">
        <v>0</v>
      </c>
      <c r="K127" s="123">
        <v>0</v>
      </c>
      <c r="N127">
        <v>1</v>
      </c>
      <c r="O127">
        <v>3</v>
      </c>
      <c r="P127" s="136">
        <v>8708</v>
      </c>
      <c r="Q127" s="136">
        <v>323114</v>
      </c>
      <c r="R127" s="123">
        <v>93809.600000000006</v>
      </c>
    </row>
    <row r="128" spans="1:18">
      <c r="A128" s="25" t="s">
        <v>18</v>
      </c>
      <c r="B128">
        <v>31</v>
      </c>
      <c r="C128" s="136">
        <v>51</v>
      </c>
      <c r="D128" s="136">
        <v>2981708</v>
      </c>
      <c r="E128" s="136">
        <v>5381</v>
      </c>
      <c r="F128" s="123">
        <v>239495.62</v>
      </c>
      <c r="G128" s="123">
        <v>-896.19</v>
      </c>
      <c r="H128" s="123">
        <v>680.25</v>
      </c>
      <c r="I128" s="123">
        <v>25937.93</v>
      </c>
      <c r="J128" s="150">
        <v>8316.68</v>
      </c>
      <c r="K128" s="123">
        <v>69502.95</v>
      </c>
      <c r="N128">
        <v>1</v>
      </c>
      <c r="O128">
        <v>4</v>
      </c>
      <c r="P128" s="136">
        <v>698</v>
      </c>
      <c r="Q128" s="136">
        <v>16054</v>
      </c>
      <c r="R128" s="123">
        <v>7056.78</v>
      </c>
    </row>
    <row r="129" spans="1:18">
      <c r="A129" s="27" t="s">
        <v>19</v>
      </c>
      <c r="B129">
        <v>32</v>
      </c>
      <c r="C129" s="136">
        <v>10</v>
      </c>
      <c r="D129" s="136">
        <v>2041392</v>
      </c>
      <c r="E129" s="136">
        <v>2426</v>
      </c>
      <c r="F129" s="123">
        <v>149117.23000000001</v>
      </c>
      <c r="G129" s="123">
        <v>-613.16999999999996</v>
      </c>
      <c r="H129" s="123">
        <v>307.64999999999998</v>
      </c>
      <c r="I129" s="123">
        <v>16131.19</v>
      </c>
      <c r="J129" s="150">
        <v>5522.63</v>
      </c>
      <c r="K129" s="123">
        <v>46058.73</v>
      </c>
      <c r="N129">
        <v>1</v>
      </c>
      <c r="O129">
        <v>5</v>
      </c>
      <c r="P129" s="136">
        <v>543</v>
      </c>
      <c r="Q129" s="136">
        <v>20054</v>
      </c>
      <c r="R129" s="123">
        <v>6123.77</v>
      </c>
    </row>
    <row r="130" spans="1:18">
      <c r="A130" s="25" t="s">
        <v>18</v>
      </c>
      <c r="B130">
        <v>33</v>
      </c>
      <c r="C130" s="136">
        <v>6</v>
      </c>
      <c r="D130" s="136">
        <v>252000</v>
      </c>
      <c r="E130" s="136">
        <v>971</v>
      </c>
      <c r="F130" s="123">
        <v>21984.560000000001</v>
      </c>
      <c r="G130" s="123">
        <v>-72.12</v>
      </c>
      <c r="H130" s="123">
        <v>123.93</v>
      </c>
      <c r="I130" s="123">
        <v>2388.7399999999998</v>
      </c>
      <c r="J130" s="150">
        <v>985.56</v>
      </c>
      <c r="K130" s="123">
        <v>8313.1200000000008</v>
      </c>
      <c r="N130">
        <v>1</v>
      </c>
      <c r="O130">
        <v>6</v>
      </c>
      <c r="P130" s="136">
        <v>196</v>
      </c>
      <c r="Q130" s="136">
        <v>19992</v>
      </c>
      <c r="R130" s="123">
        <v>2975.28</v>
      </c>
    </row>
    <row r="131" spans="1:18">
      <c r="A131" s="27" t="s">
        <v>19</v>
      </c>
      <c r="B131">
        <v>35</v>
      </c>
      <c r="C131" s="136">
        <v>13</v>
      </c>
      <c r="D131" s="136">
        <v>10335610</v>
      </c>
      <c r="E131" s="136">
        <v>4944</v>
      </c>
      <c r="F131" s="123">
        <v>683756.26</v>
      </c>
      <c r="G131" s="123">
        <v>-2947.17</v>
      </c>
      <c r="H131" s="123">
        <v>628.66</v>
      </c>
      <c r="I131" s="123">
        <v>73867.850000000006</v>
      </c>
      <c r="J131" s="150">
        <v>23016.68</v>
      </c>
      <c r="K131" s="123">
        <v>191959.12</v>
      </c>
      <c r="N131">
        <v>1</v>
      </c>
      <c r="O131">
        <v>7</v>
      </c>
      <c r="P131" s="136">
        <v>172</v>
      </c>
      <c r="Q131" s="136">
        <v>17369</v>
      </c>
      <c r="R131" s="123">
        <v>2780.09</v>
      </c>
    </row>
    <row r="132" spans="1:18">
      <c r="A132" s="27" t="s">
        <v>19</v>
      </c>
      <c r="B132">
        <v>36</v>
      </c>
      <c r="C132" s="136">
        <v>1</v>
      </c>
      <c r="D132" s="136">
        <v>744000</v>
      </c>
      <c r="E132" s="136"/>
      <c r="F132" s="123">
        <v>46464.7</v>
      </c>
      <c r="G132" s="123">
        <v>-212.04</v>
      </c>
      <c r="H132" s="123"/>
      <c r="I132" s="123">
        <v>5013.79</v>
      </c>
      <c r="J132" s="150">
        <v>1195.2</v>
      </c>
      <c r="K132" s="123">
        <v>9967.9699999999993</v>
      </c>
      <c r="N132">
        <v>4</v>
      </c>
      <c r="O132">
        <v>7</v>
      </c>
      <c r="P132" s="136">
        <v>223</v>
      </c>
      <c r="Q132" s="136">
        <v>18532</v>
      </c>
      <c r="R132" s="123">
        <v>3392.86</v>
      </c>
    </row>
    <row r="133" spans="1:18">
      <c r="A133" t="s">
        <v>20</v>
      </c>
      <c r="B133">
        <v>45</v>
      </c>
      <c r="C133" s="136">
        <v>1</v>
      </c>
      <c r="D133" s="136">
        <v>3114495</v>
      </c>
      <c r="E133" s="136"/>
      <c r="F133" s="123">
        <v>182893.64</v>
      </c>
      <c r="G133" s="123">
        <v>-934.35</v>
      </c>
      <c r="H133" s="123"/>
      <c r="I133" s="123">
        <v>19724.39</v>
      </c>
      <c r="J133" s="150">
        <v>5467.68</v>
      </c>
      <c r="K133" s="123">
        <v>38774.400000000001</v>
      </c>
      <c r="M133" s="123">
        <f>+K133/J133</f>
        <v>7.0915635150557454</v>
      </c>
      <c r="N133">
        <v>1</v>
      </c>
      <c r="O133">
        <v>8</v>
      </c>
      <c r="P133" s="136">
        <v>448</v>
      </c>
      <c r="Q133" s="136">
        <v>10319</v>
      </c>
      <c r="R133" s="123">
        <v>4212.9799999999996</v>
      </c>
    </row>
    <row r="134" spans="1:18">
      <c r="A134" s="27" t="s">
        <v>21</v>
      </c>
      <c r="B134">
        <v>46</v>
      </c>
      <c r="C134" s="136">
        <v>1</v>
      </c>
      <c r="D134" s="136">
        <v>1913082</v>
      </c>
      <c r="E134" s="136"/>
      <c r="F134" s="123">
        <v>114761.24</v>
      </c>
      <c r="G134" s="123">
        <v>-545.23</v>
      </c>
      <c r="H134" s="123"/>
      <c r="I134" s="123">
        <v>12381.02</v>
      </c>
      <c r="J134" s="150">
        <v>3118.5949999999998</v>
      </c>
      <c r="K134" s="123">
        <v>21869.7</v>
      </c>
      <c r="N134">
        <v>1</v>
      </c>
      <c r="O134">
        <v>9</v>
      </c>
      <c r="P134" s="136">
        <v>471</v>
      </c>
      <c r="Q134" s="136">
        <v>75309</v>
      </c>
      <c r="R134" s="123">
        <v>7971.26</v>
      </c>
    </row>
    <row r="135" spans="1:18">
      <c r="A135" t="s">
        <v>20</v>
      </c>
      <c r="B135">
        <v>47</v>
      </c>
      <c r="C135" s="136">
        <v>1</v>
      </c>
      <c r="D135" s="136">
        <v>2250299</v>
      </c>
      <c r="E135" s="136">
        <v>2134</v>
      </c>
      <c r="F135" s="123">
        <v>136532.47</v>
      </c>
      <c r="G135" s="123">
        <v>-675.74</v>
      </c>
      <c r="H135" s="123">
        <v>292.86</v>
      </c>
      <c r="I135" s="123">
        <v>14758.62</v>
      </c>
      <c r="J135" s="150">
        <v>4600</v>
      </c>
      <c r="K135" s="123">
        <v>31786</v>
      </c>
      <c r="N135">
        <v>1</v>
      </c>
      <c r="O135">
        <v>11</v>
      </c>
      <c r="P135" s="136">
        <v>39</v>
      </c>
      <c r="Q135" s="136">
        <v>6079</v>
      </c>
      <c r="R135" s="123">
        <v>681.83</v>
      </c>
    </row>
    <row r="136" spans="1:18">
      <c r="A136" t="s">
        <v>20</v>
      </c>
      <c r="B136">
        <v>48</v>
      </c>
      <c r="C136" s="136">
        <v>1</v>
      </c>
      <c r="D136" s="136">
        <v>4224018</v>
      </c>
      <c r="E136" s="136">
        <v>84</v>
      </c>
      <c r="F136" s="123">
        <v>246031.78</v>
      </c>
      <c r="G136" s="123">
        <v>-1267.24</v>
      </c>
      <c r="H136" s="123">
        <v>15.38</v>
      </c>
      <c r="I136" s="123">
        <v>26534.14</v>
      </c>
      <c r="J136" s="150">
        <v>7269.268</v>
      </c>
      <c r="K136" s="123">
        <v>51362.67</v>
      </c>
      <c r="N136">
        <v>4</v>
      </c>
      <c r="O136">
        <v>12</v>
      </c>
      <c r="P136" s="136">
        <v>380</v>
      </c>
      <c r="Q136" s="136">
        <v>14060</v>
      </c>
      <c r="R136" s="123">
        <v>4282.6000000000004</v>
      </c>
    </row>
    <row r="137" spans="1:18">
      <c r="A137" t="s">
        <v>20</v>
      </c>
      <c r="B137">
        <v>49</v>
      </c>
      <c r="C137" s="136">
        <v>1</v>
      </c>
      <c r="D137" s="136">
        <v>2676822</v>
      </c>
      <c r="E137" s="136"/>
      <c r="F137" s="123">
        <v>167020.85999999999</v>
      </c>
      <c r="G137" s="123">
        <v>-803.05</v>
      </c>
      <c r="H137" s="123"/>
      <c r="I137" s="123">
        <v>18018.009999999998</v>
      </c>
      <c r="J137" s="150">
        <v>6200</v>
      </c>
      <c r="K137" s="123">
        <v>42842</v>
      </c>
      <c r="N137">
        <v>3</v>
      </c>
      <c r="O137">
        <v>13</v>
      </c>
      <c r="P137" s="136">
        <v>34</v>
      </c>
      <c r="Q137" s="136">
        <v>1294</v>
      </c>
      <c r="R137" s="123">
        <v>651.95000000000005</v>
      </c>
    </row>
    <row r="138" spans="1:18">
      <c r="A138" t="s">
        <v>20</v>
      </c>
      <c r="B138">
        <v>50</v>
      </c>
      <c r="C138" s="136">
        <v>1</v>
      </c>
      <c r="D138" s="136">
        <v>3882150</v>
      </c>
      <c r="E138" s="136"/>
      <c r="F138" s="123">
        <v>234143.41</v>
      </c>
      <c r="G138" s="123">
        <v>-1164.6500000000001</v>
      </c>
      <c r="H138" s="123"/>
      <c r="I138" s="123">
        <v>25254.9</v>
      </c>
      <c r="J138" s="150">
        <v>7835.5680000000002</v>
      </c>
      <c r="K138" s="123">
        <v>55049.81</v>
      </c>
      <c r="M138" s="123">
        <f>+K138/J138</f>
        <v>7.0256310710340326</v>
      </c>
      <c r="N138">
        <v>3</v>
      </c>
      <c r="O138">
        <v>14</v>
      </c>
      <c r="P138" s="136">
        <v>37</v>
      </c>
      <c r="Q138" s="136">
        <v>1369</v>
      </c>
      <c r="R138" s="123">
        <v>675.25</v>
      </c>
    </row>
    <row r="139" spans="1:18">
      <c r="A139" t="s">
        <v>235</v>
      </c>
      <c r="B139">
        <v>51</v>
      </c>
      <c r="C139" s="151">
        <v>56</v>
      </c>
      <c r="D139" s="151"/>
      <c r="E139" s="151">
        <v>100830</v>
      </c>
      <c r="F139" s="152"/>
      <c r="G139" s="152">
        <v>-32.93</v>
      </c>
      <c r="H139" s="152">
        <v>29651.78</v>
      </c>
      <c r="I139" s="152">
        <v>3210.67</v>
      </c>
      <c r="J139" s="153">
        <v>0</v>
      </c>
      <c r="K139" s="152">
        <v>0</v>
      </c>
      <c r="N139">
        <v>3</v>
      </c>
      <c r="O139">
        <v>15</v>
      </c>
      <c r="P139" s="136">
        <v>271</v>
      </c>
      <c r="Q139" s="136">
        <v>9958</v>
      </c>
      <c r="R139" s="123">
        <v>4152.72</v>
      </c>
    </row>
    <row r="140" spans="1:18">
      <c r="B140" t="s">
        <v>43</v>
      </c>
      <c r="C140" s="136">
        <f t="shared" ref="C140:K140" si="5">SUM(C120:C139)</f>
        <v>55669</v>
      </c>
      <c r="D140" s="136">
        <f t="shared" si="5"/>
        <v>93350804</v>
      </c>
      <c r="E140" s="136">
        <f t="shared" si="5"/>
        <v>750281</v>
      </c>
      <c r="F140" s="123">
        <f t="shared" si="5"/>
        <v>8152137.2500000019</v>
      </c>
      <c r="G140" s="123">
        <f t="shared" si="5"/>
        <v>-28015.699999999997</v>
      </c>
      <c r="H140" s="123">
        <f t="shared" si="5"/>
        <v>170603.70999999996</v>
      </c>
      <c r="I140" s="123">
        <f t="shared" si="5"/>
        <v>899136.88000000012</v>
      </c>
      <c r="J140" s="150">
        <f t="shared" si="5"/>
        <v>98341.299999999988</v>
      </c>
      <c r="K140" s="123">
        <f t="shared" si="5"/>
        <v>664544.48</v>
      </c>
      <c r="N140">
        <v>3</v>
      </c>
      <c r="O140">
        <v>16</v>
      </c>
      <c r="P140" s="136">
        <v>16</v>
      </c>
      <c r="Q140" s="136">
        <v>2544</v>
      </c>
      <c r="R140" s="123">
        <v>374.08</v>
      </c>
    </row>
    <row r="141" spans="1:18">
      <c r="O141" t="s">
        <v>43</v>
      </c>
      <c r="P141" s="136">
        <f>SUM(P125:P140)</f>
        <v>15051</v>
      </c>
      <c r="Q141" s="136">
        <f>SUM(Q125:Q140)</f>
        <v>748732</v>
      </c>
      <c r="R141" s="123">
        <f>SUM(R125:R140)</f>
        <v>170460.09</v>
      </c>
    </row>
    <row r="142" spans="1:18">
      <c r="A142" s="134" t="s">
        <v>242</v>
      </c>
      <c r="B142" s="134" t="s">
        <v>223</v>
      </c>
    </row>
    <row r="143" spans="1:18">
      <c r="A143" t="s">
        <v>10</v>
      </c>
      <c r="B143">
        <v>11</v>
      </c>
      <c r="C143" s="136">
        <v>51887</v>
      </c>
      <c r="D143" s="136">
        <v>60577470</v>
      </c>
      <c r="E143" s="136">
        <v>530316</v>
      </c>
      <c r="F143" s="123">
        <v>5925815.3200000003</v>
      </c>
      <c r="G143" s="123">
        <v>185766.63</v>
      </c>
      <c r="H143" s="123">
        <v>120927.2</v>
      </c>
      <c r="I143" s="123">
        <v>833978.67</v>
      </c>
      <c r="J143" s="150">
        <v>0</v>
      </c>
      <c r="K143" s="123">
        <v>0</v>
      </c>
      <c r="N143" t="s">
        <v>170</v>
      </c>
      <c r="P143" t="s">
        <v>243</v>
      </c>
    </row>
    <row r="144" spans="1:18">
      <c r="A144" s="25" t="s">
        <v>14</v>
      </c>
      <c r="B144">
        <v>12</v>
      </c>
      <c r="C144" s="136">
        <v>36</v>
      </c>
      <c r="D144" s="136">
        <v>8960</v>
      </c>
      <c r="E144" s="136">
        <v>74</v>
      </c>
      <c r="F144" s="123">
        <v>1364.89</v>
      </c>
      <c r="G144" s="123">
        <v>27.48</v>
      </c>
      <c r="H144" s="123">
        <v>21.5</v>
      </c>
      <c r="I144" s="123">
        <v>189.28</v>
      </c>
      <c r="J144" s="150">
        <v>0</v>
      </c>
      <c r="K144" s="123">
        <v>0</v>
      </c>
      <c r="N144" s="134" t="s">
        <v>172</v>
      </c>
      <c r="O144" s="134" t="s">
        <v>173</v>
      </c>
      <c r="P144" s="134" t="s">
        <v>232</v>
      </c>
      <c r="Q144" s="134" t="s">
        <v>233</v>
      </c>
      <c r="R144" s="134" t="s">
        <v>234</v>
      </c>
    </row>
    <row r="145" spans="1:18">
      <c r="A145" t="s">
        <v>235</v>
      </c>
      <c r="B145">
        <v>15</v>
      </c>
      <c r="C145" s="136">
        <v>133</v>
      </c>
      <c r="D145" s="136"/>
      <c r="E145" s="136">
        <v>20695</v>
      </c>
      <c r="F145" s="123"/>
      <c r="G145" s="123">
        <v>62.05</v>
      </c>
      <c r="H145" s="123">
        <v>4689.8599999999997</v>
      </c>
      <c r="I145" s="123">
        <v>635.73</v>
      </c>
      <c r="J145" s="150">
        <v>0</v>
      </c>
      <c r="K145" s="123">
        <v>0</v>
      </c>
      <c r="N145">
        <v>1</v>
      </c>
      <c r="O145">
        <v>1</v>
      </c>
      <c r="P145" s="136">
        <v>2715</v>
      </c>
      <c r="Q145" s="136">
        <v>200384</v>
      </c>
      <c r="R145" s="123">
        <v>29904.080000000002</v>
      </c>
    </row>
    <row r="146" spans="1:18">
      <c r="A146" t="s">
        <v>10</v>
      </c>
      <c r="B146">
        <v>17</v>
      </c>
      <c r="C146" s="136">
        <v>26</v>
      </c>
      <c r="D146" s="136">
        <v>34248</v>
      </c>
      <c r="E146" s="136">
        <v>37</v>
      </c>
      <c r="F146" s="123">
        <v>2304.36</v>
      </c>
      <c r="G146" s="123">
        <v>69.78</v>
      </c>
      <c r="H146" s="123">
        <v>10.75</v>
      </c>
      <c r="I146" s="123">
        <v>319.06</v>
      </c>
      <c r="J146" s="150">
        <v>0</v>
      </c>
      <c r="K146" s="123">
        <v>0</v>
      </c>
      <c r="N146">
        <v>1</v>
      </c>
      <c r="O146">
        <v>2</v>
      </c>
      <c r="P146" s="136">
        <v>70</v>
      </c>
      <c r="Q146" s="136">
        <v>11209</v>
      </c>
      <c r="R146" s="123">
        <v>1255.5999999999999</v>
      </c>
    </row>
    <row r="147" spans="1:18">
      <c r="A147" t="s">
        <v>236</v>
      </c>
      <c r="B147">
        <v>19</v>
      </c>
      <c r="C147" s="136">
        <v>784</v>
      </c>
      <c r="D147" s="136">
        <v>808288</v>
      </c>
      <c r="E147" s="136">
        <v>3718</v>
      </c>
      <c r="F147" s="123">
        <v>85451.54</v>
      </c>
      <c r="G147" s="123">
        <v>2462.17</v>
      </c>
      <c r="H147" s="123">
        <v>888.44</v>
      </c>
      <c r="I147" s="123">
        <v>11877.27</v>
      </c>
      <c r="J147" s="150">
        <v>0</v>
      </c>
      <c r="K147" s="123">
        <v>0</v>
      </c>
      <c r="N147">
        <v>1</v>
      </c>
      <c r="O147">
        <v>3</v>
      </c>
      <c r="P147" s="136">
        <v>8713</v>
      </c>
      <c r="Q147" s="136">
        <v>321686</v>
      </c>
      <c r="R147" s="123">
        <v>93406.2</v>
      </c>
    </row>
    <row r="148" spans="1:18">
      <c r="A148" s="27" t="s">
        <v>16</v>
      </c>
      <c r="B148">
        <v>21</v>
      </c>
      <c r="C148" s="136">
        <v>2460</v>
      </c>
      <c r="D148" s="136">
        <v>6126046</v>
      </c>
      <c r="E148" s="136">
        <v>73528</v>
      </c>
      <c r="F148" s="123">
        <v>682511.27</v>
      </c>
      <c r="G148" s="123">
        <v>18844.73</v>
      </c>
      <c r="H148" s="123">
        <v>11556.84</v>
      </c>
      <c r="I148" s="123">
        <v>95387.96</v>
      </c>
      <c r="J148" s="150">
        <v>25243.705000000002</v>
      </c>
      <c r="K148" s="123">
        <v>100568.1</v>
      </c>
      <c r="N148">
        <v>1</v>
      </c>
      <c r="O148">
        <v>4</v>
      </c>
      <c r="P148" s="136">
        <v>698</v>
      </c>
      <c r="Q148" s="136">
        <v>16054</v>
      </c>
      <c r="R148" s="123">
        <v>7056.78</v>
      </c>
    </row>
    <row r="149" spans="1:18">
      <c r="A149" s="27" t="s">
        <v>16</v>
      </c>
      <c r="B149">
        <v>22</v>
      </c>
      <c r="C149" s="136">
        <v>88</v>
      </c>
      <c r="D149" s="136">
        <v>21404</v>
      </c>
      <c r="E149" s="136">
        <v>564</v>
      </c>
      <c r="F149" s="123">
        <v>4128.8900000000003</v>
      </c>
      <c r="G149" s="123">
        <v>66.72</v>
      </c>
      <c r="H149" s="123">
        <v>145.56</v>
      </c>
      <c r="I149" s="123">
        <v>580.85</v>
      </c>
      <c r="J149" s="150">
        <v>0</v>
      </c>
      <c r="K149" s="123">
        <v>0</v>
      </c>
      <c r="N149">
        <v>1</v>
      </c>
      <c r="O149">
        <v>5</v>
      </c>
      <c r="P149" s="136">
        <v>543</v>
      </c>
      <c r="Q149" s="136">
        <v>20054</v>
      </c>
      <c r="R149" s="123">
        <v>6123.77</v>
      </c>
    </row>
    <row r="150" spans="1:18">
      <c r="A150" t="s">
        <v>23</v>
      </c>
      <c r="B150">
        <v>23</v>
      </c>
      <c r="C150" s="136">
        <v>35</v>
      </c>
      <c r="D150" s="136">
        <v>71636</v>
      </c>
      <c r="E150" s="136">
        <v>2528</v>
      </c>
      <c r="F150" s="123">
        <v>8968.43</v>
      </c>
      <c r="G150" s="123">
        <v>225.4</v>
      </c>
      <c r="H150" s="123">
        <v>405.33</v>
      </c>
      <c r="I150" s="123">
        <v>1284.3399999999999</v>
      </c>
      <c r="J150" s="150">
        <v>0</v>
      </c>
      <c r="K150" s="123">
        <v>0</v>
      </c>
      <c r="N150">
        <v>1</v>
      </c>
      <c r="O150">
        <v>6</v>
      </c>
      <c r="P150" s="136">
        <v>196</v>
      </c>
      <c r="Q150" s="136">
        <v>19992</v>
      </c>
      <c r="R150" s="123">
        <v>2975.28</v>
      </c>
    </row>
    <row r="151" spans="1:18">
      <c r="A151" s="25" t="s">
        <v>18</v>
      </c>
      <c r="B151">
        <v>31</v>
      </c>
      <c r="C151" s="136">
        <v>51</v>
      </c>
      <c r="D151" s="136">
        <v>3026767</v>
      </c>
      <c r="E151" s="136">
        <v>5381</v>
      </c>
      <c r="F151" s="123">
        <v>240934.09</v>
      </c>
      <c r="G151" s="123">
        <v>9217.68</v>
      </c>
      <c r="H151" s="123">
        <v>680.25</v>
      </c>
      <c r="I151" s="123">
        <v>33561.29</v>
      </c>
      <c r="J151" s="150">
        <v>8155.5559999999996</v>
      </c>
      <c r="K151" s="123">
        <v>69008.429999999993</v>
      </c>
      <c r="N151">
        <v>1</v>
      </c>
      <c r="O151">
        <v>7</v>
      </c>
      <c r="P151" s="136">
        <v>168</v>
      </c>
      <c r="Q151" s="136">
        <v>17127</v>
      </c>
      <c r="R151" s="123">
        <v>2741.46</v>
      </c>
    </row>
    <row r="152" spans="1:18">
      <c r="A152" s="27" t="s">
        <v>19</v>
      </c>
      <c r="B152">
        <v>32</v>
      </c>
      <c r="C152" s="136">
        <v>10</v>
      </c>
      <c r="D152" s="136">
        <v>2167032</v>
      </c>
      <c r="E152" s="136">
        <v>2426</v>
      </c>
      <c r="F152" s="123">
        <v>155625.35999999999</v>
      </c>
      <c r="G152" s="123">
        <v>6595.11</v>
      </c>
      <c r="H152" s="123">
        <v>307.64999999999998</v>
      </c>
      <c r="I152" s="123">
        <v>21746.26</v>
      </c>
      <c r="J152" s="150">
        <v>5550.6469999999999</v>
      </c>
      <c r="K152" s="123">
        <v>46292.38</v>
      </c>
      <c r="N152">
        <v>4</v>
      </c>
      <c r="O152">
        <v>7</v>
      </c>
      <c r="P152" s="136">
        <v>227</v>
      </c>
      <c r="Q152" s="136">
        <v>19080</v>
      </c>
      <c r="R152" s="123">
        <v>3493.3</v>
      </c>
    </row>
    <row r="153" spans="1:18">
      <c r="A153" s="25" t="s">
        <v>18</v>
      </c>
      <c r="B153">
        <v>33</v>
      </c>
      <c r="C153" s="136">
        <v>4</v>
      </c>
      <c r="D153" s="136">
        <v>244800</v>
      </c>
      <c r="E153" s="136">
        <v>971</v>
      </c>
      <c r="F153" s="123">
        <v>20329.900000000001</v>
      </c>
      <c r="G153" s="123">
        <v>709.91</v>
      </c>
      <c r="H153" s="123">
        <v>123.93</v>
      </c>
      <c r="I153" s="123">
        <v>2831.72</v>
      </c>
      <c r="J153" s="150">
        <v>847.2</v>
      </c>
      <c r="K153" s="123">
        <v>7065.65</v>
      </c>
      <c r="N153">
        <v>1</v>
      </c>
      <c r="O153">
        <v>8</v>
      </c>
      <c r="P153" s="136">
        <v>422</v>
      </c>
      <c r="Q153" s="136">
        <v>9714</v>
      </c>
      <c r="R153" s="123">
        <v>3966.02</v>
      </c>
    </row>
    <row r="154" spans="1:18">
      <c r="A154" s="27" t="s">
        <v>19</v>
      </c>
      <c r="B154">
        <v>35</v>
      </c>
      <c r="C154" s="136">
        <v>14</v>
      </c>
      <c r="D154" s="136">
        <v>9445089</v>
      </c>
      <c r="E154" s="136">
        <v>4944</v>
      </c>
      <c r="F154" s="123">
        <v>638752.66</v>
      </c>
      <c r="G154" s="123">
        <v>27292.35</v>
      </c>
      <c r="H154" s="123">
        <v>628.66</v>
      </c>
      <c r="I154" s="123">
        <v>89200.93</v>
      </c>
      <c r="J154" s="150">
        <v>22686.391</v>
      </c>
      <c r="K154" s="123">
        <v>189204.51</v>
      </c>
      <c r="N154">
        <v>1</v>
      </c>
      <c r="O154">
        <v>9</v>
      </c>
      <c r="P154" s="136">
        <v>474</v>
      </c>
      <c r="Q154" s="136">
        <v>75187</v>
      </c>
      <c r="R154" s="123">
        <v>7958.36</v>
      </c>
    </row>
    <row r="155" spans="1:18">
      <c r="A155" s="27" t="s">
        <v>19</v>
      </c>
      <c r="B155">
        <v>36</v>
      </c>
      <c r="C155" s="136">
        <v>1</v>
      </c>
      <c r="D155" s="136">
        <v>702400</v>
      </c>
      <c r="E155" s="136"/>
      <c r="F155" s="123">
        <v>44484.4</v>
      </c>
      <c r="G155" s="123">
        <v>2028.53</v>
      </c>
      <c r="H155" s="123"/>
      <c r="I155" s="123">
        <v>6223.43</v>
      </c>
      <c r="J155" s="150">
        <v>1194.4000000000001</v>
      </c>
      <c r="K155" s="123">
        <v>9961.2999999999993</v>
      </c>
      <c r="N155">
        <v>1</v>
      </c>
      <c r="O155">
        <v>11</v>
      </c>
      <c r="P155" s="136">
        <v>39</v>
      </c>
      <c r="Q155" s="136">
        <v>6079</v>
      </c>
      <c r="R155" s="123">
        <v>681.83</v>
      </c>
    </row>
    <row r="156" spans="1:18">
      <c r="A156" t="s">
        <v>20</v>
      </c>
      <c r="B156">
        <v>45</v>
      </c>
      <c r="C156" s="136">
        <v>1</v>
      </c>
      <c r="D156" s="136">
        <v>2955598</v>
      </c>
      <c r="E156" s="136"/>
      <c r="F156" s="123">
        <v>176401.57</v>
      </c>
      <c r="G156" s="123">
        <v>8985.02</v>
      </c>
      <c r="H156" s="123"/>
      <c r="I156" s="123">
        <v>24804.73</v>
      </c>
      <c r="J156" s="150">
        <v>5545.44</v>
      </c>
      <c r="K156" s="123">
        <v>39521.68</v>
      </c>
      <c r="M156" s="123">
        <f t="shared" ref="M156:M161" si="6">+K156/J156</f>
        <v>7.1268790213220239</v>
      </c>
      <c r="N156">
        <v>4</v>
      </c>
      <c r="O156">
        <v>12</v>
      </c>
      <c r="P156" s="136">
        <v>380</v>
      </c>
      <c r="Q156" s="136">
        <v>14060</v>
      </c>
      <c r="R156" s="123">
        <v>4282.6000000000004</v>
      </c>
    </row>
    <row r="157" spans="1:18">
      <c r="A157" s="27" t="s">
        <v>21</v>
      </c>
      <c r="B157">
        <v>46</v>
      </c>
      <c r="C157" s="136">
        <v>1</v>
      </c>
      <c r="D157" s="136">
        <v>1927597</v>
      </c>
      <c r="E157" s="136"/>
      <c r="F157" s="123">
        <v>115317.15</v>
      </c>
      <c r="G157" s="123">
        <v>5566.9</v>
      </c>
      <c r="H157" s="123"/>
      <c r="I157" s="123">
        <v>16174.29</v>
      </c>
      <c r="J157" s="150">
        <v>3103.9810000000002</v>
      </c>
      <c r="K157" s="123">
        <v>21729.26</v>
      </c>
      <c r="M157" s="123">
        <f t="shared" si="6"/>
        <v>7.0004487785202283</v>
      </c>
      <c r="N157">
        <v>3</v>
      </c>
      <c r="O157">
        <v>13</v>
      </c>
      <c r="P157" s="136">
        <v>35</v>
      </c>
      <c r="Q157" s="136">
        <v>1297</v>
      </c>
      <c r="R157" s="123">
        <v>653.84</v>
      </c>
    </row>
    <row r="158" spans="1:18">
      <c r="A158" t="s">
        <v>20</v>
      </c>
      <c r="B158">
        <v>47</v>
      </c>
      <c r="C158" s="136">
        <v>1</v>
      </c>
      <c r="D158" s="136">
        <v>2151182</v>
      </c>
      <c r="E158" s="136">
        <v>2134</v>
      </c>
      <c r="F158" s="123">
        <v>132016.70000000001</v>
      </c>
      <c r="G158" s="123">
        <v>6546.04</v>
      </c>
      <c r="H158" s="123">
        <v>292.86</v>
      </c>
      <c r="I158" s="123">
        <v>18578.88</v>
      </c>
      <c r="J158" s="150">
        <v>4600</v>
      </c>
      <c r="K158" s="123">
        <v>31786</v>
      </c>
      <c r="M158" s="123">
        <f t="shared" si="6"/>
        <v>6.91</v>
      </c>
      <c r="N158">
        <v>3</v>
      </c>
      <c r="O158">
        <v>14</v>
      </c>
      <c r="P158" s="136">
        <v>37</v>
      </c>
      <c r="Q158" s="136">
        <v>1369</v>
      </c>
      <c r="R158" s="123">
        <v>675.25</v>
      </c>
    </row>
    <row r="159" spans="1:18">
      <c r="A159" t="s">
        <v>20</v>
      </c>
      <c r="B159">
        <v>48</v>
      </c>
      <c r="C159" s="136">
        <v>1</v>
      </c>
      <c r="D159" s="136">
        <v>4253071</v>
      </c>
      <c r="E159" s="136">
        <v>84</v>
      </c>
      <c r="F159" s="123">
        <v>247441.65</v>
      </c>
      <c r="G159" s="123">
        <v>12929.6</v>
      </c>
      <c r="H159" s="123">
        <v>15.38</v>
      </c>
      <c r="I159" s="123">
        <v>34839.730000000003</v>
      </c>
      <c r="J159" s="150">
        <v>7278.24</v>
      </c>
      <c r="K159" s="123">
        <v>51448.89</v>
      </c>
      <c r="M159" s="123">
        <f t="shared" si="6"/>
        <v>7.0688641759546265</v>
      </c>
      <c r="N159">
        <v>3</v>
      </c>
      <c r="O159">
        <v>15</v>
      </c>
      <c r="P159" s="136">
        <v>282</v>
      </c>
      <c r="Q159" s="136">
        <v>10433</v>
      </c>
      <c r="R159" s="123">
        <v>4351.7299999999996</v>
      </c>
    </row>
    <row r="160" spans="1:18">
      <c r="A160" t="s">
        <v>20</v>
      </c>
      <c r="B160">
        <v>49</v>
      </c>
      <c r="C160" s="136">
        <v>1</v>
      </c>
      <c r="D160" s="136">
        <v>3491032</v>
      </c>
      <c r="E160" s="136"/>
      <c r="F160" s="123">
        <v>206446.28</v>
      </c>
      <c r="G160" s="123">
        <v>10612.74</v>
      </c>
      <c r="H160" s="123"/>
      <c r="I160" s="123">
        <v>29042.5</v>
      </c>
      <c r="J160" s="150">
        <v>6442.4570000000003</v>
      </c>
      <c r="K160" s="123">
        <v>45172.01</v>
      </c>
      <c r="M160" s="123">
        <f t="shared" si="6"/>
        <v>7.0116121846059665</v>
      </c>
      <c r="N160">
        <v>3</v>
      </c>
      <c r="O160">
        <v>16</v>
      </c>
      <c r="P160" s="151">
        <v>16</v>
      </c>
      <c r="Q160" s="151">
        <v>2544</v>
      </c>
      <c r="R160" s="152">
        <v>374.08</v>
      </c>
    </row>
    <row r="161" spans="1:18">
      <c r="A161" t="s">
        <v>20</v>
      </c>
      <c r="B161">
        <v>50</v>
      </c>
      <c r="C161" s="136">
        <v>1</v>
      </c>
      <c r="D161" s="136">
        <v>4137388</v>
      </c>
      <c r="E161" s="136"/>
      <c r="F161" s="123">
        <v>251046.89</v>
      </c>
      <c r="G161" s="123">
        <v>12577.66</v>
      </c>
      <c r="H161" s="123"/>
      <c r="I161" s="123">
        <v>35272.959999999999</v>
      </c>
      <c r="J161" s="150">
        <v>8384.4580000000005</v>
      </c>
      <c r="K161" s="123">
        <v>60324.639999999999</v>
      </c>
      <c r="M161" s="123">
        <f t="shared" si="6"/>
        <v>7.1948168861958637</v>
      </c>
      <c r="O161" t="s">
        <v>43</v>
      </c>
      <c r="P161" s="136">
        <f>SUM(P145:P160)</f>
        <v>15015</v>
      </c>
      <c r="Q161" s="136">
        <f>SUM(Q145:Q160)</f>
        <v>746269</v>
      </c>
      <c r="R161" s="123">
        <f>SUM(R145:R160)</f>
        <v>169900.17999999993</v>
      </c>
    </row>
    <row r="162" spans="1:18">
      <c r="A162" t="s">
        <v>235</v>
      </c>
      <c r="B162">
        <v>51</v>
      </c>
      <c r="C162" s="151">
        <v>56</v>
      </c>
      <c r="D162" s="151"/>
      <c r="E162" s="151">
        <v>101332</v>
      </c>
      <c r="F162" s="152"/>
      <c r="G162" s="152">
        <v>305.95999999999998</v>
      </c>
      <c r="H162" s="152">
        <v>29765.88</v>
      </c>
      <c r="I162" s="152">
        <v>4023.59</v>
      </c>
      <c r="J162" s="153">
        <v>0</v>
      </c>
      <c r="K162" s="152">
        <v>0</v>
      </c>
    </row>
    <row r="163" spans="1:18">
      <c r="B163" t="s">
        <v>43</v>
      </c>
      <c r="C163" s="136">
        <f t="shared" ref="C163:K163" si="7">SUM(C143:C162)</f>
        <v>55591</v>
      </c>
      <c r="D163" s="136">
        <f t="shared" si="7"/>
        <v>102150008</v>
      </c>
      <c r="E163" s="136">
        <f t="shared" si="7"/>
        <v>748732</v>
      </c>
      <c r="F163" s="123">
        <f t="shared" si="7"/>
        <v>8939341.3500000015</v>
      </c>
      <c r="G163" s="123">
        <f t="shared" si="7"/>
        <v>310892.45999999996</v>
      </c>
      <c r="H163" s="123">
        <f t="shared" si="7"/>
        <v>170460.08999999997</v>
      </c>
      <c r="I163" s="123">
        <f t="shared" si="7"/>
        <v>1260553.47</v>
      </c>
      <c r="J163" s="150">
        <f t="shared" si="7"/>
        <v>99032.474999999991</v>
      </c>
      <c r="K163" s="123">
        <f t="shared" si="7"/>
        <v>672082.85</v>
      </c>
      <c r="N163" t="s">
        <v>170</v>
      </c>
      <c r="P163" t="s">
        <v>244</v>
      </c>
    </row>
    <row r="164" spans="1:18">
      <c r="N164" s="134" t="s">
        <v>172</v>
      </c>
      <c r="O164" s="134" t="s">
        <v>173</v>
      </c>
      <c r="P164" s="134" t="s">
        <v>232</v>
      </c>
      <c r="Q164" s="134" t="s">
        <v>233</v>
      </c>
      <c r="R164" s="134" t="s">
        <v>234</v>
      </c>
    </row>
    <row r="165" spans="1:18">
      <c r="A165" s="134" t="s">
        <v>243</v>
      </c>
      <c r="B165" s="134" t="s">
        <v>223</v>
      </c>
      <c r="N165">
        <v>1</v>
      </c>
      <c r="O165">
        <v>1</v>
      </c>
      <c r="P165" s="136">
        <v>2688</v>
      </c>
      <c r="Q165" s="136">
        <v>197727</v>
      </c>
      <c r="R165" s="123">
        <v>29505.51</v>
      </c>
    </row>
    <row r="166" spans="1:18">
      <c r="A166" t="s">
        <v>10</v>
      </c>
      <c r="B166">
        <v>11</v>
      </c>
      <c r="C166" s="136">
        <v>52216</v>
      </c>
      <c r="D166" s="136">
        <v>62839685</v>
      </c>
      <c r="E166" s="136">
        <v>527156</v>
      </c>
      <c r="F166" s="123">
        <v>6131860.3399999999</v>
      </c>
      <c r="G166" s="123">
        <v>62263.839999999997</v>
      </c>
      <c r="H166" s="123">
        <v>120184.27</v>
      </c>
      <c r="I166" s="123">
        <v>804580.06</v>
      </c>
      <c r="J166" s="154">
        <v>0</v>
      </c>
      <c r="K166" s="123">
        <v>0</v>
      </c>
      <c r="N166">
        <v>1</v>
      </c>
      <c r="O166">
        <v>2</v>
      </c>
      <c r="P166" s="136">
        <v>70</v>
      </c>
      <c r="Q166" s="136">
        <v>11130</v>
      </c>
      <c r="R166" s="123">
        <v>1246.7</v>
      </c>
    </row>
    <row r="167" spans="1:18">
      <c r="A167" s="25" t="s">
        <v>14</v>
      </c>
      <c r="B167">
        <v>12</v>
      </c>
      <c r="C167" s="136">
        <v>36</v>
      </c>
      <c r="D167" s="136">
        <v>8429</v>
      </c>
      <c r="E167" s="136">
        <v>74</v>
      </c>
      <c r="F167" s="123">
        <v>1296.23</v>
      </c>
      <c r="G167" s="123">
        <v>8.34</v>
      </c>
      <c r="H167" s="123">
        <v>21.5</v>
      </c>
      <c r="I167" s="123">
        <v>169.04</v>
      </c>
      <c r="J167" s="154">
        <v>0</v>
      </c>
      <c r="K167" s="123">
        <v>0</v>
      </c>
      <c r="N167">
        <v>1</v>
      </c>
      <c r="O167">
        <v>3</v>
      </c>
      <c r="P167" s="136">
        <v>8731</v>
      </c>
      <c r="Q167" s="136">
        <v>323205</v>
      </c>
      <c r="R167" s="123">
        <v>93848.48</v>
      </c>
    </row>
    <row r="168" spans="1:18">
      <c r="A168" t="s">
        <v>235</v>
      </c>
      <c r="B168">
        <v>15</v>
      </c>
      <c r="C168" s="136">
        <v>136</v>
      </c>
      <c r="D168" s="136"/>
      <c r="E168" s="136">
        <v>20737</v>
      </c>
      <c r="F168" s="123"/>
      <c r="G168" s="123">
        <v>21.34</v>
      </c>
      <c r="H168" s="123">
        <v>4702.05</v>
      </c>
      <c r="I168" s="123">
        <v>601.54</v>
      </c>
      <c r="J168" s="154">
        <v>0</v>
      </c>
      <c r="K168" s="123">
        <v>0</v>
      </c>
      <c r="N168">
        <v>1</v>
      </c>
      <c r="O168">
        <v>4</v>
      </c>
      <c r="P168" s="136">
        <v>698</v>
      </c>
      <c r="Q168" s="136">
        <v>16054</v>
      </c>
      <c r="R168" s="123">
        <v>7056.78</v>
      </c>
    </row>
    <row r="169" spans="1:18">
      <c r="A169" t="s">
        <v>10</v>
      </c>
      <c r="B169">
        <v>17</v>
      </c>
      <c r="C169" s="136">
        <v>26</v>
      </c>
      <c r="D169" s="136">
        <v>35834</v>
      </c>
      <c r="E169" s="136">
        <v>37</v>
      </c>
      <c r="F169" s="123">
        <v>2474.08</v>
      </c>
      <c r="G169" s="123">
        <v>24.37</v>
      </c>
      <c r="H169" s="123">
        <v>10.75</v>
      </c>
      <c r="I169" s="123">
        <v>319.67</v>
      </c>
      <c r="J169" s="154">
        <v>0</v>
      </c>
      <c r="K169" s="123">
        <v>0</v>
      </c>
      <c r="N169">
        <v>1</v>
      </c>
      <c r="O169">
        <v>5</v>
      </c>
      <c r="P169" s="136">
        <v>543</v>
      </c>
      <c r="Q169" s="136">
        <v>20054</v>
      </c>
      <c r="R169" s="123">
        <v>6123.77</v>
      </c>
    </row>
    <row r="170" spans="1:18">
      <c r="A170" t="s">
        <v>236</v>
      </c>
      <c r="B170">
        <v>19</v>
      </c>
      <c r="C170" s="136">
        <v>937</v>
      </c>
      <c r="D170" s="136">
        <v>878816</v>
      </c>
      <c r="E170" s="136">
        <v>4526</v>
      </c>
      <c r="F170" s="123">
        <v>93919.83</v>
      </c>
      <c r="G170" s="123">
        <v>864.45</v>
      </c>
      <c r="H170" s="123">
        <v>1093.1199999999999</v>
      </c>
      <c r="I170" s="123">
        <v>12214.53</v>
      </c>
      <c r="J170" s="154">
        <v>0</v>
      </c>
      <c r="K170" s="123">
        <v>0</v>
      </c>
      <c r="N170">
        <v>1</v>
      </c>
      <c r="O170">
        <v>6</v>
      </c>
      <c r="P170" s="136">
        <v>196</v>
      </c>
      <c r="Q170" s="136">
        <v>19992</v>
      </c>
      <c r="R170" s="123">
        <v>2975.28</v>
      </c>
    </row>
    <row r="171" spans="1:18">
      <c r="A171" s="27" t="s">
        <v>16</v>
      </c>
      <c r="B171">
        <v>21</v>
      </c>
      <c r="C171" s="136">
        <v>2456</v>
      </c>
      <c r="D171" s="136">
        <v>6314722</v>
      </c>
      <c r="E171" s="136">
        <v>73418</v>
      </c>
      <c r="F171" s="123">
        <v>695271</v>
      </c>
      <c r="G171" s="123">
        <v>6262.69</v>
      </c>
      <c r="H171" s="123">
        <v>11580.99</v>
      </c>
      <c r="I171" s="123">
        <v>90850.82</v>
      </c>
      <c r="J171" s="154">
        <v>24844.901999999998</v>
      </c>
      <c r="K171" s="123">
        <v>97620.75</v>
      </c>
      <c r="N171">
        <v>1</v>
      </c>
      <c r="O171">
        <v>7</v>
      </c>
      <c r="P171" s="136">
        <v>169</v>
      </c>
      <c r="Q171" s="136">
        <v>17091</v>
      </c>
      <c r="R171" s="123">
        <v>2735.49</v>
      </c>
    </row>
    <row r="172" spans="1:18">
      <c r="A172" s="27" t="s">
        <v>16</v>
      </c>
      <c r="B172">
        <v>22</v>
      </c>
      <c r="C172" s="136">
        <v>87</v>
      </c>
      <c r="D172" s="136">
        <v>22721</v>
      </c>
      <c r="E172" s="136">
        <v>564</v>
      </c>
      <c r="F172" s="123">
        <v>4211.4799999999996</v>
      </c>
      <c r="G172" s="123">
        <v>22.87</v>
      </c>
      <c r="H172" s="123">
        <v>145.56</v>
      </c>
      <c r="I172" s="123">
        <v>557.96</v>
      </c>
      <c r="J172" s="154">
        <v>0</v>
      </c>
      <c r="K172" s="123">
        <v>0</v>
      </c>
      <c r="N172">
        <v>4</v>
      </c>
      <c r="O172">
        <v>7</v>
      </c>
      <c r="P172" s="136">
        <v>223</v>
      </c>
      <c r="Q172" s="136">
        <v>18951</v>
      </c>
      <c r="R172" s="123">
        <v>3469.74</v>
      </c>
    </row>
    <row r="173" spans="1:18">
      <c r="A173" t="s">
        <v>23</v>
      </c>
      <c r="B173">
        <v>23</v>
      </c>
      <c r="C173" s="136">
        <v>36</v>
      </c>
      <c r="D173" s="136">
        <v>72275</v>
      </c>
      <c r="E173" s="136">
        <v>2519</v>
      </c>
      <c r="F173" s="123">
        <v>8999.93</v>
      </c>
      <c r="G173" s="123">
        <v>73.47</v>
      </c>
      <c r="H173" s="123">
        <v>403.87</v>
      </c>
      <c r="I173" s="123">
        <v>1207.42</v>
      </c>
      <c r="J173" s="154">
        <v>0</v>
      </c>
      <c r="K173" s="123">
        <v>0</v>
      </c>
      <c r="N173">
        <v>1</v>
      </c>
      <c r="O173">
        <v>8</v>
      </c>
      <c r="P173" s="136">
        <v>422</v>
      </c>
      <c r="Q173" s="136">
        <v>9706</v>
      </c>
      <c r="R173" s="123">
        <v>3962.58</v>
      </c>
    </row>
    <row r="174" spans="1:18">
      <c r="A174" s="25" t="s">
        <v>18</v>
      </c>
      <c r="B174">
        <v>31</v>
      </c>
      <c r="C174" s="136">
        <v>56</v>
      </c>
      <c r="D174" s="136">
        <v>3256245</v>
      </c>
      <c r="E174" s="136">
        <v>5381</v>
      </c>
      <c r="F174" s="123">
        <v>258928.44</v>
      </c>
      <c r="G174" s="123">
        <v>3196.53</v>
      </c>
      <c r="H174" s="123">
        <v>680.25</v>
      </c>
      <c r="I174" s="123">
        <v>33481.379999999997</v>
      </c>
      <c r="J174" s="154">
        <v>8742.8140000000003</v>
      </c>
      <c r="K174" s="123">
        <v>73965.19</v>
      </c>
      <c r="N174">
        <v>1</v>
      </c>
      <c r="O174">
        <v>9</v>
      </c>
      <c r="P174" s="136">
        <v>476</v>
      </c>
      <c r="Q174" s="136">
        <v>75848</v>
      </c>
      <c r="R174" s="123">
        <v>8028.47</v>
      </c>
    </row>
    <row r="175" spans="1:18">
      <c r="A175" s="27" t="s">
        <v>19</v>
      </c>
      <c r="B175">
        <v>32</v>
      </c>
      <c r="C175" s="136">
        <v>10</v>
      </c>
      <c r="D175" s="136">
        <v>2356296</v>
      </c>
      <c r="E175" s="136">
        <v>2426</v>
      </c>
      <c r="F175" s="123">
        <v>167562.99</v>
      </c>
      <c r="G175" s="123">
        <v>2311.61</v>
      </c>
      <c r="H175" s="123">
        <v>307.64999999999998</v>
      </c>
      <c r="I175" s="123">
        <v>21681.23</v>
      </c>
      <c r="J175" s="154">
        <v>5848.7030000000004</v>
      </c>
      <c r="K175" s="123">
        <v>48778.18</v>
      </c>
      <c r="N175">
        <v>1</v>
      </c>
      <c r="O175">
        <v>11</v>
      </c>
      <c r="P175" s="136">
        <v>39</v>
      </c>
      <c r="Q175" s="136">
        <v>5761</v>
      </c>
      <c r="R175" s="123">
        <v>646.51</v>
      </c>
    </row>
    <row r="176" spans="1:18">
      <c r="A176" s="25" t="s">
        <v>18</v>
      </c>
      <c r="B176">
        <v>33</v>
      </c>
      <c r="C176" s="136">
        <v>4</v>
      </c>
      <c r="D176" s="136">
        <v>274800</v>
      </c>
      <c r="E176" s="136">
        <v>971</v>
      </c>
      <c r="F176" s="123">
        <v>22038.26</v>
      </c>
      <c r="G176" s="123">
        <v>256.81</v>
      </c>
      <c r="H176" s="123">
        <v>123.93</v>
      </c>
      <c r="I176" s="123">
        <v>2856.18</v>
      </c>
      <c r="J176" s="154">
        <v>860.4</v>
      </c>
      <c r="K176" s="123">
        <v>7175.74</v>
      </c>
      <c r="N176">
        <v>4</v>
      </c>
      <c r="O176">
        <v>12</v>
      </c>
      <c r="P176" s="136">
        <v>380</v>
      </c>
      <c r="Q176" s="136">
        <v>14060</v>
      </c>
      <c r="R176" s="123">
        <v>4282.6000000000004</v>
      </c>
    </row>
    <row r="177" spans="1:18">
      <c r="A177" s="27" t="s">
        <v>19</v>
      </c>
      <c r="B177">
        <v>35</v>
      </c>
      <c r="C177" s="136">
        <v>12</v>
      </c>
      <c r="D177" s="136">
        <v>4067400</v>
      </c>
      <c r="E177" s="136">
        <v>4986</v>
      </c>
      <c r="F177" s="123">
        <v>286018.2</v>
      </c>
      <c r="G177" s="123">
        <v>3791.78</v>
      </c>
      <c r="H177" s="123">
        <v>643.26</v>
      </c>
      <c r="I177" s="123">
        <v>37003.760000000002</v>
      </c>
      <c r="J177" s="154">
        <v>10996.984</v>
      </c>
      <c r="K177" s="123">
        <v>91714.85</v>
      </c>
      <c r="N177">
        <v>3</v>
      </c>
      <c r="O177">
        <v>13</v>
      </c>
      <c r="P177" s="136">
        <v>35</v>
      </c>
      <c r="Q177" s="136">
        <v>1295</v>
      </c>
      <c r="R177" s="123">
        <v>652.58000000000004</v>
      </c>
    </row>
    <row r="178" spans="1:18">
      <c r="A178" s="27" t="s">
        <v>19</v>
      </c>
      <c r="B178">
        <v>36</v>
      </c>
      <c r="C178" s="136">
        <v>1</v>
      </c>
      <c r="D178" s="136">
        <v>692800</v>
      </c>
      <c r="E178" s="136"/>
      <c r="F178" s="123">
        <v>43882.16</v>
      </c>
      <c r="G178" s="123">
        <v>645</v>
      </c>
      <c r="H178" s="123"/>
      <c r="I178" s="123">
        <v>5672.76</v>
      </c>
      <c r="J178" s="154">
        <v>1176.8</v>
      </c>
      <c r="K178" s="123">
        <v>9814.51</v>
      </c>
      <c r="N178">
        <v>3</v>
      </c>
      <c r="O178">
        <v>14</v>
      </c>
      <c r="P178" s="136">
        <v>37</v>
      </c>
      <c r="Q178" s="136">
        <v>1369</v>
      </c>
      <c r="R178" s="123">
        <v>675.25</v>
      </c>
    </row>
    <row r="179" spans="1:18">
      <c r="A179" t="s">
        <v>20</v>
      </c>
      <c r="B179">
        <v>45</v>
      </c>
      <c r="C179" s="136">
        <v>1</v>
      </c>
      <c r="D179" s="136">
        <v>3021853</v>
      </c>
      <c r="E179" s="136"/>
      <c r="F179" s="123">
        <v>150849.49</v>
      </c>
      <c r="G179" s="123">
        <v>2961.42</v>
      </c>
      <c r="H179" s="123"/>
      <c r="I179" s="123">
        <v>19595.509999999998</v>
      </c>
      <c r="J179" s="154">
        <v>5533.92</v>
      </c>
      <c r="K179" s="123">
        <v>10951.2</v>
      </c>
      <c r="L179" s="123">
        <v>11231.61</v>
      </c>
      <c r="M179" s="123">
        <f t="shared" ref="M179:M184" si="8">+K179/J179</f>
        <v>1.9789227166276349</v>
      </c>
      <c r="N179">
        <v>3</v>
      </c>
      <c r="O179">
        <v>15</v>
      </c>
      <c r="P179" s="136">
        <v>289</v>
      </c>
      <c r="Q179" s="136">
        <v>10623</v>
      </c>
      <c r="R179" s="123">
        <v>4430.5</v>
      </c>
    </row>
    <row r="180" spans="1:18">
      <c r="A180" s="27" t="s">
        <v>245</v>
      </c>
      <c r="B180">
        <v>46</v>
      </c>
      <c r="C180" s="136">
        <v>1</v>
      </c>
      <c r="D180" s="136">
        <v>8948073</v>
      </c>
      <c r="E180" s="136"/>
      <c r="F180" s="123">
        <v>498793.36</v>
      </c>
      <c r="G180" s="123">
        <v>-17985.63</v>
      </c>
      <c r="H180" s="123"/>
      <c r="I180" s="123">
        <v>61254.9</v>
      </c>
      <c r="J180" s="154">
        <v>15109.92</v>
      </c>
      <c r="K180" s="123">
        <v>105467.24</v>
      </c>
      <c r="M180" s="123">
        <f t="shared" si="8"/>
        <v>6.9799998941093007</v>
      </c>
      <c r="N180">
        <v>3</v>
      </c>
      <c r="O180">
        <v>16</v>
      </c>
      <c r="P180" s="151">
        <v>16</v>
      </c>
      <c r="Q180" s="151">
        <v>2544</v>
      </c>
      <c r="R180" s="152">
        <v>374.08</v>
      </c>
    </row>
    <row r="181" spans="1:18">
      <c r="A181" t="s">
        <v>20</v>
      </c>
      <c r="B181">
        <v>47</v>
      </c>
      <c r="C181" s="136">
        <v>1</v>
      </c>
      <c r="D181" s="136">
        <v>2043320</v>
      </c>
      <c r="E181" s="136">
        <v>2134</v>
      </c>
      <c r="F181" s="123">
        <v>127102.51</v>
      </c>
      <c r="G181" s="123">
        <v>2004.59</v>
      </c>
      <c r="H181" s="123">
        <v>292.86</v>
      </c>
      <c r="I181" s="123">
        <v>16485.55</v>
      </c>
      <c r="J181" s="154">
        <v>4600</v>
      </c>
      <c r="K181" s="123">
        <v>31786</v>
      </c>
      <c r="M181" s="123">
        <f t="shared" si="8"/>
        <v>6.91</v>
      </c>
      <c r="O181" t="s">
        <v>43</v>
      </c>
      <c r="P181" s="136">
        <f>SUM(P165:P180)</f>
        <v>15012</v>
      </c>
      <c r="Q181" s="136">
        <f>SUM(Q165:Q180)</f>
        <v>745410</v>
      </c>
      <c r="R181" s="123">
        <f>SUM(R165:R180)</f>
        <v>170014.31999999995</v>
      </c>
    </row>
    <row r="182" spans="1:18">
      <c r="A182" t="s">
        <v>20</v>
      </c>
      <c r="B182">
        <v>48</v>
      </c>
      <c r="C182" s="136">
        <v>1</v>
      </c>
      <c r="D182" s="136">
        <v>4257151</v>
      </c>
      <c r="E182" s="136">
        <v>84</v>
      </c>
      <c r="F182" s="123">
        <v>250013.58</v>
      </c>
      <c r="G182" s="123">
        <v>4172.09</v>
      </c>
      <c r="H182" s="123">
        <v>15.38</v>
      </c>
      <c r="I182" s="123">
        <v>32385.21</v>
      </c>
      <c r="J182" s="154">
        <v>7526.5280000000002</v>
      </c>
      <c r="K182" s="123">
        <v>53834.93</v>
      </c>
      <c r="M182" s="123">
        <f t="shared" si="8"/>
        <v>7.1526911213244668</v>
      </c>
    </row>
    <row r="183" spans="1:18">
      <c r="A183" t="s">
        <v>20</v>
      </c>
      <c r="B183">
        <v>49</v>
      </c>
      <c r="C183" s="136">
        <v>1</v>
      </c>
      <c r="D183" s="136">
        <v>3811462</v>
      </c>
      <c r="E183" s="136"/>
      <c r="F183" s="123">
        <v>218715.06</v>
      </c>
      <c r="G183" s="123">
        <v>3735.23</v>
      </c>
      <c r="H183" s="123"/>
      <c r="I183" s="123">
        <v>28340.17</v>
      </c>
      <c r="J183" s="154">
        <v>6200</v>
      </c>
      <c r="K183" s="123">
        <v>42842</v>
      </c>
      <c r="M183" s="123">
        <f t="shared" si="8"/>
        <v>6.91</v>
      </c>
      <c r="N183" t="s">
        <v>170</v>
      </c>
      <c r="P183" t="s">
        <v>246</v>
      </c>
    </row>
    <row r="184" spans="1:18">
      <c r="A184" t="s">
        <v>20</v>
      </c>
      <c r="B184">
        <v>50</v>
      </c>
      <c r="C184" s="136">
        <v>1</v>
      </c>
      <c r="D184" s="136">
        <v>4283044</v>
      </c>
      <c r="E184" s="136"/>
      <c r="F184" s="123">
        <v>257909.21</v>
      </c>
      <c r="G184" s="123">
        <v>4197.38</v>
      </c>
      <c r="H184" s="123"/>
      <c r="I184" s="123">
        <v>33392.379999999997</v>
      </c>
      <c r="J184" s="154">
        <v>8408</v>
      </c>
      <c r="K184" s="123">
        <v>60550.879999999997</v>
      </c>
      <c r="M184" s="123">
        <f t="shared" si="8"/>
        <v>7.2015794481446243</v>
      </c>
      <c r="N184" s="134" t="s">
        <v>172</v>
      </c>
      <c r="O184" s="134" t="s">
        <v>173</v>
      </c>
      <c r="P184" s="134" t="s">
        <v>232</v>
      </c>
      <c r="Q184" s="134" t="s">
        <v>233</v>
      </c>
      <c r="R184" s="134" t="s">
        <v>234</v>
      </c>
    </row>
    <row r="185" spans="1:18">
      <c r="A185" t="s">
        <v>235</v>
      </c>
      <c r="B185">
        <v>51</v>
      </c>
      <c r="C185" s="151">
        <v>53</v>
      </c>
      <c r="D185" s="151"/>
      <c r="E185" s="151">
        <v>101256</v>
      </c>
      <c r="F185" s="152"/>
      <c r="G185" s="152">
        <v>100.52</v>
      </c>
      <c r="H185" s="152">
        <v>29694.74</v>
      </c>
      <c r="I185" s="152">
        <v>3795.86</v>
      </c>
      <c r="J185" s="155">
        <v>0</v>
      </c>
      <c r="K185" s="152">
        <v>0</v>
      </c>
      <c r="N185">
        <v>1</v>
      </c>
      <c r="O185">
        <v>1</v>
      </c>
      <c r="P185" s="136">
        <v>2674</v>
      </c>
      <c r="Q185" s="136">
        <v>195913</v>
      </c>
      <c r="R185" s="123">
        <v>29235.8</v>
      </c>
    </row>
    <row r="186" spans="1:18">
      <c r="B186" t="s">
        <v>43</v>
      </c>
      <c r="C186" s="136">
        <f t="shared" ref="C186:L186" si="9">SUM(C166:C185)</f>
        <v>56072</v>
      </c>
      <c r="D186" s="136">
        <f t="shared" si="9"/>
        <v>107184926</v>
      </c>
      <c r="E186" s="136">
        <f t="shared" si="9"/>
        <v>746269</v>
      </c>
      <c r="F186" s="123">
        <f t="shared" si="9"/>
        <v>9219846.1500000041</v>
      </c>
      <c r="G186" s="123">
        <f t="shared" si="9"/>
        <v>78928.699999999968</v>
      </c>
      <c r="H186" s="123">
        <f t="shared" si="9"/>
        <v>169900.17999999996</v>
      </c>
      <c r="I186" s="123">
        <f t="shared" si="9"/>
        <v>1206445.9300000002</v>
      </c>
      <c r="J186" s="150">
        <f t="shared" si="9"/>
        <v>99848.971000000005</v>
      </c>
      <c r="K186" s="123">
        <f t="shared" si="9"/>
        <v>634501.47</v>
      </c>
      <c r="L186" s="123">
        <f t="shared" si="9"/>
        <v>11231.61</v>
      </c>
      <c r="N186">
        <v>1</v>
      </c>
      <c r="O186">
        <v>2</v>
      </c>
      <c r="P186" s="136">
        <v>70</v>
      </c>
      <c r="Q186" s="136">
        <v>11141</v>
      </c>
      <c r="R186" s="123">
        <v>1247.8900000000001</v>
      </c>
    </row>
    <row r="187" spans="1:18">
      <c r="N187">
        <v>1</v>
      </c>
      <c r="O187">
        <v>3</v>
      </c>
      <c r="P187" s="136">
        <v>8738</v>
      </c>
      <c r="Q187" s="136">
        <v>319824</v>
      </c>
      <c r="R187" s="123">
        <v>92998.27</v>
      </c>
    </row>
    <row r="188" spans="1:18">
      <c r="A188" s="134" t="s">
        <v>244</v>
      </c>
      <c r="B188" s="134" t="s">
        <v>223</v>
      </c>
      <c r="N188">
        <v>1</v>
      </c>
      <c r="O188">
        <v>4</v>
      </c>
      <c r="P188" s="136">
        <v>698</v>
      </c>
      <c r="Q188" s="136">
        <v>16054</v>
      </c>
      <c r="R188" s="123">
        <v>7056.78</v>
      </c>
    </row>
    <row r="189" spans="1:18">
      <c r="A189" t="s">
        <v>10</v>
      </c>
      <c r="B189">
        <v>11</v>
      </c>
      <c r="C189" s="136">
        <v>51786</v>
      </c>
      <c r="D189" s="136">
        <v>61335221</v>
      </c>
      <c r="E189" s="136">
        <v>526524</v>
      </c>
      <c r="F189" s="123">
        <v>5993294.8700000001</v>
      </c>
      <c r="G189" s="123">
        <v>-128690.3</v>
      </c>
      <c r="H189" s="123">
        <v>120218.72</v>
      </c>
      <c r="I189" s="123">
        <v>563181.18999999994</v>
      </c>
      <c r="J189" s="154">
        <v>0</v>
      </c>
      <c r="K189" s="123">
        <v>0</v>
      </c>
      <c r="N189">
        <v>1</v>
      </c>
      <c r="O189">
        <v>5</v>
      </c>
      <c r="P189" s="136">
        <v>543</v>
      </c>
      <c r="Q189" s="136">
        <v>20054</v>
      </c>
      <c r="R189" s="123">
        <v>6123.77</v>
      </c>
    </row>
    <row r="190" spans="1:18">
      <c r="A190" s="25" t="s">
        <v>14</v>
      </c>
      <c r="B190">
        <v>12</v>
      </c>
      <c r="C190" s="136">
        <v>36</v>
      </c>
      <c r="D190" s="136">
        <v>7870</v>
      </c>
      <c r="E190" s="136">
        <v>74</v>
      </c>
      <c r="F190" s="123">
        <v>1274.06</v>
      </c>
      <c r="G190" s="123">
        <v>-16.53</v>
      </c>
      <c r="H190" s="123">
        <v>21.5</v>
      </c>
      <c r="I190" s="123">
        <v>120.44</v>
      </c>
      <c r="J190" s="154">
        <v>0</v>
      </c>
      <c r="K190" s="123">
        <v>0</v>
      </c>
      <c r="N190">
        <v>1</v>
      </c>
      <c r="O190">
        <v>6</v>
      </c>
      <c r="P190" s="136">
        <v>196</v>
      </c>
      <c r="Q190" s="136">
        <v>19992</v>
      </c>
      <c r="R190" s="123">
        <v>2975.28</v>
      </c>
    </row>
    <row r="191" spans="1:18">
      <c r="A191" t="s">
        <v>235</v>
      </c>
      <c r="B191">
        <v>15</v>
      </c>
      <c r="C191" s="136">
        <v>132</v>
      </c>
      <c r="D191" s="136"/>
      <c r="E191" s="136">
        <v>20730</v>
      </c>
      <c r="F191" s="123"/>
      <c r="G191" s="123">
        <v>-43.76</v>
      </c>
      <c r="H191" s="123">
        <v>4704.8500000000004</v>
      </c>
      <c r="I191" s="123">
        <v>438.34</v>
      </c>
      <c r="J191" s="154">
        <v>0</v>
      </c>
      <c r="K191" s="123">
        <v>0</v>
      </c>
      <c r="N191">
        <v>1</v>
      </c>
      <c r="O191">
        <v>7</v>
      </c>
      <c r="P191" s="136">
        <v>169</v>
      </c>
      <c r="Q191" s="136">
        <v>17320</v>
      </c>
      <c r="R191" s="123">
        <v>2772.82</v>
      </c>
    </row>
    <row r="192" spans="1:18">
      <c r="A192" t="s">
        <v>10</v>
      </c>
      <c r="B192">
        <v>17</v>
      </c>
      <c r="C192" s="136">
        <v>26</v>
      </c>
      <c r="D192" s="136">
        <v>36140</v>
      </c>
      <c r="E192" s="136">
        <v>37</v>
      </c>
      <c r="F192" s="123">
        <v>2417.96</v>
      </c>
      <c r="G192" s="123">
        <v>-50.41</v>
      </c>
      <c r="H192" s="123">
        <v>10.75</v>
      </c>
      <c r="I192" s="123">
        <v>223.85</v>
      </c>
      <c r="J192" s="154">
        <v>0</v>
      </c>
      <c r="K192" s="123">
        <v>0</v>
      </c>
      <c r="N192">
        <v>4</v>
      </c>
      <c r="O192">
        <v>7</v>
      </c>
      <c r="P192" s="136">
        <v>224</v>
      </c>
      <c r="Q192" s="136">
        <v>18749</v>
      </c>
      <c r="R192" s="123">
        <v>3432.82</v>
      </c>
    </row>
    <row r="193" spans="1:18">
      <c r="A193" t="s">
        <v>236</v>
      </c>
      <c r="B193">
        <v>19</v>
      </c>
      <c r="C193" s="136">
        <v>1012</v>
      </c>
      <c r="D193" s="136">
        <v>835749</v>
      </c>
      <c r="E193" s="136">
        <v>4780</v>
      </c>
      <c r="F193" s="123">
        <v>90864.61</v>
      </c>
      <c r="G193" s="123">
        <v>-1751.16</v>
      </c>
      <c r="H193" s="123">
        <v>1161.26</v>
      </c>
      <c r="I193" s="123">
        <v>8494.7900000000009</v>
      </c>
      <c r="J193" s="154">
        <v>0</v>
      </c>
      <c r="K193" s="123">
        <v>0</v>
      </c>
      <c r="N193">
        <v>1</v>
      </c>
      <c r="O193">
        <v>8</v>
      </c>
      <c r="P193" s="136">
        <v>422</v>
      </c>
      <c r="Q193" s="136">
        <v>9706</v>
      </c>
      <c r="R193" s="123">
        <v>3962.58</v>
      </c>
    </row>
    <row r="194" spans="1:18">
      <c r="A194" s="27" t="s">
        <v>16</v>
      </c>
      <c r="B194">
        <v>21</v>
      </c>
      <c r="C194" s="136">
        <v>2455</v>
      </c>
      <c r="D194" s="136">
        <v>6404012</v>
      </c>
      <c r="E194" s="136">
        <v>73009</v>
      </c>
      <c r="F194" s="123">
        <v>704269.52</v>
      </c>
      <c r="G194" s="123">
        <v>-13472.57</v>
      </c>
      <c r="H194" s="123">
        <v>11525.53</v>
      </c>
      <c r="I194" s="123">
        <v>66089.06</v>
      </c>
      <c r="J194" s="154">
        <v>24880.728999999999</v>
      </c>
      <c r="K194" s="123">
        <v>99271.6</v>
      </c>
      <c r="N194">
        <v>1</v>
      </c>
      <c r="O194">
        <v>9</v>
      </c>
      <c r="P194" s="136">
        <v>478</v>
      </c>
      <c r="Q194" s="136">
        <v>76310</v>
      </c>
      <c r="R194" s="123">
        <v>8077.28</v>
      </c>
    </row>
    <row r="195" spans="1:18">
      <c r="A195" s="27" t="s">
        <v>16</v>
      </c>
      <c r="B195">
        <v>22</v>
      </c>
      <c r="C195" s="136">
        <v>86</v>
      </c>
      <c r="D195" s="136">
        <v>19774</v>
      </c>
      <c r="E195" s="136">
        <v>564</v>
      </c>
      <c r="F195" s="123">
        <v>3936.63</v>
      </c>
      <c r="G195" s="123">
        <v>-42.32</v>
      </c>
      <c r="H195" s="123">
        <v>145.56</v>
      </c>
      <c r="I195" s="123">
        <v>380.19</v>
      </c>
      <c r="J195" s="154">
        <v>0</v>
      </c>
      <c r="K195" s="123">
        <v>0</v>
      </c>
      <c r="N195">
        <v>1</v>
      </c>
      <c r="O195">
        <v>11</v>
      </c>
      <c r="P195" s="136">
        <v>38</v>
      </c>
      <c r="Q195" s="136">
        <v>5920</v>
      </c>
      <c r="R195" s="123">
        <v>664.17</v>
      </c>
    </row>
    <row r="196" spans="1:18">
      <c r="A196" t="s">
        <v>23</v>
      </c>
      <c r="B196">
        <v>23</v>
      </c>
      <c r="C196" s="136">
        <v>39</v>
      </c>
      <c r="D196" s="136">
        <v>75071</v>
      </c>
      <c r="E196" s="136">
        <v>2201</v>
      </c>
      <c r="F196" s="123">
        <v>9431.23</v>
      </c>
      <c r="G196" s="123">
        <v>-161.22</v>
      </c>
      <c r="H196" s="123">
        <v>368.55</v>
      </c>
      <c r="I196" s="123">
        <v>906.37</v>
      </c>
      <c r="J196" s="154">
        <v>0</v>
      </c>
      <c r="K196" s="123">
        <v>0</v>
      </c>
      <c r="N196">
        <v>4</v>
      </c>
      <c r="O196">
        <v>12</v>
      </c>
      <c r="P196" s="136">
        <v>381</v>
      </c>
      <c r="Q196" s="136">
        <v>14067</v>
      </c>
      <c r="R196" s="123">
        <v>4284.8500000000004</v>
      </c>
    </row>
    <row r="197" spans="1:18">
      <c r="A197" s="25" t="s">
        <v>18</v>
      </c>
      <c r="B197">
        <v>31</v>
      </c>
      <c r="C197" s="136">
        <v>52</v>
      </c>
      <c r="D197" s="136">
        <v>3100700</v>
      </c>
      <c r="E197" s="136">
        <v>5381</v>
      </c>
      <c r="F197" s="123">
        <v>250310.92</v>
      </c>
      <c r="G197" s="123">
        <v>-6460.61</v>
      </c>
      <c r="H197" s="123">
        <v>680.25</v>
      </c>
      <c r="I197" s="123">
        <v>23010.3</v>
      </c>
      <c r="J197" s="154">
        <v>8806.6749999999993</v>
      </c>
      <c r="K197" s="123">
        <v>73589.59</v>
      </c>
      <c r="N197">
        <v>3</v>
      </c>
      <c r="O197">
        <v>13</v>
      </c>
      <c r="P197" s="136">
        <v>35</v>
      </c>
      <c r="Q197" s="136">
        <v>1295</v>
      </c>
      <c r="R197" s="123">
        <v>652.58000000000004</v>
      </c>
    </row>
    <row r="198" spans="1:18">
      <c r="A198" s="27" t="s">
        <v>19</v>
      </c>
      <c r="B198">
        <v>32</v>
      </c>
      <c r="C198" s="136">
        <v>10</v>
      </c>
      <c r="D198" s="136">
        <v>2452104</v>
      </c>
      <c r="E198" s="136">
        <v>2426</v>
      </c>
      <c r="F198" s="123">
        <v>174761.47</v>
      </c>
      <c r="G198" s="123">
        <v>-5105.42</v>
      </c>
      <c r="H198" s="123">
        <v>307.64999999999998</v>
      </c>
      <c r="I198" s="123">
        <v>15993.59</v>
      </c>
      <c r="J198" s="154">
        <v>6138.1279999999997</v>
      </c>
      <c r="K198" s="123">
        <v>51192</v>
      </c>
      <c r="N198">
        <v>3</v>
      </c>
      <c r="O198">
        <v>14</v>
      </c>
      <c r="P198" s="136">
        <v>37</v>
      </c>
      <c r="Q198" s="136">
        <v>1369</v>
      </c>
      <c r="R198" s="123">
        <v>675.25</v>
      </c>
    </row>
    <row r="199" spans="1:18">
      <c r="A199" s="25" t="s">
        <v>18</v>
      </c>
      <c r="B199">
        <v>33</v>
      </c>
      <c r="C199" s="136">
        <v>4</v>
      </c>
      <c r="D199" s="136">
        <v>315000</v>
      </c>
      <c r="E199" s="136">
        <v>971</v>
      </c>
      <c r="F199" s="123">
        <v>25537.02</v>
      </c>
      <c r="G199" s="123">
        <v>-624.46</v>
      </c>
      <c r="H199" s="123">
        <v>123.93</v>
      </c>
      <c r="I199" s="123">
        <v>2355.94</v>
      </c>
      <c r="J199" s="154">
        <v>1019.4</v>
      </c>
      <c r="K199" s="123">
        <v>8620.34</v>
      </c>
      <c r="N199">
        <v>3</v>
      </c>
      <c r="O199">
        <v>15</v>
      </c>
      <c r="P199" s="136">
        <v>302</v>
      </c>
      <c r="Q199" s="136">
        <v>13784</v>
      </c>
      <c r="R199" s="123">
        <v>5748.19</v>
      </c>
    </row>
    <row r="200" spans="1:18">
      <c r="A200" s="27" t="s">
        <v>19</v>
      </c>
      <c r="B200">
        <v>35</v>
      </c>
      <c r="C200" s="136">
        <v>13</v>
      </c>
      <c r="D200" s="136">
        <v>4721100</v>
      </c>
      <c r="E200" s="136">
        <v>4974</v>
      </c>
      <c r="F200" s="123">
        <v>330821.46000000002</v>
      </c>
      <c r="G200" s="123">
        <v>-9339.2199999999993</v>
      </c>
      <c r="H200" s="123">
        <v>641.22</v>
      </c>
      <c r="I200" s="123">
        <v>30311.82</v>
      </c>
      <c r="J200" s="154">
        <v>12637.111000000001</v>
      </c>
      <c r="K200" s="123">
        <v>105393.5</v>
      </c>
      <c r="N200">
        <v>3</v>
      </c>
      <c r="O200">
        <v>16</v>
      </c>
      <c r="P200" s="151">
        <v>16</v>
      </c>
      <c r="Q200" s="151">
        <v>2544</v>
      </c>
      <c r="R200" s="152">
        <v>374.08</v>
      </c>
    </row>
    <row r="201" spans="1:18">
      <c r="A201" s="27" t="s">
        <v>19</v>
      </c>
      <c r="B201">
        <v>36</v>
      </c>
      <c r="C201" s="136">
        <v>1</v>
      </c>
      <c r="D201" s="136">
        <v>658400</v>
      </c>
      <c r="E201" s="136"/>
      <c r="F201" s="123">
        <v>42436.94</v>
      </c>
      <c r="G201" s="123">
        <v>-1301</v>
      </c>
      <c r="H201" s="123"/>
      <c r="I201" s="123">
        <v>3870.89</v>
      </c>
      <c r="J201" s="154">
        <v>1199.2</v>
      </c>
      <c r="K201" s="123">
        <v>10001.33</v>
      </c>
      <c r="O201" t="s">
        <v>43</v>
      </c>
      <c r="P201" s="136">
        <f>SUM(P185:P200)</f>
        <v>15021</v>
      </c>
      <c r="Q201" s="136">
        <f>SUM(Q185:Q200)</f>
        <v>744042</v>
      </c>
      <c r="R201" s="123">
        <f>SUM(R185:R200)</f>
        <v>170282.41</v>
      </c>
    </row>
    <row r="202" spans="1:18">
      <c r="A202" t="s">
        <v>20</v>
      </c>
      <c r="B202">
        <v>45</v>
      </c>
      <c r="C202" s="136">
        <v>1</v>
      </c>
      <c r="D202" s="136">
        <v>3280614</v>
      </c>
      <c r="E202" s="136"/>
      <c r="F202" s="123">
        <v>162829.19</v>
      </c>
      <c r="G202" s="123">
        <v>-6823.68</v>
      </c>
      <c r="H202" s="123"/>
      <c r="I202" s="123">
        <v>14680.12</v>
      </c>
      <c r="J202" s="154">
        <v>5581.44</v>
      </c>
      <c r="K202" s="123">
        <v>11141.57</v>
      </c>
      <c r="M202" s="123">
        <f t="shared" ref="M202:M207" si="10">+K202/J202</f>
        <v>1.9961819888774224</v>
      </c>
    </row>
    <row r="203" spans="1:18">
      <c r="A203" s="27" t="s">
        <v>245</v>
      </c>
      <c r="B203">
        <v>46</v>
      </c>
      <c r="C203" s="136">
        <v>1</v>
      </c>
      <c r="D203" s="136">
        <v>8791304</v>
      </c>
      <c r="E203" s="136"/>
      <c r="F203" s="123">
        <v>491230.65</v>
      </c>
      <c r="G203" s="123">
        <v>-14505.65</v>
      </c>
      <c r="H203" s="123"/>
      <c r="I203" s="123">
        <v>44859.82</v>
      </c>
      <c r="J203" s="154">
        <v>15000</v>
      </c>
      <c r="K203" s="123">
        <v>104700</v>
      </c>
      <c r="M203" s="123">
        <f t="shared" si="10"/>
        <v>6.98</v>
      </c>
      <c r="N203" t="s">
        <v>170</v>
      </c>
      <c r="P203" t="s">
        <v>247</v>
      </c>
    </row>
    <row r="204" spans="1:18">
      <c r="A204" t="s">
        <v>20</v>
      </c>
      <c r="B204">
        <v>47</v>
      </c>
      <c r="C204" s="136">
        <v>1</v>
      </c>
      <c r="D204" s="136">
        <v>2168820</v>
      </c>
      <c r="E204" s="136">
        <v>2134</v>
      </c>
      <c r="F204" s="123">
        <v>132820.29</v>
      </c>
      <c r="G204" s="123">
        <v>-4515.58</v>
      </c>
      <c r="H204" s="123">
        <v>292.86</v>
      </c>
      <c r="I204" s="123">
        <v>12101.03</v>
      </c>
      <c r="J204" s="154">
        <v>4600</v>
      </c>
      <c r="K204" s="123">
        <v>31786</v>
      </c>
      <c r="M204" s="123">
        <f t="shared" si="10"/>
        <v>6.91</v>
      </c>
      <c r="N204" s="134" t="s">
        <v>172</v>
      </c>
      <c r="O204" s="134" t="s">
        <v>173</v>
      </c>
      <c r="P204" s="134" t="s">
        <v>232</v>
      </c>
      <c r="Q204" s="134" t="s">
        <v>233</v>
      </c>
      <c r="R204" s="134" t="s">
        <v>234</v>
      </c>
    </row>
    <row r="205" spans="1:18">
      <c r="A205" t="s">
        <v>20</v>
      </c>
      <c r="B205">
        <v>48</v>
      </c>
      <c r="C205" s="136">
        <v>1</v>
      </c>
      <c r="D205" s="136">
        <v>4736467</v>
      </c>
      <c r="E205" s="136">
        <v>84</v>
      </c>
      <c r="F205" s="123">
        <v>276567.94</v>
      </c>
      <c r="G205" s="123">
        <v>-9852.02</v>
      </c>
      <c r="H205" s="123">
        <v>15.38</v>
      </c>
      <c r="I205" s="123">
        <v>25099.42</v>
      </c>
      <c r="J205" s="154">
        <v>8017.3410000000003</v>
      </c>
      <c r="K205" s="123">
        <v>58551.65</v>
      </c>
      <c r="M205" s="123">
        <f t="shared" si="10"/>
        <v>7.3031258119119542</v>
      </c>
      <c r="N205">
        <v>1</v>
      </c>
      <c r="O205">
        <v>1</v>
      </c>
      <c r="P205" s="136">
        <v>2657</v>
      </c>
      <c r="Q205" s="136">
        <v>193589</v>
      </c>
      <c r="R205" s="123">
        <v>28877.53</v>
      </c>
    </row>
    <row r="206" spans="1:18">
      <c r="A206" t="s">
        <v>20</v>
      </c>
      <c r="B206">
        <v>49</v>
      </c>
      <c r="C206" s="136">
        <v>1</v>
      </c>
      <c r="D206" s="136">
        <v>3895763</v>
      </c>
      <c r="E206" s="136"/>
      <c r="F206" s="123">
        <v>228558.06</v>
      </c>
      <c r="G206" s="123">
        <v>-8103.19</v>
      </c>
      <c r="H206" s="123"/>
      <c r="I206" s="123">
        <v>20744.8</v>
      </c>
      <c r="J206" s="154">
        <v>6824.5839999999998</v>
      </c>
      <c r="K206" s="123">
        <v>48844.25</v>
      </c>
      <c r="M206" s="123">
        <f t="shared" si="10"/>
        <v>7.1571029091296996</v>
      </c>
      <c r="N206">
        <v>1</v>
      </c>
      <c r="O206">
        <v>2</v>
      </c>
      <c r="P206" s="136">
        <v>69</v>
      </c>
      <c r="Q206" s="136">
        <v>11008</v>
      </c>
      <c r="R206" s="123">
        <v>1233.05</v>
      </c>
    </row>
    <row r="207" spans="1:18">
      <c r="A207" t="s">
        <v>20</v>
      </c>
      <c r="B207">
        <v>50</v>
      </c>
      <c r="C207" s="136">
        <v>1</v>
      </c>
      <c r="D207" s="136">
        <v>4007931</v>
      </c>
      <c r="E207" s="136"/>
      <c r="F207" s="123">
        <v>242004.39</v>
      </c>
      <c r="G207" s="123">
        <v>-8336.5</v>
      </c>
      <c r="H207" s="123"/>
      <c r="I207" s="123">
        <v>21988.15</v>
      </c>
      <c r="J207" s="154">
        <v>8057.2529999999997</v>
      </c>
      <c r="K207" s="123">
        <v>57180.2</v>
      </c>
      <c r="M207" s="123">
        <f t="shared" si="10"/>
        <v>7.0967363194379027</v>
      </c>
      <c r="N207">
        <v>1</v>
      </c>
      <c r="O207">
        <v>3</v>
      </c>
      <c r="P207" s="136">
        <v>8753</v>
      </c>
      <c r="Q207" s="136">
        <v>323450</v>
      </c>
      <c r="R207" s="123">
        <v>93933.62</v>
      </c>
    </row>
    <row r="208" spans="1:18">
      <c r="A208" t="s">
        <v>235</v>
      </c>
      <c r="B208">
        <v>51</v>
      </c>
      <c r="C208" s="151">
        <v>53</v>
      </c>
      <c r="D208" s="151"/>
      <c r="E208" s="151">
        <v>101521</v>
      </c>
      <c r="F208" s="152"/>
      <c r="G208" s="152">
        <v>-215.82</v>
      </c>
      <c r="H208" s="152">
        <v>29796.31</v>
      </c>
      <c r="I208" s="152">
        <v>2783.5</v>
      </c>
      <c r="J208" s="155">
        <v>0</v>
      </c>
      <c r="K208" s="152">
        <v>0</v>
      </c>
      <c r="N208">
        <v>1</v>
      </c>
      <c r="O208">
        <v>4</v>
      </c>
      <c r="P208" s="136">
        <v>698</v>
      </c>
      <c r="Q208" s="136">
        <v>16054</v>
      </c>
      <c r="R208" s="123">
        <v>7056.78</v>
      </c>
    </row>
    <row r="209" spans="1:18">
      <c r="B209" t="s">
        <v>43</v>
      </c>
      <c r="C209" s="136">
        <f t="shared" ref="C209:L209" si="11">SUM(C189:C208)</f>
        <v>55711</v>
      </c>
      <c r="D209" s="136">
        <f t="shared" si="11"/>
        <v>106842040</v>
      </c>
      <c r="E209" s="136">
        <f t="shared" si="11"/>
        <v>745410</v>
      </c>
      <c r="F209" s="123">
        <f t="shared" si="11"/>
        <v>9163367.2100000009</v>
      </c>
      <c r="G209" s="123">
        <f t="shared" si="11"/>
        <v>-219411.41999999998</v>
      </c>
      <c r="H209" s="123">
        <f t="shared" si="11"/>
        <v>170014.31999999998</v>
      </c>
      <c r="I209" s="123">
        <f t="shared" si="11"/>
        <v>857633.60999999987</v>
      </c>
      <c r="J209" s="150">
        <f t="shared" si="11"/>
        <v>102761.86099999999</v>
      </c>
      <c r="K209" s="123">
        <f t="shared" si="11"/>
        <v>660272.03</v>
      </c>
      <c r="L209" s="123">
        <f t="shared" si="11"/>
        <v>0</v>
      </c>
      <c r="N209">
        <v>1</v>
      </c>
      <c r="O209">
        <v>5</v>
      </c>
      <c r="P209" s="136">
        <v>543</v>
      </c>
      <c r="Q209" s="136">
        <v>20054</v>
      </c>
      <c r="R209" s="123">
        <v>6123.77</v>
      </c>
    </row>
    <row r="210" spans="1:18">
      <c r="N210">
        <v>1</v>
      </c>
      <c r="O210">
        <v>6</v>
      </c>
      <c r="P210" s="136">
        <v>196</v>
      </c>
      <c r="Q210" s="136">
        <v>19978</v>
      </c>
      <c r="R210" s="123">
        <v>2973.26</v>
      </c>
    </row>
    <row r="211" spans="1:18">
      <c r="A211" s="134" t="s">
        <v>246</v>
      </c>
      <c r="B211" s="134" t="s">
        <v>223</v>
      </c>
      <c r="N211">
        <v>1</v>
      </c>
      <c r="O211">
        <v>7</v>
      </c>
      <c r="P211" s="136">
        <v>168</v>
      </c>
      <c r="Q211" s="136">
        <v>17077</v>
      </c>
      <c r="R211" s="123">
        <v>2733.14</v>
      </c>
    </row>
    <row r="212" spans="1:18">
      <c r="A212" t="s">
        <v>10</v>
      </c>
      <c r="B212">
        <v>11</v>
      </c>
      <c r="C212" s="136">
        <v>51794</v>
      </c>
      <c r="D212" s="136">
        <v>45867668</v>
      </c>
      <c r="E212" s="136">
        <v>520515</v>
      </c>
      <c r="F212" s="123">
        <v>4608595.96</v>
      </c>
      <c r="G212" s="123">
        <v>-89979.83</v>
      </c>
      <c r="H212" s="123">
        <v>118849.3</v>
      </c>
      <c r="I212" s="123">
        <v>455409.56</v>
      </c>
      <c r="J212" s="154">
        <v>0</v>
      </c>
      <c r="K212" s="123">
        <v>0</v>
      </c>
      <c r="N212">
        <v>4</v>
      </c>
      <c r="O212">
        <v>7</v>
      </c>
      <c r="P212" s="136">
        <v>224</v>
      </c>
      <c r="Q212" s="136">
        <v>18816</v>
      </c>
      <c r="R212" s="123">
        <v>3445.12</v>
      </c>
    </row>
    <row r="213" spans="1:18">
      <c r="A213" s="25" t="s">
        <v>14</v>
      </c>
      <c r="B213">
        <v>12</v>
      </c>
      <c r="C213" s="136">
        <v>36</v>
      </c>
      <c r="D213" s="136">
        <v>5719</v>
      </c>
      <c r="E213" s="136">
        <v>74</v>
      </c>
      <c r="F213" s="123">
        <v>1019.97</v>
      </c>
      <c r="G213" s="123">
        <v>-11.23</v>
      </c>
      <c r="H213" s="123">
        <v>21.5</v>
      </c>
      <c r="I213" s="123">
        <v>101.16</v>
      </c>
      <c r="J213" s="154">
        <v>0</v>
      </c>
      <c r="K213" s="123">
        <v>0</v>
      </c>
      <c r="N213">
        <v>1</v>
      </c>
      <c r="O213">
        <v>8</v>
      </c>
      <c r="P213" s="136">
        <v>422</v>
      </c>
      <c r="Q213" s="136">
        <v>9706</v>
      </c>
      <c r="R213" s="123">
        <v>3962.58</v>
      </c>
    </row>
    <row r="214" spans="1:18">
      <c r="A214" t="s">
        <v>235</v>
      </c>
      <c r="B214">
        <v>15</v>
      </c>
      <c r="C214" s="136">
        <v>134</v>
      </c>
      <c r="D214" s="136"/>
      <c r="E214" s="136">
        <v>23356</v>
      </c>
      <c r="F214" s="123"/>
      <c r="G214" s="123">
        <v>-44.83</v>
      </c>
      <c r="H214" s="123">
        <v>5884.84</v>
      </c>
      <c r="I214" s="123">
        <v>573.65</v>
      </c>
      <c r="J214" s="154">
        <v>0</v>
      </c>
      <c r="K214" s="123">
        <v>0</v>
      </c>
      <c r="N214">
        <v>1</v>
      </c>
      <c r="O214">
        <v>9</v>
      </c>
      <c r="P214" s="136">
        <v>491</v>
      </c>
      <c r="Q214" s="136">
        <v>77568</v>
      </c>
      <c r="R214" s="123">
        <v>8210.81</v>
      </c>
    </row>
    <row r="215" spans="1:18">
      <c r="A215" t="s">
        <v>10</v>
      </c>
      <c r="B215">
        <v>17</v>
      </c>
      <c r="C215" s="136">
        <v>26</v>
      </c>
      <c r="D215" s="136">
        <v>28478</v>
      </c>
      <c r="E215" s="136">
        <v>37</v>
      </c>
      <c r="F215" s="123">
        <v>1803.65</v>
      </c>
      <c r="G215" s="123">
        <v>-33.67</v>
      </c>
      <c r="H215" s="123">
        <v>10.75</v>
      </c>
      <c r="I215" s="123">
        <v>174.89</v>
      </c>
      <c r="J215" s="154">
        <v>0</v>
      </c>
      <c r="K215" s="123">
        <v>0</v>
      </c>
      <c r="N215">
        <v>1</v>
      </c>
      <c r="O215">
        <v>11</v>
      </c>
      <c r="P215" s="136">
        <v>41</v>
      </c>
      <c r="Q215" s="136">
        <v>6434</v>
      </c>
      <c r="R215" s="123">
        <v>721.27</v>
      </c>
    </row>
    <row r="216" spans="1:18">
      <c r="A216" t="s">
        <v>236</v>
      </c>
      <c r="B216">
        <v>19</v>
      </c>
      <c r="C216" s="136">
        <v>1115</v>
      </c>
      <c r="D216" s="136">
        <v>975663</v>
      </c>
      <c r="E216" s="136">
        <v>5848</v>
      </c>
      <c r="F216" s="123">
        <v>106893.01</v>
      </c>
      <c r="G216" s="123">
        <v>-1904.19</v>
      </c>
      <c r="H216" s="123">
        <v>1454.37</v>
      </c>
      <c r="I216" s="123">
        <v>10452.99</v>
      </c>
      <c r="J216" s="154">
        <v>0</v>
      </c>
      <c r="K216" s="123">
        <v>0</v>
      </c>
      <c r="N216">
        <v>4</v>
      </c>
      <c r="O216">
        <v>12</v>
      </c>
      <c r="P216" s="136">
        <v>381</v>
      </c>
      <c r="Q216" s="136">
        <v>14097</v>
      </c>
      <c r="R216" s="123">
        <v>4293.87</v>
      </c>
    </row>
    <row r="217" spans="1:18">
      <c r="A217" s="27" t="s">
        <v>16</v>
      </c>
      <c r="B217">
        <v>21</v>
      </c>
      <c r="C217" s="136">
        <v>2470</v>
      </c>
      <c r="D217" s="136">
        <v>5602157</v>
      </c>
      <c r="E217" s="136">
        <v>73273</v>
      </c>
      <c r="F217" s="123">
        <v>635196.48</v>
      </c>
      <c r="G217" s="123">
        <v>-11010.04</v>
      </c>
      <c r="H217" s="123">
        <v>11573.4</v>
      </c>
      <c r="I217" s="123">
        <v>62431.76</v>
      </c>
      <c r="J217" s="154">
        <v>24651.403999999999</v>
      </c>
      <c r="K217" s="123">
        <v>96985.02</v>
      </c>
      <c r="N217">
        <v>3</v>
      </c>
      <c r="O217">
        <v>13</v>
      </c>
      <c r="P217" s="136">
        <v>35</v>
      </c>
      <c r="Q217" s="136">
        <v>1305</v>
      </c>
      <c r="R217" s="123">
        <v>657.6</v>
      </c>
    </row>
    <row r="218" spans="1:18">
      <c r="A218" s="27" t="s">
        <v>16</v>
      </c>
      <c r="B218">
        <v>22</v>
      </c>
      <c r="C218" s="136">
        <v>83</v>
      </c>
      <c r="D218" s="136">
        <v>17182</v>
      </c>
      <c r="E218" s="136">
        <v>564</v>
      </c>
      <c r="F218" s="123">
        <v>3635.97</v>
      </c>
      <c r="G218" s="123">
        <v>-34.42</v>
      </c>
      <c r="H218" s="123">
        <v>145.56</v>
      </c>
      <c r="I218" s="123">
        <v>367.98</v>
      </c>
      <c r="J218" s="154">
        <v>0</v>
      </c>
      <c r="K218" s="123">
        <v>0</v>
      </c>
      <c r="N218">
        <v>3</v>
      </c>
      <c r="O218">
        <v>14</v>
      </c>
      <c r="P218" s="136">
        <v>37</v>
      </c>
      <c r="Q218" s="136">
        <v>1369</v>
      </c>
      <c r="R218" s="123">
        <v>675.25</v>
      </c>
    </row>
    <row r="219" spans="1:18">
      <c r="A219" t="s">
        <v>23</v>
      </c>
      <c r="B219">
        <v>23</v>
      </c>
      <c r="C219" s="136">
        <v>39</v>
      </c>
      <c r="D219" s="136">
        <v>67045</v>
      </c>
      <c r="E219" s="136">
        <v>2850</v>
      </c>
      <c r="F219" s="123">
        <v>8563.93</v>
      </c>
      <c r="G219" s="123">
        <v>-135.58000000000001</v>
      </c>
      <c r="H219" s="123">
        <v>466.71</v>
      </c>
      <c r="I219" s="123">
        <v>873.49</v>
      </c>
      <c r="J219" s="154">
        <v>0</v>
      </c>
      <c r="K219" s="123">
        <v>0</v>
      </c>
      <c r="N219">
        <v>3</v>
      </c>
      <c r="O219">
        <v>15</v>
      </c>
      <c r="P219" s="136">
        <v>302</v>
      </c>
      <c r="Q219" s="136">
        <v>11174</v>
      </c>
      <c r="R219" s="123">
        <v>4659.8599999999997</v>
      </c>
    </row>
    <row r="220" spans="1:18">
      <c r="A220" s="25" t="s">
        <v>18</v>
      </c>
      <c r="B220">
        <v>31</v>
      </c>
      <c r="C220" s="136">
        <v>52</v>
      </c>
      <c r="D220" s="136">
        <v>2848057</v>
      </c>
      <c r="E220" s="136">
        <v>5381</v>
      </c>
      <c r="F220" s="123">
        <v>230819.95</v>
      </c>
      <c r="G220" s="123">
        <v>-5535.71</v>
      </c>
      <c r="H220" s="123">
        <v>680.25</v>
      </c>
      <c r="I220" s="123">
        <v>22189.69</v>
      </c>
      <c r="J220" s="154">
        <v>8168.4589999999998</v>
      </c>
      <c r="K220" s="123">
        <v>68266.84</v>
      </c>
      <c r="N220">
        <v>3</v>
      </c>
      <c r="O220">
        <v>16</v>
      </c>
      <c r="P220" s="151">
        <v>16</v>
      </c>
      <c r="Q220" s="151">
        <v>2544</v>
      </c>
      <c r="R220" s="152">
        <v>374.08</v>
      </c>
    </row>
    <row r="221" spans="1:18">
      <c r="A221" s="27" t="s">
        <v>19</v>
      </c>
      <c r="B221">
        <v>32</v>
      </c>
      <c r="C221" s="136">
        <v>10</v>
      </c>
      <c r="D221" s="136">
        <v>2200728</v>
      </c>
      <c r="E221" s="136">
        <v>2426</v>
      </c>
      <c r="F221" s="123">
        <v>162542.01999999999</v>
      </c>
      <c r="G221" s="123">
        <v>-4274.1499999999996</v>
      </c>
      <c r="H221" s="123">
        <v>307.64999999999998</v>
      </c>
      <c r="I221" s="123">
        <v>15572.11</v>
      </c>
      <c r="J221" s="154">
        <v>6178.2089999999998</v>
      </c>
      <c r="K221" s="123">
        <v>51526.26</v>
      </c>
      <c r="O221" t="s">
        <v>43</v>
      </c>
      <c r="P221" s="136">
        <f>SUM(P205:P220)</f>
        <v>15033</v>
      </c>
      <c r="Q221" s="136">
        <f>SUM(Q205:Q220)</f>
        <v>744223</v>
      </c>
      <c r="R221" s="123">
        <f>SUM(R205:R220)</f>
        <v>169931.58999999997</v>
      </c>
    </row>
    <row r="222" spans="1:18">
      <c r="A222" s="25" t="s">
        <v>18</v>
      </c>
      <c r="B222">
        <v>33</v>
      </c>
      <c r="C222" s="136">
        <v>5</v>
      </c>
      <c r="D222" s="136">
        <v>329640</v>
      </c>
      <c r="E222" s="136">
        <v>971</v>
      </c>
      <c r="F222" s="123">
        <v>26525.759999999998</v>
      </c>
      <c r="G222" s="123">
        <v>-609.41</v>
      </c>
      <c r="H222" s="123">
        <v>123.93</v>
      </c>
      <c r="I222" s="123">
        <v>2557.15</v>
      </c>
      <c r="J222" s="154">
        <v>1041</v>
      </c>
      <c r="K222" s="123">
        <v>8805.5</v>
      </c>
    </row>
    <row r="223" spans="1:18">
      <c r="A223" s="27" t="s">
        <v>19</v>
      </c>
      <c r="B223">
        <v>35</v>
      </c>
      <c r="C223" s="136">
        <v>13</v>
      </c>
      <c r="D223" s="136">
        <v>4230000</v>
      </c>
      <c r="E223" s="136">
        <v>4974</v>
      </c>
      <c r="F223" s="123">
        <v>316364.14</v>
      </c>
      <c r="G223" s="123">
        <v>-8085.34</v>
      </c>
      <c r="H223" s="123">
        <v>641.22</v>
      </c>
      <c r="I223" s="123">
        <v>30335.93</v>
      </c>
      <c r="J223" s="154">
        <v>12833.762000000001</v>
      </c>
      <c r="K223" s="123">
        <v>107033.58</v>
      </c>
      <c r="N223" t="s">
        <v>170</v>
      </c>
      <c r="P223" t="s">
        <v>248</v>
      </c>
    </row>
    <row r="224" spans="1:18">
      <c r="A224" s="27" t="s">
        <v>19</v>
      </c>
      <c r="B224">
        <v>36</v>
      </c>
      <c r="C224" s="136">
        <v>1</v>
      </c>
      <c r="D224" s="136">
        <v>508000</v>
      </c>
      <c r="E224" s="136"/>
      <c r="F224" s="123">
        <v>35094.68</v>
      </c>
      <c r="G224" s="123">
        <v>-936.24</v>
      </c>
      <c r="H224" s="123"/>
      <c r="I224" s="123">
        <v>3354.36</v>
      </c>
      <c r="J224" s="154">
        <v>1174.4000000000001</v>
      </c>
      <c r="K224" s="123">
        <v>9794.5</v>
      </c>
      <c r="N224" s="134" t="s">
        <v>172</v>
      </c>
      <c r="O224" s="134" t="s">
        <v>173</v>
      </c>
      <c r="P224" s="134" t="s">
        <v>232</v>
      </c>
      <c r="Q224" s="134" t="s">
        <v>233</v>
      </c>
      <c r="R224" s="134" t="s">
        <v>234</v>
      </c>
    </row>
    <row r="225" spans="1:18">
      <c r="A225" t="s">
        <v>20</v>
      </c>
      <c r="B225">
        <v>45</v>
      </c>
      <c r="C225" s="136">
        <v>1</v>
      </c>
      <c r="D225" s="136">
        <v>2698979</v>
      </c>
      <c r="E225" s="136"/>
      <c r="F225" s="123">
        <v>136451.17000000001</v>
      </c>
      <c r="G225" s="123">
        <v>-5236.0200000000004</v>
      </c>
      <c r="H225" s="123"/>
      <c r="I225" s="123">
        <v>12885.33</v>
      </c>
      <c r="J225" s="154">
        <v>5611.68</v>
      </c>
      <c r="K225" s="123">
        <v>11262.84</v>
      </c>
      <c r="M225" s="123">
        <f t="shared" ref="M225:M230" si="12">+K225/J225</f>
        <v>2.0070353263193907</v>
      </c>
      <c r="N225">
        <v>1</v>
      </c>
      <c r="O225">
        <v>1</v>
      </c>
      <c r="P225" s="136">
        <v>2634</v>
      </c>
      <c r="Q225" s="136">
        <v>193283</v>
      </c>
      <c r="R225" s="123">
        <v>28843.71</v>
      </c>
    </row>
    <row r="226" spans="1:18">
      <c r="A226" s="27" t="s">
        <v>245</v>
      </c>
      <c r="B226">
        <v>46</v>
      </c>
      <c r="C226" s="136">
        <v>1</v>
      </c>
      <c r="D226" s="136">
        <v>8557655</v>
      </c>
      <c r="E226" s="136"/>
      <c r="F226" s="123">
        <v>481102.67</v>
      </c>
      <c r="G226" s="123">
        <v>-18313.38</v>
      </c>
      <c r="H226" s="123"/>
      <c r="I226" s="123">
        <v>45445.91</v>
      </c>
      <c r="J226" s="154">
        <v>15000</v>
      </c>
      <c r="K226" s="123">
        <v>104700</v>
      </c>
      <c r="M226" s="123">
        <f t="shared" si="12"/>
        <v>6.98</v>
      </c>
      <c r="N226">
        <v>1</v>
      </c>
      <c r="O226">
        <v>2</v>
      </c>
      <c r="P226" s="136">
        <v>69</v>
      </c>
      <c r="Q226" s="136">
        <v>10971</v>
      </c>
      <c r="R226" s="123">
        <v>1228.8900000000001</v>
      </c>
    </row>
    <row r="227" spans="1:18">
      <c r="A227" t="s">
        <v>20</v>
      </c>
      <c r="B227">
        <v>47</v>
      </c>
      <c r="C227" s="136">
        <v>1</v>
      </c>
      <c r="D227" s="136">
        <v>1988523</v>
      </c>
      <c r="E227" s="136">
        <v>2134</v>
      </c>
      <c r="F227" s="123">
        <v>124605.96</v>
      </c>
      <c r="G227" s="123">
        <v>-3861.89</v>
      </c>
      <c r="H227" s="123">
        <v>292.86</v>
      </c>
      <c r="I227" s="123">
        <v>11885.83</v>
      </c>
      <c r="J227" s="154">
        <v>4600</v>
      </c>
      <c r="K227" s="123">
        <v>31786</v>
      </c>
      <c r="M227" s="123">
        <f t="shared" si="12"/>
        <v>6.91</v>
      </c>
      <c r="N227">
        <v>1</v>
      </c>
      <c r="O227">
        <v>3</v>
      </c>
      <c r="P227" s="136">
        <v>8775</v>
      </c>
      <c r="Q227" s="136">
        <v>324303</v>
      </c>
      <c r="R227" s="123">
        <v>94191.88</v>
      </c>
    </row>
    <row r="228" spans="1:18">
      <c r="A228" t="s">
        <v>20</v>
      </c>
      <c r="B228">
        <v>48</v>
      </c>
      <c r="C228" s="136">
        <v>1</v>
      </c>
      <c r="D228" s="136">
        <v>4509992</v>
      </c>
      <c r="E228" s="136">
        <v>84</v>
      </c>
      <c r="F228" s="123">
        <v>264537.53000000003</v>
      </c>
      <c r="G228" s="123">
        <v>-8749.5400000000009</v>
      </c>
      <c r="H228" s="123">
        <v>15.38</v>
      </c>
      <c r="I228" s="123">
        <v>25119.89</v>
      </c>
      <c r="J228" s="154">
        <v>7839.1719999999996</v>
      </c>
      <c r="K228" s="123">
        <v>56839.44</v>
      </c>
      <c r="M228" s="123">
        <f t="shared" si="12"/>
        <v>7.2506943335342058</v>
      </c>
      <c r="N228">
        <v>1</v>
      </c>
      <c r="O228">
        <v>4</v>
      </c>
      <c r="P228" s="136">
        <v>698</v>
      </c>
      <c r="Q228" s="136">
        <v>16054</v>
      </c>
      <c r="R228" s="123">
        <v>7056.78</v>
      </c>
    </row>
    <row r="229" spans="1:18">
      <c r="A229" t="s">
        <v>20</v>
      </c>
      <c r="B229">
        <v>49</v>
      </c>
      <c r="C229" s="136">
        <v>1</v>
      </c>
      <c r="D229" s="136">
        <v>3761102</v>
      </c>
      <c r="E229" s="136"/>
      <c r="F229" s="123">
        <v>220498.58</v>
      </c>
      <c r="G229" s="123">
        <v>-7296.54</v>
      </c>
      <c r="H229" s="123"/>
      <c r="I229" s="123">
        <v>20936.439999999999</v>
      </c>
      <c r="J229" s="154">
        <v>6624.3410000000003</v>
      </c>
      <c r="K229" s="123">
        <v>46919.92</v>
      </c>
      <c r="M229" s="123">
        <f t="shared" si="12"/>
        <v>7.0829566291952659</v>
      </c>
      <c r="N229">
        <v>1</v>
      </c>
      <c r="O229">
        <v>5</v>
      </c>
      <c r="P229" s="136">
        <v>543</v>
      </c>
      <c r="Q229" s="136">
        <v>20054</v>
      </c>
      <c r="R229" s="123">
        <v>6123.77</v>
      </c>
    </row>
    <row r="230" spans="1:18">
      <c r="A230" t="s">
        <v>20</v>
      </c>
      <c r="B230">
        <v>50</v>
      </c>
      <c r="C230" s="136">
        <v>1</v>
      </c>
      <c r="D230" s="136">
        <v>3626327</v>
      </c>
      <c r="E230" s="136"/>
      <c r="F230" s="123">
        <v>221302.15</v>
      </c>
      <c r="G230" s="123">
        <v>-7035.07</v>
      </c>
      <c r="H230" s="123"/>
      <c r="I230" s="123">
        <v>21041.03</v>
      </c>
      <c r="J230" s="154">
        <v>7712.1580000000004</v>
      </c>
      <c r="K230" s="123">
        <v>53863.839999999997</v>
      </c>
      <c r="M230" s="123">
        <f t="shared" si="12"/>
        <v>6.9842759964201973</v>
      </c>
      <c r="N230">
        <v>1</v>
      </c>
      <c r="O230">
        <v>6</v>
      </c>
      <c r="P230" s="136">
        <v>196</v>
      </c>
      <c r="Q230" s="136">
        <v>19992</v>
      </c>
      <c r="R230" s="123">
        <v>2975.28</v>
      </c>
    </row>
    <row r="231" spans="1:18">
      <c r="A231" t="s">
        <v>235</v>
      </c>
      <c r="B231">
        <v>51</v>
      </c>
      <c r="C231" s="151">
        <v>53</v>
      </c>
      <c r="D231" s="151"/>
      <c r="E231" s="151">
        <v>101555</v>
      </c>
      <c r="F231" s="152"/>
      <c r="G231" s="152">
        <v>-189.99</v>
      </c>
      <c r="H231" s="152">
        <v>29814.69</v>
      </c>
      <c r="I231" s="152">
        <v>2909.15</v>
      </c>
      <c r="J231" s="155">
        <v>0</v>
      </c>
      <c r="K231" s="152">
        <v>0</v>
      </c>
      <c r="N231">
        <v>1</v>
      </c>
      <c r="O231">
        <v>7</v>
      </c>
      <c r="P231" s="136">
        <v>172</v>
      </c>
      <c r="Q231" s="136">
        <v>17393</v>
      </c>
      <c r="R231" s="123">
        <v>2783.55</v>
      </c>
    </row>
    <row r="232" spans="1:18">
      <c r="B232" t="s">
        <v>43</v>
      </c>
      <c r="C232" s="136">
        <f t="shared" ref="C232:K232" si="13">SUM(C212:C231)</f>
        <v>55837</v>
      </c>
      <c r="D232" s="136">
        <f t="shared" si="13"/>
        <v>87822915</v>
      </c>
      <c r="E232" s="136">
        <f t="shared" si="13"/>
        <v>744042</v>
      </c>
      <c r="F232" s="123">
        <f t="shared" si="13"/>
        <v>7585553.5799999991</v>
      </c>
      <c r="G232" s="123">
        <f t="shared" si="13"/>
        <v>-173277.07000000004</v>
      </c>
      <c r="H232" s="123">
        <f t="shared" si="13"/>
        <v>170282.40999999997</v>
      </c>
      <c r="I232" s="123">
        <f t="shared" si="13"/>
        <v>744618.29999999993</v>
      </c>
      <c r="J232" s="150">
        <f t="shared" si="13"/>
        <v>101434.58500000001</v>
      </c>
      <c r="K232" s="123">
        <f t="shared" si="13"/>
        <v>647783.74</v>
      </c>
      <c r="N232">
        <v>4</v>
      </c>
      <c r="O232">
        <v>7</v>
      </c>
      <c r="P232" s="136">
        <v>225</v>
      </c>
      <c r="Q232" s="136">
        <v>18897</v>
      </c>
      <c r="R232" s="123">
        <v>3459.99</v>
      </c>
    </row>
    <row r="233" spans="1:18">
      <c r="N233">
        <v>1</v>
      </c>
      <c r="O233">
        <v>8</v>
      </c>
      <c r="P233" s="136">
        <v>422</v>
      </c>
      <c r="Q233" s="136">
        <v>9706</v>
      </c>
      <c r="R233" s="123">
        <v>3962.58</v>
      </c>
    </row>
    <row r="234" spans="1:18">
      <c r="A234" s="134" t="s">
        <v>247</v>
      </c>
      <c r="B234" s="134" t="s">
        <v>223</v>
      </c>
      <c r="N234">
        <v>1</v>
      </c>
      <c r="O234">
        <v>9</v>
      </c>
      <c r="P234" s="136">
        <v>500</v>
      </c>
      <c r="Q234" s="136">
        <v>79262</v>
      </c>
      <c r="R234" s="123">
        <v>8389.76</v>
      </c>
    </row>
    <row r="235" spans="1:18">
      <c r="A235" t="s">
        <v>10</v>
      </c>
      <c r="B235">
        <v>11</v>
      </c>
      <c r="C235" s="136">
        <v>51867</v>
      </c>
      <c r="D235" s="136">
        <v>53344887</v>
      </c>
      <c r="E235" s="136">
        <v>525089</v>
      </c>
      <c r="F235" s="123">
        <v>5278739.0599999996</v>
      </c>
      <c r="G235" s="123">
        <v>-120637.9</v>
      </c>
      <c r="H235" s="123">
        <v>119965.31</v>
      </c>
      <c r="I235" s="123">
        <v>500352.8</v>
      </c>
      <c r="J235" s="150">
        <v>0</v>
      </c>
      <c r="K235" s="123">
        <v>0</v>
      </c>
      <c r="N235">
        <v>1</v>
      </c>
      <c r="O235">
        <v>11</v>
      </c>
      <c r="P235" s="136">
        <v>41</v>
      </c>
      <c r="Q235" s="136">
        <v>6397</v>
      </c>
      <c r="R235" s="123">
        <v>717.15</v>
      </c>
    </row>
    <row r="236" spans="1:18">
      <c r="A236" s="25" t="s">
        <v>14</v>
      </c>
      <c r="B236">
        <v>12</v>
      </c>
      <c r="C236" s="136">
        <v>40</v>
      </c>
      <c r="D236" s="136">
        <v>32885</v>
      </c>
      <c r="E236" s="136">
        <v>74</v>
      </c>
      <c r="F236" s="123">
        <v>2932.49</v>
      </c>
      <c r="G236" s="123">
        <v>-73.8</v>
      </c>
      <c r="H236" s="123">
        <v>21.5</v>
      </c>
      <c r="I236" s="123">
        <v>273.07</v>
      </c>
      <c r="J236" s="150">
        <v>0</v>
      </c>
      <c r="K236" s="123">
        <v>0</v>
      </c>
      <c r="N236">
        <v>4</v>
      </c>
      <c r="O236">
        <v>12</v>
      </c>
      <c r="P236" s="136">
        <v>381</v>
      </c>
      <c r="Q236" s="136">
        <v>14119</v>
      </c>
      <c r="R236" s="123">
        <v>4300.63</v>
      </c>
    </row>
    <row r="237" spans="1:18">
      <c r="A237" t="s">
        <v>235</v>
      </c>
      <c r="B237">
        <v>15</v>
      </c>
      <c r="C237" s="136">
        <v>123</v>
      </c>
      <c r="D237" s="136"/>
      <c r="E237" s="136">
        <v>18070</v>
      </c>
      <c r="F237" s="123"/>
      <c r="G237" s="123">
        <v>-41.42</v>
      </c>
      <c r="H237" s="123">
        <v>4366.88</v>
      </c>
      <c r="I237" s="123">
        <v>405.01</v>
      </c>
      <c r="J237" s="150">
        <v>0</v>
      </c>
      <c r="K237" s="123">
        <v>0</v>
      </c>
      <c r="N237">
        <v>3</v>
      </c>
      <c r="O237">
        <v>13</v>
      </c>
      <c r="P237" s="136">
        <v>35</v>
      </c>
      <c r="Q237" s="136">
        <v>1295</v>
      </c>
      <c r="R237" s="123">
        <v>652.58000000000004</v>
      </c>
    </row>
    <row r="238" spans="1:18">
      <c r="A238" t="s">
        <v>10</v>
      </c>
      <c r="B238">
        <v>17</v>
      </c>
      <c r="C238" s="136">
        <v>26</v>
      </c>
      <c r="D238" s="136">
        <v>29811</v>
      </c>
      <c r="E238" s="136">
        <v>37</v>
      </c>
      <c r="F238" s="123">
        <v>1917.95</v>
      </c>
      <c r="G238" s="123">
        <v>-41.77</v>
      </c>
      <c r="H238" s="123">
        <v>10.75</v>
      </c>
      <c r="I238" s="123">
        <v>178.87</v>
      </c>
      <c r="J238" s="150">
        <v>0</v>
      </c>
      <c r="K238" s="123">
        <v>0</v>
      </c>
      <c r="N238">
        <v>3</v>
      </c>
      <c r="O238">
        <v>14</v>
      </c>
      <c r="P238" s="136">
        <v>37</v>
      </c>
      <c r="Q238" s="136">
        <v>1369</v>
      </c>
      <c r="R238" s="123">
        <v>675.25</v>
      </c>
    </row>
    <row r="239" spans="1:18">
      <c r="A239" t="s">
        <v>236</v>
      </c>
      <c r="B239">
        <v>19</v>
      </c>
      <c r="C239" s="136">
        <v>1191</v>
      </c>
      <c r="D239" s="136">
        <v>1475313</v>
      </c>
      <c r="E239" s="136">
        <v>6006</v>
      </c>
      <c r="F239" s="123">
        <v>151809.99</v>
      </c>
      <c r="G239" s="123">
        <v>-3319.68</v>
      </c>
      <c r="H239" s="123">
        <v>1481.6</v>
      </c>
      <c r="I239" s="123">
        <v>14217.17</v>
      </c>
      <c r="J239" s="150">
        <v>0</v>
      </c>
      <c r="K239" s="123">
        <v>0</v>
      </c>
      <c r="N239">
        <v>3</v>
      </c>
      <c r="O239">
        <v>15</v>
      </c>
      <c r="P239" s="136">
        <v>302</v>
      </c>
      <c r="Q239" s="136">
        <v>11174</v>
      </c>
      <c r="R239" s="123">
        <v>4659.8599999999997</v>
      </c>
    </row>
    <row r="240" spans="1:18">
      <c r="A240" s="27" t="s">
        <v>16</v>
      </c>
      <c r="B240">
        <v>21</v>
      </c>
      <c r="C240" s="136">
        <v>2482</v>
      </c>
      <c r="D240" s="136">
        <v>5334331</v>
      </c>
      <c r="E240" s="136">
        <v>74282</v>
      </c>
      <c r="F240" s="123">
        <v>621053.31000000006</v>
      </c>
      <c r="G240" s="123">
        <v>-12096.01</v>
      </c>
      <c r="H240" s="123">
        <v>11639.53</v>
      </c>
      <c r="I240" s="123">
        <v>58831.16</v>
      </c>
      <c r="J240" s="150">
        <v>26263.587</v>
      </c>
      <c r="K240" s="123">
        <v>106117.33</v>
      </c>
      <c r="N240">
        <v>3</v>
      </c>
      <c r="O240">
        <v>16</v>
      </c>
      <c r="P240" s="151">
        <v>16</v>
      </c>
      <c r="Q240" s="151">
        <v>2544</v>
      </c>
      <c r="R240" s="152">
        <v>374.08</v>
      </c>
    </row>
    <row r="241" spans="1:18">
      <c r="A241" s="27" t="s">
        <v>16</v>
      </c>
      <c r="B241">
        <v>22</v>
      </c>
      <c r="C241" s="136">
        <v>83</v>
      </c>
      <c r="D241" s="136">
        <v>21076</v>
      </c>
      <c r="E241" s="136">
        <v>564</v>
      </c>
      <c r="F241" s="123">
        <v>3962.44</v>
      </c>
      <c r="G241" s="123">
        <v>-48.45</v>
      </c>
      <c r="H241" s="123">
        <v>145.56</v>
      </c>
      <c r="I241" s="123">
        <v>384.78</v>
      </c>
      <c r="J241" s="150">
        <v>0</v>
      </c>
      <c r="K241" s="123">
        <v>0</v>
      </c>
      <c r="O241" t="s">
        <v>43</v>
      </c>
      <c r="P241" s="136">
        <f>SUM(P225:P240)</f>
        <v>15046</v>
      </c>
      <c r="Q241" s="136">
        <f>SUM(Q225:Q240)</f>
        <v>746813</v>
      </c>
      <c r="R241" s="123">
        <f>SUM(R225:R240)</f>
        <v>170395.73999999993</v>
      </c>
    </row>
    <row r="242" spans="1:18">
      <c r="A242" t="s">
        <v>23</v>
      </c>
      <c r="B242">
        <v>23</v>
      </c>
      <c r="C242" s="136">
        <v>40</v>
      </c>
      <c r="D242" s="136">
        <v>62739</v>
      </c>
      <c r="E242" s="136">
        <v>2576</v>
      </c>
      <c r="F242" s="123">
        <v>7722.45</v>
      </c>
      <c r="G242" s="123">
        <v>-146.22999999999999</v>
      </c>
      <c r="H242" s="123">
        <v>424.48</v>
      </c>
      <c r="I242" s="123">
        <v>758.45</v>
      </c>
      <c r="J242" s="150">
        <v>0</v>
      </c>
      <c r="K242" s="123">
        <v>0</v>
      </c>
    </row>
    <row r="243" spans="1:18">
      <c r="A243" s="25" t="s">
        <v>18</v>
      </c>
      <c r="B243">
        <v>31</v>
      </c>
      <c r="C243" s="136">
        <v>52</v>
      </c>
      <c r="D243" s="136">
        <v>2711043</v>
      </c>
      <c r="E243" s="136">
        <v>5381</v>
      </c>
      <c r="F243" s="123">
        <v>219287.66</v>
      </c>
      <c r="G243" s="123">
        <v>-6084.89</v>
      </c>
      <c r="H243" s="123">
        <v>680.25</v>
      </c>
      <c r="I243" s="123">
        <v>20276.11</v>
      </c>
      <c r="J243" s="150">
        <v>7707.0029999999997</v>
      </c>
      <c r="K243" s="123">
        <v>64418.33</v>
      </c>
      <c r="N243" t="s">
        <v>170</v>
      </c>
      <c r="P243" t="s">
        <v>249</v>
      </c>
    </row>
    <row r="244" spans="1:18">
      <c r="A244" s="27" t="s">
        <v>19</v>
      </c>
      <c r="B244">
        <v>32</v>
      </c>
      <c r="C244" s="136">
        <v>10</v>
      </c>
      <c r="D244" s="136">
        <v>2020920</v>
      </c>
      <c r="E244" s="136">
        <v>2426</v>
      </c>
      <c r="F244" s="123">
        <v>148621.92000000001</v>
      </c>
      <c r="G244" s="123">
        <v>-4532.34</v>
      </c>
      <c r="H244" s="123">
        <v>307.64999999999998</v>
      </c>
      <c r="I244" s="123">
        <v>13688.84</v>
      </c>
      <c r="J244" s="150">
        <v>5585.8230000000003</v>
      </c>
      <c r="K244" s="123">
        <v>46585.77</v>
      </c>
      <c r="N244" s="134" t="s">
        <v>172</v>
      </c>
      <c r="O244" s="134" t="s">
        <v>173</v>
      </c>
      <c r="P244" s="134" t="s">
        <v>232</v>
      </c>
      <c r="Q244" s="134" t="s">
        <v>233</v>
      </c>
      <c r="R244" s="134" t="s">
        <v>234</v>
      </c>
    </row>
    <row r="245" spans="1:18">
      <c r="A245" s="25" t="s">
        <v>18</v>
      </c>
      <c r="B245">
        <v>33</v>
      </c>
      <c r="C245" s="136">
        <v>5</v>
      </c>
      <c r="D245" s="136">
        <v>332280</v>
      </c>
      <c r="E245" s="136">
        <v>971</v>
      </c>
      <c r="F245" s="123">
        <v>27009.66</v>
      </c>
      <c r="G245" s="123">
        <v>-709.28</v>
      </c>
      <c r="H245" s="123">
        <v>123.93</v>
      </c>
      <c r="I245" s="123">
        <v>2505.0300000000002</v>
      </c>
      <c r="J245" s="150">
        <v>1082.1600000000001</v>
      </c>
      <c r="K245" s="123">
        <v>9148.76</v>
      </c>
      <c r="N245">
        <v>1</v>
      </c>
      <c r="O245">
        <v>1</v>
      </c>
      <c r="P245" s="136">
        <f t="shared" ref="P245:R260" si="14">SUM(P5+P25+P45+P65+P85+P105+P125+P145+P165+P185+P205+P225)</f>
        <v>33173</v>
      </c>
      <c r="Q245" s="136">
        <f t="shared" si="14"/>
        <v>2428493</v>
      </c>
      <c r="R245" s="123">
        <f t="shared" si="14"/>
        <v>362354.68</v>
      </c>
    </row>
    <row r="246" spans="1:18">
      <c r="A246" s="27" t="s">
        <v>19</v>
      </c>
      <c r="B246">
        <v>35</v>
      </c>
      <c r="C246" s="136">
        <v>13</v>
      </c>
      <c r="D246" s="136">
        <v>4396200</v>
      </c>
      <c r="E246" s="136">
        <v>4974</v>
      </c>
      <c r="F246" s="123">
        <v>303708.94</v>
      </c>
      <c r="G246" s="123">
        <v>-9366.3700000000008</v>
      </c>
      <c r="H246" s="123">
        <v>641.22</v>
      </c>
      <c r="I246" s="123">
        <v>27964.46</v>
      </c>
      <c r="J246" s="150">
        <v>11234.438</v>
      </c>
      <c r="K246" s="123">
        <v>93695.21</v>
      </c>
      <c r="N246">
        <v>1</v>
      </c>
      <c r="O246">
        <v>2</v>
      </c>
      <c r="P246" s="136">
        <f t="shared" si="14"/>
        <v>854</v>
      </c>
      <c r="Q246" s="136">
        <f t="shared" si="14"/>
        <v>136077</v>
      </c>
      <c r="R246" s="123">
        <f t="shared" si="14"/>
        <v>15242.39</v>
      </c>
    </row>
    <row r="247" spans="1:18">
      <c r="A247" s="27" t="s">
        <v>19</v>
      </c>
      <c r="B247">
        <v>36</v>
      </c>
      <c r="C247" s="136">
        <v>1</v>
      </c>
      <c r="D247" s="136">
        <v>450400</v>
      </c>
      <c r="E247" s="136"/>
      <c r="F247" s="123">
        <v>32419.1</v>
      </c>
      <c r="G247" s="123">
        <v>-958.45</v>
      </c>
      <c r="H247" s="123"/>
      <c r="I247" s="123">
        <v>2982.47</v>
      </c>
      <c r="J247" s="150">
        <v>1181.25</v>
      </c>
      <c r="K247" s="123">
        <v>9851.6299999999992</v>
      </c>
      <c r="N247">
        <v>1</v>
      </c>
      <c r="O247">
        <v>3</v>
      </c>
      <c r="P247" s="136">
        <f t="shared" si="14"/>
        <v>104540</v>
      </c>
      <c r="Q247" s="136">
        <f t="shared" si="14"/>
        <v>3865857</v>
      </c>
      <c r="R247" s="123">
        <f t="shared" si="14"/>
        <v>1122553.6299999999</v>
      </c>
    </row>
    <row r="248" spans="1:18">
      <c r="A248" t="s">
        <v>20</v>
      </c>
      <c r="B248">
        <v>45</v>
      </c>
      <c r="C248" s="136">
        <v>1</v>
      </c>
      <c r="D248" s="136">
        <v>3002874</v>
      </c>
      <c r="E248" s="136"/>
      <c r="F248" s="123">
        <v>149511.31</v>
      </c>
      <c r="G248" s="123">
        <v>-6726.44</v>
      </c>
      <c r="H248" s="123"/>
      <c r="I248" s="123">
        <v>13536.01</v>
      </c>
      <c r="J248" s="150">
        <v>5415.84</v>
      </c>
      <c r="K248" s="123">
        <v>10477.52</v>
      </c>
      <c r="M248" s="123">
        <f t="shared" ref="M248:M253" si="15">+K248/J248</f>
        <v>1.9346066353511182</v>
      </c>
      <c r="N248">
        <v>1</v>
      </c>
      <c r="O248">
        <v>4</v>
      </c>
      <c r="P248" s="136">
        <f t="shared" si="14"/>
        <v>8376</v>
      </c>
      <c r="Q248" s="136">
        <f t="shared" si="14"/>
        <v>192648</v>
      </c>
      <c r="R248" s="123">
        <f t="shared" si="14"/>
        <v>84681.36</v>
      </c>
    </row>
    <row r="249" spans="1:18">
      <c r="A249" s="27" t="s">
        <v>245</v>
      </c>
      <c r="B249">
        <v>46</v>
      </c>
      <c r="C249" s="136">
        <v>1</v>
      </c>
      <c r="D249" s="136">
        <v>8184778</v>
      </c>
      <c r="E249" s="136"/>
      <c r="F249" s="123">
        <v>464939.57</v>
      </c>
      <c r="G249" s="123">
        <v>-27091.62</v>
      </c>
      <c r="H249" s="123"/>
      <c r="I249" s="123">
        <v>41507.99</v>
      </c>
      <c r="J249" s="150">
        <v>15000</v>
      </c>
      <c r="K249" s="123">
        <v>104700</v>
      </c>
      <c r="M249" s="123">
        <f t="shared" si="15"/>
        <v>6.98</v>
      </c>
      <c r="N249">
        <v>1</v>
      </c>
      <c r="O249">
        <v>5</v>
      </c>
      <c r="P249" s="136">
        <f t="shared" si="14"/>
        <v>6516</v>
      </c>
      <c r="Q249" s="136">
        <f t="shared" si="14"/>
        <v>240648</v>
      </c>
      <c r="R249" s="123">
        <f t="shared" si="14"/>
        <v>73485.24000000002</v>
      </c>
    </row>
    <row r="250" spans="1:18">
      <c r="A250" t="s">
        <v>20</v>
      </c>
      <c r="B250">
        <v>47</v>
      </c>
      <c r="C250" s="136">
        <v>1</v>
      </c>
      <c r="D250" s="136">
        <v>2156510</v>
      </c>
      <c r="E250" s="136">
        <v>2134</v>
      </c>
      <c r="F250" s="123">
        <v>132259.45000000001</v>
      </c>
      <c r="G250" s="123">
        <v>-4835.3900000000003</v>
      </c>
      <c r="H250" s="123">
        <v>292.86</v>
      </c>
      <c r="I250" s="123">
        <v>12107.56</v>
      </c>
      <c r="J250" s="150">
        <v>4600</v>
      </c>
      <c r="K250" s="123">
        <v>31786</v>
      </c>
      <c r="M250" s="123">
        <f t="shared" si="15"/>
        <v>6.91</v>
      </c>
      <c r="N250">
        <v>1</v>
      </c>
      <c r="O250">
        <v>6</v>
      </c>
      <c r="P250" s="136">
        <f t="shared" si="14"/>
        <v>2369</v>
      </c>
      <c r="Q250" s="136">
        <f t="shared" si="14"/>
        <v>241912</v>
      </c>
      <c r="R250" s="123">
        <f t="shared" si="14"/>
        <v>36002.419999999991</v>
      </c>
    </row>
    <row r="251" spans="1:18">
      <c r="A251" t="s">
        <v>20</v>
      </c>
      <c r="B251">
        <v>48</v>
      </c>
      <c r="C251" s="136">
        <v>1</v>
      </c>
      <c r="D251" s="136">
        <v>4570057</v>
      </c>
      <c r="E251" s="136">
        <v>84</v>
      </c>
      <c r="F251" s="123">
        <v>265168.5</v>
      </c>
      <c r="G251" s="123">
        <v>-10237.120000000001</v>
      </c>
      <c r="H251" s="123">
        <v>15.38</v>
      </c>
      <c r="I251" s="123">
        <v>24168.95</v>
      </c>
      <c r="J251" s="150">
        <v>7620.0680000000002</v>
      </c>
      <c r="K251" s="123">
        <v>54733.85</v>
      </c>
      <c r="M251" s="123">
        <f t="shared" si="15"/>
        <v>7.182855848530485</v>
      </c>
      <c r="N251">
        <v>1</v>
      </c>
      <c r="O251">
        <v>7</v>
      </c>
      <c r="P251" s="136">
        <f t="shared" si="14"/>
        <v>2070</v>
      </c>
      <c r="Q251" s="136">
        <f t="shared" si="14"/>
        <v>210149</v>
      </c>
      <c r="R251" s="123">
        <f t="shared" si="14"/>
        <v>33636.19</v>
      </c>
    </row>
    <row r="252" spans="1:18">
      <c r="A252" t="s">
        <v>20</v>
      </c>
      <c r="B252">
        <v>49</v>
      </c>
      <c r="C252" s="136">
        <v>1</v>
      </c>
      <c r="D252" s="136">
        <v>3887764</v>
      </c>
      <c r="E252" s="136"/>
      <c r="F252" s="123">
        <v>228095.78</v>
      </c>
      <c r="G252" s="123">
        <v>-8708.59</v>
      </c>
      <c r="H252" s="123"/>
      <c r="I252" s="123">
        <v>20797.91</v>
      </c>
      <c r="J252" s="150">
        <v>6814.402</v>
      </c>
      <c r="K252" s="123">
        <v>48746.400000000001</v>
      </c>
      <c r="M252" s="123">
        <f t="shared" si="15"/>
        <v>7.153437675088731</v>
      </c>
      <c r="N252">
        <v>4</v>
      </c>
      <c r="O252">
        <v>7</v>
      </c>
      <c r="P252" s="136">
        <f t="shared" si="14"/>
        <v>2606</v>
      </c>
      <c r="Q252" s="136">
        <f t="shared" si="14"/>
        <v>219042</v>
      </c>
      <c r="R252" s="123">
        <f t="shared" si="14"/>
        <v>40105.440000000002</v>
      </c>
    </row>
    <row r="253" spans="1:18">
      <c r="A253" t="s">
        <v>20</v>
      </c>
      <c r="B253">
        <v>50</v>
      </c>
      <c r="C253" s="136">
        <v>1</v>
      </c>
      <c r="D253" s="136">
        <v>3840417</v>
      </c>
      <c r="E253" s="136"/>
      <c r="F253" s="123">
        <v>231173.29</v>
      </c>
      <c r="G253" s="123">
        <v>-8602.5300000000007</v>
      </c>
      <c r="H253" s="123"/>
      <c r="I253" s="123">
        <v>21099.71</v>
      </c>
      <c r="J253" s="150">
        <v>7724.3540000000003</v>
      </c>
      <c r="K253" s="123">
        <v>53981.04</v>
      </c>
      <c r="M253" s="123">
        <f t="shared" si="15"/>
        <v>6.9884212971078226</v>
      </c>
      <c r="N253">
        <v>1</v>
      </c>
      <c r="O253">
        <v>8</v>
      </c>
      <c r="P253" s="136">
        <f t="shared" si="14"/>
        <v>5257</v>
      </c>
      <c r="Q253" s="136">
        <f t="shared" si="14"/>
        <v>120968</v>
      </c>
      <c r="R253" s="123">
        <f t="shared" si="14"/>
        <v>49386.710000000006</v>
      </c>
    </row>
    <row r="254" spans="1:18">
      <c r="A254" t="s">
        <v>235</v>
      </c>
      <c r="B254">
        <v>51</v>
      </c>
      <c r="C254" s="151">
        <v>53</v>
      </c>
      <c r="D254" s="151"/>
      <c r="E254" s="151">
        <v>101555</v>
      </c>
      <c r="F254" s="152"/>
      <c r="G254" s="152">
        <v>-223.13</v>
      </c>
      <c r="H254" s="152">
        <v>29814.69</v>
      </c>
      <c r="I254" s="152">
        <v>2805.26</v>
      </c>
      <c r="J254" s="153">
        <v>0</v>
      </c>
      <c r="K254" s="152">
        <v>0</v>
      </c>
      <c r="N254">
        <v>1</v>
      </c>
      <c r="O254">
        <v>9</v>
      </c>
      <c r="P254" s="136">
        <f t="shared" si="14"/>
        <v>5739</v>
      </c>
      <c r="Q254" s="136">
        <f t="shared" si="14"/>
        <v>916639</v>
      </c>
      <c r="R254" s="123">
        <f t="shared" si="14"/>
        <v>97022.86</v>
      </c>
    </row>
    <row r="255" spans="1:18">
      <c r="B255" t="s">
        <v>43</v>
      </c>
      <c r="C255" s="136">
        <f t="shared" ref="C255:K255" si="16">SUM(C235:C254)</f>
        <v>55992</v>
      </c>
      <c r="D255" s="136">
        <f t="shared" si="16"/>
        <v>95854285</v>
      </c>
      <c r="E255" s="136">
        <f t="shared" si="16"/>
        <v>744223</v>
      </c>
      <c r="F255" s="123">
        <f t="shared" si="16"/>
        <v>8270332.870000002</v>
      </c>
      <c r="G255" s="123">
        <f t="shared" si="16"/>
        <v>-224481.41000000003</v>
      </c>
      <c r="H255" s="123">
        <f t="shared" si="16"/>
        <v>169931.59</v>
      </c>
      <c r="I255" s="123">
        <f t="shared" si="16"/>
        <v>778841.60999999987</v>
      </c>
      <c r="J255" s="150">
        <f t="shared" si="16"/>
        <v>100228.92500000002</v>
      </c>
      <c r="K255" s="123">
        <f t="shared" si="16"/>
        <v>634241.84000000008</v>
      </c>
      <c r="N255">
        <v>1</v>
      </c>
      <c r="O255">
        <v>11</v>
      </c>
      <c r="P255" s="136">
        <f t="shared" si="14"/>
        <v>483</v>
      </c>
      <c r="Q255" s="136">
        <f t="shared" si="14"/>
        <v>75286</v>
      </c>
      <c r="R255" s="123">
        <f t="shared" si="14"/>
        <v>8441.5499999999993</v>
      </c>
    </row>
    <row r="256" spans="1:18">
      <c r="N256">
        <v>4</v>
      </c>
      <c r="O256">
        <v>12</v>
      </c>
      <c r="P256" s="136">
        <f t="shared" si="14"/>
        <v>4470</v>
      </c>
      <c r="Q256" s="136">
        <f t="shared" si="14"/>
        <v>165378</v>
      </c>
      <c r="R256" s="123">
        <f t="shared" si="14"/>
        <v>50377.259999999995</v>
      </c>
    </row>
    <row r="257" spans="1:18">
      <c r="A257" s="134" t="s">
        <v>248</v>
      </c>
      <c r="B257" s="134" t="s">
        <v>223</v>
      </c>
      <c r="N257">
        <v>3</v>
      </c>
      <c r="O257">
        <v>13</v>
      </c>
      <c r="P257" s="136">
        <f t="shared" si="14"/>
        <v>419</v>
      </c>
      <c r="Q257" s="136">
        <f t="shared" si="14"/>
        <v>15552</v>
      </c>
      <c r="R257" s="123">
        <f t="shared" si="14"/>
        <v>7837.24</v>
      </c>
    </row>
    <row r="258" spans="1:18">
      <c r="A258" t="s">
        <v>10</v>
      </c>
      <c r="B258">
        <v>11</v>
      </c>
      <c r="C258" s="136">
        <v>51697</v>
      </c>
      <c r="D258" s="136">
        <v>78126638</v>
      </c>
      <c r="E258" s="136">
        <v>524333</v>
      </c>
      <c r="F258" s="123">
        <v>7495318.29</v>
      </c>
      <c r="G258" s="123">
        <v>-277644.39</v>
      </c>
      <c r="H258" s="123">
        <v>119878.37</v>
      </c>
      <c r="I258" s="123">
        <v>790265.07</v>
      </c>
      <c r="J258" s="150">
        <v>0</v>
      </c>
      <c r="K258" s="123">
        <v>0</v>
      </c>
      <c r="N258">
        <v>3</v>
      </c>
      <c r="O258">
        <v>14</v>
      </c>
      <c r="P258" s="136">
        <f t="shared" si="14"/>
        <v>429</v>
      </c>
      <c r="Q258" s="136">
        <f t="shared" si="14"/>
        <v>15763</v>
      </c>
      <c r="R258" s="123">
        <f t="shared" si="14"/>
        <v>7774.5</v>
      </c>
    </row>
    <row r="259" spans="1:18">
      <c r="A259" s="25" t="s">
        <v>14</v>
      </c>
      <c r="B259">
        <v>12</v>
      </c>
      <c r="C259" s="136">
        <v>38</v>
      </c>
      <c r="D259" s="136">
        <v>60373</v>
      </c>
      <c r="E259" s="136">
        <v>74</v>
      </c>
      <c r="F259" s="123">
        <v>4703.38</v>
      </c>
      <c r="G259" s="123">
        <v>-213.42</v>
      </c>
      <c r="H259" s="123">
        <v>21.5</v>
      </c>
      <c r="I259" s="123">
        <v>485.89</v>
      </c>
      <c r="J259" s="150">
        <v>0</v>
      </c>
      <c r="K259" s="123">
        <v>0</v>
      </c>
      <c r="N259">
        <v>3</v>
      </c>
      <c r="O259">
        <v>15</v>
      </c>
      <c r="P259" s="136">
        <f t="shared" si="14"/>
        <v>3319</v>
      </c>
      <c r="Q259" s="136">
        <f t="shared" si="14"/>
        <v>125232</v>
      </c>
      <c r="R259" s="123">
        <f t="shared" si="14"/>
        <v>52224.340000000004</v>
      </c>
    </row>
    <row r="260" spans="1:18">
      <c r="A260" t="s">
        <v>235</v>
      </c>
      <c r="B260">
        <v>15</v>
      </c>
      <c r="C260" s="136">
        <v>118</v>
      </c>
      <c r="D260" s="136"/>
      <c r="E260" s="136">
        <v>20143</v>
      </c>
      <c r="F260" s="123"/>
      <c r="G260" s="123">
        <v>-71.03</v>
      </c>
      <c r="H260" s="123">
        <v>4684.95</v>
      </c>
      <c r="I260" s="123">
        <v>496.68</v>
      </c>
      <c r="J260" s="150">
        <v>0</v>
      </c>
      <c r="K260" s="123">
        <v>0</v>
      </c>
      <c r="N260">
        <v>3</v>
      </c>
      <c r="O260">
        <v>16</v>
      </c>
      <c r="P260" s="136">
        <f t="shared" si="14"/>
        <v>242</v>
      </c>
      <c r="Q260" s="136">
        <f t="shared" si="14"/>
        <v>39063</v>
      </c>
      <c r="R260" s="123">
        <f t="shared" si="14"/>
        <v>5744.4299999999994</v>
      </c>
    </row>
    <row r="261" spans="1:18">
      <c r="A261" t="s">
        <v>10</v>
      </c>
      <c r="B261">
        <v>17</v>
      </c>
      <c r="C261" s="136">
        <v>27</v>
      </c>
      <c r="D261" s="136">
        <v>42417</v>
      </c>
      <c r="E261" s="136">
        <v>37</v>
      </c>
      <c r="F261" s="123">
        <v>3420.09</v>
      </c>
      <c r="G261" s="123">
        <v>-124.67</v>
      </c>
      <c r="H261" s="123">
        <v>10.75</v>
      </c>
      <c r="I261" s="123">
        <v>356.09</v>
      </c>
      <c r="J261" s="150">
        <v>0</v>
      </c>
      <c r="K261" s="123">
        <v>0</v>
      </c>
      <c r="O261" t="s">
        <v>43</v>
      </c>
      <c r="P261" s="136">
        <f>SUM(P245:P260)</f>
        <v>180862</v>
      </c>
      <c r="Q261" s="136">
        <f>SUM(Q245:Q260)</f>
        <v>9008707</v>
      </c>
      <c r="R261" s="123">
        <f>SUM(R245:R260)</f>
        <v>2046870.24</v>
      </c>
    </row>
    <row r="262" spans="1:18">
      <c r="A262" t="s">
        <v>236</v>
      </c>
      <c r="B262">
        <v>19</v>
      </c>
      <c r="C262" s="136">
        <v>1207</v>
      </c>
      <c r="D262" s="136">
        <v>1708023</v>
      </c>
      <c r="E262" s="136">
        <v>6134</v>
      </c>
      <c r="F262" s="123">
        <v>173525.56</v>
      </c>
      <c r="G262" s="123">
        <v>-6184.61</v>
      </c>
      <c r="H262" s="123">
        <v>1517.13</v>
      </c>
      <c r="I262" s="123">
        <v>18298.669999999998</v>
      </c>
      <c r="J262" s="150">
        <v>0</v>
      </c>
      <c r="K262" s="123">
        <v>0</v>
      </c>
    </row>
    <row r="263" spans="1:18">
      <c r="A263" s="27" t="s">
        <v>16</v>
      </c>
      <c r="B263">
        <v>21</v>
      </c>
      <c r="C263" s="136">
        <v>2473</v>
      </c>
      <c r="D263" s="136">
        <v>5374822</v>
      </c>
      <c r="E263" s="136">
        <v>74819</v>
      </c>
      <c r="F263" s="123">
        <v>623280.11</v>
      </c>
      <c r="G263" s="123">
        <v>-19236.98</v>
      </c>
      <c r="H263" s="123">
        <v>11677.1</v>
      </c>
      <c r="I263" s="123">
        <v>66312.820000000007</v>
      </c>
      <c r="J263" s="150">
        <v>25918.706999999999</v>
      </c>
      <c r="K263" s="123">
        <v>103958.12</v>
      </c>
    </row>
    <row r="264" spans="1:18">
      <c r="A264" s="27" t="s">
        <v>16</v>
      </c>
      <c r="B264">
        <v>22</v>
      </c>
      <c r="C264" s="136">
        <v>81</v>
      </c>
      <c r="D264" s="136">
        <v>26840</v>
      </c>
      <c r="E264" s="136">
        <v>564</v>
      </c>
      <c r="F264" s="123">
        <v>4390.07</v>
      </c>
      <c r="G264" s="123">
        <v>-96.7</v>
      </c>
      <c r="H264" s="123">
        <v>145.56</v>
      </c>
      <c r="I264" s="123">
        <v>478.06</v>
      </c>
      <c r="J264" s="150">
        <v>0</v>
      </c>
      <c r="K264" s="123">
        <v>0</v>
      </c>
    </row>
    <row r="265" spans="1:18">
      <c r="A265" t="s">
        <v>23</v>
      </c>
      <c r="B265">
        <v>23</v>
      </c>
      <c r="C265" s="136">
        <v>43</v>
      </c>
      <c r="D265" s="136">
        <v>91250</v>
      </c>
      <c r="E265" s="136">
        <v>3068</v>
      </c>
      <c r="F265" s="123">
        <v>10430.84</v>
      </c>
      <c r="G265" s="123">
        <v>-332.92</v>
      </c>
      <c r="H265" s="123">
        <v>559.5</v>
      </c>
      <c r="I265" s="123">
        <v>1147.77</v>
      </c>
      <c r="J265" s="150">
        <v>0</v>
      </c>
      <c r="K265" s="123">
        <v>0</v>
      </c>
    </row>
    <row r="266" spans="1:18">
      <c r="A266" s="25" t="s">
        <v>18</v>
      </c>
      <c r="B266">
        <v>31</v>
      </c>
      <c r="C266" s="136">
        <v>52</v>
      </c>
      <c r="D266" s="136">
        <v>2506240</v>
      </c>
      <c r="E266" s="136">
        <v>5381</v>
      </c>
      <c r="F266" s="123">
        <v>208826.75</v>
      </c>
      <c r="G266" s="123">
        <v>-8866.0400000000009</v>
      </c>
      <c r="H266" s="123">
        <v>680.25</v>
      </c>
      <c r="I266" s="123">
        <v>21609.040000000001</v>
      </c>
      <c r="J266" s="150">
        <v>7829.8320000000003</v>
      </c>
      <c r="K266" s="123">
        <v>65442.720000000001</v>
      </c>
    </row>
    <row r="267" spans="1:18">
      <c r="A267" s="27" t="s">
        <v>19</v>
      </c>
      <c r="B267">
        <v>32</v>
      </c>
      <c r="C267" s="136">
        <v>10</v>
      </c>
      <c r="D267" s="136">
        <v>1867536</v>
      </c>
      <c r="E267" s="136">
        <v>2426</v>
      </c>
      <c r="F267" s="123">
        <v>134650.46</v>
      </c>
      <c r="G267" s="123">
        <v>-6600.96</v>
      </c>
      <c r="H267" s="123">
        <v>307.64999999999998</v>
      </c>
      <c r="I267" s="123">
        <v>13824.07</v>
      </c>
      <c r="J267" s="150">
        <v>4829.0559999999996</v>
      </c>
      <c r="K267" s="123">
        <v>40274.33</v>
      </c>
    </row>
    <row r="268" spans="1:18">
      <c r="A268" s="25" t="s">
        <v>18</v>
      </c>
      <c r="B268">
        <v>33</v>
      </c>
      <c r="C268" s="136">
        <v>5</v>
      </c>
      <c r="D268" s="136">
        <v>316680</v>
      </c>
      <c r="E268" s="136">
        <v>971</v>
      </c>
      <c r="F268" s="123">
        <v>26250.57</v>
      </c>
      <c r="G268" s="123">
        <v>-1065.4000000000001</v>
      </c>
      <c r="H268" s="123">
        <v>123.93</v>
      </c>
      <c r="I268" s="123">
        <v>2725.79</v>
      </c>
      <c r="J268" s="150">
        <v>1086.96</v>
      </c>
      <c r="K268" s="123">
        <v>9188.81</v>
      </c>
    </row>
    <row r="269" spans="1:18">
      <c r="A269" s="27" t="s">
        <v>19</v>
      </c>
      <c r="B269">
        <v>35</v>
      </c>
      <c r="C269" s="136">
        <v>13</v>
      </c>
      <c r="D269" s="136">
        <v>4043400</v>
      </c>
      <c r="E269" s="136">
        <v>4974</v>
      </c>
      <c r="F269" s="123">
        <v>280842.23</v>
      </c>
      <c r="G269" s="123">
        <v>-13577.08</v>
      </c>
      <c r="H269" s="123">
        <v>641.22</v>
      </c>
      <c r="I269" s="123">
        <v>28853.52</v>
      </c>
      <c r="J269" s="150">
        <v>10499.565000000001</v>
      </c>
      <c r="K269" s="123">
        <v>87566.38</v>
      </c>
    </row>
    <row r="270" spans="1:18">
      <c r="A270" s="27" t="s">
        <v>19</v>
      </c>
      <c r="B270">
        <v>36</v>
      </c>
      <c r="C270" s="136">
        <v>1</v>
      </c>
      <c r="D270" s="136">
        <v>716000</v>
      </c>
      <c r="E270" s="136"/>
      <c r="F270" s="123">
        <v>44968.81</v>
      </c>
      <c r="G270" s="123">
        <v>-2401.11</v>
      </c>
      <c r="H270" s="123"/>
      <c r="I270" s="123">
        <v>4584.54</v>
      </c>
      <c r="J270" s="150">
        <v>1175.117</v>
      </c>
      <c r="K270" s="123">
        <v>9800.48</v>
      </c>
    </row>
    <row r="271" spans="1:18">
      <c r="A271" t="s">
        <v>20</v>
      </c>
      <c r="B271">
        <v>45</v>
      </c>
      <c r="C271" s="136">
        <v>1</v>
      </c>
      <c r="D271" s="136">
        <v>2445512</v>
      </c>
      <c r="E271" s="136"/>
      <c r="F271" s="123">
        <v>123592.43</v>
      </c>
      <c r="G271" s="123">
        <v>-8632.66</v>
      </c>
      <c r="H271" s="123"/>
      <c r="I271" s="123">
        <v>12381.17</v>
      </c>
      <c r="J271" s="150">
        <v>5284.8</v>
      </c>
      <c r="K271" s="123">
        <v>9952.0499999999993</v>
      </c>
      <c r="M271" s="123">
        <f t="shared" ref="M271:M276" si="17">+K271/J271</f>
        <v>1.8831460036330607</v>
      </c>
    </row>
    <row r="272" spans="1:18">
      <c r="A272" s="27" t="s">
        <v>245</v>
      </c>
      <c r="B272">
        <v>46</v>
      </c>
      <c r="C272" s="136">
        <v>1</v>
      </c>
      <c r="D272" s="136">
        <v>8879458</v>
      </c>
      <c r="E272" s="136"/>
      <c r="F272" s="123">
        <v>498995.29</v>
      </c>
      <c r="G272" s="123">
        <v>-19978.78</v>
      </c>
      <c r="H272" s="123"/>
      <c r="I272" s="123">
        <v>51590.080000000002</v>
      </c>
      <c r="J272" s="150">
        <v>15564.96</v>
      </c>
      <c r="K272" s="123">
        <v>108643.42</v>
      </c>
      <c r="M272" s="123">
        <f t="shared" si="17"/>
        <v>6.9799999486025026</v>
      </c>
    </row>
    <row r="273" spans="1:14">
      <c r="A273" t="s">
        <v>20</v>
      </c>
      <c r="B273">
        <v>47</v>
      </c>
      <c r="C273" s="136">
        <v>1</v>
      </c>
      <c r="D273" s="136">
        <v>1979529</v>
      </c>
      <c r="E273" s="136">
        <v>2134</v>
      </c>
      <c r="F273" s="123">
        <v>124196.19</v>
      </c>
      <c r="G273" s="123">
        <v>-6995.26</v>
      </c>
      <c r="H273" s="123">
        <v>292.86</v>
      </c>
      <c r="I273" s="123">
        <v>12654.08</v>
      </c>
      <c r="J273" s="150">
        <v>4600</v>
      </c>
      <c r="K273" s="123">
        <v>31786</v>
      </c>
      <c r="M273" s="123">
        <f t="shared" si="17"/>
        <v>6.91</v>
      </c>
    </row>
    <row r="274" spans="1:14">
      <c r="A274" t="s">
        <v>20</v>
      </c>
      <c r="B274">
        <v>48</v>
      </c>
      <c r="C274" s="136">
        <v>1</v>
      </c>
      <c r="D274" s="136">
        <v>4280462</v>
      </c>
      <c r="E274" s="136">
        <v>84</v>
      </c>
      <c r="F274" s="123">
        <v>251774.07</v>
      </c>
      <c r="G274" s="123">
        <v>-15110.33</v>
      </c>
      <c r="H274" s="123">
        <v>15.38</v>
      </c>
      <c r="I274" s="123">
        <v>25490.34</v>
      </c>
      <c r="J274" s="150">
        <v>7599.2060000000001</v>
      </c>
      <c r="K274" s="123">
        <v>54533.37</v>
      </c>
      <c r="M274" s="123">
        <f t="shared" si="17"/>
        <v>7.1761931443890328</v>
      </c>
    </row>
    <row r="275" spans="1:14">
      <c r="A275" t="s">
        <v>20</v>
      </c>
      <c r="B275">
        <v>49</v>
      </c>
      <c r="C275" s="136">
        <v>1</v>
      </c>
      <c r="D275" s="136">
        <v>3836702</v>
      </c>
      <c r="E275" s="136"/>
      <c r="F275" s="123">
        <v>224617.04</v>
      </c>
      <c r="G275" s="123">
        <v>-13543.56</v>
      </c>
      <c r="H275" s="123"/>
      <c r="I275" s="123">
        <v>22732.61</v>
      </c>
      <c r="J275" s="150">
        <v>6694.49</v>
      </c>
      <c r="K275" s="123">
        <v>47594.05</v>
      </c>
      <c r="M275" s="123">
        <f t="shared" si="17"/>
        <v>7.1094362677366023</v>
      </c>
    </row>
    <row r="276" spans="1:14">
      <c r="A276" t="s">
        <v>20</v>
      </c>
      <c r="B276">
        <v>50</v>
      </c>
      <c r="C276" s="136">
        <v>1</v>
      </c>
      <c r="D276" s="136">
        <v>3435045</v>
      </c>
      <c r="E276" s="136"/>
      <c r="F276" s="123">
        <v>210548.5</v>
      </c>
      <c r="G276" s="123">
        <v>-12125.71</v>
      </c>
      <c r="H276" s="123"/>
      <c r="I276" s="123">
        <v>21370.13</v>
      </c>
      <c r="J276" s="150">
        <v>7500</v>
      </c>
      <c r="K276" s="123">
        <v>51825</v>
      </c>
      <c r="M276" s="123">
        <f t="shared" si="17"/>
        <v>6.91</v>
      </c>
    </row>
    <row r="277" spans="1:14">
      <c r="A277" t="s">
        <v>235</v>
      </c>
      <c r="B277">
        <v>51</v>
      </c>
      <c r="C277" s="151">
        <v>54</v>
      </c>
      <c r="D277" s="151"/>
      <c r="E277" s="151">
        <v>101671</v>
      </c>
      <c r="F277" s="152"/>
      <c r="G277" s="152">
        <v>-357.46</v>
      </c>
      <c r="H277" s="152">
        <v>29839.59</v>
      </c>
      <c r="I277" s="152">
        <v>3175.25</v>
      </c>
      <c r="J277" s="153">
        <v>0</v>
      </c>
      <c r="K277" s="152">
        <v>0</v>
      </c>
    </row>
    <row r="278" spans="1:14">
      <c r="B278" t="s">
        <v>43</v>
      </c>
      <c r="C278" s="136">
        <f t="shared" ref="C278:K278" si="18">SUM(C258:C277)</f>
        <v>55825</v>
      </c>
      <c r="D278" s="136">
        <f t="shared" si="18"/>
        <v>119736927</v>
      </c>
      <c r="E278" s="136">
        <f t="shared" si="18"/>
        <v>746813</v>
      </c>
      <c r="F278" s="123">
        <f t="shared" si="18"/>
        <v>10444330.68</v>
      </c>
      <c r="G278" s="123">
        <f t="shared" si="18"/>
        <v>-413159.07000000007</v>
      </c>
      <c r="H278" s="123">
        <f t="shared" si="18"/>
        <v>170395.73999999996</v>
      </c>
      <c r="I278" s="123">
        <f t="shared" si="18"/>
        <v>1098831.6700000002</v>
      </c>
      <c r="J278" s="150">
        <f t="shared" si="18"/>
        <v>98582.693000000014</v>
      </c>
      <c r="K278" s="123">
        <f t="shared" si="18"/>
        <v>620564.73</v>
      </c>
    </row>
    <row r="280" spans="1:14">
      <c r="A280" s="134" t="s">
        <v>249</v>
      </c>
      <c r="B280" s="134" t="s">
        <v>223</v>
      </c>
    </row>
    <row r="281" spans="1:14">
      <c r="A281" t="s">
        <v>10</v>
      </c>
      <c r="B281">
        <v>11</v>
      </c>
      <c r="C281" s="136">
        <f>SUM(C5+C28+C51+C74+C97+C120+C143+C166+C189+C212+C235+C258)</f>
        <v>624415</v>
      </c>
      <c r="D281" s="136">
        <f t="shared" ref="D281:L281" si="19">SUM(D5+D28+D51+D74+D97+D120+D143+D166+D189+D212+D235+D258)</f>
        <v>784244374</v>
      </c>
      <c r="E281" s="136">
        <f t="shared" si="19"/>
        <v>6372604</v>
      </c>
      <c r="F281" s="123">
        <f t="shared" si="19"/>
        <v>76263748.430000007</v>
      </c>
      <c r="G281" s="123">
        <f t="shared" si="19"/>
        <v>-133045.15</v>
      </c>
      <c r="H281" s="123">
        <f t="shared" si="19"/>
        <v>1450101.8200000003</v>
      </c>
      <c r="I281" s="123">
        <f t="shared" si="19"/>
        <v>8526350.1899999995</v>
      </c>
      <c r="J281" s="150">
        <f t="shared" si="19"/>
        <v>0</v>
      </c>
      <c r="K281" s="123">
        <f t="shared" si="19"/>
        <v>0</v>
      </c>
      <c r="L281" s="123">
        <f t="shared" si="19"/>
        <v>0</v>
      </c>
    </row>
    <row r="282" spans="1:14">
      <c r="A282" s="25" t="s">
        <v>14</v>
      </c>
      <c r="B282">
        <v>12</v>
      </c>
      <c r="C282" s="136">
        <f t="shared" ref="C282:L297" si="20">SUM(C6+C29+C52+C75+C98+C121+C144+C167+C190+C213+C236+C259)</f>
        <v>447</v>
      </c>
      <c r="D282" s="136">
        <f t="shared" si="20"/>
        <v>437447</v>
      </c>
      <c r="E282" s="136">
        <f t="shared" si="20"/>
        <v>905</v>
      </c>
      <c r="F282" s="123">
        <f t="shared" si="20"/>
        <v>37530.879999999997</v>
      </c>
      <c r="G282" s="123">
        <f t="shared" si="20"/>
        <v>-55.629999999999967</v>
      </c>
      <c r="H282" s="123">
        <f t="shared" si="20"/>
        <v>260.53999999999996</v>
      </c>
      <c r="I282" s="123">
        <f t="shared" si="20"/>
        <v>4098.8600000000006</v>
      </c>
      <c r="J282" s="150">
        <f t="shared" si="20"/>
        <v>0</v>
      </c>
      <c r="K282" s="123">
        <f t="shared" si="20"/>
        <v>0</v>
      </c>
      <c r="L282" s="123">
        <f t="shared" si="20"/>
        <v>0</v>
      </c>
    </row>
    <row r="283" spans="1:14">
      <c r="A283" t="s">
        <v>235</v>
      </c>
      <c r="B283">
        <v>15</v>
      </c>
      <c r="C283" s="136">
        <f t="shared" si="20"/>
        <v>1623</v>
      </c>
      <c r="D283" s="136">
        <f t="shared" si="20"/>
        <v>0</v>
      </c>
      <c r="E283" s="136">
        <f t="shared" si="20"/>
        <v>250244</v>
      </c>
      <c r="F283" s="123">
        <f t="shared" si="20"/>
        <v>0</v>
      </c>
      <c r="G283" s="123">
        <f t="shared" si="20"/>
        <v>-73.59</v>
      </c>
      <c r="H283" s="123">
        <f t="shared" si="20"/>
        <v>57679.27</v>
      </c>
      <c r="I283" s="123">
        <f t="shared" si="20"/>
        <v>6276.07</v>
      </c>
      <c r="J283" s="150">
        <f t="shared" si="20"/>
        <v>0</v>
      </c>
      <c r="K283" s="123">
        <f t="shared" si="20"/>
        <v>0</v>
      </c>
      <c r="L283" s="123">
        <f t="shared" si="20"/>
        <v>0</v>
      </c>
    </row>
    <row r="284" spans="1:14">
      <c r="A284" t="s">
        <v>10</v>
      </c>
      <c r="B284">
        <v>17</v>
      </c>
      <c r="C284" s="136">
        <f t="shared" si="20"/>
        <v>305</v>
      </c>
      <c r="D284" s="136">
        <f t="shared" si="20"/>
        <v>413109</v>
      </c>
      <c r="E284" s="136">
        <f t="shared" si="20"/>
        <v>444</v>
      </c>
      <c r="F284" s="123">
        <f t="shared" si="20"/>
        <v>29144.379999999997</v>
      </c>
      <c r="G284" s="123">
        <f t="shared" si="20"/>
        <v>-75.239999999999981</v>
      </c>
      <c r="H284" s="123">
        <f t="shared" si="20"/>
        <v>129</v>
      </c>
      <c r="I284" s="123">
        <f t="shared" si="20"/>
        <v>3212.0299999999997</v>
      </c>
      <c r="J284" s="150">
        <f t="shared" si="20"/>
        <v>0</v>
      </c>
      <c r="K284" s="123">
        <f t="shared" si="20"/>
        <v>0</v>
      </c>
      <c r="L284" s="123">
        <f t="shared" si="20"/>
        <v>0</v>
      </c>
    </row>
    <row r="285" spans="1:14">
      <c r="A285" t="s">
        <v>236</v>
      </c>
      <c r="B285">
        <v>19</v>
      </c>
      <c r="C285" s="136">
        <f t="shared" si="20"/>
        <v>9123</v>
      </c>
      <c r="D285" s="136">
        <f t="shared" si="20"/>
        <v>9554123</v>
      </c>
      <c r="E285" s="136">
        <f t="shared" si="20"/>
        <v>45452</v>
      </c>
      <c r="F285" s="123">
        <f t="shared" si="20"/>
        <v>995249.60000000009</v>
      </c>
      <c r="G285" s="123">
        <f t="shared" si="20"/>
        <v>-9062.7799999999988</v>
      </c>
      <c r="H285" s="123">
        <f t="shared" si="20"/>
        <v>10956.05</v>
      </c>
      <c r="I285" s="123">
        <f t="shared" si="20"/>
        <v>107648.03</v>
      </c>
      <c r="J285" s="150">
        <f t="shared" si="20"/>
        <v>0</v>
      </c>
      <c r="K285" s="123">
        <f t="shared" si="20"/>
        <v>0</v>
      </c>
      <c r="L285" s="123">
        <f t="shared" si="20"/>
        <v>0</v>
      </c>
    </row>
    <row r="286" spans="1:14">
      <c r="A286" s="27" t="s">
        <v>16</v>
      </c>
      <c r="B286">
        <v>21</v>
      </c>
      <c r="C286" s="136">
        <f t="shared" si="20"/>
        <v>29742</v>
      </c>
      <c r="D286" s="136">
        <f t="shared" si="20"/>
        <v>70105109</v>
      </c>
      <c r="E286" s="136">
        <f t="shared" si="20"/>
        <v>895369</v>
      </c>
      <c r="F286" s="123">
        <f t="shared" si="20"/>
        <v>7924594.7000000002</v>
      </c>
      <c r="G286" s="123">
        <f t="shared" si="20"/>
        <v>-16790.899999999994</v>
      </c>
      <c r="H286" s="123">
        <f t="shared" si="20"/>
        <v>140611.71</v>
      </c>
      <c r="I286" s="123">
        <f t="shared" si="20"/>
        <v>880132.71</v>
      </c>
      <c r="J286" s="150">
        <f t="shared" si="20"/>
        <v>306669.60300000006</v>
      </c>
      <c r="K286" s="123">
        <f t="shared" si="20"/>
        <v>1222827.6000000001</v>
      </c>
      <c r="L286" s="123">
        <f t="shared" si="20"/>
        <v>0</v>
      </c>
      <c r="N286" s="123">
        <f>+K286/J286</f>
        <v>3.9874431245799076</v>
      </c>
    </row>
    <row r="287" spans="1:14">
      <c r="A287" s="27" t="s">
        <v>16</v>
      </c>
      <c r="B287">
        <v>22</v>
      </c>
      <c r="C287" s="136">
        <f t="shared" si="20"/>
        <v>1016</v>
      </c>
      <c r="D287" s="136">
        <f t="shared" si="20"/>
        <v>300796</v>
      </c>
      <c r="E287" s="136">
        <f t="shared" si="20"/>
        <v>9062</v>
      </c>
      <c r="F287" s="123">
        <f t="shared" si="20"/>
        <v>51897.039999999994</v>
      </c>
      <c r="G287" s="123">
        <f t="shared" si="20"/>
        <v>-48.859999999999971</v>
      </c>
      <c r="H287" s="123">
        <f t="shared" si="20"/>
        <v>2413.2199999999998</v>
      </c>
      <c r="I287" s="123">
        <f t="shared" si="20"/>
        <v>5947.9699999999993</v>
      </c>
      <c r="J287" s="150">
        <f t="shared" si="20"/>
        <v>0</v>
      </c>
      <c r="K287" s="123">
        <f t="shared" si="20"/>
        <v>0</v>
      </c>
      <c r="L287" s="123">
        <f t="shared" si="20"/>
        <v>0</v>
      </c>
    </row>
    <row r="288" spans="1:14">
      <c r="A288" t="s">
        <v>23</v>
      </c>
      <c r="B288">
        <v>23</v>
      </c>
      <c r="C288" s="136">
        <f t="shared" si="20"/>
        <v>323</v>
      </c>
      <c r="D288" s="136">
        <f t="shared" si="20"/>
        <v>659159</v>
      </c>
      <c r="E288" s="136">
        <f t="shared" si="20"/>
        <v>21064</v>
      </c>
      <c r="F288" s="123">
        <f t="shared" si="20"/>
        <v>78245.61</v>
      </c>
      <c r="G288" s="123">
        <f t="shared" si="20"/>
        <v>-573.55999999999995</v>
      </c>
      <c r="H288" s="123">
        <f t="shared" si="20"/>
        <v>3444.52</v>
      </c>
      <c r="I288" s="123">
        <f t="shared" si="20"/>
        <v>8698.77</v>
      </c>
      <c r="J288" s="150">
        <f t="shared" si="20"/>
        <v>0</v>
      </c>
      <c r="K288" s="123">
        <f t="shared" si="20"/>
        <v>0</v>
      </c>
      <c r="L288" s="123">
        <f t="shared" si="20"/>
        <v>0</v>
      </c>
    </row>
    <row r="289" spans="1:19">
      <c r="A289" s="25" t="s">
        <v>18</v>
      </c>
      <c r="B289">
        <v>31</v>
      </c>
      <c r="C289" s="136">
        <f t="shared" si="20"/>
        <v>619</v>
      </c>
      <c r="D289" s="136">
        <f t="shared" si="20"/>
        <v>34051767</v>
      </c>
      <c r="E289" s="136">
        <f t="shared" si="20"/>
        <v>63041</v>
      </c>
      <c r="F289" s="123">
        <f t="shared" si="20"/>
        <v>2760740.0400000005</v>
      </c>
      <c r="G289" s="123">
        <f t="shared" si="20"/>
        <v>-9094.5700000000015</v>
      </c>
      <c r="H289" s="123">
        <f t="shared" si="20"/>
        <v>8029.28</v>
      </c>
      <c r="I289" s="123">
        <f t="shared" si="20"/>
        <v>301750.32</v>
      </c>
      <c r="J289" s="150">
        <f t="shared" si="20"/>
        <v>97787.208999999988</v>
      </c>
      <c r="K289" s="123">
        <f t="shared" si="20"/>
        <v>819005.5199999999</v>
      </c>
      <c r="L289" s="123">
        <f t="shared" si="20"/>
        <v>0</v>
      </c>
      <c r="N289" s="123">
        <f>+K289/J289</f>
        <v>8.3753849647145575</v>
      </c>
    </row>
    <row r="290" spans="1:19">
      <c r="A290" s="27" t="s">
        <v>19</v>
      </c>
      <c r="B290">
        <v>32</v>
      </c>
      <c r="C290" s="136">
        <f t="shared" si="20"/>
        <v>120</v>
      </c>
      <c r="D290" s="136">
        <f t="shared" si="20"/>
        <v>24267960</v>
      </c>
      <c r="E290" s="136">
        <f t="shared" si="20"/>
        <v>29112</v>
      </c>
      <c r="F290" s="123">
        <f t="shared" si="20"/>
        <v>1747139.2299999997</v>
      </c>
      <c r="G290" s="123">
        <f t="shared" si="20"/>
        <v>-7886.7300000000005</v>
      </c>
      <c r="H290" s="123">
        <f t="shared" si="20"/>
        <v>3691.8000000000006</v>
      </c>
      <c r="I290" s="123">
        <f t="shared" si="20"/>
        <v>190598.30000000002</v>
      </c>
      <c r="J290" s="150">
        <f t="shared" si="20"/>
        <v>62573.206999999995</v>
      </c>
      <c r="K290" s="123">
        <f t="shared" si="20"/>
        <v>521860.54000000004</v>
      </c>
      <c r="L290" s="123">
        <f t="shared" si="20"/>
        <v>0</v>
      </c>
      <c r="N290" s="123">
        <f t="shared" ref="N290:N299" si="21">+K290/J290</f>
        <v>8.3399998980394283</v>
      </c>
    </row>
    <row r="291" spans="1:19">
      <c r="A291" s="25" t="s">
        <v>18</v>
      </c>
      <c r="B291">
        <v>33</v>
      </c>
      <c r="C291" s="136">
        <f t="shared" si="20"/>
        <v>54</v>
      </c>
      <c r="D291" s="136">
        <f t="shared" si="20"/>
        <v>3449280</v>
      </c>
      <c r="E291" s="136">
        <f t="shared" si="20"/>
        <v>20337</v>
      </c>
      <c r="F291" s="123">
        <f t="shared" si="20"/>
        <v>284603.99</v>
      </c>
      <c r="G291" s="123">
        <f t="shared" si="20"/>
        <v>-1513.9300000000003</v>
      </c>
      <c r="H291" s="123">
        <f t="shared" si="20"/>
        <v>2460.1699999999996</v>
      </c>
      <c r="I291" s="123">
        <f t="shared" si="20"/>
        <v>30918.720000000001</v>
      </c>
      <c r="J291" s="150">
        <f t="shared" si="20"/>
        <v>12279.720000000001</v>
      </c>
      <c r="K291" s="123">
        <f t="shared" si="20"/>
        <v>103134.2</v>
      </c>
      <c r="L291" s="123">
        <f t="shared" si="20"/>
        <v>0</v>
      </c>
      <c r="N291" s="123">
        <f t="shared" si="21"/>
        <v>8.3987419908597261</v>
      </c>
    </row>
    <row r="292" spans="1:19">
      <c r="A292" s="27" t="s">
        <v>19</v>
      </c>
      <c r="B292">
        <v>35</v>
      </c>
      <c r="C292" s="136">
        <f t="shared" si="20"/>
        <v>156</v>
      </c>
      <c r="D292" s="136">
        <f t="shared" si="20"/>
        <v>85106645</v>
      </c>
      <c r="E292" s="136">
        <f t="shared" si="20"/>
        <v>59490</v>
      </c>
      <c r="F292" s="123">
        <f t="shared" si="20"/>
        <v>5768321.8699999992</v>
      </c>
      <c r="G292" s="123">
        <f t="shared" si="20"/>
        <v>5443.1999999999989</v>
      </c>
      <c r="H292" s="123">
        <f t="shared" si="20"/>
        <v>7608.7600000000011</v>
      </c>
      <c r="I292" s="123">
        <f t="shared" si="20"/>
        <v>638119.69000000006</v>
      </c>
      <c r="J292" s="150">
        <f t="shared" si="20"/>
        <v>204577.78799999997</v>
      </c>
      <c r="K292" s="123">
        <f t="shared" si="20"/>
        <v>1706178.7800000003</v>
      </c>
      <c r="L292" s="123">
        <f t="shared" si="20"/>
        <v>0</v>
      </c>
      <c r="N292" s="123">
        <f t="shared" si="21"/>
        <v>8.3400001372583059</v>
      </c>
    </row>
    <row r="293" spans="1:19">
      <c r="A293" s="27" t="s">
        <v>19</v>
      </c>
      <c r="B293">
        <v>36</v>
      </c>
      <c r="C293" s="136">
        <f t="shared" si="20"/>
        <v>12</v>
      </c>
      <c r="D293" s="136">
        <f t="shared" si="20"/>
        <v>7879200</v>
      </c>
      <c r="E293" s="136">
        <f t="shared" si="20"/>
        <v>0</v>
      </c>
      <c r="F293" s="123">
        <f t="shared" si="20"/>
        <v>505672.87000000005</v>
      </c>
      <c r="G293" s="123">
        <f t="shared" si="20"/>
        <v>-1504.7000000000007</v>
      </c>
      <c r="H293" s="123">
        <f t="shared" si="20"/>
        <v>0</v>
      </c>
      <c r="I293" s="123">
        <f t="shared" si="20"/>
        <v>55600.450000000004</v>
      </c>
      <c r="J293" s="150">
        <f t="shared" si="20"/>
        <v>14085.166999999999</v>
      </c>
      <c r="K293" s="123">
        <f t="shared" si="20"/>
        <v>117470.3</v>
      </c>
      <c r="L293" s="123">
        <f t="shared" si="20"/>
        <v>0</v>
      </c>
      <c r="N293" s="123">
        <f t="shared" si="21"/>
        <v>8.3400005125959815</v>
      </c>
      <c r="R293" s="62"/>
    </row>
    <row r="294" spans="1:19">
      <c r="A294" t="s">
        <v>20</v>
      </c>
      <c r="B294">
        <v>45</v>
      </c>
      <c r="C294" s="136">
        <f t="shared" si="20"/>
        <v>12</v>
      </c>
      <c r="D294" s="136">
        <f t="shared" si="20"/>
        <v>34673322</v>
      </c>
      <c r="E294" s="136">
        <f t="shared" si="20"/>
        <v>0</v>
      </c>
      <c r="F294" s="123">
        <f t="shared" si="20"/>
        <v>1921215.24</v>
      </c>
      <c r="G294" s="123">
        <f t="shared" si="20"/>
        <v>-10220.36</v>
      </c>
      <c r="H294" s="123">
        <f t="shared" si="20"/>
        <v>0</v>
      </c>
      <c r="I294" s="123">
        <f t="shared" si="20"/>
        <v>208650.31</v>
      </c>
      <c r="J294" s="150">
        <f t="shared" si="20"/>
        <v>64513.440000000002</v>
      </c>
      <c r="K294" s="123">
        <f t="shared" si="20"/>
        <v>313749.1508</v>
      </c>
      <c r="L294" s="123">
        <f t="shared" si="20"/>
        <v>11231.61</v>
      </c>
      <c r="N294" s="123">
        <f t="shared" si="21"/>
        <v>4.863314540350042</v>
      </c>
      <c r="P294" s="93">
        <f>((+F294-K294-L294)-(2222.85*12))/D294</f>
        <v>4.5267086874456387E-2</v>
      </c>
      <c r="Q294" s="156">
        <f>+P294-0.04556</f>
        <v>-2.9291312554361598E-4</v>
      </c>
      <c r="R294" s="62">
        <f>+Q294*D294</f>
        <v>-10156.271120000221</v>
      </c>
      <c r="S294" t="s">
        <v>250</v>
      </c>
    </row>
    <row r="295" spans="1:19">
      <c r="A295" s="27" t="s">
        <v>245</v>
      </c>
      <c r="B295">
        <v>46</v>
      </c>
      <c r="C295" s="136">
        <f t="shared" si="20"/>
        <v>12</v>
      </c>
      <c r="D295" s="136">
        <f t="shared" si="20"/>
        <v>56059904</v>
      </c>
      <c r="E295" s="136">
        <f t="shared" si="20"/>
        <v>0</v>
      </c>
      <c r="F295" s="123">
        <f t="shared" si="20"/>
        <v>3195275.96</v>
      </c>
      <c r="G295" s="123">
        <f t="shared" si="20"/>
        <v>-88825.45</v>
      </c>
      <c r="H295" s="123">
        <f t="shared" si="20"/>
        <v>0</v>
      </c>
      <c r="I295" s="123">
        <f t="shared" si="20"/>
        <v>331576.71000000002</v>
      </c>
      <c r="J295" s="150">
        <f t="shared" si="20"/>
        <v>96196.975999999995</v>
      </c>
      <c r="K295" s="123">
        <f t="shared" si="20"/>
        <v>671428.01000000013</v>
      </c>
      <c r="L295" s="123">
        <f t="shared" si="20"/>
        <v>0</v>
      </c>
      <c r="N295" s="123">
        <f t="shared" si="21"/>
        <v>6.9797205475565072</v>
      </c>
      <c r="P295" s="93">
        <f>((+F295-K295-L295)-(5454*12))/D295</f>
        <v>4.3853088831547052E-2</v>
      </c>
      <c r="Q295" s="156">
        <f>+P295-0.043347</f>
        <v>5.060888315470552E-4</v>
      </c>
      <c r="R295" s="62"/>
    </row>
    <row r="296" spans="1:19">
      <c r="A296" t="s">
        <v>20</v>
      </c>
      <c r="B296">
        <v>47</v>
      </c>
      <c r="C296" s="136">
        <f t="shared" si="20"/>
        <v>12</v>
      </c>
      <c r="D296" s="136">
        <f t="shared" si="20"/>
        <v>26295749</v>
      </c>
      <c r="E296" s="136">
        <f t="shared" si="20"/>
        <v>25608</v>
      </c>
      <c r="F296" s="123">
        <f t="shared" si="20"/>
        <v>1609484.8099999998</v>
      </c>
      <c r="G296" s="123">
        <f t="shared" si="20"/>
        <v>-6990.45</v>
      </c>
      <c r="H296" s="123">
        <f t="shared" si="20"/>
        <v>3514.3200000000011</v>
      </c>
      <c r="I296" s="123">
        <f t="shared" si="20"/>
        <v>175419.84</v>
      </c>
      <c r="J296" s="150">
        <f t="shared" si="20"/>
        <v>55548</v>
      </c>
      <c r="K296" s="123">
        <f t="shared" si="20"/>
        <v>384776.28</v>
      </c>
      <c r="L296" s="123">
        <f t="shared" si="20"/>
        <v>0</v>
      </c>
      <c r="N296" s="123">
        <f t="shared" si="21"/>
        <v>6.9269151004536624</v>
      </c>
      <c r="P296" s="93">
        <f>((+F296-K296-L296)-(2222.85*12))/D296</f>
        <v>4.5560000211441014E-2</v>
      </c>
      <c r="Q296" s="156">
        <f>+P296-0.04556</f>
        <v>2.1144101053360842E-10</v>
      </c>
      <c r="R296" s="62"/>
    </row>
    <row r="297" spans="1:19">
      <c r="A297" t="s">
        <v>20</v>
      </c>
      <c r="B297">
        <v>48</v>
      </c>
      <c r="C297" s="136">
        <f t="shared" si="20"/>
        <v>12</v>
      </c>
      <c r="D297" s="136">
        <f t="shared" si="20"/>
        <v>49437435</v>
      </c>
      <c r="E297" s="136">
        <f t="shared" si="20"/>
        <v>1008</v>
      </c>
      <c r="F297" s="123">
        <f t="shared" si="20"/>
        <v>2909238.1999999997</v>
      </c>
      <c r="G297" s="123">
        <f t="shared" si="20"/>
        <v>-20140.260000000002</v>
      </c>
      <c r="H297" s="123">
        <f t="shared" si="20"/>
        <v>184.55999999999997</v>
      </c>
      <c r="I297" s="123">
        <f t="shared" si="20"/>
        <v>314893.08</v>
      </c>
      <c r="J297" s="150">
        <f t="shared" si="20"/>
        <v>88671.638000000006</v>
      </c>
      <c r="K297" s="123">
        <f t="shared" si="20"/>
        <v>630194.45000000007</v>
      </c>
      <c r="L297" s="123">
        <f t="shared" si="20"/>
        <v>0</v>
      </c>
      <c r="N297" s="123">
        <f t="shared" si="21"/>
        <v>7.1070577268460973</v>
      </c>
      <c r="P297" s="93">
        <f>((+F297-K297-L297)-(2222.85*12))/D297</f>
        <v>4.5560000230594477E-2</v>
      </c>
      <c r="Q297" s="156">
        <f>+P297-0.04556</f>
        <v>2.3059447407103306E-10</v>
      </c>
      <c r="R297" s="62"/>
    </row>
    <row r="298" spans="1:19">
      <c r="A298" t="s">
        <v>20</v>
      </c>
      <c r="B298">
        <v>49</v>
      </c>
      <c r="C298" s="136">
        <f t="shared" ref="C298:L300" si="22">SUM(C22+C45+C68+C91+C114+C137+C160+C183+C206+C229+C252+C275)</f>
        <v>12</v>
      </c>
      <c r="D298" s="136">
        <f t="shared" si="22"/>
        <v>43201909</v>
      </c>
      <c r="E298" s="136">
        <f t="shared" si="22"/>
        <v>0</v>
      </c>
      <c r="F298" s="123">
        <f t="shared" si="22"/>
        <v>2538084.3200000003</v>
      </c>
      <c r="G298" s="123">
        <f t="shared" si="22"/>
        <v>-15490.759999999998</v>
      </c>
      <c r="H298" s="123">
        <f t="shared" si="22"/>
        <v>0</v>
      </c>
      <c r="I298" s="123">
        <f t="shared" si="22"/>
        <v>275542.02</v>
      </c>
      <c r="J298" s="150">
        <f t="shared" si="22"/>
        <v>77420.514999999999</v>
      </c>
      <c r="K298" s="123">
        <f t="shared" si="22"/>
        <v>543131.14</v>
      </c>
      <c r="L298" s="123">
        <f t="shared" si="22"/>
        <v>0</v>
      </c>
      <c r="N298" s="123">
        <f t="shared" si="21"/>
        <v>7.015338763892232</v>
      </c>
      <c r="P298" s="93">
        <f>((+F298-K298-L298)-(2222.85*12))/D298</f>
        <v>4.5560000137956871E-2</v>
      </c>
      <c r="Q298" s="156">
        <f>+P298-0.04556</f>
        <v>1.3795686815143426E-10</v>
      </c>
      <c r="R298" s="62"/>
    </row>
    <row r="299" spans="1:19">
      <c r="A299" t="s">
        <v>20</v>
      </c>
      <c r="B299">
        <v>50</v>
      </c>
      <c r="C299" s="136">
        <f t="shared" si="22"/>
        <v>12</v>
      </c>
      <c r="D299" s="136">
        <f t="shared" si="22"/>
        <v>44696059</v>
      </c>
      <c r="E299" s="136">
        <f t="shared" si="22"/>
        <v>0</v>
      </c>
      <c r="F299" s="123">
        <f t="shared" si="22"/>
        <v>2719177.56</v>
      </c>
      <c r="G299" s="123">
        <f t="shared" si="22"/>
        <v>-12796.019999999999</v>
      </c>
      <c r="H299" s="123">
        <f t="shared" si="22"/>
        <v>0</v>
      </c>
      <c r="I299" s="123">
        <f t="shared" si="22"/>
        <v>296712.57</v>
      </c>
      <c r="J299" s="150">
        <f t="shared" si="22"/>
        <v>93441.695999999996</v>
      </c>
      <c r="K299" s="123">
        <f t="shared" si="22"/>
        <v>654974.70000000007</v>
      </c>
      <c r="L299" s="123">
        <f t="shared" si="22"/>
        <v>0</v>
      </c>
      <c r="N299" s="123">
        <f t="shared" si="21"/>
        <v>7.0094479021442426</v>
      </c>
      <c r="P299" s="93">
        <f>((+F299-K299-L299)-(2222.85*12))/D299</f>
        <v>4.558631578681243E-2</v>
      </c>
      <c r="Q299" s="156">
        <f>+P299-0.04556</f>
        <v>2.6315786812426689E-5</v>
      </c>
      <c r="R299" s="62">
        <f>+Q299*D299</f>
        <v>1176.2119599996452</v>
      </c>
      <c r="S299" t="s">
        <v>251</v>
      </c>
    </row>
    <row r="300" spans="1:19">
      <c r="A300" t="s">
        <v>235</v>
      </c>
      <c r="B300">
        <v>51</v>
      </c>
      <c r="C300" s="151">
        <f t="shared" si="22"/>
        <v>672</v>
      </c>
      <c r="D300" s="151">
        <f t="shared" si="22"/>
        <v>0</v>
      </c>
      <c r="E300" s="151">
        <f t="shared" si="22"/>
        <v>1214967</v>
      </c>
      <c r="F300" s="152">
        <f t="shared" si="22"/>
        <v>0</v>
      </c>
      <c r="G300" s="152">
        <f t="shared" si="22"/>
        <v>-371.2600000000001</v>
      </c>
      <c r="H300" s="152">
        <f t="shared" si="22"/>
        <v>355785.22000000003</v>
      </c>
      <c r="I300" s="152">
        <f t="shared" si="22"/>
        <v>38781</v>
      </c>
      <c r="J300" s="153">
        <f t="shared" si="22"/>
        <v>0</v>
      </c>
      <c r="K300" s="152">
        <f t="shared" si="22"/>
        <v>0</v>
      </c>
      <c r="L300" s="152">
        <f t="shared" si="22"/>
        <v>0</v>
      </c>
      <c r="R300" s="62"/>
    </row>
    <row r="301" spans="1:19">
      <c r="B301" t="s">
        <v>43</v>
      </c>
      <c r="C301" s="136">
        <f>SUM(C281:C300)</f>
        <v>668699</v>
      </c>
      <c r="D301" s="136">
        <f t="shared" ref="D301:L301" si="23">SUM(D281:D300)</f>
        <v>1274833347</v>
      </c>
      <c r="E301" s="136">
        <f t="shared" si="23"/>
        <v>9008707</v>
      </c>
      <c r="F301" s="123">
        <f t="shared" si="23"/>
        <v>111339364.73000002</v>
      </c>
      <c r="G301" s="123">
        <f t="shared" si="23"/>
        <v>-329117.00000000006</v>
      </c>
      <c r="H301" s="123">
        <f t="shared" si="23"/>
        <v>2046870.2400000005</v>
      </c>
      <c r="I301" s="123">
        <f t="shared" si="23"/>
        <v>12400927.639999999</v>
      </c>
      <c r="J301" s="150">
        <f t="shared" si="23"/>
        <v>1173764.959</v>
      </c>
      <c r="K301" s="123">
        <f t="shared" si="23"/>
        <v>7688730.6708000004</v>
      </c>
      <c r="L301" s="123">
        <f t="shared" si="23"/>
        <v>11231.61</v>
      </c>
    </row>
    <row r="303" spans="1:19">
      <c r="B303" s="25" t="s">
        <v>252</v>
      </c>
      <c r="C303" t="s">
        <v>60</v>
      </c>
      <c r="D303" s="123">
        <f>+F301</f>
        <v>111339364.73000002</v>
      </c>
      <c r="F303" t="s">
        <v>253</v>
      </c>
      <c r="G303" t="s">
        <v>225</v>
      </c>
      <c r="H303" s="136">
        <f>+D301</f>
        <v>1274833347</v>
      </c>
    </row>
    <row r="304" spans="1:19">
      <c r="C304" t="s">
        <v>254</v>
      </c>
      <c r="D304" s="123">
        <f>+G301</f>
        <v>-329117.00000000006</v>
      </c>
      <c r="G304" t="s">
        <v>255</v>
      </c>
      <c r="H304" s="151">
        <f>+E301</f>
        <v>9008707</v>
      </c>
    </row>
    <row r="305" spans="1:9">
      <c r="C305" t="s">
        <v>256</v>
      </c>
      <c r="D305" s="123">
        <f>+H301</f>
        <v>2046870.2400000005</v>
      </c>
      <c r="F305" t="s">
        <v>43</v>
      </c>
      <c r="H305" s="136">
        <f>SUM(H303:H304)</f>
        <v>1283842054</v>
      </c>
    </row>
    <row r="306" spans="1:9">
      <c r="C306" t="s">
        <v>229</v>
      </c>
      <c r="D306" s="123">
        <f>+I301</f>
        <v>12400927.639999999</v>
      </c>
      <c r="G306" t="s">
        <v>257</v>
      </c>
      <c r="H306" s="62">
        <v>-722971</v>
      </c>
      <c r="I306" s="157"/>
    </row>
    <row r="307" spans="1:9">
      <c r="C307" t="s">
        <v>258</v>
      </c>
      <c r="D307" s="152">
        <f>+L301</f>
        <v>11231.61</v>
      </c>
      <c r="F307" t="s">
        <v>43</v>
      </c>
      <c r="H307" s="136">
        <f>SUM(H305:H306)</f>
        <v>1283119083</v>
      </c>
    </row>
    <row r="308" spans="1:9">
      <c r="D308" s="123">
        <f>SUM(D303:D307)</f>
        <v>125469277.22000001</v>
      </c>
    </row>
    <row r="309" spans="1:9">
      <c r="A309" t="s">
        <v>259</v>
      </c>
      <c r="C309" t="s">
        <v>260</v>
      </c>
      <c r="D309" s="123">
        <v>-199841</v>
      </c>
    </row>
    <row r="310" spans="1:9">
      <c r="C310" t="s">
        <v>261</v>
      </c>
      <c r="D310" s="123">
        <v>-671512</v>
      </c>
    </row>
    <row r="311" spans="1:9">
      <c r="C311" t="s">
        <v>262</v>
      </c>
      <c r="D311" s="152">
        <v>407989.36</v>
      </c>
    </row>
    <row r="312" spans="1:9">
      <c r="A312" t="s">
        <v>252</v>
      </c>
      <c r="D312" s="123">
        <f>SUM(D308:D311)</f>
        <v>125005913.58000001</v>
      </c>
    </row>
    <row r="313" spans="1:9">
      <c r="A313" t="s">
        <v>263</v>
      </c>
      <c r="D313" s="123">
        <v>3034467.13</v>
      </c>
    </row>
    <row r="314" spans="1:9">
      <c r="A314" t="s">
        <v>2</v>
      </c>
      <c r="D314" s="123">
        <f>SUM(D312:D313)</f>
        <v>128040380.71000001</v>
      </c>
    </row>
    <row r="315" spans="1:9">
      <c r="A315" t="s">
        <v>264</v>
      </c>
      <c r="D315" s="123">
        <v>128040378.70999999</v>
      </c>
    </row>
  </sheetData>
  <pageMargins left="0.5" right="0.5" top="0.5" bottom="0.5" header="0.3" footer="0.3"/>
  <pageSetup scale="80" fitToHeight="7" orientation="landscape" r:id="rId1"/>
  <rowBreaks count="2" manualBreakCount="2">
    <brk id="49" max="11" man="1"/>
    <brk id="9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BBE8-AFC1-433C-BBCA-D65A045EE39E}">
  <sheetPr>
    <pageSetUpPr fitToPage="1"/>
  </sheetPr>
  <dimension ref="A1:H50"/>
  <sheetViews>
    <sheetView workbookViewId="0">
      <selection activeCell="J23" sqref="J23"/>
    </sheetView>
  </sheetViews>
  <sheetFormatPr defaultRowHeight="14.4"/>
  <cols>
    <col min="1" max="1" width="6.6640625" customWidth="1"/>
    <col min="2" max="7" width="12.6640625" customWidth="1"/>
  </cols>
  <sheetData>
    <row r="1" spans="1:8" ht="15.6">
      <c r="A1" s="19">
        <v>1</v>
      </c>
      <c r="B1" s="26"/>
      <c r="C1" s="26"/>
      <c r="D1" s="26"/>
      <c r="E1" s="26"/>
      <c r="F1" s="26"/>
      <c r="G1" s="24" t="s">
        <v>265</v>
      </c>
      <c r="H1" s="158"/>
    </row>
    <row r="2" spans="1:8" ht="15.6">
      <c r="A2" s="19">
        <f t="shared" ref="A2:A46" si="0">(A1+1)</f>
        <v>2</v>
      </c>
      <c r="B2" s="26"/>
      <c r="C2" s="26"/>
      <c r="D2" s="26"/>
      <c r="E2" s="26"/>
      <c r="F2" s="26"/>
      <c r="G2" s="24" t="s">
        <v>266</v>
      </c>
      <c r="H2" s="158"/>
    </row>
    <row r="3" spans="1:8" ht="15.6">
      <c r="A3" s="19">
        <f t="shared" si="0"/>
        <v>3</v>
      </c>
      <c r="B3" s="26"/>
      <c r="C3" s="26"/>
      <c r="D3" s="26"/>
      <c r="E3" s="26"/>
      <c r="F3" s="26"/>
      <c r="G3" s="24" t="s">
        <v>85</v>
      </c>
      <c r="H3" s="158"/>
    </row>
    <row r="4" spans="1:8" ht="18">
      <c r="A4" s="19">
        <f t="shared" si="0"/>
        <v>4</v>
      </c>
      <c r="B4" s="20" t="str">
        <f>+'Exhibit C1'!B1</f>
        <v>Blue Grass Energy Cooperative</v>
      </c>
      <c r="C4" s="20"/>
      <c r="D4" s="22"/>
      <c r="E4" s="22"/>
      <c r="F4" s="22"/>
      <c r="G4" s="22"/>
      <c r="H4" s="158"/>
    </row>
    <row r="5" spans="1:8" ht="18">
      <c r="A5" s="19">
        <f t="shared" si="0"/>
        <v>5</v>
      </c>
      <c r="B5" s="20" t="str">
        <f>+'Exhibit C1'!B2</f>
        <v>Case No.  2014-00339</v>
      </c>
      <c r="C5" s="20"/>
      <c r="D5" s="22"/>
      <c r="E5" s="22"/>
      <c r="F5" s="22"/>
      <c r="G5" s="22"/>
      <c r="H5" s="158"/>
    </row>
    <row r="6" spans="1:8" ht="15.6">
      <c r="A6" s="19">
        <f t="shared" si="0"/>
        <v>6</v>
      </c>
      <c r="B6" s="22" t="s">
        <v>267</v>
      </c>
      <c r="C6" s="22"/>
      <c r="D6" s="22"/>
      <c r="E6" s="22"/>
      <c r="F6" s="22"/>
      <c r="G6" s="22"/>
      <c r="H6" s="158"/>
    </row>
    <row r="7" spans="1:8" ht="15.6">
      <c r="A7" s="19">
        <f t="shared" si="0"/>
        <v>7</v>
      </c>
      <c r="B7" s="22" t="s">
        <v>64</v>
      </c>
      <c r="C7" s="22"/>
      <c r="D7" s="22"/>
      <c r="E7" s="22"/>
      <c r="F7" s="22"/>
      <c r="G7" s="22"/>
      <c r="H7" s="158"/>
    </row>
    <row r="8" spans="1:8" ht="9.9" customHeight="1">
      <c r="A8" s="19">
        <f t="shared" si="0"/>
        <v>8</v>
      </c>
      <c r="B8" s="26"/>
      <c r="C8" s="26"/>
      <c r="D8" s="26"/>
      <c r="E8" s="26"/>
      <c r="F8" s="26"/>
      <c r="G8" s="26"/>
      <c r="H8" s="158"/>
    </row>
    <row r="9" spans="1:8" ht="15.6">
      <c r="A9" s="19">
        <f t="shared" si="0"/>
        <v>9</v>
      </c>
      <c r="B9" s="26"/>
      <c r="C9" s="26"/>
      <c r="D9" s="30" t="s">
        <v>27</v>
      </c>
      <c r="E9" s="30" t="s">
        <v>28</v>
      </c>
      <c r="F9" s="26"/>
      <c r="G9" s="26"/>
      <c r="H9" s="158"/>
    </row>
    <row r="10" spans="1:8" ht="15.6">
      <c r="A10" s="19">
        <f t="shared" si="0"/>
        <v>10</v>
      </c>
      <c r="B10" s="26" t="s">
        <v>268</v>
      </c>
      <c r="C10" s="26"/>
      <c r="D10" s="159">
        <f>+'Exhibit C-2'!D12</f>
        <v>9.73</v>
      </c>
      <c r="E10" s="159">
        <f>+'Exhibit C-2'!F12</f>
        <v>12</v>
      </c>
      <c r="F10" s="26"/>
      <c r="G10" s="26"/>
      <c r="H10" s="158"/>
    </row>
    <row r="11" spans="1:8" ht="15.6">
      <c r="A11" s="19">
        <f t="shared" si="0"/>
        <v>11</v>
      </c>
      <c r="B11" s="26" t="s">
        <v>132</v>
      </c>
      <c r="C11" s="26"/>
      <c r="D11" s="160">
        <f>+'Exhibit C-2'!D14</f>
        <v>8.9510000000000006E-2</v>
      </c>
      <c r="E11" s="160">
        <f>+'Exhibit C-2'!F14</f>
        <v>8.8900000000000007E-2</v>
      </c>
      <c r="F11" s="26"/>
      <c r="G11" s="26"/>
      <c r="H11" s="158"/>
    </row>
    <row r="12" spans="1:8" ht="9.9" customHeight="1">
      <c r="A12" s="19">
        <f t="shared" si="0"/>
        <v>12</v>
      </c>
      <c r="B12" s="26"/>
      <c r="C12" s="26"/>
      <c r="D12" s="26"/>
      <c r="E12" s="26"/>
      <c r="F12" s="26"/>
      <c r="G12" s="26"/>
      <c r="H12" s="158"/>
    </row>
    <row r="13" spans="1:8" ht="15.6">
      <c r="A13" s="19">
        <f t="shared" si="0"/>
        <v>13</v>
      </c>
      <c r="B13" s="26"/>
      <c r="C13" s="26"/>
      <c r="D13" s="28" t="s">
        <v>269</v>
      </c>
      <c r="E13" s="28" t="s">
        <v>28</v>
      </c>
      <c r="F13" s="217" t="s">
        <v>270</v>
      </c>
      <c r="G13" s="217"/>
      <c r="H13" s="158"/>
    </row>
    <row r="14" spans="1:8" ht="15.6">
      <c r="A14" s="19">
        <f t="shared" si="0"/>
        <v>14</v>
      </c>
      <c r="C14" s="30" t="s">
        <v>271</v>
      </c>
      <c r="D14" s="30" t="s">
        <v>41</v>
      </c>
      <c r="E14" s="30" t="s">
        <v>41</v>
      </c>
      <c r="F14" s="30" t="s">
        <v>62</v>
      </c>
      <c r="G14" s="30" t="s">
        <v>42</v>
      </c>
      <c r="H14" s="158"/>
    </row>
    <row r="15" spans="1:8" ht="9.9" customHeight="1">
      <c r="A15" s="19">
        <f t="shared" si="0"/>
        <v>15</v>
      </c>
      <c r="C15" s="26"/>
      <c r="D15" s="26"/>
      <c r="E15" s="26"/>
      <c r="F15" s="26"/>
      <c r="G15" s="26"/>
      <c r="H15" s="158"/>
    </row>
    <row r="16" spans="1:8" ht="15.6">
      <c r="A16" s="19">
        <f t="shared" si="0"/>
        <v>16</v>
      </c>
      <c r="C16" s="35">
        <v>0</v>
      </c>
      <c r="D16" s="159">
        <f t="shared" ref="D16:D42" si="1">(C16*$D$11)+$D$10</f>
        <v>9.73</v>
      </c>
      <c r="E16" s="159">
        <f t="shared" ref="E16:E42" si="2">(C16*$E$11)+$E$10</f>
        <v>12</v>
      </c>
      <c r="F16" s="159">
        <f t="shared" ref="F16:F42" si="3">(+E16-D16)</f>
        <v>2.2699999999999996</v>
      </c>
      <c r="G16" s="38">
        <f>+F16/D16</f>
        <v>0.23329907502569366</v>
      </c>
      <c r="H16" s="158"/>
    </row>
    <row r="17" spans="1:8" ht="15.6">
      <c r="A17" s="19">
        <f t="shared" si="0"/>
        <v>17</v>
      </c>
      <c r="C17" s="35">
        <v>25</v>
      </c>
      <c r="D17" s="161">
        <f t="shared" si="1"/>
        <v>11.967750000000001</v>
      </c>
      <c r="E17" s="161">
        <f t="shared" si="2"/>
        <v>14.2225</v>
      </c>
      <c r="F17" s="161">
        <f t="shared" si="3"/>
        <v>2.2547499999999996</v>
      </c>
      <c r="G17" s="38">
        <f t="shared" ref="G17:G42" si="4">+F17/D17</f>
        <v>0.18840216414948502</v>
      </c>
      <c r="H17" s="158"/>
    </row>
    <row r="18" spans="1:8" ht="15.6">
      <c r="A18" s="19">
        <f t="shared" si="0"/>
        <v>18</v>
      </c>
      <c r="C18" s="35">
        <v>50</v>
      </c>
      <c r="D18" s="161">
        <f t="shared" si="1"/>
        <v>14.205500000000001</v>
      </c>
      <c r="E18" s="161">
        <f t="shared" si="2"/>
        <v>16.445</v>
      </c>
      <c r="F18" s="161">
        <f t="shared" si="3"/>
        <v>2.2394999999999996</v>
      </c>
      <c r="G18" s="38">
        <f t="shared" si="4"/>
        <v>0.15765020590616308</v>
      </c>
      <c r="H18" s="158"/>
    </row>
    <row r="19" spans="1:8" ht="15.6">
      <c r="A19" s="19">
        <f t="shared" si="0"/>
        <v>19</v>
      </c>
      <c r="C19" s="35">
        <f t="shared" ref="C19:C27" si="5">(C18+50)</f>
        <v>100</v>
      </c>
      <c r="D19" s="161">
        <f t="shared" si="1"/>
        <v>18.681000000000001</v>
      </c>
      <c r="E19" s="161">
        <f t="shared" si="2"/>
        <v>20.89</v>
      </c>
      <c r="F19" s="161">
        <f t="shared" si="3"/>
        <v>2.2089999999999996</v>
      </c>
      <c r="G19" s="38">
        <f t="shared" si="4"/>
        <v>0.11824848776832073</v>
      </c>
      <c r="H19" s="158"/>
    </row>
    <row r="20" spans="1:8" ht="15.6">
      <c r="A20" s="19">
        <f t="shared" si="0"/>
        <v>20</v>
      </c>
      <c r="C20" s="35">
        <f t="shared" si="5"/>
        <v>150</v>
      </c>
      <c r="D20" s="161">
        <f t="shared" si="1"/>
        <v>23.156500000000001</v>
      </c>
      <c r="E20" s="161">
        <f t="shared" si="2"/>
        <v>25.335000000000001</v>
      </c>
      <c r="F20" s="161">
        <f t="shared" si="3"/>
        <v>2.1784999999999997</v>
      </c>
      <c r="G20" s="38">
        <f t="shared" si="4"/>
        <v>9.4077256925701194E-2</v>
      </c>
      <c r="H20" s="158"/>
    </row>
    <row r="21" spans="1:8" ht="15.6">
      <c r="A21" s="19">
        <f t="shared" si="0"/>
        <v>21</v>
      </c>
      <c r="C21" s="35">
        <f t="shared" si="5"/>
        <v>200</v>
      </c>
      <c r="D21" s="161">
        <f t="shared" si="1"/>
        <v>27.632000000000001</v>
      </c>
      <c r="E21" s="161">
        <f t="shared" si="2"/>
        <v>29.78</v>
      </c>
      <c r="F21" s="161">
        <f t="shared" si="3"/>
        <v>2.1479999999999997</v>
      </c>
      <c r="G21" s="38">
        <f t="shared" si="4"/>
        <v>7.7735958309206696E-2</v>
      </c>
      <c r="H21" s="158"/>
    </row>
    <row r="22" spans="1:8" ht="15.6">
      <c r="A22" s="19">
        <f t="shared" si="0"/>
        <v>22</v>
      </c>
      <c r="C22" s="35">
        <f t="shared" si="5"/>
        <v>250</v>
      </c>
      <c r="D22" s="161">
        <f t="shared" si="1"/>
        <v>32.107500000000002</v>
      </c>
      <c r="E22" s="161">
        <f t="shared" si="2"/>
        <v>34.225000000000001</v>
      </c>
      <c r="F22" s="161">
        <f t="shared" si="3"/>
        <v>2.1174999999999997</v>
      </c>
      <c r="G22" s="38">
        <f t="shared" si="4"/>
        <v>6.5950323133224312E-2</v>
      </c>
      <c r="H22" s="158"/>
    </row>
    <row r="23" spans="1:8" ht="15.6">
      <c r="A23" s="19">
        <f t="shared" si="0"/>
        <v>23</v>
      </c>
      <c r="C23" s="35">
        <f t="shared" si="5"/>
        <v>300</v>
      </c>
      <c r="D23" s="161">
        <f t="shared" si="1"/>
        <v>36.582999999999998</v>
      </c>
      <c r="E23" s="161">
        <f t="shared" si="2"/>
        <v>38.67</v>
      </c>
      <c r="F23" s="161">
        <f t="shared" si="3"/>
        <v>2.0870000000000033</v>
      </c>
      <c r="G23" s="38">
        <f t="shared" si="4"/>
        <v>5.7048355793674753E-2</v>
      </c>
      <c r="H23" s="158"/>
    </row>
    <row r="24" spans="1:8" ht="15.6">
      <c r="A24" s="19">
        <f t="shared" si="0"/>
        <v>24</v>
      </c>
      <c r="C24" s="35">
        <f t="shared" si="5"/>
        <v>350</v>
      </c>
      <c r="D24" s="161">
        <f t="shared" si="1"/>
        <v>41.058500000000002</v>
      </c>
      <c r="E24" s="161">
        <f t="shared" si="2"/>
        <v>43.115000000000002</v>
      </c>
      <c r="F24" s="161">
        <f t="shared" si="3"/>
        <v>2.0564999999999998</v>
      </c>
      <c r="G24" s="38">
        <f t="shared" si="4"/>
        <v>5.0087070886661707E-2</v>
      </c>
      <c r="H24" s="158"/>
    </row>
    <row r="25" spans="1:8" ht="15.6">
      <c r="A25" s="19">
        <f t="shared" si="0"/>
        <v>25</v>
      </c>
      <c r="C25" s="35">
        <f t="shared" si="5"/>
        <v>400</v>
      </c>
      <c r="D25" s="161">
        <f t="shared" si="1"/>
        <v>45.534000000000006</v>
      </c>
      <c r="E25" s="161">
        <f t="shared" si="2"/>
        <v>47.56</v>
      </c>
      <c r="F25" s="161">
        <f t="shared" si="3"/>
        <v>2.0259999999999962</v>
      </c>
      <c r="G25" s="38">
        <f t="shared" si="4"/>
        <v>4.4494224096279615E-2</v>
      </c>
      <c r="H25" s="158"/>
    </row>
    <row r="26" spans="1:8" ht="15.6">
      <c r="A26" s="19">
        <f t="shared" si="0"/>
        <v>26</v>
      </c>
      <c r="C26" s="35">
        <f t="shared" si="5"/>
        <v>450</v>
      </c>
      <c r="D26" s="161">
        <f t="shared" si="1"/>
        <v>50.009500000000003</v>
      </c>
      <c r="E26" s="161">
        <f t="shared" si="2"/>
        <v>52.005000000000003</v>
      </c>
      <c r="F26" s="161">
        <f t="shared" si="3"/>
        <v>1.9954999999999998</v>
      </c>
      <c r="G26" s="38">
        <f t="shared" si="4"/>
        <v>3.9902418540477304E-2</v>
      </c>
      <c r="H26" s="158"/>
    </row>
    <row r="27" spans="1:8" ht="15.6">
      <c r="A27" s="19">
        <f t="shared" si="0"/>
        <v>27</v>
      </c>
      <c r="C27" s="35">
        <f t="shared" si="5"/>
        <v>500</v>
      </c>
      <c r="D27" s="161">
        <f t="shared" si="1"/>
        <v>54.484999999999999</v>
      </c>
      <c r="E27" s="161">
        <f t="shared" si="2"/>
        <v>56.45</v>
      </c>
      <c r="F27" s="161">
        <f t="shared" si="3"/>
        <v>1.9650000000000034</v>
      </c>
      <c r="G27" s="38">
        <f t="shared" si="4"/>
        <v>3.6064972010645194E-2</v>
      </c>
      <c r="H27" s="158"/>
    </row>
    <row r="28" spans="1:8" ht="15.6">
      <c r="A28" s="19">
        <f t="shared" si="0"/>
        <v>28</v>
      </c>
      <c r="C28" s="35">
        <f>(C27+100)</f>
        <v>600</v>
      </c>
      <c r="D28" s="161">
        <f t="shared" si="1"/>
        <v>63.436000000000007</v>
      </c>
      <c r="E28" s="161">
        <f t="shared" si="2"/>
        <v>65.34</v>
      </c>
      <c r="F28" s="161">
        <f t="shared" si="3"/>
        <v>1.9039999999999964</v>
      </c>
      <c r="G28" s="38">
        <f t="shared" si="4"/>
        <v>3.0014502805977616E-2</v>
      </c>
      <c r="H28" s="158"/>
    </row>
    <row r="29" spans="1:8" ht="15.6">
      <c r="A29" s="19">
        <f t="shared" si="0"/>
        <v>29</v>
      </c>
      <c r="C29" s="35">
        <f t="shared" ref="C29:C42" si="6">(C28+100)</f>
        <v>700</v>
      </c>
      <c r="D29" s="161">
        <f t="shared" si="1"/>
        <v>72.387</v>
      </c>
      <c r="E29" s="161">
        <f t="shared" si="2"/>
        <v>74.23</v>
      </c>
      <c r="F29" s="161">
        <f t="shared" si="3"/>
        <v>1.8430000000000035</v>
      </c>
      <c r="G29" s="38">
        <f t="shared" si="4"/>
        <v>2.5460372718858409E-2</v>
      </c>
      <c r="H29" s="158"/>
    </row>
    <row r="30" spans="1:8" ht="15.6">
      <c r="A30" s="19">
        <f t="shared" si="0"/>
        <v>30</v>
      </c>
      <c r="C30" s="35">
        <f t="shared" si="6"/>
        <v>800</v>
      </c>
      <c r="D30" s="161">
        <f t="shared" si="1"/>
        <v>81.338000000000008</v>
      </c>
      <c r="E30" s="161">
        <f t="shared" si="2"/>
        <v>83.12</v>
      </c>
      <c r="F30" s="161">
        <f t="shared" si="3"/>
        <v>1.7819999999999965</v>
      </c>
      <c r="G30" s="38">
        <f t="shared" si="4"/>
        <v>2.1908579015958055E-2</v>
      </c>
      <c r="H30" s="158"/>
    </row>
    <row r="31" spans="1:8" ht="15.6">
      <c r="A31" s="19">
        <f t="shared" si="0"/>
        <v>31</v>
      </c>
      <c r="C31" s="35">
        <f t="shared" si="6"/>
        <v>900</v>
      </c>
      <c r="D31" s="161">
        <f t="shared" si="1"/>
        <v>90.289000000000016</v>
      </c>
      <c r="E31" s="161">
        <f t="shared" si="2"/>
        <v>92.01</v>
      </c>
      <c r="F31" s="161">
        <f t="shared" si="3"/>
        <v>1.7209999999999894</v>
      </c>
      <c r="G31" s="38">
        <f t="shared" si="4"/>
        <v>1.906101518457386E-2</v>
      </c>
      <c r="H31" s="158"/>
    </row>
    <row r="32" spans="1:8" ht="15.6">
      <c r="A32" s="19">
        <f t="shared" si="0"/>
        <v>32</v>
      </c>
      <c r="C32" s="35">
        <f t="shared" si="6"/>
        <v>1000</v>
      </c>
      <c r="D32" s="161">
        <f t="shared" si="1"/>
        <v>99.240000000000009</v>
      </c>
      <c r="E32" s="161">
        <f t="shared" si="2"/>
        <v>100.9</v>
      </c>
      <c r="F32" s="161">
        <f t="shared" si="3"/>
        <v>1.6599999999999966</v>
      </c>
      <c r="G32" s="38">
        <f t="shared" si="4"/>
        <v>1.6727126158806897E-2</v>
      </c>
      <c r="H32" s="158"/>
    </row>
    <row r="33" spans="1:8" ht="15.6">
      <c r="A33" s="19">
        <f t="shared" si="0"/>
        <v>33</v>
      </c>
      <c r="C33" s="35">
        <f t="shared" si="6"/>
        <v>1100</v>
      </c>
      <c r="D33" s="161">
        <f t="shared" si="1"/>
        <v>108.19100000000002</v>
      </c>
      <c r="E33" s="161">
        <f t="shared" si="2"/>
        <v>109.79</v>
      </c>
      <c r="F33" s="161">
        <f t="shared" si="3"/>
        <v>1.5989999999999895</v>
      </c>
      <c r="G33" s="38">
        <f t="shared" si="4"/>
        <v>1.4779417881339385E-2</v>
      </c>
      <c r="H33" s="158"/>
    </row>
    <row r="34" spans="1:8" ht="15.6">
      <c r="A34" s="19">
        <f t="shared" si="0"/>
        <v>34</v>
      </c>
      <c r="C34" s="35">
        <f t="shared" si="6"/>
        <v>1200</v>
      </c>
      <c r="D34" s="161">
        <f t="shared" si="1"/>
        <v>117.14200000000001</v>
      </c>
      <c r="E34" s="161">
        <f t="shared" si="2"/>
        <v>118.68</v>
      </c>
      <c r="F34" s="161">
        <f t="shared" si="3"/>
        <v>1.5379999999999967</v>
      </c>
      <c r="G34" s="38">
        <f t="shared" si="4"/>
        <v>1.3129364361202614E-2</v>
      </c>
      <c r="H34" s="158"/>
    </row>
    <row r="35" spans="1:8" ht="15.6">
      <c r="A35" s="19">
        <f t="shared" si="0"/>
        <v>35</v>
      </c>
      <c r="C35" s="35">
        <f t="shared" si="6"/>
        <v>1300</v>
      </c>
      <c r="D35" s="161">
        <f t="shared" si="1"/>
        <v>126.09300000000002</v>
      </c>
      <c r="E35" s="161">
        <f t="shared" si="2"/>
        <v>127.57000000000001</v>
      </c>
      <c r="F35" s="161">
        <f t="shared" si="3"/>
        <v>1.4769999999999897</v>
      </c>
      <c r="G35" s="38">
        <f t="shared" si="4"/>
        <v>1.1713576487195876E-2</v>
      </c>
      <c r="H35" s="158"/>
    </row>
    <row r="36" spans="1:8" ht="15.6">
      <c r="A36" s="19">
        <f t="shared" si="0"/>
        <v>36</v>
      </c>
      <c r="C36" s="35">
        <f t="shared" si="6"/>
        <v>1400</v>
      </c>
      <c r="D36" s="161">
        <f t="shared" si="1"/>
        <v>135.04400000000001</v>
      </c>
      <c r="E36" s="161">
        <f t="shared" si="2"/>
        <v>136.46</v>
      </c>
      <c r="F36" s="161">
        <f t="shared" si="3"/>
        <v>1.4159999999999968</v>
      </c>
      <c r="G36" s="38">
        <f t="shared" si="4"/>
        <v>1.0485471401913426E-2</v>
      </c>
      <c r="H36" s="158"/>
    </row>
    <row r="37" spans="1:8" ht="15.6">
      <c r="A37" s="19">
        <f t="shared" si="0"/>
        <v>37</v>
      </c>
      <c r="C37" s="35">
        <f t="shared" si="6"/>
        <v>1500</v>
      </c>
      <c r="D37" s="161">
        <f t="shared" si="1"/>
        <v>143.995</v>
      </c>
      <c r="E37" s="161">
        <f t="shared" si="2"/>
        <v>145.35000000000002</v>
      </c>
      <c r="F37" s="161">
        <f t="shared" si="3"/>
        <v>1.3550000000000182</v>
      </c>
      <c r="G37" s="38">
        <f t="shared" si="4"/>
        <v>9.4100489600334597E-3</v>
      </c>
      <c r="H37" s="158"/>
    </row>
    <row r="38" spans="1:8" ht="15.6">
      <c r="A38" s="19">
        <f t="shared" si="0"/>
        <v>38</v>
      </c>
      <c r="C38" s="35">
        <f t="shared" si="6"/>
        <v>1600</v>
      </c>
      <c r="D38" s="161">
        <f t="shared" si="1"/>
        <v>152.946</v>
      </c>
      <c r="E38" s="161">
        <f t="shared" si="2"/>
        <v>154.24</v>
      </c>
      <c r="F38" s="161">
        <f t="shared" si="3"/>
        <v>1.2940000000000111</v>
      </c>
      <c r="G38" s="38">
        <f t="shared" si="4"/>
        <v>8.4605023995397797E-3</v>
      </c>
      <c r="H38" s="158"/>
    </row>
    <row r="39" spans="1:8" ht="15.6">
      <c r="A39" s="19">
        <f t="shared" si="0"/>
        <v>39</v>
      </c>
      <c r="C39" s="35">
        <f t="shared" si="6"/>
        <v>1700</v>
      </c>
      <c r="D39" s="161">
        <f t="shared" si="1"/>
        <v>161.89699999999999</v>
      </c>
      <c r="E39" s="161">
        <f t="shared" si="2"/>
        <v>163.13000000000002</v>
      </c>
      <c r="F39" s="161">
        <f t="shared" si="3"/>
        <v>1.2330000000000325</v>
      </c>
      <c r="G39" s="38">
        <f t="shared" si="4"/>
        <v>7.6159533530580099E-3</v>
      </c>
      <c r="H39" s="158"/>
    </row>
    <row r="40" spans="1:8" ht="15.6">
      <c r="A40" s="19">
        <f t="shared" si="0"/>
        <v>40</v>
      </c>
      <c r="C40" s="35">
        <f t="shared" si="6"/>
        <v>1800</v>
      </c>
      <c r="D40" s="161">
        <f t="shared" si="1"/>
        <v>170.84800000000001</v>
      </c>
      <c r="E40" s="161">
        <f t="shared" si="2"/>
        <v>172.02</v>
      </c>
      <c r="F40" s="161">
        <f t="shared" si="3"/>
        <v>1.171999999999997</v>
      </c>
      <c r="G40" s="38">
        <f t="shared" si="4"/>
        <v>6.8598988574639268E-3</v>
      </c>
      <c r="H40" s="158"/>
    </row>
    <row r="41" spans="1:8" ht="15.6">
      <c r="A41" s="19">
        <f t="shared" si="0"/>
        <v>41</v>
      </c>
      <c r="C41" s="35">
        <f t="shared" si="6"/>
        <v>1900</v>
      </c>
      <c r="D41" s="161">
        <f t="shared" si="1"/>
        <v>179.79900000000001</v>
      </c>
      <c r="E41" s="161">
        <f t="shared" si="2"/>
        <v>180.91000000000003</v>
      </c>
      <c r="F41" s="161">
        <f t="shared" si="3"/>
        <v>1.1110000000000184</v>
      </c>
      <c r="G41" s="38">
        <f t="shared" si="4"/>
        <v>6.1791222420592906E-3</v>
      </c>
      <c r="H41" s="158"/>
    </row>
    <row r="42" spans="1:8" ht="15.6">
      <c r="A42" s="19">
        <f t="shared" si="0"/>
        <v>42</v>
      </c>
      <c r="C42" s="35">
        <f t="shared" si="6"/>
        <v>2000</v>
      </c>
      <c r="D42" s="161">
        <f t="shared" si="1"/>
        <v>188.75</v>
      </c>
      <c r="E42" s="161">
        <f t="shared" si="2"/>
        <v>189.8</v>
      </c>
      <c r="F42" s="161">
        <f t="shared" si="3"/>
        <v>1.0500000000000114</v>
      </c>
      <c r="G42" s="38">
        <f t="shared" si="4"/>
        <v>5.5629139072848281E-3</v>
      </c>
      <c r="H42" s="158"/>
    </row>
    <row r="43" spans="1:8" ht="15.6">
      <c r="A43" s="19">
        <f t="shared" si="0"/>
        <v>43</v>
      </c>
      <c r="B43" s="35" t="s">
        <v>272</v>
      </c>
      <c r="C43" s="35"/>
      <c r="D43" s="26"/>
      <c r="E43" s="26"/>
      <c r="F43" s="26"/>
      <c r="G43" s="26"/>
      <c r="H43" s="158"/>
    </row>
    <row r="44" spans="1:8" ht="15.6">
      <c r="A44" s="19">
        <f t="shared" si="0"/>
        <v>44</v>
      </c>
      <c r="C44" s="162">
        <f>(+'Exhibit C-2'!B14/'Exhibit C-2'!B12)</f>
        <v>1270.8730407222436</v>
      </c>
      <c r="D44" s="163">
        <f>(C44*$D$11)+$D$10</f>
        <v>123.48584587504803</v>
      </c>
      <c r="E44" s="163">
        <f>(C44*$E$11)+$E$10</f>
        <v>124.98061332020747</v>
      </c>
      <c r="F44" s="163">
        <f>(+E44-D44)</f>
        <v>1.4947674451594395</v>
      </c>
      <c r="G44" s="164">
        <f>+F44/D44</f>
        <v>1.2104767429555886E-2</v>
      </c>
      <c r="H44" s="158"/>
    </row>
    <row r="45" spans="1:8" ht="15.6">
      <c r="A45" s="19">
        <f t="shared" si="0"/>
        <v>45</v>
      </c>
      <c r="B45" s="26"/>
      <c r="C45" s="26"/>
      <c r="D45" s="26"/>
      <c r="E45" s="26"/>
      <c r="F45" s="26"/>
      <c r="G45" s="26"/>
      <c r="H45" s="158"/>
    </row>
    <row r="46" spans="1:8" ht="15.6">
      <c r="A46" s="19">
        <f t="shared" si="0"/>
        <v>46</v>
      </c>
      <c r="B46" s="26"/>
      <c r="C46" s="26"/>
      <c r="D46" s="26"/>
      <c r="E46" s="26"/>
      <c r="F46" s="26"/>
      <c r="G46" s="26"/>
      <c r="H46" s="158"/>
    </row>
    <row r="47" spans="1:8">
      <c r="B47" s="158"/>
      <c r="C47" s="158"/>
      <c r="D47" s="158"/>
      <c r="E47" s="158"/>
      <c r="F47" s="158"/>
      <c r="G47" s="158"/>
      <c r="H47" s="158"/>
    </row>
    <row r="48" spans="1:8">
      <c r="B48" s="158"/>
      <c r="C48" s="158"/>
      <c r="D48" s="158"/>
      <c r="E48" s="158"/>
      <c r="F48" s="158"/>
      <c r="G48" s="158"/>
      <c r="H48" s="158"/>
    </row>
    <row r="49" spans="2:8">
      <c r="B49" s="158"/>
      <c r="C49" s="158"/>
      <c r="D49" s="158"/>
      <c r="E49" s="158"/>
      <c r="F49" s="158"/>
      <c r="G49" s="158"/>
      <c r="H49" s="158"/>
    </row>
    <row r="50" spans="2:8">
      <c r="B50" s="158"/>
      <c r="C50" s="158"/>
      <c r="D50" s="158"/>
      <c r="E50" s="158"/>
      <c r="F50" s="158"/>
      <c r="G50" s="158"/>
      <c r="H50" s="158"/>
    </row>
  </sheetData>
  <mergeCells count="1">
    <mergeCell ref="F13:G13"/>
  </mergeCells>
  <pageMargins left="0.75" right="0.5" top="0.5" bottom="0.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88634-84B2-454C-9CB0-627FF2C60D8D}">
  <dimension ref="A1:AB143"/>
  <sheetViews>
    <sheetView view="pageBreakPreview" zoomScale="60" zoomScaleNormal="100" workbookViewId="0">
      <selection activeCell="H18" sqref="H18"/>
    </sheetView>
  </sheetViews>
  <sheetFormatPr defaultRowHeight="14.4"/>
  <cols>
    <col min="1" max="1" width="12.6640625" customWidth="1"/>
    <col min="2" max="2" width="10" customWidth="1"/>
    <col min="3" max="3" width="12.5546875" customWidth="1"/>
    <col min="4" max="5" width="13.6640625" customWidth="1"/>
    <col min="6" max="6" width="9.6640625" customWidth="1"/>
    <col min="7" max="7" width="11.6640625" customWidth="1"/>
    <col min="8" max="8" width="13.33203125" customWidth="1"/>
    <col min="9" max="10" width="11.6640625" customWidth="1"/>
    <col min="11" max="11" width="10.6640625" bestFit="1" customWidth="1"/>
    <col min="12" max="12" width="12.6640625" customWidth="1"/>
    <col min="13" max="13" width="9.33203125" bestFit="1" customWidth="1"/>
    <col min="14" max="14" width="11.6640625" customWidth="1"/>
    <col min="15" max="20" width="9.33203125" bestFit="1" customWidth="1"/>
    <col min="21" max="21" width="9.6640625" bestFit="1" customWidth="1"/>
    <col min="22" max="22" width="13.6640625" customWidth="1"/>
    <col min="23" max="23" width="11.6640625" customWidth="1"/>
    <col min="24" max="24" width="10.88671875" bestFit="1" customWidth="1"/>
    <col min="25" max="25" width="9.33203125" bestFit="1" customWidth="1"/>
    <col min="26" max="26" width="13.6640625" customWidth="1"/>
  </cols>
  <sheetData>
    <row r="1" spans="1:18">
      <c r="A1" t="s">
        <v>45</v>
      </c>
    </row>
    <row r="2" spans="1:18">
      <c r="A2" t="s">
        <v>45</v>
      </c>
    </row>
    <row r="3" spans="1:18">
      <c r="A3" t="s">
        <v>45</v>
      </c>
    </row>
    <row r="4" spans="1:18">
      <c r="A4" s="214" t="s">
        <v>273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8">
      <c r="A5" s="165" t="s">
        <v>45</v>
      </c>
    </row>
    <row r="7" spans="1:18">
      <c r="A7" t="s">
        <v>274</v>
      </c>
    </row>
    <row r="8" spans="1:18">
      <c r="B8" s="219" t="s">
        <v>275</v>
      </c>
      <c r="C8" s="220"/>
      <c r="D8" s="221"/>
      <c r="E8" s="27"/>
      <c r="F8" s="27"/>
      <c r="G8" s="27"/>
      <c r="H8" s="211" t="s">
        <v>276</v>
      </c>
      <c r="I8" s="211"/>
      <c r="J8" s="211"/>
      <c r="K8" s="211"/>
      <c r="L8" s="211"/>
    </row>
    <row r="9" spans="1:18">
      <c r="B9" s="27"/>
      <c r="C9" s="166" t="s">
        <v>277</v>
      </c>
      <c r="D9" s="27"/>
      <c r="E9" s="27"/>
      <c r="F9" s="27"/>
      <c r="G9" s="166" t="s">
        <v>278</v>
      </c>
      <c r="H9" s="27" t="s">
        <v>279</v>
      </c>
      <c r="I9" s="211" t="s">
        <v>280</v>
      </c>
      <c r="J9" s="211"/>
      <c r="K9" s="27" t="s">
        <v>281</v>
      </c>
      <c r="L9" s="27" t="s">
        <v>43</v>
      </c>
    </row>
    <row r="10" spans="1:18">
      <c r="A10" s="167">
        <v>2013</v>
      </c>
      <c r="B10" s="167" t="s">
        <v>282</v>
      </c>
      <c r="C10" s="167" t="s">
        <v>283</v>
      </c>
      <c r="D10" s="167" t="s">
        <v>280</v>
      </c>
      <c r="E10" s="167" t="s">
        <v>284</v>
      </c>
      <c r="F10" s="167" t="s">
        <v>285</v>
      </c>
      <c r="G10" s="167" t="s">
        <v>225</v>
      </c>
      <c r="H10" s="167" t="s">
        <v>286</v>
      </c>
      <c r="I10" s="167" t="s">
        <v>287</v>
      </c>
      <c r="J10" s="167" t="s">
        <v>288</v>
      </c>
      <c r="K10" s="167" t="s">
        <v>289</v>
      </c>
      <c r="L10" s="167" t="s">
        <v>53</v>
      </c>
      <c r="R10" s="167"/>
    </row>
    <row r="11" spans="1:18">
      <c r="A11" t="s">
        <v>290</v>
      </c>
      <c r="B11" s="136">
        <v>26700</v>
      </c>
      <c r="C11" s="136">
        <v>858</v>
      </c>
      <c r="D11" s="136">
        <v>271848</v>
      </c>
      <c r="E11" s="136"/>
      <c r="F11" s="136"/>
      <c r="G11" s="136"/>
      <c r="H11" s="136">
        <v>18680750</v>
      </c>
      <c r="I11" s="136">
        <v>53093311</v>
      </c>
      <c r="J11" s="136">
        <v>65379073</v>
      </c>
      <c r="K11" s="136">
        <v>22400</v>
      </c>
      <c r="L11" s="136">
        <f>SUM(G11:K11)</f>
        <v>137175534</v>
      </c>
      <c r="R11" s="136"/>
    </row>
    <row r="12" spans="1:18">
      <c r="A12" t="s">
        <v>291</v>
      </c>
      <c r="B12" s="136">
        <v>26700</v>
      </c>
      <c r="C12" s="136">
        <v>1503</v>
      </c>
      <c r="D12" s="136">
        <v>270485</v>
      </c>
      <c r="E12" s="136"/>
      <c r="F12" s="136"/>
      <c r="G12" s="136"/>
      <c r="H12" s="136">
        <v>17099588</v>
      </c>
      <c r="I12" s="136">
        <v>46395840</v>
      </c>
      <c r="J12" s="136">
        <v>57537585</v>
      </c>
      <c r="K12" s="136">
        <v>22300</v>
      </c>
      <c r="L12" s="136">
        <f t="shared" ref="L12:L18" si="0">SUM(G12:K12)</f>
        <v>121055313</v>
      </c>
    </row>
    <row r="13" spans="1:18">
      <c r="A13" t="s">
        <v>292</v>
      </c>
      <c r="B13" s="136">
        <v>26700</v>
      </c>
      <c r="C13" s="136">
        <v>1349</v>
      </c>
      <c r="D13" s="136">
        <v>245171</v>
      </c>
      <c r="E13" s="136"/>
      <c r="F13" s="136"/>
      <c r="G13" s="136"/>
      <c r="H13" s="136">
        <v>18425373</v>
      </c>
      <c r="I13" s="136">
        <v>49040049</v>
      </c>
      <c r="J13" s="136">
        <v>61212307</v>
      </c>
      <c r="K13" s="136">
        <v>22300</v>
      </c>
      <c r="L13" s="136">
        <f t="shared" si="0"/>
        <v>128700029</v>
      </c>
      <c r="R13" s="136"/>
    </row>
    <row r="14" spans="1:18">
      <c r="A14" t="s">
        <v>293</v>
      </c>
      <c r="B14" s="136">
        <v>28300</v>
      </c>
      <c r="C14" s="136">
        <v>1045</v>
      </c>
      <c r="D14" s="136">
        <v>185405</v>
      </c>
      <c r="E14" s="136"/>
      <c r="F14" s="136"/>
      <c r="G14" s="136"/>
      <c r="H14" s="136">
        <v>17977056</v>
      </c>
      <c r="I14" s="136">
        <v>33923279</v>
      </c>
      <c r="J14" s="136">
        <v>40600309</v>
      </c>
      <c r="K14" s="136">
        <v>22300</v>
      </c>
      <c r="L14" s="136">
        <f t="shared" si="0"/>
        <v>92522944</v>
      </c>
      <c r="R14" s="136"/>
    </row>
    <row r="15" spans="1:18">
      <c r="A15" t="s">
        <v>294</v>
      </c>
      <c r="B15" s="136">
        <v>28800</v>
      </c>
      <c r="C15" s="136">
        <v>48</v>
      </c>
      <c r="D15" s="136">
        <v>175055</v>
      </c>
      <c r="E15" s="136"/>
      <c r="F15" s="136"/>
      <c r="G15" s="136"/>
      <c r="H15" s="136">
        <v>18060866</v>
      </c>
      <c r="I15" s="136">
        <v>42522622</v>
      </c>
      <c r="J15" s="136">
        <v>32105576</v>
      </c>
      <c r="K15" s="136">
        <v>22300</v>
      </c>
      <c r="L15" s="136">
        <f t="shared" si="0"/>
        <v>92711364</v>
      </c>
      <c r="R15" s="136"/>
    </row>
    <row r="16" spans="1:18">
      <c r="A16" t="s">
        <v>295</v>
      </c>
      <c r="B16" s="136">
        <v>28900</v>
      </c>
      <c r="C16" s="136">
        <v>1178</v>
      </c>
      <c r="D16" s="136">
        <v>204128</v>
      </c>
      <c r="E16" s="136"/>
      <c r="F16" s="136"/>
      <c r="G16" s="136"/>
      <c r="H16" s="136">
        <v>18915868</v>
      </c>
      <c r="I16" s="136">
        <v>51617049</v>
      </c>
      <c r="J16" s="136">
        <v>33946730</v>
      </c>
      <c r="K16" s="136">
        <v>22900</v>
      </c>
      <c r="L16" s="136">
        <f t="shared" si="0"/>
        <v>104502547</v>
      </c>
      <c r="R16" s="136"/>
    </row>
    <row r="17" spans="1:18">
      <c r="A17" t="s">
        <v>296</v>
      </c>
      <c r="B17" s="136">
        <v>22100</v>
      </c>
      <c r="C17" s="136">
        <v>720</v>
      </c>
      <c r="D17" s="136">
        <v>204666</v>
      </c>
      <c r="E17" s="136">
        <v>4066</v>
      </c>
      <c r="F17" s="136">
        <v>15000</v>
      </c>
      <c r="G17" s="136">
        <v>8948072</v>
      </c>
      <c r="H17" s="136">
        <v>17416830</v>
      </c>
      <c r="I17" s="136">
        <v>52856619</v>
      </c>
      <c r="J17" s="136">
        <v>34245849</v>
      </c>
      <c r="K17" s="136">
        <v>22900</v>
      </c>
      <c r="L17" s="136">
        <f t="shared" si="0"/>
        <v>113490270</v>
      </c>
      <c r="R17" s="136"/>
    </row>
    <row r="18" spans="1:18">
      <c r="A18" t="s">
        <v>297</v>
      </c>
      <c r="B18" s="136">
        <v>22100</v>
      </c>
      <c r="C18" s="136">
        <v>810</v>
      </c>
      <c r="D18" s="136">
        <v>194161</v>
      </c>
      <c r="E18" s="136">
        <v>3944</v>
      </c>
      <c r="F18" s="136">
        <v>15000</v>
      </c>
      <c r="G18" s="136">
        <v>8791304</v>
      </c>
      <c r="H18" s="136">
        <v>18089595</v>
      </c>
      <c r="I18" s="136">
        <v>52984576</v>
      </c>
      <c r="J18" s="136">
        <v>33646637</v>
      </c>
      <c r="K18" s="136">
        <v>22900</v>
      </c>
      <c r="L18" s="136">
        <f t="shared" si="0"/>
        <v>113535012</v>
      </c>
      <c r="R18" s="136"/>
    </row>
    <row r="19" spans="1:18">
      <c r="A19" t="s">
        <v>298</v>
      </c>
      <c r="B19" s="136">
        <v>22000</v>
      </c>
      <c r="C19" s="136">
        <v>611</v>
      </c>
      <c r="D19" s="136">
        <v>193649</v>
      </c>
      <c r="E19" s="136">
        <v>4240</v>
      </c>
      <c r="F19" s="136">
        <v>15000</v>
      </c>
      <c r="G19" s="136">
        <v>8557655</v>
      </c>
      <c r="H19" s="136">
        <v>16584923</v>
      </c>
      <c r="I19" s="136">
        <v>43326976</v>
      </c>
      <c r="J19" s="136">
        <v>28656309</v>
      </c>
      <c r="K19" s="136">
        <v>22900</v>
      </c>
      <c r="L19" s="136">
        <f>SUM(H19:K19)</f>
        <v>88591108</v>
      </c>
      <c r="R19" s="136"/>
    </row>
    <row r="20" spans="1:18">
      <c r="A20" t="s">
        <v>299</v>
      </c>
      <c r="B20" s="136">
        <v>20700</v>
      </c>
      <c r="C20" s="136">
        <v>1416</v>
      </c>
      <c r="D20" s="136">
        <v>168799</v>
      </c>
      <c r="E20" s="136">
        <v>3850</v>
      </c>
      <c r="F20" s="136">
        <v>15000</v>
      </c>
      <c r="G20" s="136">
        <v>8184778</v>
      </c>
      <c r="H20" s="136">
        <v>17457622</v>
      </c>
      <c r="I20" s="136">
        <v>32266215</v>
      </c>
      <c r="J20" s="136">
        <v>37221249</v>
      </c>
      <c r="K20" s="136">
        <v>22900</v>
      </c>
      <c r="L20" s="136">
        <f>SUM(H20:K20)</f>
        <v>86967986</v>
      </c>
      <c r="R20" s="136"/>
    </row>
    <row r="21" spans="1:18">
      <c r="A21" t="s">
        <v>300</v>
      </c>
      <c r="B21" s="136">
        <v>20700</v>
      </c>
      <c r="C21" s="136">
        <v>0</v>
      </c>
      <c r="D21" s="136">
        <v>230696</v>
      </c>
      <c r="E21" s="136">
        <v>796</v>
      </c>
      <c r="F21" s="136">
        <v>15000</v>
      </c>
      <c r="G21" s="136">
        <v>8879458</v>
      </c>
      <c r="H21" s="136">
        <v>15977250</v>
      </c>
      <c r="I21" s="136">
        <v>40892996</v>
      </c>
      <c r="J21" s="136">
        <v>49202219</v>
      </c>
      <c r="K21" s="136">
        <v>22900</v>
      </c>
      <c r="L21" s="136">
        <f>SUM(H21:K21)</f>
        <v>106095365</v>
      </c>
      <c r="R21" s="136"/>
    </row>
    <row r="22" spans="1:18">
      <c r="A22" t="s">
        <v>301</v>
      </c>
      <c r="B22" s="168">
        <v>20700</v>
      </c>
      <c r="C22" s="168">
        <v>1864</v>
      </c>
      <c r="D22" s="168">
        <v>243332</v>
      </c>
      <c r="E22" s="168">
        <v>3803</v>
      </c>
      <c r="F22" s="168">
        <v>15000</v>
      </c>
      <c r="G22" s="168">
        <v>8935182</v>
      </c>
      <c r="H22" s="168">
        <v>14291888</v>
      </c>
      <c r="I22" s="168">
        <v>50795707</v>
      </c>
      <c r="J22" s="168">
        <v>61656736</v>
      </c>
      <c r="K22" s="168">
        <v>22800</v>
      </c>
      <c r="L22" s="168">
        <f>SUM(H22:K22)</f>
        <v>126767131</v>
      </c>
      <c r="R22" s="136"/>
    </row>
    <row r="23" spans="1:18"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</row>
    <row r="24" spans="1:18">
      <c r="A24" t="s">
        <v>43</v>
      </c>
      <c r="B24" s="169">
        <f>SUM(B11:B22)</f>
        <v>294400</v>
      </c>
      <c r="C24" s="169">
        <f t="shared" ref="C24:L24" si="1">SUM(C11:C22)</f>
        <v>11402</v>
      </c>
      <c r="D24" s="169">
        <f t="shared" si="1"/>
        <v>2587395</v>
      </c>
      <c r="E24" s="169">
        <f t="shared" si="1"/>
        <v>20699</v>
      </c>
      <c r="F24" s="169">
        <f t="shared" si="1"/>
        <v>90000</v>
      </c>
      <c r="G24" s="169">
        <f t="shared" si="1"/>
        <v>52296449</v>
      </c>
      <c r="H24" s="169">
        <f t="shared" si="1"/>
        <v>208977609</v>
      </c>
      <c r="I24" s="169">
        <f t="shared" si="1"/>
        <v>549715239</v>
      </c>
      <c r="J24" s="169">
        <f t="shared" si="1"/>
        <v>535410579</v>
      </c>
      <c r="K24" s="169">
        <f t="shared" si="1"/>
        <v>271800</v>
      </c>
      <c r="L24" s="169">
        <f t="shared" si="1"/>
        <v>1312114603</v>
      </c>
      <c r="R24" s="136"/>
    </row>
    <row r="30" spans="1:18">
      <c r="H30" t="s">
        <v>45</v>
      </c>
    </row>
    <row r="31" spans="1:18">
      <c r="A31" s="214" t="s">
        <v>302</v>
      </c>
      <c r="B31" s="214"/>
      <c r="C31" s="214"/>
      <c r="D31" s="214"/>
      <c r="E31" s="214"/>
      <c r="H31" s="170" t="s">
        <v>303</v>
      </c>
      <c r="I31" s="170"/>
      <c r="J31" s="170"/>
    </row>
    <row r="32" spans="1:18">
      <c r="H32" t="s">
        <v>45</v>
      </c>
    </row>
    <row r="33" spans="1:10">
      <c r="H33" s="171" t="str">
        <f>+A5</f>
        <v xml:space="preserve"> </v>
      </c>
    </row>
    <row r="35" spans="1:10">
      <c r="A35" s="27" t="s">
        <v>304</v>
      </c>
      <c r="B35" s="211" t="s">
        <v>305</v>
      </c>
      <c r="C35" s="211"/>
      <c r="D35" s="211"/>
      <c r="H35" t="s">
        <v>306</v>
      </c>
      <c r="J35" s="172"/>
    </row>
    <row r="36" spans="1:10">
      <c r="A36" s="167" t="s">
        <v>307</v>
      </c>
      <c r="B36" s="167">
        <v>1088</v>
      </c>
      <c r="C36" s="167">
        <v>2737</v>
      </c>
      <c r="D36" s="167">
        <v>3292</v>
      </c>
      <c r="E36" s="167">
        <v>5310</v>
      </c>
      <c r="H36" t="s">
        <v>151</v>
      </c>
      <c r="J36" s="123">
        <v>7.17</v>
      </c>
    </row>
    <row r="37" spans="1:10">
      <c r="A37" s="173">
        <v>33</v>
      </c>
      <c r="B37" s="173">
        <v>1</v>
      </c>
      <c r="C37" s="173">
        <v>1</v>
      </c>
      <c r="D37" s="173">
        <v>22</v>
      </c>
      <c r="E37" s="173">
        <v>9</v>
      </c>
      <c r="H37" t="s">
        <v>153</v>
      </c>
      <c r="J37" s="123">
        <v>9.98</v>
      </c>
    </row>
    <row r="38" spans="1:10">
      <c r="A38" s="27">
        <v>33</v>
      </c>
      <c r="B38" s="27">
        <v>1</v>
      </c>
      <c r="C38" s="173">
        <v>1</v>
      </c>
      <c r="D38" s="27">
        <v>22</v>
      </c>
      <c r="E38" s="27">
        <v>9</v>
      </c>
      <c r="H38" t="s">
        <v>308</v>
      </c>
      <c r="J38" s="123">
        <v>1.57</v>
      </c>
    </row>
    <row r="39" spans="1:10">
      <c r="A39" s="27">
        <v>33</v>
      </c>
      <c r="B39" s="27">
        <v>1</v>
      </c>
      <c r="C39" s="173">
        <v>1</v>
      </c>
      <c r="D39" s="27">
        <v>22</v>
      </c>
      <c r="E39" s="27">
        <v>9</v>
      </c>
      <c r="H39" s="174" t="s">
        <v>309</v>
      </c>
      <c r="J39" s="123">
        <v>6.98</v>
      </c>
    </row>
    <row r="40" spans="1:10">
      <c r="A40" s="27">
        <v>33</v>
      </c>
      <c r="B40" s="27">
        <v>1</v>
      </c>
      <c r="C40" s="173">
        <v>1</v>
      </c>
      <c r="D40" s="27">
        <v>22</v>
      </c>
      <c r="E40" s="27">
        <v>9</v>
      </c>
      <c r="H40" t="s">
        <v>310</v>
      </c>
      <c r="J40" s="123">
        <v>7.99</v>
      </c>
    </row>
    <row r="41" spans="1:10">
      <c r="A41" s="27">
        <v>33</v>
      </c>
      <c r="B41" s="27">
        <v>1</v>
      </c>
      <c r="C41" s="173">
        <v>1</v>
      </c>
      <c r="D41" s="27">
        <v>22</v>
      </c>
      <c r="E41" s="27">
        <v>9</v>
      </c>
      <c r="H41" t="s">
        <v>311</v>
      </c>
      <c r="J41" s="123">
        <v>6.02</v>
      </c>
    </row>
    <row r="42" spans="1:10">
      <c r="A42" s="27">
        <v>33</v>
      </c>
      <c r="B42" s="27">
        <v>1</v>
      </c>
      <c r="C42" s="173">
        <v>1</v>
      </c>
      <c r="D42" s="27">
        <v>22</v>
      </c>
      <c r="E42" s="27">
        <v>9</v>
      </c>
      <c r="H42" t="s">
        <v>312</v>
      </c>
      <c r="J42" s="175">
        <v>4.2882000000000003E-2</v>
      </c>
    </row>
    <row r="43" spans="1:10">
      <c r="A43" s="27">
        <v>33</v>
      </c>
      <c r="B43" s="27">
        <v>1</v>
      </c>
      <c r="C43" s="173">
        <v>1</v>
      </c>
      <c r="D43" s="27">
        <v>22</v>
      </c>
      <c r="E43" s="27">
        <v>9</v>
      </c>
      <c r="H43" s="174" t="s">
        <v>313</v>
      </c>
      <c r="J43" s="175">
        <v>4.0847000000000001E-2</v>
      </c>
    </row>
    <row r="44" spans="1:10">
      <c r="A44" s="27">
        <v>33</v>
      </c>
      <c r="B44" s="27">
        <v>1</v>
      </c>
      <c r="C44" s="173">
        <v>1</v>
      </c>
      <c r="D44" s="27">
        <v>22</v>
      </c>
      <c r="E44" s="27">
        <v>9</v>
      </c>
      <c r="H44" t="s">
        <v>314</v>
      </c>
      <c r="J44" s="175">
        <v>0.45132</v>
      </c>
    </row>
    <row r="45" spans="1:10">
      <c r="A45" s="27">
        <v>33</v>
      </c>
      <c r="B45" s="27">
        <v>1</v>
      </c>
      <c r="C45" s="173">
        <v>1</v>
      </c>
      <c r="D45" s="27">
        <v>22</v>
      </c>
      <c r="E45" s="27">
        <v>9</v>
      </c>
      <c r="H45" t="s">
        <v>315</v>
      </c>
      <c r="J45" s="175">
        <v>4.4554000000000003E-2</v>
      </c>
    </row>
    <row r="46" spans="1:10">
      <c r="A46" s="27">
        <v>33</v>
      </c>
      <c r="B46" s="27">
        <v>1</v>
      </c>
      <c r="C46" s="173">
        <v>1</v>
      </c>
      <c r="D46" s="27">
        <v>22</v>
      </c>
      <c r="E46" s="27">
        <v>9</v>
      </c>
      <c r="H46" t="s">
        <v>316</v>
      </c>
      <c r="J46" s="175">
        <v>5.3279E-2</v>
      </c>
    </row>
    <row r="47" spans="1:10">
      <c r="A47" s="27">
        <v>33</v>
      </c>
      <c r="B47" s="27">
        <v>1</v>
      </c>
      <c r="C47" s="173">
        <v>1</v>
      </c>
      <c r="D47" s="27">
        <v>22</v>
      </c>
      <c r="E47" s="27">
        <v>9</v>
      </c>
      <c r="H47" t="s">
        <v>317</v>
      </c>
      <c r="J47" s="175">
        <v>4.4554000000000003E-2</v>
      </c>
    </row>
    <row r="48" spans="1:10">
      <c r="A48" s="167">
        <v>33</v>
      </c>
      <c r="B48" s="167">
        <v>1</v>
      </c>
      <c r="C48" s="176">
        <v>1</v>
      </c>
      <c r="D48" s="167">
        <v>22</v>
      </c>
      <c r="E48" s="167">
        <v>9</v>
      </c>
      <c r="H48" t="s">
        <v>318</v>
      </c>
      <c r="J48" s="177">
        <v>1088</v>
      </c>
    </row>
    <row r="49" spans="1:28">
      <c r="A49" s="27"/>
      <c r="B49" s="27"/>
      <c r="C49" s="27"/>
      <c r="D49" s="27"/>
      <c r="E49" s="27"/>
      <c r="H49" t="s">
        <v>319</v>
      </c>
      <c r="J49" s="177">
        <v>2737</v>
      </c>
    </row>
    <row r="50" spans="1:28">
      <c r="A50" s="178">
        <f>SUM(A37:A48)</f>
        <v>396</v>
      </c>
      <c r="B50" s="178">
        <f>SUM(B37:B48)</f>
        <v>12</v>
      </c>
      <c r="C50" s="178">
        <f>SUM(C37:C48)</f>
        <v>12</v>
      </c>
      <c r="D50" s="178">
        <f>SUM(D37:D48)</f>
        <v>264</v>
      </c>
      <c r="E50" s="178">
        <f>SUM(E37:E48)</f>
        <v>108</v>
      </c>
      <c r="H50" t="s">
        <v>320</v>
      </c>
      <c r="J50" s="177">
        <v>3292</v>
      </c>
    </row>
    <row r="51" spans="1:28">
      <c r="D51" s="177"/>
      <c r="H51" t="s">
        <v>321</v>
      </c>
      <c r="J51" s="177">
        <v>5310</v>
      </c>
    </row>
    <row r="52" spans="1:28">
      <c r="D52" s="177"/>
      <c r="H52" t="s">
        <v>322</v>
      </c>
      <c r="J52" s="177">
        <v>144</v>
      </c>
    </row>
    <row r="53" spans="1:28">
      <c r="D53" s="175"/>
      <c r="H53" t="s">
        <v>323</v>
      </c>
      <c r="J53" s="175">
        <v>2.375E-2</v>
      </c>
    </row>
    <row r="54" spans="1:28">
      <c r="C54" s="175"/>
      <c r="D54" s="175"/>
    </row>
    <row r="55" spans="1:28">
      <c r="C55" s="175"/>
      <c r="D55" s="175"/>
    </row>
    <row r="56" spans="1:28">
      <c r="A56" s="214" t="s">
        <v>324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</row>
    <row r="57" spans="1:28">
      <c r="C57" s="175"/>
      <c r="D57" s="175"/>
    </row>
    <row r="58" spans="1:28">
      <c r="B58" s="219" t="s">
        <v>275</v>
      </c>
      <c r="C58" s="220"/>
      <c r="D58" s="220"/>
      <c r="E58" s="220"/>
      <c r="F58" s="220"/>
      <c r="G58" s="220"/>
      <c r="H58" s="220"/>
      <c r="I58" s="219" t="s">
        <v>325</v>
      </c>
      <c r="J58" s="220"/>
      <c r="K58" s="220"/>
      <c r="L58" s="220"/>
      <c r="M58" s="220"/>
      <c r="N58" s="221"/>
    </row>
    <row r="59" spans="1:28">
      <c r="B59" s="179"/>
      <c r="C59" s="27" t="s">
        <v>283</v>
      </c>
      <c r="E59" s="27"/>
      <c r="F59" s="27"/>
      <c r="G59" s="27" t="s">
        <v>326</v>
      </c>
      <c r="H59" s="27" t="s">
        <v>327</v>
      </c>
      <c r="I59" s="180" t="s">
        <v>279</v>
      </c>
      <c r="J59" s="158" t="s">
        <v>278</v>
      </c>
      <c r="K59" s="220" t="s">
        <v>280</v>
      </c>
      <c r="L59" s="220"/>
      <c r="M59" s="27" t="s">
        <v>281</v>
      </c>
      <c r="N59" s="181" t="s">
        <v>328</v>
      </c>
    </row>
    <row r="60" spans="1:28">
      <c r="B60" s="182" t="s">
        <v>282</v>
      </c>
      <c r="C60" s="183" t="s">
        <v>329</v>
      </c>
      <c r="D60" s="183" t="s">
        <v>284</v>
      </c>
      <c r="E60" s="183" t="s">
        <v>280</v>
      </c>
      <c r="F60" s="183" t="s">
        <v>278</v>
      </c>
      <c r="G60" s="183" t="s">
        <v>330</v>
      </c>
      <c r="H60" s="183" t="s">
        <v>331</v>
      </c>
      <c r="I60" s="182" t="s">
        <v>286</v>
      </c>
      <c r="J60" s="183" t="s">
        <v>286</v>
      </c>
      <c r="K60" s="183" t="s">
        <v>287</v>
      </c>
      <c r="L60" s="183" t="s">
        <v>288</v>
      </c>
      <c r="M60" s="183" t="s">
        <v>289</v>
      </c>
      <c r="N60" s="184" t="s">
        <v>332</v>
      </c>
    </row>
    <row r="61" spans="1:28">
      <c r="A61">
        <v>2013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AA61" s="77"/>
    </row>
    <row r="62" spans="1:28">
      <c r="A62" t="s">
        <v>290</v>
      </c>
      <c r="B62" s="77">
        <f t="shared" ref="B62:B73" si="2">(B11*$J$36)</f>
        <v>191439</v>
      </c>
      <c r="C62" s="77">
        <f t="shared" ref="C62:C73" si="3">C11*$J$37</f>
        <v>8562.84</v>
      </c>
      <c r="D62" s="77">
        <f t="shared" ref="D62:D73" si="4">E11*$J$38</f>
        <v>0</v>
      </c>
      <c r="E62" s="77">
        <f t="shared" ref="E62:E73" si="5">D11*$J$41</f>
        <v>1636524.96</v>
      </c>
      <c r="F62" s="77">
        <f t="shared" ref="F62:F73" si="6">+F11*$J$39</f>
        <v>0</v>
      </c>
      <c r="G62" s="77">
        <v>5351</v>
      </c>
      <c r="H62" s="77">
        <f>SUM(B62:G62)</f>
        <v>1841877.8</v>
      </c>
      <c r="I62" s="77">
        <f t="shared" ref="I62:I73" si="7">+H11*$J$42</f>
        <v>801067.92150000005</v>
      </c>
      <c r="J62" s="77">
        <f t="shared" ref="J62:J73" si="8">+G11*$J$43</f>
        <v>0</v>
      </c>
      <c r="K62" s="77">
        <f t="shared" ref="K62:K73" si="9">+I11*$J$46</f>
        <v>2828758.5167689999</v>
      </c>
      <c r="L62" s="77">
        <f t="shared" ref="L62:L73" si="10">+J11*$J$47</f>
        <v>2912899.2184420004</v>
      </c>
      <c r="M62" s="77">
        <f t="shared" ref="M62:M73" si="11">+K11*$J$53</f>
        <v>532</v>
      </c>
      <c r="N62" s="77">
        <f>SUM(I62:M62)</f>
        <v>6543257.6567110009</v>
      </c>
      <c r="AA62" s="77"/>
      <c r="AB62" s="77">
        <f>9591109-L91</f>
        <v>-2.4567110016942024</v>
      </c>
    </row>
    <row r="63" spans="1:28">
      <c r="A63" t="s">
        <v>291</v>
      </c>
      <c r="B63" s="77">
        <f t="shared" si="2"/>
        <v>191439</v>
      </c>
      <c r="C63" s="77">
        <f t="shared" si="3"/>
        <v>14999.94</v>
      </c>
      <c r="D63" s="77">
        <f t="shared" si="4"/>
        <v>0</v>
      </c>
      <c r="E63" s="77">
        <f t="shared" si="5"/>
        <v>1628319.7</v>
      </c>
      <c r="F63" s="77">
        <f t="shared" si="6"/>
        <v>0</v>
      </c>
      <c r="G63" s="77">
        <v>5352</v>
      </c>
      <c r="H63" s="77">
        <f t="shared" ref="H63:H73" si="12">SUM(B63:G63)</f>
        <v>1840110.64</v>
      </c>
      <c r="I63" s="77">
        <f t="shared" si="7"/>
        <v>733264.53261600004</v>
      </c>
      <c r="J63" s="77">
        <f t="shared" si="8"/>
        <v>0</v>
      </c>
      <c r="K63" s="77">
        <f t="shared" si="9"/>
        <v>2471923.9593600002</v>
      </c>
      <c r="L63" s="77">
        <f t="shared" si="10"/>
        <v>2563529.5620900001</v>
      </c>
      <c r="M63" s="77">
        <f t="shared" si="11"/>
        <v>529.625</v>
      </c>
      <c r="N63" s="77">
        <f t="shared" ref="N63:N72" si="13">SUM(I63:M63)</f>
        <v>5769247.6790660005</v>
      </c>
      <c r="AA63" s="77"/>
      <c r="AB63" s="77">
        <f>8736886-L92</f>
        <v>229.68093400076032</v>
      </c>
    </row>
    <row r="64" spans="1:28">
      <c r="A64" t="s">
        <v>292</v>
      </c>
      <c r="B64" s="77">
        <f t="shared" si="2"/>
        <v>191439</v>
      </c>
      <c r="C64" s="77">
        <f t="shared" si="3"/>
        <v>13463.02</v>
      </c>
      <c r="D64" s="77">
        <f t="shared" si="4"/>
        <v>0</v>
      </c>
      <c r="E64" s="77">
        <f t="shared" si="5"/>
        <v>1475929.42</v>
      </c>
      <c r="F64" s="77">
        <f t="shared" si="6"/>
        <v>0</v>
      </c>
      <c r="G64" s="77">
        <v>5353</v>
      </c>
      <c r="H64" s="77">
        <f t="shared" si="12"/>
        <v>1686184.44</v>
      </c>
      <c r="I64" s="77">
        <f t="shared" si="7"/>
        <v>790116.8449860001</v>
      </c>
      <c r="J64" s="77">
        <f t="shared" si="8"/>
        <v>0</v>
      </c>
      <c r="K64" s="77">
        <f t="shared" si="9"/>
        <v>2612804.7706709998</v>
      </c>
      <c r="L64" s="77">
        <f t="shared" si="10"/>
        <v>2727253.1260780003</v>
      </c>
      <c r="M64" s="77">
        <f t="shared" si="11"/>
        <v>529.625</v>
      </c>
      <c r="N64" s="77">
        <f t="shared" si="13"/>
        <v>6130704.3667350002</v>
      </c>
      <c r="AA64" s="77"/>
      <c r="AB64" s="77">
        <f>8884876-L93</f>
        <v>-340.80673499964178</v>
      </c>
    </row>
    <row r="65" spans="1:28">
      <c r="A65" t="s">
        <v>293</v>
      </c>
      <c r="B65" s="77">
        <f t="shared" si="2"/>
        <v>202911</v>
      </c>
      <c r="C65" s="77">
        <f t="shared" si="3"/>
        <v>10429.1</v>
      </c>
      <c r="D65" s="77">
        <f t="shared" si="4"/>
        <v>0</v>
      </c>
      <c r="E65" s="77">
        <f t="shared" si="5"/>
        <v>1116138.0999999999</v>
      </c>
      <c r="F65" s="77">
        <f t="shared" si="6"/>
        <v>0</v>
      </c>
      <c r="G65" s="77">
        <v>5354</v>
      </c>
      <c r="H65" s="77">
        <f t="shared" si="12"/>
        <v>1334832.2</v>
      </c>
      <c r="I65" s="77">
        <f t="shared" si="7"/>
        <v>770892.11539200007</v>
      </c>
      <c r="J65" s="77">
        <f t="shared" si="8"/>
        <v>0</v>
      </c>
      <c r="K65" s="77">
        <f t="shared" si="9"/>
        <v>1807398.3818409999</v>
      </c>
      <c r="L65" s="77">
        <f t="shared" si="10"/>
        <v>1808906.1671860002</v>
      </c>
      <c r="M65" s="77">
        <f t="shared" si="11"/>
        <v>529.625</v>
      </c>
      <c r="N65" s="77">
        <f t="shared" si="13"/>
        <v>4387726.289419</v>
      </c>
      <c r="AA65" s="77"/>
      <c r="AB65" s="77">
        <f>6801105-L94</f>
        <v>948.51058099977672</v>
      </c>
    </row>
    <row r="66" spans="1:28">
      <c r="A66" t="s">
        <v>294</v>
      </c>
      <c r="B66" s="77">
        <f t="shared" si="2"/>
        <v>206496</v>
      </c>
      <c r="C66" s="77">
        <f t="shared" si="3"/>
        <v>479.04</v>
      </c>
      <c r="D66" s="77">
        <f t="shared" si="4"/>
        <v>0</v>
      </c>
      <c r="E66" s="77">
        <f t="shared" si="5"/>
        <v>1053831.0999999999</v>
      </c>
      <c r="F66" s="77">
        <f t="shared" si="6"/>
        <v>0</v>
      </c>
      <c r="G66" s="77">
        <v>5355</v>
      </c>
      <c r="H66" s="77">
        <f t="shared" si="12"/>
        <v>1266161.1399999999</v>
      </c>
      <c r="I66" s="77">
        <f t="shared" si="7"/>
        <v>774486.05581200006</v>
      </c>
      <c r="J66" s="77">
        <f t="shared" si="8"/>
        <v>0</v>
      </c>
      <c r="K66" s="77">
        <f t="shared" si="9"/>
        <v>2265562.7775380001</v>
      </c>
      <c r="L66" s="77">
        <f t="shared" si="10"/>
        <v>1430431.8331040002</v>
      </c>
      <c r="M66" s="77">
        <f t="shared" si="11"/>
        <v>529.625</v>
      </c>
      <c r="N66" s="77">
        <f t="shared" si="13"/>
        <v>4471010.2914540004</v>
      </c>
      <c r="AA66" s="77"/>
      <c r="AB66" s="77">
        <f>7011163-L95</f>
        <v>916.56854599993676</v>
      </c>
    </row>
    <row r="67" spans="1:28">
      <c r="A67" t="s">
        <v>295</v>
      </c>
      <c r="B67" s="77">
        <f t="shared" si="2"/>
        <v>207213</v>
      </c>
      <c r="C67" s="77">
        <f t="shared" si="3"/>
        <v>11756.44</v>
      </c>
      <c r="D67" s="77">
        <f t="shared" si="4"/>
        <v>0</v>
      </c>
      <c r="E67" s="77">
        <f t="shared" si="5"/>
        <v>1228850.5599999998</v>
      </c>
      <c r="F67" s="77">
        <f t="shared" si="6"/>
        <v>0</v>
      </c>
      <c r="G67" s="77">
        <v>5356</v>
      </c>
      <c r="H67" s="77">
        <f t="shared" si="12"/>
        <v>1453175.9999999998</v>
      </c>
      <c r="I67" s="77">
        <f t="shared" si="7"/>
        <v>811150.25157600001</v>
      </c>
      <c r="J67" s="77">
        <f t="shared" si="8"/>
        <v>0</v>
      </c>
      <c r="K67" s="77">
        <f t="shared" si="9"/>
        <v>2750104.7536709998</v>
      </c>
      <c r="L67" s="77">
        <f t="shared" si="10"/>
        <v>1512462.6084200002</v>
      </c>
      <c r="M67" s="77">
        <f t="shared" si="11"/>
        <v>543.875</v>
      </c>
      <c r="N67" s="77">
        <f t="shared" si="13"/>
        <v>5074261.4886670001</v>
      </c>
      <c r="AA67" s="77"/>
      <c r="AB67" s="77">
        <f>7997172-L96</f>
        <v>1048.5113329999149</v>
      </c>
    </row>
    <row r="68" spans="1:28">
      <c r="A68" t="s">
        <v>296</v>
      </c>
      <c r="B68" s="77">
        <f t="shared" si="2"/>
        <v>158457</v>
      </c>
      <c r="C68" s="77">
        <f t="shared" si="3"/>
        <v>7185.6</v>
      </c>
      <c r="D68" s="77">
        <f t="shared" si="4"/>
        <v>6383.62</v>
      </c>
      <c r="E68" s="77">
        <f t="shared" si="5"/>
        <v>1232089.3199999998</v>
      </c>
      <c r="F68" s="77">
        <f t="shared" si="6"/>
        <v>104700</v>
      </c>
      <c r="G68" s="77">
        <v>5357</v>
      </c>
      <c r="H68" s="77">
        <f t="shared" si="12"/>
        <v>1514172.5399999998</v>
      </c>
      <c r="I68" s="77">
        <f t="shared" si="7"/>
        <v>746868.50406000006</v>
      </c>
      <c r="J68" s="77">
        <f t="shared" si="8"/>
        <v>365501.89698399999</v>
      </c>
      <c r="K68" s="77">
        <f t="shared" si="9"/>
        <v>2816147.8037009998</v>
      </c>
      <c r="L68" s="77">
        <f t="shared" si="10"/>
        <v>1525789.5563460002</v>
      </c>
      <c r="M68" s="77">
        <f t="shared" si="11"/>
        <v>543.875</v>
      </c>
      <c r="N68" s="77">
        <f t="shared" si="13"/>
        <v>5454851.6360909995</v>
      </c>
      <c r="AA68" s="77"/>
      <c r="AB68" s="77">
        <f>8046272-L97</f>
        <v>-74.176090999506414</v>
      </c>
    </row>
    <row r="69" spans="1:28">
      <c r="A69" t="s">
        <v>297</v>
      </c>
      <c r="B69" s="77">
        <f t="shared" si="2"/>
        <v>158457</v>
      </c>
      <c r="C69" s="77">
        <f t="shared" si="3"/>
        <v>8083.8</v>
      </c>
      <c r="D69" s="77">
        <f t="shared" si="4"/>
        <v>6192.08</v>
      </c>
      <c r="E69" s="77">
        <f t="shared" si="5"/>
        <v>1168849.22</v>
      </c>
      <c r="F69" s="77">
        <f t="shared" si="6"/>
        <v>104700</v>
      </c>
      <c r="G69" s="77">
        <v>5358</v>
      </c>
      <c r="H69" s="77">
        <f t="shared" si="12"/>
        <v>1451640.0999999999</v>
      </c>
      <c r="I69" s="77">
        <f t="shared" si="7"/>
        <v>775718.01279000007</v>
      </c>
      <c r="J69" s="77">
        <f t="shared" si="8"/>
        <v>359098.39448800002</v>
      </c>
      <c r="K69" s="77">
        <f t="shared" si="9"/>
        <v>2822965.2247040002</v>
      </c>
      <c r="L69" s="77">
        <f t="shared" si="10"/>
        <v>1499092.2648980001</v>
      </c>
      <c r="M69" s="77">
        <f t="shared" si="11"/>
        <v>543.875</v>
      </c>
      <c r="N69" s="77">
        <f t="shared" si="13"/>
        <v>5457417.7718800008</v>
      </c>
      <c r="AA69" s="77"/>
      <c r="AB69" s="77">
        <f>7920848-L98</f>
        <v>612.12811999954283</v>
      </c>
    </row>
    <row r="70" spans="1:28">
      <c r="A70" t="s">
        <v>298</v>
      </c>
      <c r="B70" s="77">
        <f t="shared" si="2"/>
        <v>157740</v>
      </c>
      <c r="C70" s="77">
        <f t="shared" si="3"/>
        <v>6097.7800000000007</v>
      </c>
      <c r="D70" s="77">
        <f t="shared" si="4"/>
        <v>6656.8</v>
      </c>
      <c r="E70" s="77">
        <f t="shared" si="5"/>
        <v>1165766.98</v>
      </c>
      <c r="F70" s="77">
        <f t="shared" si="6"/>
        <v>104700</v>
      </c>
      <c r="G70" s="77">
        <v>5359</v>
      </c>
      <c r="H70" s="77">
        <f t="shared" si="12"/>
        <v>1446320.56</v>
      </c>
      <c r="I70" s="77">
        <f t="shared" si="7"/>
        <v>711194.66808600002</v>
      </c>
      <c r="J70" s="77">
        <f t="shared" si="8"/>
        <v>349554.53378500004</v>
      </c>
      <c r="K70" s="77">
        <f t="shared" si="9"/>
        <v>2308417.9543039999</v>
      </c>
      <c r="L70" s="77">
        <f t="shared" si="10"/>
        <v>1276753.1911860001</v>
      </c>
      <c r="M70" s="77">
        <f t="shared" si="11"/>
        <v>543.875</v>
      </c>
      <c r="N70" s="77">
        <f t="shared" si="13"/>
        <v>4646464.2223610003</v>
      </c>
      <c r="AA70" s="77"/>
      <c r="AB70" s="77">
        <f>6936877-L99</f>
        <v>2466.2176389992237</v>
      </c>
    </row>
    <row r="71" spans="1:28">
      <c r="A71" t="s">
        <v>299</v>
      </c>
      <c r="B71" s="77">
        <f t="shared" si="2"/>
        <v>148419</v>
      </c>
      <c r="C71" s="77">
        <f t="shared" si="3"/>
        <v>14131.68</v>
      </c>
      <c r="D71" s="77">
        <f t="shared" si="4"/>
        <v>6044.5</v>
      </c>
      <c r="E71" s="77">
        <f t="shared" si="5"/>
        <v>1016169.98</v>
      </c>
      <c r="F71" s="77">
        <f t="shared" si="6"/>
        <v>104700</v>
      </c>
      <c r="G71" s="77">
        <v>5360</v>
      </c>
      <c r="H71" s="77">
        <f t="shared" si="12"/>
        <v>1294825.1599999999</v>
      </c>
      <c r="I71" s="77">
        <f t="shared" si="7"/>
        <v>748617.7466040001</v>
      </c>
      <c r="J71" s="77">
        <f t="shared" si="8"/>
        <v>334323.62696600001</v>
      </c>
      <c r="K71" s="77">
        <f t="shared" si="9"/>
        <v>1719111.6689850001</v>
      </c>
      <c r="L71" s="77">
        <f t="shared" si="10"/>
        <v>1658355.5279460002</v>
      </c>
      <c r="M71" s="77">
        <f t="shared" si="11"/>
        <v>543.875</v>
      </c>
      <c r="N71" s="77">
        <f t="shared" si="13"/>
        <v>4460952.4455010006</v>
      </c>
      <c r="AA71" s="77"/>
      <c r="AB71" s="77">
        <f>6389906-L100</f>
        <v>1178.3944989992306</v>
      </c>
    </row>
    <row r="72" spans="1:28">
      <c r="A72" t="s">
        <v>300</v>
      </c>
      <c r="B72" s="77">
        <f t="shared" si="2"/>
        <v>148419</v>
      </c>
      <c r="C72" s="77">
        <f t="shared" si="3"/>
        <v>0</v>
      </c>
      <c r="D72" s="77">
        <f t="shared" si="4"/>
        <v>1249.72</v>
      </c>
      <c r="E72" s="77">
        <f t="shared" si="5"/>
        <v>1388789.92</v>
      </c>
      <c r="F72" s="77">
        <f t="shared" si="6"/>
        <v>104700</v>
      </c>
      <c r="G72" s="77">
        <v>5361</v>
      </c>
      <c r="H72" s="77">
        <f t="shared" si="12"/>
        <v>1648519.64</v>
      </c>
      <c r="I72" s="77">
        <f t="shared" si="7"/>
        <v>685136.43450000009</v>
      </c>
      <c r="J72" s="77">
        <f t="shared" si="8"/>
        <v>362699.22092600004</v>
      </c>
      <c r="K72" s="77">
        <f t="shared" si="9"/>
        <v>2178737.9338839999</v>
      </c>
      <c r="L72" s="77">
        <f t="shared" si="10"/>
        <v>2192155.6653260002</v>
      </c>
      <c r="M72" s="77">
        <f t="shared" si="11"/>
        <v>543.875</v>
      </c>
      <c r="N72" s="77">
        <f t="shared" si="13"/>
        <v>5419273.1296360008</v>
      </c>
      <c r="AA72" s="77"/>
      <c r="AB72" s="77">
        <f>8078367-L101</f>
        <v>-2801.7696360005066</v>
      </c>
    </row>
    <row r="73" spans="1:28">
      <c r="A73" t="s">
        <v>301</v>
      </c>
      <c r="B73" s="110">
        <f t="shared" si="2"/>
        <v>148419</v>
      </c>
      <c r="C73" s="110">
        <f t="shared" si="3"/>
        <v>18602.72</v>
      </c>
      <c r="D73" s="110">
        <f t="shared" si="4"/>
        <v>5970.71</v>
      </c>
      <c r="E73" s="110">
        <f t="shared" si="5"/>
        <v>1464858.64</v>
      </c>
      <c r="F73" s="110">
        <f t="shared" si="6"/>
        <v>104700</v>
      </c>
      <c r="G73" s="110">
        <v>5362</v>
      </c>
      <c r="H73" s="110">
        <f t="shared" si="12"/>
        <v>1747913.0699999998</v>
      </c>
      <c r="I73" s="110">
        <f t="shared" si="7"/>
        <v>612864.74121600005</v>
      </c>
      <c r="J73" s="110">
        <f t="shared" si="8"/>
        <v>364975.37915400002</v>
      </c>
      <c r="K73" s="110">
        <f t="shared" si="9"/>
        <v>2706344.4732530001</v>
      </c>
      <c r="L73" s="110">
        <f t="shared" si="10"/>
        <v>2747054.2157440004</v>
      </c>
      <c r="M73" s="110">
        <f t="shared" si="11"/>
        <v>541.5</v>
      </c>
      <c r="N73" s="110">
        <f>SUM(I73:M73)+4471</f>
        <v>6436251.3093670011</v>
      </c>
      <c r="AA73" s="77"/>
      <c r="AB73" s="77">
        <f>9675741-L102</f>
        <v>-4180.3793670013547</v>
      </c>
    </row>
    <row r="74" spans="1:28"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AA74" s="77"/>
      <c r="AB74" s="77">
        <f>SUM(AB62:AB73)</f>
        <v>0.42311199568212032</v>
      </c>
    </row>
    <row r="75" spans="1:28" ht="15" thickBot="1">
      <c r="A75" t="s">
        <v>43</v>
      </c>
      <c r="B75" s="185">
        <f>SUM(B62:B73)</f>
        <v>2110848</v>
      </c>
      <c r="C75" s="185">
        <f t="shared" ref="C75:N75" si="14">SUM(C62:C73)</f>
        <v>113791.96000000002</v>
      </c>
      <c r="D75" s="185">
        <f t="shared" si="14"/>
        <v>32497.43</v>
      </c>
      <c r="E75" s="185">
        <f t="shared" si="14"/>
        <v>15576117.9</v>
      </c>
      <c r="F75" s="185">
        <f t="shared" si="14"/>
        <v>628200</v>
      </c>
      <c r="G75" s="185">
        <f t="shared" si="14"/>
        <v>64278</v>
      </c>
      <c r="H75" s="185">
        <f t="shared" si="14"/>
        <v>18525733.289999999</v>
      </c>
      <c r="I75" s="185">
        <f t="shared" si="14"/>
        <v>8961377.8291379996</v>
      </c>
      <c r="J75" s="185">
        <f t="shared" si="14"/>
        <v>2136153.0523030004</v>
      </c>
      <c r="K75" s="185">
        <f t="shared" si="14"/>
        <v>29288278.218681</v>
      </c>
      <c r="L75" s="185">
        <f t="shared" si="14"/>
        <v>23854682.936765999</v>
      </c>
      <c r="M75" s="185">
        <f t="shared" si="14"/>
        <v>6455.25</v>
      </c>
      <c r="N75" s="185">
        <f t="shared" si="14"/>
        <v>64251418.286888003</v>
      </c>
      <c r="AA75" s="77"/>
      <c r="AB75" s="77">
        <f>96070322-L104</f>
        <v>0.42311200499534607</v>
      </c>
    </row>
    <row r="76" spans="1:28" ht="15" thickTop="1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AA76" s="77"/>
    </row>
    <row r="77" spans="1:28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AA77" s="77"/>
    </row>
    <row r="78" spans="1:28">
      <c r="A78" t="s">
        <v>333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AA78" s="77"/>
    </row>
    <row r="79" spans="1:28" ht="15" thickBot="1">
      <c r="B79" s="185">
        <f>(B24*$J$36)</f>
        <v>2110848</v>
      </c>
      <c r="C79" s="185">
        <f>SUM(C24*$J$37)</f>
        <v>113791.96</v>
      </c>
      <c r="D79" s="185">
        <f>SUM(E24*$J$38)</f>
        <v>32497.43</v>
      </c>
      <c r="E79" s="185">
        <f>SUM(D24*$J$41)</f>
        <v>15576117.899999999</v>
      </c>
      <c r="F79" s="185">
        <f>SUM(F24*$J$39)</f>
        <v>628200</v>
      </c>
      <c r="G79" s="185">
        <f>+G75</f>
        <v>64278</v>
      </c>
      <c r="H79" s="185">
        <f>SUM(B79:G79)</f>
        <v>18525733.289999999</v>
      </c>
      <c r="I79" s="185">
        <f>SUM(H24*$J$42)</f>
        <v>8961377.8291380014</v>
      </c>
      <c r="J79" s="185">
        <f>SUM(G24*$J$43)</f>
        <v>2136153.0523029999</v>
      </c>
      <c r="K79" s="185">
        <f>SUM(I24*$J$46)</f>
        <v>29288278.218681</v>
      </c>
      <c r="L79" s="185">
        <f>SUM(J24*$J$45)</f>
        <v>23854682.936766002</v>
      </c>
      <c r="M79" s="185">
        <f>SUM(K24*$J$53)</f>
        <v>6455.25</v>
      </c>
      <c r="N79" s="185">
        <f>SUM(I79:M79)+4471</f>
        <v>64251418.286888003</v>
      </c>
      <c r="AA79" s="77"/>
    </row>
    <row r="80" spans="1:28" ht="15" thickTop="1"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28"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</row>
    <row r="82" spans="1:28"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</row>
    <row r="83" spans="1:28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</row>
    <row r="84" spans="1:28"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</row>
    <row r="85" spans="1:28">
      <c r="A85" s="214" t="s">
        <v>324</v>
      </c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</row>
    <row r="86" spans="1:28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</row>
    <row r="87" spans="1:28">
      <c r="A87" s="186"/>
      <c r="B87" s="186"/>
      <c r="C87" s="219" t="s">
        <v>305</v>
      </c>
      <c r="D87" s="220"/>
      <c r="E87" s="220"/>
      <c r="F87" s="220"/>
      <c r="G87" s="221"/>
      <c r="H87" s="27"/>
      <c r="I87" s="2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1:28">
      <c r="A88" s="187" t="s">
        <v>334</v>
      </c>
      <c r="B88" s="187" t="s">
        <v>335</v>
      </c>
      <c r="C88" s="179"/>
      <c r="D88" s="27"/>
      <c r="E88" s="27"/>
      <c r="F88" s="27"/>
      <c r="G88" s="181"/>
      <c r="H88" s="27" t="s">
        <v>336</v>
      </c>
      <c r="I88" s="27" t="s">
        <v>254</v>
      </c>
      <c r="J88" t="s">
        <v>337</v>
      </c>
      <c r="L88" s="2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</row>
    <row r="89" spans="1:28">
      <c r="A89" s="188" t="s">
        <v>332</v>
      </c>
      <c r="B89" s="188" t="s">
        <v>307</v>
      </c>
      <c r="C89" s="182">
        <v>1000</v>
      </c>
      <c r="D89" s="183">
        <v>3000</v>
      </c>
      <c r="E89" s="183">
        <v>7500</v>
      </c>
      <c r="F89" s="183">
        <v>15000</v>
      </c>
      <c r="G89" s="184" t="s">
        <v>43</v>
      </c>
      <c r="H89" s="167" t="s">
        <v>1</v>
      </c>
      <c r="I89" s="167" t="s">
        <v>338</v>
      </c>
      <c r="J89" s="167" t="s">
        <v>339</v>
      </c>
      <c r="K89" s="167" t="s">
        <v>340</v>
      </c>
      <c r="L89" s="167" t="s">
        <v>43</v>
      </c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</row>
    <row r="90" spans="1:28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</row>
    <row r="91" spans="1:28">
      <c r="A91" s="77">
        <v>0</v>
      </c>
      <c r="B91" s="77">
        <f t="shared" ref="B91:B102" si="15">+A37*$J$52</f>
        <v>4752</v>
      </c>
      <c r="C91" s="77">
        <f t="shared" ref="C91:C102" si="16">+B37*$J$48</f>
        <v>1088</v>
      </c>
      <c r="D91" s="77">
        <f t="shared" ref="D91:D102" si="17">+C37*$J$49</f>
        <v>2737</v>
      </c>
      <c r="E91" s="77">
        <f t="shared" ref="E91:E102" si="18">+D37*$J$50</f>
        <v>72424</v>
      </c>
      <c r="F91" s="77">
        <f t="shared" ref="F91:F102" si="19">+E37*$J$51</f>
        <v>47790</v>
      </c>
      <c r="G91" s="77">
        <f>SUM(C91:F91)</f>
        <v>124039</v>
      </c>
      <c r="H91" s="77">
        <f t="shared" ref="H91:H102" si="20">+H62+N62+A91+B91+G91</f>
        <v>8513926.4567110017</v>
      </c>
      <c r="I91" s="77">
        <v>-145381</v>
      </c>
      <c r="J91" s="77">
        <v>1222566</v>
      </c>
      <c r="K91" s="77"/>
      <c r="L91" s="77">
        <f>SUM(H91:K91)</f>
        <v>9591111.4567110017</v>
      </c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</row>
    <row r="92" spans="1:28">
      <c r="A92" s="77">
        <v>0</v>
      </c>
      <c r="B92" s="77">
        <f t="shared" si="15"/>
        <v>4752</v>
      </c>
      <c r="C92" s="77">
        <f t="shared" si="16"/>
        <v>1088</v>
      </c>
      <c r="D92" s="77">
        <f t="shared" si="17"/>
        <v>2737</v>
      </c>
      <c r="E92" s="77">
        <f t="shared" si="18"/>
        <v>72424</v>
      </c>
      <c r="F92" s="77">
        <f t="shared" si="19"/>
        <v>47790</v>
      </c>
      <c r="G92" s="77">
        <f t="shared" ref="G92:G102" si="21">SUM(C92:F92)</f>
        <v>124039</v>
      </c>
      <c r="H92" s="77">
        <f t="shared" si="20"/>
        <v>7738149.3190660002</v>
      </c>
      <c r="I92" s="77">
        <v>-39941</v>
      </c>
      <c r="J92" s="77">
        <v>1038448</v>
      </c>
      <c r="K92" s="77"/>
      <c r="L92" s="77">
        <f t="shared" ref="L92:L102" si="22">SUM(H92:K92)</f>
        <v>8736656.3190659992</v>
      </c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</row>
    <row r="93" spans="1:28">
      <c r="A93" s="77">
        <v>0</v>
      </c>
      <c r="B93" s="77">
        <f t="shared" si="15"/>
        <v>4752</v>
      </c>
      <c r="C93" s="77">
        <f t="shared" si="16"/>
        <v>1088</v>
      </c>
      <c r="D93" s="77">
        <f t="shared" si="17"/>
        <v>2737</v>
      </c>
      <c r="E93" s="77">
        <f t="shared" si="18"/>
        <v>72424</v>
      </c>
      <c r="F93" s="77">
        <f t="shared" si="19"/>
        <v>47790</v>
      </c>
      <c r="G93" s="77">
        <f t="shared" si="21"/>
        <v>124039</v>
      </c>
      <c r="H93" s="77">
        <f t="shared" si="20"/>
        <v>7945679.8067349996</v>
      </c>
      <c r="I93" s="77">
        <v>-55328</v>
      </c>
      <c r="J93" s="77">
        <v>994865</v>
      </c>
      <c r="K93" s="77"/>
      <c r="L93" s="77">
        <f t="shared" si="22"/>
        <v>8885216.8067349996</v>
      </c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</row>
    <row r="94" spans="1:28">
      <c r="A94" s="77">
        <v>0</v>
      </c>
      <c r="B94" s="77">
        <f t="shared" si="15"/>
        <v>4752</v>
      </c>
      <c r="C94" s="77">
        <f t="shared" si="16"/>
        <v>1088</v>
      </c>
      <c r="D94" s="77">
        <f t="shared" si="17"/>
        <v>2737</v>
      </c>
      <c r="E94" s="77">
        <f t="shared" si="18"/>
        <v>72424</v>
      </c>
      <c r="F94" s="77">
        <f t="shared" si="19"/>
        <v>47790</v>
      </c>
      <c r="G94" s="77">
        <f t="shared" si="21"/>
        <v>124039</v>
      </c>
      <c r="H94" s="77">
        <f t="shared" si="20"/>
        <v>5851349.4894190002</v>
      </c>
      <c r="I94" s="77">
        <v>94348</v>
      </c>
      <c r="J94" s="77">
        <v>854459</v>
      </c>
      <c r="K94" s="77"/>
      <c r="L94" s="77">
        <f t="shared" si="22"/>
        <v>6800156.4894190002</v>
      </c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</row>
    <row r="95" spans="1:28">
      <c r="A95" s="77">
        <v>0</v>
      </c>
      <c r="B95" s="77">
        <f t="shared" si="15"/>
        <v>4752</v>
      </c>
      <c r="C95" s="77">
        <f t="shared" si="16"/>
        <v>1088</v>
      </c>
      <c r="D95" s="77">
        <f t="shared" si="17"/>
        <v>2737</v>
      </c>
      <c r="E95" s="77">
        <f t="shared" si="18"/>
        <v>72424</v>
      </c>
      <c r="F95" s="77">
        <f t="shared" si="19"/>
        <v>47790</v>
      </c>
      <c r="G95" s="77">
        <f t="shared" si="21"/>
        <v>124039</v>
      </c>
      <c r="H95" s="77">
        <f t="shared" si="20"/>
        <v>5865962.4314540001</v>
      </c>
      <c r="I95" s="77">
        <v>268798</v>
      </c>
      <c r="J95" s="77">
        <v>875486</v>
      </c>
      <c r="K95" s="77"/>
      <c r="L95" s="77">
        <f t="shared" si="22"/>
        <v>7010246.4314540001</v>
      </c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</row>
    <row r="96" spans="1:28">
      <c r="A96" s="77">
        <v>0</v>
      </c>
      <c r="B96" s="77">
        <f t="shared" si="15"/>
        <v>4752</v>
      </c>
      <c r="C96" s="77">
        <f t="shared" si="16"/>
        <v>1088</v>
      </c>
      <c r="D96" s="77">
        <f t="shared" si="17"/>
        <v>2737</v>
      </c>
      <c r="E96" s="77">
        <f t="shared" si="18"/>
        <v>72424</v>
      </c>
      <c r="F96" s="77">
        <f t="shared" si="19"/>
        <v>47790</v>
      </c>
      <c r="G96" s="77">
        <f t="shared" si="21"/>
        <v>124039</v>
      </c>
      <c r="H96" s="77">
        <f t="shared" si="20"/>
        <v>6656228.4886670001</v>
      </c>
      <c r="I96" s="77">
        <v>130599</v>
      </c>
      <c r="J96" s="77">
        <v>1218100</v>
      </c>
      <c r="K96" s="77">
        <v>-8804</v>
      </c>
      <c r="L96" s="77">
        <f t="shared" si="22"/>
        <v>7996123.4886670001</v>
      </c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</row>
    <row r="97" spans="1:28">
      <c r="A97" s="189">
        <v>11083</v>
      </c>
      <c r="B97" s="77">
        <f t="shared" si="15"/>
        <v>4752</v>
      </c>
      <c r="C97" s="77">
        <f t="shared" si="16"/>
        <v>1088</v>
      </c>
      <c r="D97" s="77">
        <f t="shared" si="17"/>
        <v>2737</v>
      </c>
      <c r="E97" s="77">
        <f t="shared" si="18"/>
        <v>72424</v>
      </c>
      <c r="F97" s="77">
        <f t="shared" si="19"/>
        <v>47790</v>
      </c>
      <c r="G97" s="77">
        <f t="shared" si="21"/>
        <v>124039</v>
      </c>
      <c r="H97" s="77">
        <f t="shared" si="20"/>
        <v>7108898.1760909995</v>
      </c>
      <c r="I97" s="77">
        <v>-228069</v>
      </c>
      <c r="J97" s="77">
        <v>1174321</v>
      </c>
      <c r="K97" s="77">
        <v>-8804</v>
      </c>
      <c r="L97" s="77">
        <f t="shared" si="22"/>
        <v>8046346.1760909995</v>
      </c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</row>
    <row r="98" spans="1:28">
      <c r="A98" s="77">
        <v>0</v>
      </c>
      <c r="B98" s="77">
        <f t="shared" si="15"/>
        <v>4752</v>
      </c>
      <c r="C98" s="77">
        <f t="shared" si="16"/>
        <v>1088</v>
      </c>
      <c r="D98" s="77">
        <f t="shared" si="17"/>
        <v>2737</v>
      </c>
      <c r="E98" s="77">
        <f t="shared" si="18"/>
        <v>72424</v>
      </c>
      <c r="F98" s="77">
        <f t="shared" si="19"/>
        <v>47790</v>
      </c>
      <c r="G98" s="77">
        <f t="shared" si="21"/>
        <v>124039</v>
      </c>
      <c r="H98" s="77">
        <f t="shared" si="20"/>
        <v>7037848.8718800005</v>
      </c>
      <c r="I98" s="77">
        <v>-187294</v>
      </c>
      <c r="J98" s="77">
        <v>1078891</v>
      </c>
      <c r="K98" s="77">
        <v>-9210</v>
      </c>
      <c r="L98" s="77">
        <f t="shared" si="22"/>
        <v>7920235.8718800005</v>
      </c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</row>
    <row r="99" spans="1:28">
      <c r="A99" s="77">
        <v>0</v>
      </c>
      <c r="B99" s="77">
        <f t="shared" si="15"/>
        <v>4752</v>
      </c>
      <c r="C99" s="77">
        <f t="shared" si="16"/>
        <v>1088</v>
      </c>
      <c r="D99" s="77">
        <f t="shared" si="17"/>
        <v>2737</v>
      </c>
      <c r="E99" s="77">
        <f t="shared" si="18"/>
        <v>72424</v>
      </c>
      <c r="F99" s="77">
        <f t="shared" si="19"/>
        <v>47790</v>
      </c>
      <c r="G99" s="77">
        <f t="shared" si="21"/>
        <v>124039</v>
      </c>
      <c r="H99" s="77">
        <f t="shared" si="20"/>
        <v>6221575.7823610008</v>
      </c>
      <c r="I99" s="77">
        <v>-207850</v>
      </c>
      <c r="J99" s="77">
        <v>930331</v>
      </c>
      <c r="K99" s="77">
        <v>-9646</v>
      </c>
      <c r="L99" s="77">
        <f t="shared" si="22"/>
        <v>6934410.7823610008</v>
      </c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</row>
    <row r="100" spans="1:28">
      <c r="A100" s="77">
        <v>0</v>
      </c>
      <c r="B100" s="77">
        <f t="shared" si="15"/>
        <v>4752</v>
      </c>
      <c r="C100" s="77">
        <f t="shared" si="16"/>
        <v>1088</v>
      </c>
      <c r="D100" s="77">
        <f t="shared" si="17"/>
        <v>2737</v>
      </c>
      <c r="E100" s="77">
        <f t="shared" si="18"/>
        <v>72424</v>
      </c>
      <c r="F100" s="77">
        <f t="shared" si="19"/>
        <v>47790</v>
      </c>
      <c r="G100" s="77">
        <f t="shared" si="21"/>
        <v>124039</v>
      </c>
      <c r="H100" s="77">
        <f t="shared" si="20"/>
        <v>5884568.6055010008</v>
      </c>
      <c r="I100" s="77">
        <v>-314881</v>
      </c>
      <c r="J100" s="77">
        <v>830013</v>
      </c>
      <c r="K100" s="77">
        <v>-10973</v>
      </c>
      <c r="L100" s="77">
        <f t="shared" si="22"/>
        <v>6388727.6055010008</v>
      </c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</row>
    <row r="101" spans="1:28">
      <c r="A101" s="77">
        <v>0</v>
      </c>
      <c r="B101" s="77">
        <f t="shared" si="15"/>
        <v>4752</v>
      </c>
      <c r="C101" s="77">
        <f t="shared" si="16"/>
        <v>1088</v>
      </c>
      <c r="D101" s="77">
        <f t="shared" si="17"/>
        <v>2737</v>
      </c>
      <c r="E101" s="77">
        <f t="shared" si="18"/>
        <v>72424</v>
      </c>
      <c r="F101" s="77">
        <f t="shared" si="19"/>
        <v>47790</v>
      </c>
      <c r="G101" s="77">
        <f t="shared" si="21"/>
        <v>124039</v>
      </c>
      <c r="H101" s="77">
        <f t="shared" si="20"/>
        <v>7196583.7696360005</v>
      </c>
      <c r="I101" s="77">
        <v>-258645</v>
      </c>
      <c r="J101" s="77">
        <v>1155358</v>
      </c>
      <c r="K101" s="77">
        <v>-12128</v>
      </c>
      <c r="L101" s="77">
        <f t="shared" si="22"/>
        <v>8081168.7696360005</v>
      </c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</row>
    <row r="102" spans="1:28">
      <c r="A102" s="190">
        <v>0</v>
      </c>
      <c r="B102" s="110">
        <f t="shared" si="15"/>
        <v>4752</v>
      </c>
      <c r="C102" s="110">
        <f t="shared" si="16"/>
        <v>1088</v>
      </c>
      <c r="D102" s="110">
        <f t="shared" si="17"/>
        <v>2737</v>
      </c>
      <c r="E102" s="110">
        <f t="shared" si="18"/>
        <v>72424</v>
      </c>
      <c r="F102" s="110">
        <f t="shared" si="19"/>
        <v>47790</v>
      </c>
      <c r="G102" s="110">
        <f t="shared" si="21"/>
        <v>124039</v>
      </c>
      <c r="H102" s="110">
        <f t="shared" si="20"/>
        <v>8312955.3793670014</v>
      </c>
      <c r="I102" s="190">
        <v>-56985</v>
      </c>
      <c r="J102" s="190">
        <v>1436079</v>
      </c>
      <c r="K102" s="190">
        <v>-12128</v>
      </c>
      <c r="L102" s="110">
        <f t="shared" si="22"/>
        <v>9679921.3793670014</v>
      </c>
      <c r="M102" s="77"/>
      <c r="N102" s="77"/>
      <c r="O102" s="77"/>
      <c r="W102" s="77"/>
      <c r="Y102" s="77"/>
      <c r="Z102" s="77"/>
      <c r="AA102" s="77"/>
    </row>
    <row r="103" spans="1:28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</row>
    <row r="104" spans="1:28" ht="15" thickBot="1">
      <c r="A104" s="185">
        <f t="shared" ref="A104:L104" si="23">SUM(A91:A102)</f>
        <v>11083</v>
      </c>
      <c r="B104" s="185">
        <f t="shared" si="23"/>
        <v>57024</v>
      </c>
      <c r="C104" s="185">
        <f t="shared" si="23"/>
        <v>13056</v>
      </c>
      <c r="D104" s="185">
        <f t="shared" si="23"/>
        <v>32844</v>
      </c>
      <c r="E104" s="185">
        <f t="shared" si="23"/>
        <v>869088</v>
      </c>
      <c r="F104" s="185">
        <f t="shared" si="23"/>
        <v>573480</v>
      </c>
      <c r="G104" s="185">
        <f t="shared" si="23"/>
        <v>1488468</v>
      </c>
      <c r="H104" s="185">
        <f t="shared" si="23"/>
        <v>84333726.576888025</v>
      </c>
      <c r="I104" s="185">
        <f t="shared" si="23"/>
        <v>-1000629</v>
      </c>
      <c r="J104" s="185">
        <f t="shared" si="23"/>
        <v>12808917</v>
      </c>
      <c r="K104" s="185">
        <f t="shared" si="23"/>
        <v>-71693</v>
      </c>
      <c r="L104" s="185">
        <f t="shared" si="23"/>
        <v>96070321.576887995</v>
      </c>
      <c r="M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</row>
    <row r="105" spans="1:28" ht="15" thickTop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</row>
    <row r="106" spans="1:28">
      <c r="A106" s="77"/>
      <c r="B106" s="77"/>
      <c r="C106" s="77"/>
      <c r="D106" s="191"/>
      <c r="E106" s="191"/>
      <c r="F106" s="191"/>
      <c r="G106" s="191"/>
      <c r="H106" s="77"/>
      <c r="I106" s="77"/>
      <c r="J106" s="77"/>
      <c r="K106" s="77"/>
      <c r="L106" s="77"/>
      <c r="M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</row>
    <row r="107" spans="1:28" ht="16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O107" s="77"/>
      <c r="P107" s="77"/>
      <c r="Q107" s="77"/>
      <c r="R107" s="77"/>
      <c r="S107" s="77"/>
      <c r="T107" s="77"/>
      <c r="U107" s="192"/>
      <c r="V107" s="77"/>
      <c r="W107" s="77"/>
      <c r="X107" s="77"/>
      <c r="Y107" s="77"/>
      <c r="Z107" s="77"/>
      <c r="AA107" s="77"/>
    </row>
    <row r="108" spans="1:28" ht="16.8" thickBot="1">
      <c r="A108" s="185">
        <f>+A104</f>
        <v>11083</v>
      </c>
      <c r="B108" s="185">
        <f>SUM(A50*$J$52)</f>
        <v>57024</v>
      </c>
      <c r="C108" s="185">
        <f>SUM(B50*$J$48)</f>
        <v>13056</v>
      </c>
      <c r="D108" s="185">
        <f>SUM(C50*$J$49)</f>
        <v>32844</v>
      </c>
      <c r="E108" s="185">
        <f>SUM(D50*$J$50)</f>
        <v>869088</v>
      </c>
      <c r="F108" s="185">
        <f>SUM(E50*$J$51)</f>
        <v>573480</v>
      </c>
      <c r="G108" s="185">
        <f>SUM(C108:F108)</f>
        <v>1488468</v>
      </c>
      <c r="H108" s="120">
        <f>SUM(H79+N79+A108+B108+G108)</f>
        <v>84333726.576887995</v>
      </c>
      <c r="I108" s="185">
        <f>+I104</f>
        <v>-1000629</v>
      </c>
      <c r="J108" s="185">
        <f>+J104</f>
        <v>12808917</v>
      </c>
      <c r="K108" s="185">
        <f>+K104</f>
        <v>-71693</v>
      </c>
      <c r="L108" s="120">
        <f>SUM(H108:K108)</f>
        <v>96070321.576887995</v>
      </c>
      <c r="M108" s="77"/>
      <c r="O108" s="77"/>
      <c r="P108" s="77"/>
      <c r="Q108" s="77"/>
      <c r="R108" s="77"/>
      <c r="S108" s="77"/>
      <c r="T108" s="77"/>
      <c r="U108" s="193"/>
      <c r="V108" s="77"/>
      <c r="W108" s="77"/>
      <c r="X108" s="77"/>
      <c r="Y108" s="77"/>
      <c r="Z108" s="77"/>
      <c r="AA108" s="77"/>
    </row>
    <row r="109" spans="1:28" ht="15" thickTop="1"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</row>
    <row r="110" spans="1:28" ht="15" thickBot="1">
      <c r="A110" s="77" t="s">
        <v>341</v>
      </c>
      <c r="B110" s="77"/>
      <c r="C110" s="77"/>
      <c r="D110" s="77"/>
      <c r="E110" s="77"/>
      <c r="F110" s="77"/>
      <c r="H110" s="120">
        <f>+H108-H104</f>
        <v>0</v>
      </c>
    </row>
    <row r="111" spans="1:28" ht="15" thickTop="1"/>
    <row r="113" spans="1:7">
      <c r="A113" t="s">
        <v>342</v>
      </c>
    </row>
    <row r="114" spans="1:7">
      <c r="A114" s="174" t="s">
        <v>343</v>
      </c>
    </row>
    <row r="115" spans="1:7">
      <c r="A115" s="194" t="s">
        <v>344</v>
      </c>
    </row>
    <row r="116" spans="1:7">
      <c r="A116" s="195" t="str">
        <f>+A5</f>
        <v xml:space="preserve"> </v>
      </c>
    </row>
    <row r="118" spans="1:7">
      <c r="A118" t="s">
        <v>345</v>
      </c>
    </row>
    <row r="119" spans="1:7">
      <c r="A119" t="s">
        <v>346</v>
      </c>
    </row>
    <row r="121" spans="1:7">
      <c r="B121" s="218" t="s">
        <v>347</v>
      </c>
      <c r="C121" s="218"/>
      <c r="D121" s="218" t="s">
        <v>348</v>
      </c>
      <c r="E121" s="218"/>
      <c r="F121" s="167"/>
      <c r="G121" s="167"/>
    </row>
    <row r="122" spans="1:7">
      <c r="B122" s="27" t="s">
        <v>254</v>
      </c>
      <c r="C122" s="27" t="s">
        <v>337</v>
      </c>
      <c r="D122" s="27" t="s">
        <v>254</v>
      </c>
      <c r="E122" s="27" t="s">
        <v>337</v>
      </c>
      <c r="F122" s="27"/>
      <c r="G122" s="27"/>
    </row>
    <row r="123" spans="1:7">
      <c r="A123" s="167" t="s">
        <v>349</v>
      </c>
      <c r="B123" s="167" t="s">
        <v>338</v>
      </c>
      <c r="C123" s="167" t="s">
        <v>339</v>
      </c>
      <c r="D123" s="167" t="s">
        <v>338</v>
      </c>
      <c r="E123" s="167" t="s">
        <v>339</v>
      </c>
      <c r="F123" s="167"/>
      <c r="G123" s="167"/>
    </row>
    <row r="124" spans="1:7">
      <c r="A124" s="27">
        <v>2013</v>
      </c>
      <c r="B124" s="77"/>
      <c r="C124" s="77"/>
      <c r="D124" s="77"/>
      <c r="E124" s="77"/>
    </row>
    <row r="125" spans="1:7">
      <c r="A125" t="s">
        <v>290</v>
      </c>
      <c r="B125" s="77">
        <v>139323.04999999999</v>
      </c>
      <c r="C125" s="77">
        <v>1483751.26</v>
      </c>
      <c r="D125" s="77">
        <v>-145381</v>
      </c>
      <c r="E125" s="77">
        <v>1222566</v>
      </c>
      <c r="F125" s="123"/>
      <c r="G125" s="123"/>
    </row>
    <row r="126" spans="1:7">
      <c r="A126" t="s">
        <v>291</v>
      </c>
      <c r="B126" s="77">
        <v>350598.49</v>
      </c>
      <c r="C126" s="77">
        <v>1306719.31</v>
      </c>
      <c r="D126" s="77">
        <v>-39941</v>
      </c>
      <c r="E126" s="77">
        <v>1038448</v>
      </c>
      <c r="F126" s="123"/>
      <c r="G126" s="123"/>
    </row>
    <row r="127" spans="1:7">
      <c r="A127" t="s">
        <v>292</v>
      </c>
      <c r="B127" s="77">
        <v>-11336.38</v>
      </c>
      <c r="C127" s="77">
        <v>1026636.46</v>
      </c>
      <c r="D127" s="77">
        <v>-55328</v>
      </c>
      <c r="E127" s="77">
        <v>994865</v>
      </c>
      <c r="F127" s="123"/>
      <c r="G127" s="123"/>
    </row>
    <row r="128" spans="1:7">
      <c r="A128" t="s">
        <v>293</v>
      </c>
      <c r="B128" s="77">
        <v>-65408.84</v>
      </c>
      <c r="C128" s="77">
        <v>922810.68</v>
      </c>
      <c r="D128" s="77">
        <v>94348</v>
      </c>
      <c r="E128" s="77">
        <v>854459</v>
      </c>
      <c r="F128" s="123"/>
      <c r="G128" s="123"/>
    </row>
    <row r="129" spans="1:8">
      <c r="A129" t="s">
        <v>294</v>
      </c>
      <c r="B129" s="77">
        <v>-73769.81</v>
      </c>
      <c r="C129" s="77">
        <v>814948.46</v>
      </c>
      <c r="D129" s="77">
        <v>268798</v>
      </c>
      <c r="E129" s="77">
        <v>875486</v>
      </c>
      <c r="F129" s="123"/>
      <c r="G129" s="123"/>
    </row>
    <row r="130" spans="1:8">
      <c r="A130" t="s">
        <v>295</v>
      </c>
      <c r="B130" s="77">
        <v>-28015.7</v>
      </c>
      <c r="C130" s="77">
        <v>899136.88</v>
      </c>
      <c r="D130" s="77">
        <v>130599</v>
      </c>
      <c r="E130" s="77">
        <v>1218100</v>
      </c>
      <c r="F130" s="123"/>
      <c r="G130" s="123"/>
    </row>
    <row r="131" spans="1:8">
      <c r="A131" t="s">
        <v>296</v>
      </c>
      <c r="B131" s="77">
        <v>310892.46000000002</v>
      </c>
      <c r="C131" s="77">
        <v>1260553.47</v>
      </c>
      <c r="D131" s="77">
        <v>-228069</v>
      </c>
      <c r="E131" s="77">
        <v>1157932</v>
      </c>
      <c r="F131" s="123"/>
      <c r="G131" s="123"/>
    </row>
    <row r="132" spans="1:8">
      <c r="A132" t="s">
        <v>297</v>
      </c>
      <c r="B132" s="77">
        <v>78928.7</v>
      </c>
      <c r="C132" s="77">
        <v>1206445.93</v>
      </c>
      <c r="D132" s="77">
        <v>-187294</v>
      </c>
      <c r="E132" s="77">
        <v>1095280</v>
      </c>
      <c r="F132" s="123"/>
      <c r="G132" s="123"/>
    </row>
    <row r="133" spans="1:8">
      <c r="A133" t="s">
        <v>298</v>
      </c>
      <c r="B133" s="77">
        <v>-219411.42</v>
      </c>
      <c r="C133" s="77">
        <v>857633.61</v>
      </c>
      <c r="D133" s="77">
        <v>-207850</v>
      </c>
      <c r="E133" s="77">
        <v>930331</v>
      </c>
      <c r="F133" s="123"/>
      <c r="G133" s="123"/>
    </row>
    <row r="134" spans="1:8">
      <c r="A134" t="s">
        <v>299</v>
      </c>
      <c r="B134" s="77">
        <v>-173277.07</v>
      </c>
      <c r="C134" s="77">
        <v>744618.3</v>
      </c>
      <c r="D134" s="77">
        <v>-314881</v>
      </c>
      <c r="E134" s="77">
        <v>830013</v>
      </c>
      <c r="F134" s="123"/>
      <c r="G134" s="123"/>
    </row>
    <row r="135" spans="1:8">
      <c r="A135" t="s">
        <v>300</v>
      </c>
      <c r="B135" s="77">
        <v>-224481.41</v>
      </c>
      <c r="C135" s="189">
        <v>778841.61</v>
      </c>
      <c r="D135" s="189">
        <v>-258645</v>
      </c>
      <c r="E135" s="77">
        <v>1155358</v>
      </c>
      <c r="F135" s="123"/>
      <c r="G135" s="123"/>
    </row>
    <row r="136" spans="1:8" ht="16.2">
      <c r="A136" t="s">
        <v>301</v>
      </c>
      <c r="B136" s="196">
        <v>-413159.07</v>
      </c>
      <c r="C136" s="197">
        <v>1098831.67</v>
      </c>
      <c r="D136" s="197">
        <v>-56985</v>
      </c>
      <c r="E136" s="196">
        <v>1436079</v>
      </c>
      <c r="F136" s="198"/>
      <c r="G136" s="198"/>
      <c r="H136" s="199"/>
    </row>
    <row r="137" spans="1:8">
      <c r="B137" s="77"/>
      <c r="C137" s="77"/>
      <c r="D137" s="77"/>
      <c r="E137" s="77"/>
      <c r="F137" s="123"/>
      <c r="G137" s="123"/>
    </row>
    <row r="138" spans="1:8" ht="16.2">
      <c r="A138" t="s">
        <v>43</v>
      </c>
      <c r="B138" s="200">
        <f>SUM(B125:B136)</f>
        <v>-329117.00000000012</v>
      </c>
      <c r="C138" s="200">
        <f>SUM(C125:C136)</f>
        <v>12400927.639999999</v>
      </c>
      <c r="D138" s="200">
        <f>SUM(D125:D136)</f>
        <v>-1000629</v>
      </c>
      <c r="E138" s="200">
        <f>SUM(E125:E136)</f>
        <v>12808917</v>
      </c>
      <c r="F138" s="201"/>
      <c r="G138" s="201"/>
      <c r="H138" s="202"/>
    </row>
    <row r="139" spans="1:8">
      <c r="B139" s="77"/>
      <c r="C139" s="77"/>
      <c r="D139" s="77"/>
      <c r="E139" s="77"/>
    </row>
    <row r="141" spans="1:8">
      <c r="A141" t="s">
        <v>350</v>
      </c>
    </row>
    <row r="142" spans="1:8">
      <c r="A142" t="s">
        <v>351</v>
      </c>
    </row>
    <row r="143" spans="1:8">
      <c r="A143" t="s">
        <v>352</v>
      </c>
    </row>
  </sheetData>
  <mergeCells count="14">
    <mergeCell ref="B35:D35"/>
    <mergeCell ref="A4:L4"/>
    <mergeCell ref="B8:D8"/>
    <mergeCell ref="H8:L8"/>
    <mergeCell ref="I9:J9"/>
    <mergeCell ref="A31:E31"/>
    <mergeCell ref="B121:C121"/>
    <mergeCell ref="D121:E121"/>
    <mergeCell ref="A56:N56"/>
    <mergeCell ref="B58:H58"/>
    <mergeCell ref="I58:N58"/>
    <mergeCell ref="K59:L59"/>
    <mergeCell ref="A85:L85"/>
    <mergeCell ref="C87:G87"/>
  </mergeCells>
  <printOptions horizontalCentered="1" verticalCentered="1" gridLines="1"/>
  <pageMargins left="0.7" right="0.7" top="0.75" bottom="0.75" header="0.3" footer="0.3"/>
  <pageSetup scale="73" pageOrder="overThenDown" orientation="landscape" r:id="rId1"/>
  <headerFooter>
    <oddHeader>&amp;C&amp;"-,Bold"&amp;12BLUE GRASS ENERGY COOPERATIVE
CASE NO. 2014-00339
PURCHASED POWER ADJUSTMENT
NORMALIZATION BASED TEST YEAR BILLING UNITS&amp;RExhibit 20
Page ____ of ___
Witness:  Jim Adkins</oddHeader>
  </headerFooter>
  <rowBreaks count="4" manualBreakCount="4">
    <brk id="27" max="13" man="1"/>
    <brk id="53" max="13" man="1"/>
    <brk id="81" max="13" man="1"/>
    <brk id="111" max="13" man="1"/>
  </rowBreaks>
  <colBreaks count="2" manualBreakCount="2">
    <brk id="14" max="127" man="1"/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E93D-B9B8-4E23-B276-E32410531ABD}">
  <sheetPr>
    <pageSetUpPr fitToPage="1"/>
  </sheetPr>
  <dimension ref="A1:M52"/>
  <sheetViews>
    <sheetView topLeftCell="A14" workbookViewId="0">
      <selection activeCell="G25" sqref="G25"/>
    </sheetView>
  </sheetViews>
  <sheetFormatPr defaultRowHeight="14.4"/>
  <cols>
    <col min="1" max="1" width="4.6640625" customWidth="1"/>
    <col min="2" max="2" width="25.6640625" customWidth="1"/>
    <col min="3" max="3" width="11.88671875" bestFit="1" customWidth="1"/>
    <col min="4" max="4" width="10.88671875" bestFit="1" customWidth="1"/>
    <col min="5" max="5" width="13.5546875" bestFit="1" customWidth="1"/>
    <col min="6" max="6" width="10.88671875" bestFit="1" customWidth="1"/>
    <col min="7" max="7" width="10.88671875" customWidth="1"/>
    <col min="8" max="9" width="11.6640625" customWidth="1"/>
    <col min="10" max="10" width="10.88671875" customWidth="1"/>
    <col min="11" max="11" width="9.88671875" bestFit="1" customWidth="1"/>
    <col min="12" max="12" width="9.33203125" bestFit="1" customWidth="1"/>
  </cols>
  <sheetData>
    <row r="1" spans="1:13" ht="18">
      <c r="A1" s="19">
        <v>1</v>
      </c>
      <c r="B1" s="209" t="str">
        <f>+'Exhibit C1'!B1</f>
        <v>Blue Grass Energy Cooperative</v>
      </c>
      <c r="C1" s="209"/>
      <c r="D1" s="209"/>
      <c r="E1" s="209"/>
      <c r="F1" s="209"/>
      <c r="G1" s="209"/>
      <c r="H1" s="209"/>
      <c r="I1" s="209"/>
      <c r="J1" s="209"/>
      <c r="L1" s="25" t="s">
        <v>353</v>
      </c>
    </row>
    <row r="2" spans="1:13" ht="18">
      <c r="A2" s="19">
        <f>+A1+1</f>
        <v>2</v>
      </c>
      <c r="B2" s="209" t="str">
        <f>+'Exhibit C1'!B2</f>
        <v>Case No.  2014-00339</v>
      </c>
      <c r="C2" s="209"/>
      <c r="D2" s="209"/>
      <c r="E2" s="209"/>
      <c r="F2" s="209"/>
      <c r="G2" s="209"/>
      <c r="H2" s="209"/>
      <c r="I2" s="209"/>
      <c r="J2" s="209"/>
      <c r="L2" s="25" t="s">
        <v>266</v>
      </c>
    </row>
    <row r="3" spans="1:13" ht="15.6">
      <c r="A3" s="19">
        <f t="shared" ref="A3:A12" si="0">+A2+1</f>
        <v>3</v>
      </c>
      <c r="B3" s="222" t="s">
        <v>354</v>
      </c>
      <c r="C3" s="222"/>
      <c r="D3" s="222"/>
      <c r="E3" s="222"/>
      <c r="F3" s="222"/>
      <c r="G3" s="222"/>
      <c r="H3" s="222"/>
      <c r="I3" s="222"/>
      <c r="J3" s="222"/>
      <c r="L3" s="25" t="s">
        <v>85</v>
      </c>
    </row>
    <row r="4" spans="1:13" ht="9.9" customHeight="1">
      <c r="A4" s="19">
        <f t="shared" si="0"/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3" ht="15.6">
      <c r="A5" s="19">
        <f t="shared" si="0"/>
        <v>5</v>
      </c>
      <c r="B5" s="203"/>
      <c r="C5" s="27" t="s">
        <v>10</v>
      </c>
      <c r="D5" s="27" t="s">
        <v>14</v>
      </c>
      <c r="E5" s="27" t="s">
        <v>16</v>
      </c>
      <c r="F5" s="27" t="s">
        <v>23</v>
      </c>
      <c r="G5" s="27" t="s">
        <v>18</v>
      </c>
      <c r="H5" s="27" t="s">
        <v>19</v>
      </c>
      <c r="I5" s="27" t="s">
        <v>20</v>
      </c>
      <c r="J5" s="27" t="s">
        <v>355</v>
      </c>
      <c r="K5" s="27"/>
      <c r="L5" s="27"/>
      <c r="M5" s="27"/>
    </row>
    <row r="6" spans="1:13" ht="15.6">
      <c r="A6" s="19">
        <f t="shared" si="0"/>
        <v>6</v>
      </c>
      <c r="C6" s="28" t="s">
        <v>356</v>
      </c>
      <c r="D6" s="28" t="s">
        <v>357</v>
      </c>
      <c r="E6" s="28" t="s">
        <v>358</v>
      </c>
      <c r="F6" s="28" t="s">
        <v>359</v>
      </c>
      <c r="G6" s="28" t="s">
        <v>360</v>
      </c>
      <c r="H6" s="28" t="s">
        <v>360</v>
      </c>
      <c r="I6" s="28" t="s">
        <v>360</v>
      </c>
      <c r="J6" s="28" t="s">
        <v>360</v>
      </c>
      <c r="K6" s="28" t="s">
        <v>361</v>
      </c>
      <c r="L6" s="28" t="s">
        <v>362</v>
      </c>
      <c r="M6" s="28"/>
    </row>
    <row r="7" spans="1:13">
      <c r="A7" s="19">
        <f t="shared" si="0"/>
        <v>7</v>
      </c>
      <c r="C7" s="31" t="s">
        <v>363</v>
      </c>
      <c r="D7" s="31" t="s">
        <v>364</v>
      </c>
      <c r="E7" s="31" t="s">
        <v>365</v>
      </c>
      <c r="F7" s="31" t="s">
        <v>364</v>
      </c>
      <c r="G7" s="31" t="s">
        <v>289</v>
      </c>
      <c r="H7" s="31" t="s">
        <v>289</v>
      </c>
      <c r="I7" s="31" t="s">
        <v>366</v>
      </c>
      <c r="J7" s="31" t="s">
        <v>366</v>
      </c>
      <c r="K7" s="31" t="s">
        <v>256</v>
      </c>
      <c r="L7" s="31" t="s">
        <v>367</v>
      </c>
      <c r="M7" s="31"/>
    </row>
    <row r="8" spans="1:13" ht="9.9" customHeight="1">
      <c r="A8" s="19">
        <f t="shared" si="0"/>
        <v>8</v>
      </c>
    </row>
    <row r="9" spans="1:13">
      <c r="A9" s="19">
        <f t="shared" si="0"/>
        <v>9</v>
      </c>
      <c r="B9" t="s">
        <v>368</v>
      </c>
      <c r="C9" s="119">
        <v>52514</v>
      </c>
      <c r="D9" s="119">
        <v>38</v>
      </c>
      <c r="E9" s="119">
        <v>2588</v>
      </c>
      <c r="F9" s="119">
        <v>1</v>
      </c>
      <c r="G9" s="119">
        <v>54</v>
      </c>
      <c r="H9" s="119">
        <v>24</v>
      </c>
      <c r="I9" s="119">
        <v>5</v>
      </c>
      <c r="J9" s="119">
        <v>1</v>
      </c>
      <c r="K9" s="119">
        <v>15172</v>
      </c>
      <c r="L9" s="119">
        <v>22400</v>
      </c>
      <c r="M9" s="119"/>
    </row>
    <row r="10" spans="1:13">
      <c r="A10" s="19">
        <f t="shared" si="0"/>
        <v>10</v>
      </c>
      <c r="B10" t="s">
        <v>369</v>
      </c>
      <c r="C10" s="119">
        <f>52205+23+279</f>
        <v>52507</v>
      </c>
      <c r="D10" s="119">
        <v>38</v>
      </c>
      <c r="E10" s="119">
        <f>2502+85</f>
        <v>2587</v>
      </c>
      <c r="F10" s="119">
        <v>1</v>
      </c>
      <c r="G10" s="119">
        <f>50+4</f>
        <v>54</v>
      </c>
      <c r="H10" s="119">
        <v>24</v>
      </c>
      <c r="I10" s="119">
        <v>5</v>
      </c>
      <c r="J10" s="119">
        <v>1</v>
      </c>
      <c r="K10" s="119">
        <f>+monthly!P21</f>
        <v>15163</v>
      </c>
      <c r="L10" s="119">
        <f>+'power cost'!K11</f>
        <v>22400</v>
      </c>
      <c r="M10" s="119"/>
    </row>
    <row r="11" spans="1:13">
      <c r="A11" s="19">
        <f t="shared" si="0"/>
        <v>11</v>
      </c>
      <c r="B11" t="s">
        <v>291</v>
      </c>
      <c r="C11" s="119">
        <f>52163+23+330</f>
        <v>52516</v>
      </c>
      <c r="D11" s="119">
        <v>38</v>
      </c>
      <c r="E11" s="119">
        <f>2502+86</f>
        <v>2588</v>
      </c>
      <c r="F11" s="119">
        <v>2</v>
      </c>
      <c r="G11" s="119">
        <f>50+4</f>
        <v>54</v>
      </c>
      <c r="H11" s="119">
        <v>24</v>
      </c>
      <c r="I11" s="119">
        <v>5</v>
      </c>
      <c r="J11" s="119">
        <v>1</v>
      </c>
      <c r="K11" s="119">
        <f>+monthly!P41</f>
        <v>15141</v>
      </c>
      <c r="L11" s="119">
        <f>+'power cost'!K12</f>
        <v>22300</v>
      </c>
      <c r="M11" s="119"/>
    </row>
    <row r="12" spans="1:13">
      <c r="A12" s="19">
        <f t="shared" si="0"/>
        <v>12</v>
      </c>
      <c r="B12" t="s">
        <v>292</v>
      </c>
      <c r="C12" s="119">
        <f>52274+24+411</f>
        <v>52709</v>
      </c>
      <c r="D12" s="119">
        <v>40</v>
      </c>
      <c r="E12" s="119">
        <f>2509+84</f>
        <v>2593</v>
      </c>
      <c r="F12" s="119">
        <v>9</v>
      </c>
      <c r="G12" s="119">
        <f>51+4</f>
        <v>55</v>
      </c>
      <c r="H12" s="119">
        <v>24</v>
      </c>
      <c r="I12" s="119">
        <v>5</v>
      </c>
      <c r="J12" s="119">
        <v>1</v>
      </c>
      <c r="K12" s="119">
        <f>+monthly!P61</f>
        <v>15106</v>
      </c>
      <c r="L12" s="119">
        <f>+'power cost'!K13</f>
        <v>22300</v>
      </c>
      <c r="M12" s="119"/>
    </row>
    <row r="13" spans="1:13">
      <c r="A13" s="19">
        <f t="shared" ref="A13:A52" si="1">A12+1</f>
        <v>13</v>
      </c>
      <c r="B13" t="s">
        <v>293</v>
      </c>
      <c r="C13" s="119">
        <f>52164+26+504</f>
        <v>52694</v>
      </c>
      <c r="D13" s="119">
        <v>37</v>
      </c>
      <c r="E13" s="119">
        <f>2488+82</f>
        <v>2570</v>
      </c>
      <c r="F13" s="119">
        <v>20</v>
      </c>
      <c r="G13" s="119">
        <f>51+4</f>
        <v>55</v>
      </c>
      <c r="H13" s="119">
        <v>24</v>
      </c>
      <c r="I13" s="119">
        <v>5</v>
      </c>
      <c r="J13" s="119">
        <v>1</v>
      </c>
      <c r="K13" s="119">
        <f>+monthly!P81</f>
        <v>15106</v>
      </c>
      <c r="L13" s="119">
        <f>+'power cost'!K14</f>
        <v>22300</v>
      </c>
      <c r="M13" s="119"/>
    </row>
    <row r="14" spans="1:13">
      <c r="A14" s="19">
        <f t="shared" si="1"/>
        <v>14</v>
      </c>
      <c r="B14" t="s">
        <v>294</v>
      </c>
      <c r="C14" s="119">
        <f>52345+26+621</f>
        <v>52992</v>
      </c>
      <c r="D14" s="119">
        <v>36</v>
      </c>
      <c r="E14" s="119">
        <f>2485+86</f>
        <v>2571</v>
      </c>
      <c r="F14" s="119">
        <v>27</v>
      </c>
      <c r="G14" s="119">
        <f>51+5</f>
        <v>56</v>
      </c>
      <c r="H14" s="119">
        <v>24</v>
      </c>
      <c r="I14" s="119">
        <v>5</v>
      </c>
      <c r="J14" s="119">
        <v>1</v>
      </c>
      <c r="K14" s="119">
        <f>+monthly!P101</f>
        <v>15092</v>
      </c>
      <c r="L14" s="119">
        <f>+'power cost'!K15</f>
        <v>22300</v>
      </c>
      <c r="M14" s="119"/>
    </row>
    <row r="15" spans="1:13">
      <c r="A15" s="19">
        <f t="shared" si="1"/>
        <v>15</v>
      </c>
      <c r="B15" t="s">
        <v>295</v>
      </c>
      <c r="C15" s="119">
        <f>52017+26+732</f>
        <v>52775</v>
      </c>
      <c r="D15" s="119">
        <v>36</v>
      </c>
      <c r="E15" s="119">
        <f>2460+85</f>
        <v>2545</v>
      </c>
      <c r="F15" s="119">
        <v>32</v>
      </c>
      <c r="G15" s="119">
        <f>51+6</f>
        <v>57</v>
      </c>
      <c r="H15" s="119">
        <v>24</v>
      </c>
      <c r="I15" s="119">
        <v>5</v>
      </c>
      <c r="J15" s="119">
        <v>1</v>
      </c>
      <c r="K15" s="119">
        <f>+monthly!P121</f>
        <v>15076</v>
      </c>
      <c r="L15" s="119">
        <f>+'power cost'!K16</f>
        <v>22900</v>
      </c>
      <c r="M15" s="119"/>
    </row>
    <row r="16" spans="1:13">
      <c r="A16" s="19">
        <f t="shared" si="1"/>
        <v>16</v>
      </c>
      <c r="B16" t="s">
        <v>296</v>
      </c>
      <c r="C16" s="119">
        <f>51887+26+784</f>
        <v>52697</v>
      </c>
      <c r="D16" s="119">
        <v>36</v>
      </c>
      <c r="E16" s="119">
        <f>2460+88</f>
        <v>2548</v>
      </c>
      <c r="F16" s="119">
        <v>35</v>
      </c>
      <c r="G16" s="119">
        <v>55</v>
      </c>
      <c r="H16" s="119">
        <v>25</v>
      </c>
      <c r="I16" s="119">
        <v>5</v>
      </c>
      <c r="J16" s="119">
        <v>1</v>
      </c>
      <c r="K16" s="119">
        <f>+monthly!P141</f>
        <v>15051</v>
      </c>
      <c r="L16" s="119">
        <f>+'power cost'!K17</f>
        <v>22900</v>
      </c>
      <c r="M16" s="119"/>
    </row>
    <row r="17" spans="1:13">
      <c r="A17" s="19">
        <f t="shared" si="1"/>
        <v>17</v>
      </c>
      <c r="B17" t="s">
        <v>297</v>
      </c>
      <c r="C17" s="119">
        <f>52216+26+937</f>
        <v>53179</v>
      </c>
      <c r="D17" s="119">
        <v>36</v>
      </c>
      <c r="E17" s="119">
        <f>2456+87</f>
        <v>2543</v>
      </c>
      <c r="F17" s="119">
        <v>36</v>
      </c>
      <c r="G17" s="119">
        <f>56+4</f>
        <v>60</v>
      </c>
      <c r="H17" s="119">
        <v>23</v>
      </c>
      <c r="I17" s="119">
        <v>5</v>
      </c>
      <c r="J17" s="119">
        <v>1</v>
      </c>
      <c r="K17" s="119">
        <f>+monthly!P161</f>
        <v>15015</v>
      </c>
      <c r="L17" s="119">
        <f>+'power cost'!K18</f>
        <v>22900</v>
      </c>
      <c r="M17" s="119"/>
    </row>
    <row r="18" spans="1:13">
      <c r="A18" s="19">
        <f t="shared" si="1"/>
        <v>18</v>
      </c>
      <c r="B18" t="s">
        <v>298</v>
      </c>
      <c r="C18" s="119">
        <f>51786+26+1012</f>
        <v>52824</v>
      </c>
      <c r="D18" s="119">
        <v>36</v>
      </c>
      <c r="E18" s="119">
        <f>2455+86</f>
        <v>2541</v>
      </c>
      <c r="F18" s="119">
        <v>39</v>
      </c>
      <c r="G18" s="119">
        <f>52+4</f>
        <v>56</v>
      </c>
      <c r="H18" s="119">
        <f>10+13+1</f>
        <v>24</v>
      </c>
      <c r="I18" s="119">
        <v>5</v>
      </c>
      <c r="J18" s="119">
        <v>1</v>
      </c>
      <c r="K18" s="119">
        <f>+monthly!P181</f>
        <v>15012</v>
      </c>
      <c r="L18" s="119">
        <f>+'power cost'!K19</f>
        <v>22900</v>
      </c>
      <c r="M18" s="119"/>
    </row>
    <row r="19" spans="1:13">
      <c r="A19" s="19">
        <f t="shared" si="1"/>
        <v>19</v>
      </c>
      <c r="B19" t="s">
        <v>370</v>
      </c>
      <c r="C19" s="119">
        <f>51794+26+1115</f>
        <v>52935</v>
      </c>
      <c r="D19" s="119">
        <v>36</v>
      </c>
      <c r="E19" s="119">
        <f>2470+83</f>
        <v>2553</v>
      </c>
      <c r="F19" s="119">
        <v>39</v>
      </c>
      <c r="G19" s="119">
        <f>52+5</f>
        <v>57</v>
      </c>
      <c r="H19" s="119">
        <f>10+13+1</f>
        <v>24</v>
      </c>
      <c r="I19" s="119">
        <v>5</v>
      </c>
      <c r="J19" s="119">
        <v>1</v>
      </c>
      <c r="K19" s="119">
        <f>+monthly!P201</f>
        <v>15021</v>
      </c>
      <c r="L19" s="119">
        <f>+'power cost'!K20</f>
        <v>22900</v>
      </c>
      <c r="M19" s="119"/>
    </row>
    <row r="20" spans="1:13">
      <c r="A20" s="19">
        <f t="shared" si="1"/>
        <v>20</v>
      </c>
      <c r="B20" t="s">
        <v>300</v>
      </c>
      <c r="C20" s="119">
        <f>51867+26+1191</f>
        <v>53084</v>
      </c>
      <c r="D20" s="119">
        <v>40</v>
      </c>
      <c r="E20" s="119">
        <f>2482+83</f>
        <v>2565</v>
      </c>
      <c r="F20" s="119">
        <v>40</v>
      </c>
      <c r="G20" s="119">
        <f>52+5</f>
        <v>57</v>
      </c>
      <c r="H20" s="119">
        <f>10+13+1</f>
        <v>24</v>
      </c>
      <c r="I20" s="119">
        <v>5</v>
      </c>
      <c r="J20" s="119">
        <v>1</v>
      </c>
      <c r="K20" s="119">
        <f>+monthly!P221</f>
        <v>15033</v>
      </c>
      <c r="L20" s="119">
        <f>+'power cost'!K21</f>
        <v>22900</v>
      </c>
      <c r="M20" s="119"/>
    </row>
    <row r="21" spans="1:13">
      <c r="A21" s="19">
        <f t="shared" si="1"/>
        <v>21</v>
      </c>
      <c r="B21" t="s">
        <v>301</v>
      </c>
      <c r="C21" s="119">
        <f>51697+27+1207</f>
        <v>52931</v>
      </c>
      <c r="D21" s="119">
        <v>38</v>
      </c>
      <c r="E21" s="119">
        <f>2473+81</f>
        <v>2554</v>
      </c>
      <c r="F21" s="119">
        <v>43</v>
      </c>
      <c r="G21" s="119">
        <f>52+5</f>
        <v>57</v>
      </c>
      <c r="H21" s="119">
        <f>10+13+1</f>
        <v>24</v>
      </c>
      <c r="I21" s="119">
        <v>5</v>
      </c>
      <c r="J21" s="119">
        <v>1</v>
      </c>
      <c r="K21" s="119">
        <f>+monthly!P241</f>
        <v>15046</v>
      </c>
      <c r="L21" s="119">
        <f>+'power cost'!K22</f>
        <v>22800</v>
      </c>
      <c r="M21" s="119"/>
    </row>
    <row r="22" spans="1:13" ht="9.9" customHeight="1">
      <c r="A22" s="19">
        <f t="shared" si="1"/>
        <v>22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</row>
    <row r="23" spans="1:13">
      <c r="A23" s="19">
        <f t="shared" si="1"/>
        <v>23</v>
      </c>
      <c r="B23" t="s">
        <v>7</v>
      </c>
      <c r="C23" s="119">
        <f t="shared" ref="C23:L23" si="2">SUM(C8:C22)/13</f>
        <v>52796.692307692305</v>
      </c>
      <c r="D23" s="119">
        <f t="shared" si="2"/>
        <v>37.307692307692307</v>
      </c>
      <c r="E23" s="119">
        <f t="shared" si="2"/>
        <v>2565.0769230769229</v>
      </c>
      <c r="F23" s="119">
        <f t="shared" si="2"/>
        <v>24.923076923076923</v>
      </c>
      <c r="G23" s="119">
        <f>SUM(G8:G22)/13</f>
        <v>55.92307692307692</v>
      </c>
      <c r="H23" s="119">
        <f>SUM(H8:H22)/13</f>
        <v>24</v>
      </c>
      <c r="I23" s="119">
        <f>SUM(I8:I22)/13</f>
        <v>5</v>
      </c>
      <c r="J23" s="119">
        <f>SUM(J8:J22)/13</f>
        <v>1</v>
      </c>
      <c r="K23" s="119">
        <f t="shared" si="2"/>
        <v>15079.538461538461</v>
      </c>
      <c r="L23" s="119">
        <f t="shared" si="2"/>
        <v>22630.76923076923</v>
      </c>
      <c r="M23" s="119"/>
    </row>
    <row r="24" spans="1:13" ht="9.9" customHeight="1">
      <c r="A24" s="19">
        <f t="shared" si="1"/>
        <v>24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</row>
    <row r="25" spans="1:13" ht="15.6">
      <c r="A25" s="19">
        <f t="shared" si="1"/>
        <v>25</v>
      </c>
      <c r="B25" t="s">
        <v>40</v>
      </c>
      <c r="C25" s="191">
        <f t="shared" ref="C25:L25" si="3">ROUND((+C21-C23),0)</f>
        <v>134</v>
      </c>
      <c r="D25" s="191">
        <f t="shared" si="3"/>
        <v>1</v>
      </c>
      <c r="E25" s="191">
        <f t="shared" si="3"/>
        <v>-11</v>
      </c>
      <c r="F25" s="191">
        <f t="shared" si="3"/>
        <v>18</v>
      </c>
      <c r="G25" s="191">
        <f>ROUND((+G21-G23),0)</f>
        <v>1</v>
      </c>
      <c r="H25" s="191">
        <f>ROUND((+H21-H23),0)</f>
        <v>0</v>
      </c>
      <c r="I25" s="191">
        <f>ROUND((+I21-I23),0)</f>
        <v>0</v>
      </c>
      <c r="J25" s="191">
        <f>ROUND((+J21-J23),0)</f>
        <v>0</v>
      </c>
      <c r="K25" s="191">
        <f t="shared" si="3"/>
        <v>-34</v>
      </c>
      <c r="L25" s="191">
        <f t="shared" si="3"/>
        <v>169</v>
      </c>
      <c r="M25" s="204"/>
    </row>
    <row r="26" spans="1:13" ht="9.9" customHeight="1">
      <c r="A26" s="19">
        <f t="shared" si="1"/>
        <v>26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</row>
    <row r="27" spans="1:13">
      <c r="A27" s="19">
        <f t="shared" si="1"/>
        <v>27</v>
      </c>
      <c r="B27" t="s">
        <v>371</v>
      </c>
      <c r="C27" s="119">
        <f>+'Exhibit C-2'!C17</f>
        <v>77280276.675060004</v>
      </c>
      <c r="D27" s="119">
        <f>+'Exhibit C-2'!C49</f>
        <v>37530.452859999998</v>
      </c>
      <c r="E27" s="119">
        <f>+'Exhibit C-2'!C80</f>
        <v>7980425.1752000004</v>
      </c>
      <c r="F27" s="119">
        <f>+'Exhibit C-2'!C113</f>
        <v>78246.040000000008</v>
      </c>
      <c r="G27" s="119">
        <f>+'Exhibit C-2'!C147</f>
        <v>3052922.6646399996</v>
      </c>
      <c r="H27" s="119">
        <f>+'Exhibit C-2'!C180</f>
        <v>5579013.4770950004</v>
      </c>
      <c r="I27" s="119">
        <f>+'Exhibit C-2'!C215</f>
        <v>11705947.46473</v>
      </c>
      <c r="J27" s="119">
        <f>+'Exhibit C-2'!C278</f>
        <v>5629765.7617759993</v>
      </c>
      <c r="K27" s="119">
        <v>889408.08966857498</v>
      </c>
      <c r="L27" s="119">
        <v>1158.25</v>
      </c>
      <c r="M27" s="119"/>
    </row>
    <row r="28" spans="1:13">
      <c r="A28" s="19">
        <f t="shared" si="1"/>
        <v>28</v>
      </c>
      <c r="B28" t="s">
        <v>372</v>
      </c>
      <c r="C28" s="119">
        <f>+'Exhibit C-2'!B14</f>
        <v>793939806</v>
      </c>
      <c r="D28" s="119">
        <f>+'Exhibit C-2'!B47</f>
        <v>437447</v>
      </c>
      <c r="E28" s="119">
        <f>+'Exhibit C-2'!B77</f>
        <v>70405905</v>
      </c>
      <c r="F28" s="119">
        <f>+'Exhibit C-2'!B110</f>
        <v>659159</v>
      </c>
      <c r="G28" s="119">
        <f>+'Exhibit C-2'!B145</f>
        <v>37501047</v>
      </c>
      <c r="H28" s="119">
        <f>+'Exhibit C-2'!B176</f>
        <v>80741257</v>
      </c>
      <c r="I28" s="119">
        <f>+'Exhibit C-2'!B211</f>
        <v>198304474</v>
      </c>
      <c r="J28" s="119">
        <f>+'Exhibit C-2'!B244+'Exhibit C-2'!B251</f>
        <v>56059904</v>
      </c>
      <c r="K28" s="119">
        <v>7210041</v>
      </c>
      <c r="L28" s="119">
        <v>41000</v>
      </c>
      <c r="M28" s="119"/>
    </row>
    <row r="29" spans="1:13" ht="9.9" customHeight="1">
      <c r="A29" s="19">
        <f t="shared" si="1"/>
        <v>29</v>
      </c>
    </row>
    <row r="30" spans="1:13">
      <c r="A30" s="19">
        <f t="shared" si="1"/>
        <v>30</v>
      </c>
      <c r="B30" t="s">
        <v>373</v>
      </c>
      <c r="C30" s="205">
        <f t="shared" ref="C30:L30" si="4">(C27/C28)</f>
        <v>9.7337702544996213E-2</v>
      </c>
      <c r="D30" s="205">
        <f t="shared" si="4"/>
        <v>8.579428561631465E-2</v>
      </c>
      <c r="E30" s="205">
        <f t="shared" si="4"/>
        <v>0.11334880469471986</v>
      </c>
      <c r="F30" s="205">
        <f t="shared" si="4"/>
        <v>0.11870586611121142</v>
      </c>
      <c r="G30" s="205">
        <f>(G27/G28)</f>
        <v>8.1408998117839207E-2</v>
      </c>
      <c r="H30" s="205">
        <f>(H27/H28)</f>
        <v>6.9097431528654552E-2</v>
      </c>
      <c r="I30" s="205">
        <f>(I27/I28)</f>
        <v>5.9030173291652513E-2</v>
      </c>
      <c r="J30" s="205">
        <f>(J27/J28)</f>
        <v>0.1004241063590833</v>
      </c>
      <c r="K30" s="205">
        <f t="shared" si="4"/>
        <v>0.12335686990803173</v>
      </c>
      <c r="L30" s="205">
        <f t="shared" si="4"/>
        <v>2.8250000000000001E-2</v>
      </c>
      <c r="M30" s="205"/>
    </row>
    <row r="31" spans="1:13" ht="9.9" customHeight="1">
      <c r="A31" s="19">
        <f t="shared" si="1"/>
        <v>31</v>
      </c>
    </row>
    <row r="32" spans="1:13">
      <c r="A32" s="19">
        <f t="shared" si="1"/>
        <v>32</v>
      </c>
      <c r="B32" t="s">
        <v>374</v>
      </c>
      <c r="C32" s="77">
        <f t="shared" ref="C32:L32" si="5">SUM(C10:C21)</f>
        <v>633843</v>
      </c>
      <c r="D32" s="77">
        <f t="shared" si="5"/>
        <v>447</v>
      </c>
      <c r="E32" s="77">
        <f t="shared" si="5"/>
        <v>30758</v>
      </c>
      <c r="F32" s="77">
        <f t="shared" si="5"/>
        <v>323</v>
      </c>
      <c r="G32" s="77">
        <f t="shared" si="5"/>
        <v>673</v>
      </c>
      <c r="H32" s="77">
        <f t="shared" si="5"/>
        <v>288</v>
      </c>
      <c r="I32" s="77">
        <f t="shared" si="5"/>
        <v>60</v>
      </c>
      <c r="J32" s="77">
        <f t="shared" si="5"/>
        <v>12</v>
      </c>
      <c r="K32" s="77">
        <f t="shared" si="5"/>
        <v>180862</v>
      </c>
      <c r="L32" s="77">
        <f t="shared" si="5"/>
        <v>271800</v>
      </c>
      <c r="M32" s="77"/>
    </row>
    <row r="33" spans="1:13" ht="9.9" customHeight="1">
      <c r="A33" s="19">
        <f t="shared" si="1"/>
        <v>33</v>
      </c>
      <c r="C33" s="77"/>
      <c r="D33" s="77"/>
      <c r="E33" s="77"/>
      <c r="F33" s="77"/>
      <c r="G33" s="77"/>
      <c r="H33" s="77"/>
    </row>
    <row r="34" spans="1:13">
      <c r="A34" s="19">
        <f t="shared" si="1"/>
        <v>34</v>
      </c>
      <c r="B34" t="s">
        <v>375</v>
      </c>
      <c r="C34" s="77">
        <f t="shared" ref="C34:L34" si="6">(C28/C32)</f>
        <v>1252.5811691538756</v>
      </c>
      <c r="D34" s="77">
        <f t="shared" si="6"/>
        <v>978.62863534675614</v>
      </c>
      <c r="E34" s="77">
        <f t="shared" si="6"/>
        <v>2289.0274075037387</v>
      </c>
      <c r="F34" s="77">
        <f t="shared" si="6"/>
        <v>2040.7399380804954</v>
      </c>
      <c r="G34" s="77">
        <f>(G28/G32)</f>
        <v>55722.209509658249</v>
      </c>
      <c r="H34" s="77">
        <f>(H28/H32)</f>
        <v>280351.58680555556</v>
      </c>
      <c r="I34" s="77">
        <f>(I28/I32)</f>
        <v>3305074.5666666669</v>
      </c>
      <c r="J34" s="77">
        <f>(J28/J32)</f>
        <v>4671658.666666667</v>
      </c>
      <c r="K34" s="77">
        <f t="shared" si="6"/>
        <v>39.864874876978028</v>
      </c>
      <c r="L34" s="77">
        <f t="shared" si="6"/>
        <v>0.15084621044885946</v>
      </c>
      <c r="M34" s="77"/>
    </row>
    <row r="35" spans="1:13" ht="9.9" customHeight="1">
      <c r="A35" s="19">
        <f t="shared" si="1"/>
        <v>35</v>
      </c>
    </row>
    <row r="36" spans="1:13">
      <c r="A36" s="19">
        <f t="shared" si="1"/>
        <v>36</v>
      </c>
      <c r="B36" t="s">
        <v>376</v>
      </c>
      <c r="C36" s="77">
        <f t="shared" ref="C36:L36" si="7">(C25*C30*C34)*12</f>
        <v>196052.78419655416</v>
      </c>
      <c r="D36" s="77">
        <f t="shared" si="7"/>
        <v>1007.528935838926</v>
      </c>
      <c r="E36" s="77">
        <f t="shared" si="7"/>
        <v>-34248.524713128289</v>
      </c>
      <c r="F36" s="77">
        <f t="shared" si="7"/>
        <v>52325.525201238401</v>
      </c>
      <c r="G36" s="77">
        <f>(G25*G30*G34)*12</f>
        <v>54435.470989123321</v>
      </c>
      <c r="H36" s="77">
        <f>(H25*H30*H34)*12</f>
        <v>0</v>
      </c>
      <c r="I36" s="77">
        <f>(I25*I30*I34)*12</f>
        <v>0</v>
      </c>
      <c r="J36" s="77">
        <f>(J25*J30*J34)*12</f>
        <v>0</v>
      </c>
      <c r="K36" s="77">
        <f t="shared" si="7"/>
        <v>-2006.3833231125313</v>
      </c>
      <c r="L36" s="77">
        <f t="shared" si="7"/>
        <v>8.6421302428256084</v>
      </c>
      <c r="M36" s="77"/>
    </row>
    <row r="37" spans="1:13" ht="9.9" customHeight="1">
      <c r="A37" s="19">
        <f t="shared" si="1"/>
        <v>37</v>
      </c>
    </row>
    <row r="38" spans="1:13">
      <c r="A38" s="19">
        <f t="shared" si="1"/>
        <v>38</v>
      </c>
      <c r="B38" t="s">
        <v>377</v>
      </c>
      <c r="C38" s="77">
        <f t="shared" ref="C38:K38" si="8">(C25*C34*$E$50)*12</f>
        <v>129455.77989145275</v>
      </c>
      <c r="D38" s="77">
        <f t="shared" si="8"/>
        <v>754.79443242181242</v>
      </c>
      <c r="E38" s="77">
        <f t="shared" si="8"/>
        <v>-19420.233462265533</v>
      </c>
      <c r="F38" s="77">
        <f t="shared" si="8"/>
        <v>28331.589305362708</v>
      </c>
      <c r="G38" s="77">
        <f t="shared" si="8"/>
        <v>42977.296985826673</v>
      </c>
      <c r="H38" s="77">
        <f t="shared" si="8"/>
        <v>0</v>
      </c>
      <c r="I38" s="77">
        <f t="shared" si="8"/>
        <v>0</v>
      </c>
      <c r="J38" s="77">
        <f t="shared" si="8"/>
        <v>0</v>
      </c>
      <c r="K38" s="77">
        <f t="shared" si="8"/>
        <v>-1045.3942115160974</v>
      </c>
      <c r="L38" s="77">
        <f>+L25*0.02375</f>
        <v>4.0137499999999999</v>
      </c>
      <c r="M38" s="77"/>
    </row>
    <row r="39" spans="1:13" ht="9.9" customHeight="1">
      <c r="A39" s="19">
        <f t="shared" si="1"/>
        <v>39</v>
      </c>
    </row>
    <row r="40" spans="1:13">
      <c r="A40" s="19">
        <f t="shared" si="1"/>
        <v>40</v>
      </c>
      <c r="B40" t="s">
        <v>378</v>
      </c>
      <c r="C40" s="77">
        <f t="shared" ref="C40:L40" si="9">C36-C38</f>
        <v>66597.004305101407</v>
      </c>
      <c r="D40" s="77">
        <f t="shared" si="9"/>
        <v>252.73450341711361</v>
      </c>
      <c r="E40" s="77">
        <f t="shared" si="9"/>
        <v>-14828.291250862756</v>
      </c>
      <c r="F40" s="77">
        <f t="shared" si="9"/>
        <v>23993.935895875693</v>
      </c>
      <c r="G40" s="77">
        <f t="shared" si="9"/>
        <v>11458.174003296648</v>
      </c>
      <c r="H40" s="77">
        <f t="shared" si="9"/>
        <v>0</v>
      </c>
      <c r="I40" s="77">
        <f t="shared" si="9"/>
        <v>0</v>
      </c>
      <c r="J40" s="77">
        <f t="shared" si="9"/>
        <v>0</v>
      </c>
      <c r="K40" s="77">
        <f t="shared" si="9"/>
        <v>-960.98911159643399</v>
      </c>
      <c r="L40" s="77">
        <f t="shared" si="9"/>
        <v>4.6283802428256084</v>
      </c>
      <c r="M40" s="77"/>
    </row>
    <row r="41" spans="1:13" ht="9.9" customHeight="1">
      <c r="A41" s="19">
        <f t="shared" si="1"/>
        <v>41</v>
      </c>
      <c r="C41" s="206"/>
    </row>
    <row r="42" spans="1:13" ht="15" thickBot="1">
      <c r="A42" s="19">
        <f t="shared" si="1"/>
        <v>42</v>
      </c>
      <c r="B42" t="s">
        <v>338</v>
      </c>
      <c r="C42" s="140">
        <f>SUM(C40:L40)</f>
        <v>86517.196725474496</v>
      </c>
    </row>
    <row r="43" spans="1:13" ht="9.9" customHeight="1" thickTop="1">
      <c r="A43" s="19">
        <f t="shared" si="1"/>
        <v>43</v>
      </c>
    </row>
    <row r="44" spans="1:13">
      <c r="A44" s="19">
        <f t="shared" si="1"/>
        <v>44</v>
      </c>
      <c r="B44" t="s">
        <v>379</v>
      </c>
      <c r="E44" s="77"/>
    </row>
    <row r="45" spans="1:13" ht="9.9" customHeight="1">
      <c r="A45" s="19">
        <f t="shared" si="1"/>
        <v>45</v>
      </c>
      <c r="E45" s="77"/>
    </row>
    <row r="46" spans="1:13">
      <c r="A46" s="19">
        <f t="shared" si="1"/>
        <v>46</v>
      </c>
      <c r="B46" t="s">
        <v>380</v>
      </c>
      <c r="E46" s="77"/>
    </row>
    <row r="47" spans="1:13" ht="9.9" customHeight="1">
      <c r="A47" s="19">
        <f t="shared" si="1"/>
        <v>47</v>
      </c>
      <c r="E47" s="77"/>
    </row>
    <row r="48" spans="1:13">
      <c r="A48" s="19">
        <f t="shared" si="1"/>
        <v>48</v>
      </c>
      <c r="B48" t="s">
        <v>381</v>
      </c>
      <c r="E48" s="77">
        <f>+'power cost'!H104</f>
        <v>84333726.576888025</v>
      </c>
    </row>
    <row r="49" spans="1:5">
      <c r="A49" s="19">
        <f t="shared" si="1"/>
        <v>49</v>
      </c>
      <c r="B49" t="s">
        <v>382</v>
      </c>
      <c r="E49" s="77">
        <f>+'power cost'!L24</f>
        <v>1312114603</v>
      </c>
    </row>
    <row r="50" spans="1:5">
      <c r="A50" s="19">
        <f t="shared" si="1"/>
        <v>50</v>
      </c>
      <c r="B50" t="s">
        <v>383</v>
      </c>
      <c r="E50" s="124">
        <f>(E48/E49)</f>
        <v>6.4273140763823983E-2</v>
      </c>
    </row>
    <row r="51" spans="1:5">
      <c r="A51" s="19">
        <f t="shared" si="1"/>
        <v>51</v>
      </c>
      <c r="E51" s="77"/>
    </row>
    <row r="52" spans="1:5">
      <c r="A52" s="19">
        <f t="shared" si="1"/>
        <v>52</v>
      </c>
    </row>
  </sheetData>
  <mergeCells count="3">
    <mergeCell ref="B1:J1"/>
    <mergeCell ref="B2:J2"/>
    <mergeCell ref="B3:J3"/>
  </mergeCells>
  <pageMargins left="1" right="0.5" top="0.5" bottom="0.5" header="0.3" footer="0.3"/>
  <pageSetup paperSize="0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Billing Detail</vt:lpstr>
      <vt:lpstr>Exhibit C-2</vt:lpstr>
      <vt:lpstr>Exhibit C1</vt:lpstr>
      <vt:lpstr>monthly</vt:lpstr>
      <vt:lpstr>ave bill</vt:lpstr>
      <vt:lpstr>power cost</vt:lpstr>
      <vt:lpstr>additional</vt:lpstr>
      <vt:lpstr>additional!Print_Area</vt:lpstr>
      <vt:lpstr>'ave bill'!Print_Area</vt:lpstr>
      <vt:lpstr>'Billing Detail'!Print_Area</vt:lpstr>
      <vt:lpstr>'Exhibit C1'!Print_Area</vt:lpstr>
      <vt:lpstr>'Exhibit C-2'!Print_Area</vt:lpstr>
      <vt:lpstr>monthly!Print_Area</vt:lpstr>
      <vt:lpstr>'power cost'!Print_Area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2021-03-24T13:10:38Z</cp:lastPrinted>
  <dcterms:created xsi:type="dcterms:W3CDTF">2021-02-09T02:13:44Z</dcterms:created>
  <dcterms:modified xsi:type="dcterms:W3CDTF">2021-05-24T12:59:41Z</dcterms:modified>
</cp:coreProperties>
</file>