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Big Sandy\Analysis\"/>
    </mc:Choice>
  </mc:AlternateContent>
  <xr:revisionPtr revIDLastSave="0" documentId="13_ncr:1_{C8553A30-5AC4-485E-9E2F-89E62ACE67D9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Detail'!$A$1:$R$123</definedName>
    <definedName name="_xlnm.Print_Area" localSheetId="2">'Notice Table'!$A$1:$J$70</definedName>
    <definedName name="_xlnm.Print_Area" localSheetId="0">Summary!$A$1:$O$29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1" l="1"/>
  <c r="I63" i="1"/>
  <c r="I49" i="1"/>
  <c r="I35" i="1"/>
  <c r="I22" i="1"/>
  <c r="I11" i="1"/>
  <c r="L75" i="1"/>
  <c r="J9" i="1"/>
  <c r="F45" i="3"/>
  <c r="F44" i="3"/>
  <c r="F43" i="3"/>
  <c r="N118" i="1"/>
  <c r="G115" i="1"/>
  <c r="G116" i="1"/>
  <c r="G117" i="1"/>
  <c r="G118" i="1"/>
  <c r="E73" i="1"/>
  <c r="E74" i="1" s="1"/>
  <c r="F76" i="1"/>
  <c r="G76" i="1" s="1"/>
  <c r="F75" i="1"/>
  <c r="G75" i="1" s="1"/>
  <c r="E26" i="3"/>
  <c r="F26" i="3"/>
  <c r="E27" i="3"/>
  <c r="F27" i="3"/>
  <c r="E28" i="3"/>
  <c r="F28" i="3"/>
  <c r="E29" i="3"/>
  <c r="F29" i="3"/>
  <c r="F25" i="3"/>
  <c r="E25" i="3"/>
  <c r="D24" i="3"/>
  <c r="C24" i="3"/>
  <c r="E21" i="3"/>
  <c r="F21" i="3"/>
  <c r="E22" i="3"/>
  <c r="F22" i="3"/>
  <c r="E23" i="3"/>
  <c r="F23" i="3"/>
  <c r="E20" i="3"/>
  <c r="F20" i="3"/>
  <c r="E16" i="3"/>
  <c r="F16" i="3"/>
  <c r="E17" i="3"/>
  <c r="F17" i="3"/>
  <c r="E18" i="3"/>
  <c r="F18" i="3"/>
  <c r="C13" i="2"/>
  <c r="Q13" i="2" s="1"/>
  <c r="B13" i="2"/>
  <c r="D69" i="3" s="1"/>
  <c r="F73" i="1"/>
  <c r="E84" i="1"/>
  <c r="E69" i="3" s="1"/>
  <c r="G82" i="1"/>
  <c r="I81" i="1"/>
  <c r="M81" i="1" s="1"/>
  <c r="I80" i="1"/>
  <c r="M80" i="1" s="1"/>
  <c r="N80" i="1" s="1"/>
  <c r="I79" i="1"/>
  <c r="M79" i="1" s="1"/>
  <c r="N79" i="1" s="1"/>
  <c r="M78" i="1"/>
  <c r="N78" i="1" s="1"/>
  <c r="I76" i="1"/>
  <c r="I75" i="1"/>
  <c r="F74" i="1"/>
  <c r="I72" i="1"/>
  <c r="F72" i="1"/>
  <c r="G72" i="1" s="1"/>
  <c r="D56" i="3" l="1"/>
  <c r="C56" i="3"/>
  <c r="C69" i="3"/>
  <c r="G73" i="1"/>
  <c r="G74" i="1"/>
  <c r="G77" i="1" s="1"/>
  <c r="I73" i="1"/>
  <c r="I74" i="1"/>
  <c r="I82" i="1"/>
  <c r="M82" i="1"/>
  <c r="F59" i="1"/>
  <c r="G59" i="1" s="1"/>
  <c r="F58" i="1"/>
  <c r="F45" i="1"/>
  <c r="G45" i="1" s="1"/>
  <c r="F44" i="1"/>
  <c r="F32" i="1"/>
  <c r="F31" i="1"/>
  <c r="F8" i="1"/>
  <c r="F61" i="1"/>
  <c r="F60" i="1"/>
  <c r="G60" i="1" s="1"/>
  <c r="F47" i="1"/>
  <c r="F46" i="1"/>
  <c r="G46" i="1" s="1"/>
  <c r="F33" i="1"/>
  <c r="F20" i="1"/>
  <c r="F9" i="1"/>
  <c r="I102" i="1"/>
  <c r="G102" i="1"/>
  <c r="G91" i="1"/>
  <c r="I91" i="1"/>
  <c r="G92" i="1"/>
  <c r="I92" i="1"/>
  <c r="G93" i="1"/>
  <c r="I93" i="1"/>
  <c r="I59" i="1"/>
  <c r="I60" i="1"/>
  <c r="I45" i="1"/>
  <c r="I46" i="1"/>
  <c r="E37" i="3"/>
  <c r="F37" i="3"/>
  <c r="E38" i="3"/>
  <c r="F38" i="3"/>
  <c r="E39" i="3"/>
  <c r="F39" i="3"/>
  <c r="F36" i="3"/>
  <c r="E36" i="3"/>
  <c r="D35" i="3"/>
  <c r="C35" i="3"/>
  <c r="E32" i="3"/>
  <c r="F32" i="3"/>
  <c r="E33" i="3"/>
  <c r="F33" i="3"/>
  <c r="E34" i="3"/>
  <c r="F34" i="3"/>
  <c r="F31" i="3"/>
  <c r="E31" i="3"/>
  <c r="D30" i="3"/>
  <c r="C30" i="3"/>
  <c r="I115" i="1" l="1"/>
  <c r="I77" i="1"/>
  <c r="G83" i="1"/>
  <c r="G84" i="1" s="1"/>
  <c r="D13" i="2"/>
  <c r="N82" i="1"/>
  <c r="O82" i="1" s="1"/>
  <c r="E69" i="1"/>
  <c r="E68" i="3" s="1"/>
  <c r="E55" i="1"/>
  <c r="E67" i="3" s="1"/>
  <c r="E41" i="1"/>
  <c r="E66" i="3" s="1"/>
  <c r="I83" i="1" l="1"/>
  <c r="I84" i="1" s="1"/>
  <c r="E13" i="2"/>
  <c r="E17" i="1"/>
  <c r="E64" i="3" s="1"/>
  <c r="J77" i="1" l="1"/>
  <c r="T13" i="2"/>
  <c r="F41" i="3"/>
  <c r="F42" i="3"/>
  <c r="C40" i="3"/>
  <c r="D40" i="3"/>
  <c r="C19" i="3"/>
  <c r="D19" i="3"/>
  <c r="E15" i="3"/>
  <c r="C14" i="3"/>
  <c r="D14" i="3"/>
  <c r="E12" i="3"/>
  <c r="F12" i="3"/>
  <c r="E13" i="3"/>
  <c r="F13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R15" i="2"/>
  <c r="S13" i="2" s="1"/>
  <c r="S14" i="2" l="1"/>
  <c r="S9" i="2"/>
  <c r="S10" i="2"/>
  <c r="S11" i="2"/>
  <c r="S12" i="2"/>
  <c r="S8" i="2"/>
  <c r="S15" i="2"/>
  <c r="F15" i="3" l="1"/>
  <c r="F9" i="3"/>
  <c r="H17" i="2"/>
  <c r="A1" i="3" l="1"/>
  <c r="L27" i="2" l="1"/>
  <c r="C11" i="2" l="1"/>
  <c r="C67" i="3" l="1"/>
  <c r="C54" i="3"/>
  <c r="Q11" i="2"/>
  <c r="I61" i="1"/>
  <c r="G61" i="1"/>
  <c r="I20" i="1"/>
  <c r="G20" i="1"/>
  <c r="I47" i="1" l="1"/>
  <c r="G47" i="1"/>
  <c r="I32" i="1"/>
  <c r="G32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I66" i="1"/>
  <c r="M66" i="1" s="1"/>
  <c r="I65" i="1"/>
  <c r="M65" i="1" s="1"/>
  <c r="I64" i="1"/>
  <c r="M64" i="1" s="1"/>
  <c r="I52" i="1"/>
  <c r="M52" i="1" s="1"/>
  <c r="I51" i="1"/>
  <c r="M51" i="1" s="1"/>
  <c r="I50" i="1"/>
  <c r="M50" i="1" s="1"/>
  <c r="I38" i="1"/>
  <c r="M38" i="1" s="1"/>
  <c r="I36" i="1"/>
  <c r="I25" i="1"/>
  <c r="M25" i="1" s="1"/>
  <c r="I24" i="1"/>
  <c r="M24" i="1" s="1"/>
  <c r="I23" i="1"/>
  <c r="M23" i="1" s="1"/>
  <c r="I14" i="1"/>
  <c r="I13" i="1"/>
  <c r="I12" i="1"/>
  <c r="B23" i="2"/>
  <c r="I116" i="1" l="1"/>
  <c r="I118" i="1"/>
  <c r="E23" i="2" s="1"/>
  <c r="A72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73" i="1"/>
  <c r="M13" i="1"/>
  <c r="M12" i="1"/>
  <c r="M14" i="1"/>
  <c r="M118" i="1" s="1"/>
  <c r="I26" i="1"/>
  <c r="I53" i="1"/>
  <c r="M36" i="1"/>
  <c r="G39" i="1"/>
  <c r="I37" i="1"/>
  <c r="M37" i="1" s="1"/>
  <c r="G15" i="1"/>
  <c r="G67" i="1"/>
  <c r="D23" i="2"/>
  <c r="G53" i="1"/>
  <c r="G26" i="1"/>
  <c r="I117" i="1" l="1"/>
  <c r="J23" i="2"/>
  <c r="I15" i="1"/>
  <c r="I67" i="1"/>
  <c r="I39" i="1"/>
  <c r="I103" i="1"/>
  <c r="G103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0" i="1"/>
  <c r="G90" i="1"/>
  <c r="I89" i="1"/>
  <c r="G89" i="1"/>
  <c r="I88" i="1"/>
  <c r="G88" i="1"/>
  <c r="E22" i="2" l="1"/>
  <c r="E21" i="2"/>
  <c r="D22" i="2"/>
  <c r="D21" i="2"/>
  <c r="C10" i="2"/>
  <c r="C12" i="2"/>
  <c r="C14" i="2"/>
  <c r="B14" i="2"/>
  <c r="B12" i="2"/>
  <c r="B11" i="2"/>
  <c r="B10" i="2"/>
  <c r="C9" i="2"/>
  <c r="C8" i="2"/>
  <c r="B9" i="2"/>
  <c r="B8" i="2"/>
  <c r="N51" i="1"/>
  <c r="N50" i="1"/>
  <c r="M49" i="1"/>
  <c r="I44" i="1"/>
  <c r="G44" i="1"/>
  <c r="N24" i="1"/>
  <c r="N23" i="1"/>
  <c r="M22" i="1"/>
  <c r="N36" i="1"/>
  <c r="M35" i="1"/>
  <c r="I33" i="1"/>
  <c r="G33" i="1"/>
  <c r="I31" i="1"/>
  <c r="G31" i="1"/>
  <c r="N65" i="1"/>
  <c r="N64" i="1"/>
  <c r="M63" i="1"/>
  <c r="I58" i="1"/>
  <c r="G58" i="1"/>
  <c r="G62" i="1" s="1"/>
  <c r="D57" i="3" l="1"/>
  <c r="D70" i="3"/>
  <c r="C70" i="3"/>
  <c r="C57" i="3"/>
  <c r="Q14" i="2"/>
  <c r="C66" i="3"/>
  <c r="C53" i="3"/>
  <c r="Q10" i="2"/>
  <c r="D66" i="3"/>
  <c r="D53" i="3"/>
  <c r="C65" i="3"/>
  <c r="C52" i="3"/>
  <c r="Q9" i="2"/>
  <c r="Q8" i="2"/>
  <c r="C64" i="3"/>
  <c r="C51" i="3"/>
  <c r="Q12" i="2"/>
  <c r="C68" i="3"/>
  <c r="C55" i="3"/>
  <c r="D68" i="3"/>
  <c r="D55" i="3"/>
  <c r="D67" i="3"/>
  <c r="D54" i="3"/>
  <c r="D52" i="3"/>
  <c r="D65" i="3"/>
  <c r="D51" i="3"/>
  <c r="D64" i="3"/>
  <c r="N22" i="1"/>
  <c r="M26" i="1"/>
  <c r="N63" i="1"/>
  <c r="M67" i="1"/>
  <c r="N49" i="1"/>
  <c r="M53" i="1"/>
  <c r="N35" i="1"/>
  <c r="M39" i="1"/>
  <c r="N39" i="1" s="1"/>
  <c r="O39" i="1" s="1"/>
  <c r="E20" i="2"/>
  <c r="E24" i="2" s="1"/>
  <c r="G48" i="1"/>
  <c r="D11" i="2" s="1"/>
  <c r="D20" i="2"/>
  <c r="D24" i="2" s="1"/>
  <c r="G21" i="1"/>
  <c r="D9" i="2" s="1"/>
  <c r="I48" i="1"/>
  <c r="I21" i="1"/>
  <c r="G34" i="1"/>
  <c r="N37" i="1"/>
  <c r="I34" i="1"/>
  <c r="I62" i="1"/>
  <c r="G87" i="1"/>
  <c r="I87" i="1"/>
  <c r="G109" i="1"/>
  <c r="G119" i="1" s="1"/>
  <c r="M107" i="1"/>
  <c r="M117" i="1" s="1"/>
  <c r="M106" i="1"/>
  <c r="M116" i="1" s="1"/>
  <c r="M105" i="1"/>
  <c r="B21" i="2"/>
  <c r="B22" i="2"/>
  <c r="B20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M115" i="1" l="1"/>
  <c r="A13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M15" i="1"/>
  <c r="N105" i="1"/>
  <c r="J20" i="1"/>
  <c r="E11" i="2"/>
  <c r="N106" i="1"/>
  <c r="N107" i="1"/>
  <c r="J22" i="2"/>
  <c r="G54" i="1"/>
  <c r="G55" i="1" s="1"/>
  <c r="G27" i="1"/>
  <c r="N12" i="1"/>
  <c r="J21" i="2"/>
  <c r="N13" i="1"/>
  <c r="G40" i="1"/>
  <c r="G41" i="1" s="1"/>
  <c r="D10" i="2"/>
  <c r="I54" i="1"/>
  <c r="I55" i="1" s="1"/>
  <c r="G68" i="1"/>
  <c r="G69" i="1" s="1"/>
  <c r="D12" i="2"/>
  <c r="I68" i="1"/>
  <c r="I69" i="1" s="1"/>
  <c r="E12" i="2"/>
  <c r="I40" i="1"/>
  <c r="I41" i="1" s="1"/>
  <c r="E10" i="2"/>
  <c r="I27" i="1"/>
  <c r="E9" i="2"/>
  <c r="N53" i="1"/>
  <c r="O53" i="1" s="1"/>
  <c r="N26" i="1"/>
  <c r="O26" i="1" s="1"/>
  <c r="N67" i="1"/>
  <c r="O67" i="1" s="1"/>
  <c r="G10" i="1"/>
  <c r="I10" i="1"/>
  <c r="I109" i="1"/>
  <c r="I119" i="1" s="1"/>
  <c r="I104" i="1"/>
  <c r="J102" i="1" s="1"/>
  <c r="G104" i="1"/>
  <c r="N11" i="1"/>
  <c r="N115" i="1" s="1"/>
  <c r="N116" i="1" l="1"/>
  <c r="I114" i="1"/>
  <c r="I120" i="1" s="1"/>
  <c r="N117" i="1"/>
  <c r="G114" i="1"/>
  <c r="G120" i="1" s="1"/>
  <c r="J93" i="1"/>
  <c r="J91" i="1"/>
  <c r="J92" i="1"/>
  <c r="T12" i="2"/>
  <c r="T11" i="2"/>
  <c r="T9" i="2"/>
  <c r="T10" i="2"/>
  <c r="D14" i="2"/>
  <c r="J62" i="1"/>
  <c r="J48" i="1"/>
  <c r="J20" i="2"/>
  <c r="J24" i="2" s="1"/>
  <c r="J34" i="1"/>
  <c r="E14" i="2"/>
  <c r="J21" i="1"/>
  <c r="J96" i="1"/>
  <c r="J100" i="1"/>
  <c r="J97" i="1"/>
  <c r="J94" i="1"/>
  <c r="J95" i="1"/>
  <c r="J101" i="1"/>
  <c r="J98" i="1"/>
  <c r="J103" i="1"/>
  <c r="J99" i="1"/>
  <c r="J89" i="1"/>
  <c r="J90" i="1"/>
  <c r="J88" i="1"/>
  <c r="G110" i="1"/>
  <c r="E8" i="2"/>
  <c r="G16" i="1"/>
  <c r="D8" i="2"/>
  <c r="J87" i="1"/>
  <c r="I110" i="1"/>
  <c r="M109" i="1"/>
  <c r="M119" i="1" s="1"/>
  <c r="I16" i="1"/>
  <c r="I17" i="1" s="1"/>
  <c r="N15" i="1"/>
  <c r="T14" i="2" l="1"/>
  <c r="T8" i="2"/>
  <c r="D15" i="2"/>
  <c r="D17" i="2" s="1"/>
  <c r="D26" i="2" s="1"/>
  <c r="E15" i="2"/>
  <c r="F13" i="2" s="1"/>
  <c r="G17" i="1"/>
  <c r="J104" i="1"/>
  <c r="N109" i="1"/>
  <c r="O109" i="1" s="1"/>
  <c r="J10" i="1"/>
  <c r="N119" i="1" l="1"/>
  <c r="G15" i="2"/>
  <c r="H13" i="2" s="1"/>
  <c r="I13" i="2" s="1"/>
  <c r="T15" i="2"/>
  <c r="E17" i="2"/>
  <c r="F8" i="2"/>
  <c r="F11" i="2"/>
  <c r="F9" i="2"/>
  <c r="F14" i="2"/>
  <c r="F15" i="2"/>
  <c r="F17" i="2" s="1"/>
  <c r="F10" i="2"/>
  <c r="F12" i="2"/>
  <c r="K77" i="1" l="1"/>
  <c r="U8" i="2"/>
  <c r="V8" i="2" s="1"/>
  <c r="U13" i="2"/>
  <c r="V13" i="2" s="1"/>
  <c r="H8" i="2"/>
  <c r="I8" i="2" s="1"/>
  <c r="K10" i="1" s="1"/>
  <c r="H9" i="2"/>
  <c r="I9" i="2" s="1"/>
  <c r="K21" i="1" s="1"/>
  <c r="H10" i="2"/>
  <c r="I10" i="2" s="1"/>
  <c r="K34" i="1" s="1"/>
  <c r="H11" i="2"/>
  <c r="I11" i="2" s="1"/>
  <c r="K48" i="1" s="1"/>
  <c r="H14" i="2"/>
  <c r="I14" i="2" s="1"/>
  <c r="K104" i="1" s="1"/>
  <c r="H12" i="2"/>
  <c r="I12" i="2" s="1"/>
  <c r="K62" i="1" s="1"/>
  <c r="G17" i="2"/>
  <c r="U9" i="2"/>
  <c r="V9" i="2" s="1"/>
  <c r="U10" i="2"/>
  <c r="V10" i="2" s="1"/>
  <c r="U11" i="2"/>
  <c r="V11" i="2" s="1"/>
  <c r="U12" i="2"/>
  <c r="V12" i="2" s="1"/>
  <c r="U14" i="2"/>
  <c r="V14" i="2" s="1"/>
  <c r="E26" i="2"/>
  <c r="M4" i="2"/>
  <c r="L8" i="1" l="1"/>
  <c r="L9" i="1"/>
  <c r="L45" i="1"/>
  <c r="L44" i="1"/>
  <c r="L47" i="1"/>
  <c r="L46" i="1"/>
  <c r="L33" i="1"/>
  <c r="L32" i="1"/>
  <c r="L31" i="1"/>
  <c r="L59" i="1"/>
  <c r="L58" i="1"/>
  <c r="L61" i="1"/>
  <c r="L60" i="1"/>
  <c r="L76" i="1"/>
  <c r="L74" i="1"/>
  <c r="L73" i="1"/>
  <c r="L72" i="1"/>
  <c r="M72" i="1" s="1"/>
  <c r="N72" i="1" s="1"/>
  <c r="K78" i="1"/>
  <c r="S77" i="1"/>
  <c r="K22" i="1"/>
  <c r="S21" i="1"/>
  <c r="L20" i="1" s="1"/>
  <c r="U15" i="2"/>
  <c r="V15" i="2" s="1"/>
  <c r="S104" i="1"/>
  <c r="L102" i="1" s="1"/>
  <c r="G43" i="3" s="1"/>
  <c r="J43" i="3" s="1"/>
  <c r="K105" i="1"/>
  <c r="S34" i="1"/>
  <c r="K35" i="1"/>
  <c r="S10" i="1"/>
  <c r="K11" i="1"/>
  <c r="S62" i="1"/>
  <c r="K63" i="1"/>
  <c r="S48" i="1"/>
  <c r="K49" i="1"/>
  <c r="I15" i="2"/>
  <c r="I17" i="2" s="1"/>
  <c r="G7" i="3" l="1"/>
  <c r="J7" i="3" s="1"/>
  <c r="G11" i="3"/>
  <c r="J11" i="3" s="1"/>
  <c r="G13" i="3"/>
  <c r="J13" i="3" s="1"/>
  <c r="G12" i="3"/>
  <c r="J12" i="3" s="1"/>
  <c r="G18" i="3"/>
  <c r="J18" i="3" s="1"/>
  <c r="G17" i="3"/>
  <c r="J17" i="3" s="1"/>
  <c r="G21" i="3"/>
  <c r="J21" i="3" s="1"/>
  <c r="G22" i="3"/>
  <c r="J22" i="3" s="1"/>
  <c r="M61" i="1"/>
  <c r="N61" i="1" s="1"/>
  <c r="O61" i="1" s="1"/>
  <c r="G16" i="3"/>
  <c r="J16" i="3" s="1"/>
  <c r="T102" i="1"/>
  <c r="M102" i="1"/>
  <c r="L100" i="1"/>
  <c r="L92" i="1"/>
  <c r="M92" i="1" s="1"/>
  <c r="L91" i="1"/>
  <c r="M91" i="1" s="1"/>
  <c r="L93" i="1"/>
  <c r="M93" i="1" s="1"/>
  <c r="L94" i="1"/>
  <c r="L97" i="1"/>
  <c r="L98" i="1"/>
  <c r="L103" i="1"/>
  <c r="G44" i="3" s="1"/>
  <c r="J44" i="3" s="1"/>
  <c r="L99" i="1"/>
  <c r="L95" i="1"/>
  <c r="L90" i="1"/>
  <c r="L96" i="1"/>
  <c r="L87" i="1"/>
  <c r="L101" i="1"/>
  <c r="L88" i="1"/>
  <c r="G41" i="3" s="1"/>
  <c r="J41" i="3" s="1"/>
  <c r="L89" i="1"/>
  <c r="G42" i="3" s="1"/>
  <c r="J42" i="3" s="1"/>
  <c r="G9" i="3"/>
  <c r="J9" i="3" s="1"/>
  <c r="M100" i="1" l="1"/>
  <c r="N100" i="1" s="1"/>
  <c r="O100" i="1" s="1"/>
  <c r="G45" i="3"/>
  <c r="J45" i="3" s="1"/>
  <c r="G25" i="3"/>
  <c r="J25" i="3" s="1"/>
  <c r="G26" i="3"/>
  <c r="J26" i="3" s="1"/>
  <c r="T73" i="1"/>
  <c r="M73" i="1"/>
  <c r="N73" i="1" s="1"/>
  <c r="O73" i="1" s="1"/>
  <c r="M74" i="1"/>
  <c r="N74" i="1" s="1"/>
  <c r="O74" i="1" s="1"/>
  <c r="T74" i="1"/>
  <c r="G27" i="3"/>
  <c r="J27" i="3" s="1"/>
  <c r="T75" i="1"/>
  <c r="M75" i="1"/>
  <c r="T76" i="1"/>
  <c r="M76" i="1"/>
  <c r="G29" i="3"/>
  <c r="J29" i="3" s="1"/>
  <c r="T31" i="1"/>
  <c r="G28" i="3"/>
  <c r="J28" i="3" s="1"/>
  <c r="T9" i="1"/>
  <c r="T61" i="1"/>
  <c r="M9" i="1"/>
  <c r="N9" i="1" s="1"/>
  <c r="O9" i="1" s="1"/>
  <c r="M58" i="1"/>
  <c r="N58" i="1" s="1"/>
  <c r="O58" i="1" s="1"/>
  <c r="G20" i="3"/>
  <c r="J20" i="3" s="1"/>
  <c r="G23" i="3"/>
  <c r="J23" i="3" s="1"/>
  <c r="M31" i="1"/>
  <c r="N31" i="1" s="1"/>
  <c r="O31" i="1" s="1"/>
  <c r="M60" i="1"/>
  <c r="N60" i="1" s="1"/>
  <c r="O60" i="1" s="1"/>
  <c r="T60" i="1"/>
  <c r="M59" i="1"/>
  <c r="N59" i="1" s="1"/>
  <c r="O59" i="1" s="1"/>
  <c r="T59" i="1"/>
  <c r="M45" i="1"/>
  <c r="N45" i="1" s="1"/>
  <c r="O45" i="1" s="1"/>
  <c r="T45" i="1"/>
  <c r="N102" i="1"/>
  <c r="O102" i="1" s="1"/>
  <c r="T100" i="1"/>
  <c r="N93" i="1"/>
  <c r="O93" i="1" s="1"/>
  <c r="N91" i="1"/>
  <c r="O91" i="1" s="1"/>
  <c r="N92" i="1"/>
  <c r="O92" i="1" s="1"/>
  <c r="G6" i="3"/>
  <c r="J6" i="3" s="1"/>
  <c r="M94" i="1"/>
  <c r="N94" i="1" s="1"/>
  <c r="O94" i="1" s="1"/>
  <c r="M101" i="1"/>
  <c r="N101" i="1" s="1"/>
  <c r="O101" i="1" s="1"/>
  <c r="T103" i="1"/>
  <c r="T94" i="1"/>
  <c r="M103" i="1"/>
  <c r="N103" i="1" s="1"/>
  <c r="O103" i="1" s="1"/>
  <c r="M97" i="1"/>
  <c r="N97" i="1" s="1"/>
  <c r="O97" i="1" s="1"/>
  <c r="T97" i="1"/>
  <c r="T98" i="1"/>
  <c r="T95" i="1"/>
  <c r="T89" i="1"/>
  <c r="M8" i="1"/>
  <c r="N8" i="1" s="1"/>
  <c r="T32" i="1"/>
  <c r="M44" i="1"/>
  <c r="N44" i="1" s="1"/>
  <c r="M98" i="1"/>
  <c r="N98" i="1" s="1"/>
  <c r="O98" i="1" s="1"/>
  <c r="M89" i="1"/>
  <c r="N89" i="1" s="1"/>
  <c r="O89" i="1" s="1"/>
  <c r="M33" i="1"/>
  <c r="N33" i="1" s="1"/>
  <c r="O33" i="1" s="1"/>
  <c r="M96" i="1"/>
  <c r="N96" i="1" s="1"/>
  <c r="O96" i="1" s="1"/>
  <c r="M32" i="1"/>
  <c r="N32" i="1" s="1"/>
  <c r="O32" i="1" s="1"/>
  <c r="T33" i="1"/>
  <c r="T96" i="1"/>
  <c r="T101" i="1"/>
  <c r="T93" i="1"/>
  <c r="M95" i="1"/>
  <c r="N95" i="1" s="1"/>
  <c r="O95" i="1" s="1"/>
  <c r="M99" i="1"/>
  <c r="N99" i="1" s="1"/>
  <c r="O99" i="1" s="1"/>
  <c r="T99" i="1"/>
  <c r="T8" i="1"/>
  <c r="T90" i="1"/>
  <c r="M90" i="1"/>
  <c r="N90" i="1" s="1"/>
  <c r="O90" i="1" s="1"/>
  <c r="M87" i="1"/>
  <c r="N87" i="1" s="1"/>
  <c r="O87" i="1" s="1"/>
  <c r="T87" i="1"/>
  <c r="M88" i="1"/>
  <c r="N88" i="1" s="1"/>
  <c r="O88" i="1" s="1"/>
  <c r="T88" i="1"/>
  <c r="T47" i="1"/>
  <c r="M47" i="1"/>
  <c r="N75" i="1" l="1"/>
  <c r="O75" i="1" s="1"/>
  <c r="N10" i="1"/>
  <c r="O10" i="1" s="1"/>
  <c r="M77" i="1"/>
  <c r="N76" i="1"/>
  <c r="O76" i="1" s="1"/>
  <c r="O72" i="1"/>
  <c r="N62" i="1"/>
  <c r="L12" i="2" s="1"/>
  <c r="M62" i="1"/>
  <c r="P59" i="1" s="1"/>
  <c r="Q59" i="1" s="1"/>
  <c r="T46" i="1"/>
  <c r="M46" i="1"/>
  <c r="O8" i="1"/>
  <c r="M34" i="1"/>
  <c r="R34" i="1" s="1"/>
  <c r="G15" i="3"/>
  <c r="J15" i="3" s="1"/>
  <c r="N34" i="1"/>
  <c r="O34" i="1" s="1"/>
  <c r="M10" i="1"/>
  <c r="M104" i="1"/>
  <c r="P102" i="1" s="1"/>
  <c r="Q102" i="1" s="1"/>
  <c r="N104" i="1"/>
  <c r="O104" i="1" s="1"/>
  <c r="O44" i="1"/>
  <c r="N47" i="1"/>
  <c r="O47" i="1" s="1"/>
  <c r="P72" i="1" l="1"/>
  <c r="P74" i="1"/>
  <c r="P76" i="1"/>
  <c r="P73" i="1"/>
  <c r="P75" i="1"/>
  <c r="N77" i="1"/>
  <c r="L13" i="2" s="1"/>
  <c r="J13" i="2"/>
  <c r="O13" i="2" s="1"/>
  <c r="M83" i="1"/>
  <c r="R77" i="1"/>
  <c r="M68" i="1"/>
  <c r="M69" i="1" s="1"/>
  <c r="N69" i="1" s="1"/>
  <c r="O69" i="1" s="1"/>
  <c r="P61" i="1"/>
  <c r="Q61" i="1" s="1"/>
  <c r="P60" i="1"/>
  <c r="Q60" i="1" s="1"/>
  <c r="J12" i="2"/>
  <c r="O12" i="2" s="1"/>
  <c r="R62" i="1"/>
  <c r="P58" i="1"/>
  <c r="Q58" i="1" s="1"/>
  <c r="P8" i="1"/>
  <c r="Q8" i="1" s="1"/>
  <c r="P103" i="1"/>
  <c r="Q103" i="1" s="1"/>
  <c r="P93" i="1"/>
  <c r="Q93" i="1" s="1"/>
  <c r="P91" i="1"/>
  <c r="Q91" i="1" s="1"/>
  <c r="P92" i="1"/>
  <c r="Q92" i="1" s="1"/>
  <c r="N46" i="1"/>
  <c r="O46" i="1" s="1"/>
  <c r="M48" i="1"/>
  <c r="P9" i="1"/>
  <c r="Q9" i="1" s="1"/>
  <c r="J8" i="2"/>
  <c r="O8" i="2" s="1"/>
  <c r="P33" i="1"/>
  <c r="Q33" i="1" s="1"/>
  <c r="P32" i="1"/>
  <c r="Q32" i="1" s="1"/>
  <c r="P31" i="1"/>
  <c r="Q31" i="1" s="1"/>
  <c r="M40" i="1"/>
  <c r="M41" i="1" s="1"/>
  <c r="N41" i="1" s="1"/>
  <c r="O41" i="1" s="1"/>
  <c r="J10" i="2"/>
  <c r="O10" i="2" s="1"/>
  <c r="P98" i="1"/>
  <c r="Q98" i="1" s="1"/>
  <c r="J14" i="2"/>
  <c r="L14" i="2" s="1"/>
  <c r="F57" i="3" s="1"/>
  <c r="R10" i="1"/>
  <c r="M16" i="1"/>
  <c r="M17" i="1" s="1"/>
  <c r="N17" i="1" s="1"/>
  <c r="O17" i="1" s="1"/>
  <c r="P89" i="1"/>
  <c r="Q89" i="1" s="1"/>
  <c r="P95" i="1"/>
  <c r="Q95" i="1" s="1"/>
  <c r="P90" i="1"/>
  <c r="Q90" i="1" s="1"/>
  <c r="P88" i="1"/>
  <c r="Q88" i="1" s="1"/>
  <c r="P99" i="1"/>
  <c r="Q99" i="1" s="1"/>
  <c r="P94" i="1"/>
  <c r="Q94" i="1" s="1"/>
  <c r="P87" i="1"/>
  <c r="Q87" i="1" s="1"/>
  <c r="M110" i="1"/>
  <c r="N110" i="1" s="1"/>
  <c r="O110" i="1" s="1"/>
  <c r="N14" i="2" s="1"/>
  <c r="P96" i="1"/>
  <c r="Q96" i="1" s="1"/>
  <c r="R104" i="1"/>
  <c r="P101" i="1"/>
  <c r="Q101" i="1" s="1"/>
  <c r="P97" i="1"/>
  <c r="Q97" i="1" s="1"/>
  <c r="P100" i="1"/>
  <c r="Q100" i="1" s="1"/>
  <c r="M12" i="2"/>
  <c r="F55" i="3"/>
  <c r="O62" i="1"/>
  <c r="L8" i="2"/>
  <c r="L10" i="2"/>
  <c r="Q73" i="1" l="1"/>
  <c r="M13" i="2"/>
  <c r="F56" i="3"/>
  <c r="O77" i="1"/>
  <c r="N83" i="1"/>
  <c r="O83" i="1" s="1"/>
  <c r="N13" i="2" s="1"/>
  <c r="M84" i="1"/>
  <c r="N84" i="1" s="1"/>
  <c r="F68" i="3"/>
  <c r="N68" i="1"/>
  <c r="O68" i="1" s="1"/>
  <c r="N12" i="2" s="1"/>
  <c r="P62" i="1"/>
  <c r="Q62" i="1" s="1"/>
  <c r="J11" i="2"/>
  <c r="O11" i="2" s="1"/>
  <c r="Q74" i="1"/>
  <c r="Q76" i="1"/>
  <c r="Q75" i="1"/>
  <c r="P47" i="1"/>
  <c r="Q47" i="1" s="1"/>
  <c r="R48" i="1"/>
  <c r="M54" i="1"/>
  <c r="M55" i="1" s="1"/>
  <c r="N55" i="1" s="1"/>
  <c r="O55" i="1" s="1"/>
  <c r="P44" i="1"/>
  <c r="Q44" i="1" s="1"/>
  <c r="P45" i="1"/>
  <c r="Q45" i="1" s="1"/>
  <c r="N48" i="1"/>
  <c r="O48" i="1" s="1"/>
  <c r="P46" i="1"/>
  <c r="Q46" i="1" s="1"/>
  <c r="N40" i="1"/>
  <c r="O40" i="1" s="1"/>
  <c r="N10" i="2" s="1"/>
  <c r="P10" i="1"/>
  <c r="Q10" i="1" s="1"/>
  <c r="M14" i="2"/>
  <c r="O14" i="2"/>
  <c r="P34" i="1"/>
  <c r="Q34" i="1" s="1"/>
  <c r="N16" i="1"/>
  <c r="O16" i="1" s="1"/>
  <c r="N8" i="2" s="1"/>
  <c r="F64" i="3"/>
  <c r="F66" i="3"/>
  <c r="P104" i="1"/>
  <c r="Q104" i="1" s="1"/>
  <c r="M10" i="2"/>
  <c r="F53" i="3"/>
  <c r="M8" i="2"/>
  <c r="F51" i="3"/>
  <c r="G57" i="3"/>
  <c r="G70" i="3"/>
  <c r="G69" i="3" l="1"/>
  <c r="G56" i="3"/>
  <c r="O84" i="1"/>
  <c r="F69" i="3"/>
  <c r="Q72" i="1"/>
  <c r="P77" i="1"/>
  <c r="Q77" i="1" s="1"/>
  <c r="N54" i="1"/>
  <c r="O54" i="1" s="1"/>
  <c r="N11" i="2" s="1"/>
  <c r="G67" i="3" s="1"/>
  <c r="F67" i="3"/>
  <c r="L11" i="2"/>
  <c r="M11" i="2" s="1"/>
  <c r="P48" i="1"/>
  <c r="Q48" i="1" s="1"/>
  <c r="G66" i="3"/>
  <c r="G53" i="3"/>
  <c r="G68" i="3"/>
  <c r="G55" i="3"/>
  <c r="G51" i="3"/>
  <c r="G64" i="3"/>
  <c r="M20" i="1"/>
  <c r="G54" i="3" l="1"/>
  <c r="F54" i="3"/>
  <c r="T20" i="1"/>
  <c r="N20" i="1"/>
  <c r="O20" i="1" s="1"/>
  <c r="N21" i="1" l="1"/>
  <c r="N114" i="1" s="1"/>
  <c r="N120" i="1" s="1"/>
  <c r="M21" i="1"/>
  <c r="M114" i="1" s="1"/>
  <c r="M120" i="1" s="1"/>
  <c r="J9" i="2" l="1"/>
  <c r="O9" i="2" s="1"/>
  <c r="M27" i="1"/>
  <c r="R21" i="1"/>
  <c r="P20" i="1"/>
  <c r="Q20" i="1" s="1"/>
  <c r="J15" i="2" l="1"/>
  <c r="K13" i="2" s="1"/>
  <c r="L9" i="2"/>
  <c r="O21" i="1"/>
  <c r="P21" i="1"/>
  <c r="Q21" i="1" s="1"/>
  <c r="N27" i="1"/>
  <c r="O114" i="1"/>
  <c r="S127" i="1" l="1"/>
  <c r="L127" i="1" s="1"/>
  <c r="T127" i="1" s="1"/>
  <c r="S128" i="1"/>
  <c r="L128" i="1" s="1"/>
  <c r="T128" i="1" s="1"/>
  <c r="S135" i="1"/>
  <c r="L135" i="1" s="1"/>
  <c r="T135" i="1" s="1"/>
  <c r="S129" i="1"/>
  <c r="L129" i="1" s="1"/>
  <c r="T129" i="1" s="1"/>
  <c r="S132" i="1"/>
  <c r="L132" i="1" s="1"/>
  <c r="T132" i="1" s="1"/>
  <c r="S130" i="1"/>
  <c r="L130" i="1" s="1"/>
  <c r="T130" i="1" s="1"/>
  <c r="S133" i="1"/>
  <c r="L133" i="1" s="1"/>
  <c r="T133" i="1" s="1"/>
  <c r="S134" i="1"/>
  <c r="L134" i="1" s="1"/>
  <c r="T134" i="1" s="1"/>
  <c r="O27" i="1"/>
  <c r="N9" i="2" s="1"/>
  <c r="M9" i="2"/>
  <c r="F52" i="3"/>
  <c r="O15" i="2"/>
  <c r="O17" i="2" s="1"/>
  <c r="K9" i="2"/>
  <c r="K12" i="2"/>
  <c r="K10" i="2"/>
  <c r="K14" i="2"/>
  <c r="J17" i="2"/>
  <c r="J26" i="2" s="1"/>
  <c r="L26" i="2" s="1"/>
  <c r="F58" i="3" s="1"/>
  <c r="K15" i="2"/>
  <c r="K17" i="2" s="1"/>
  <c r="K11" i="2"/>
  <c r="K8" i="2"/>
  <c r="L15" i="2"/>
  <c r="L17" i="2" s="1"/>
  <c r="N122" i="1"/>
  <c r="O120" i="1"/>
  <c r="G39" i="3" l="1"/>
  <c r="J39" i="3" s="1"/>
  <c r="G36" i="3"/>
  <c r="J36" i="3" s="1"/>
  <c r="G37" i="3"/>
  <c r="J37" i="3" s="1"/>
  <c r="G32" i="3"/>
  <c r="J32" i="3" s="1"/>
  <c r="G33" i="3"/>
  <c r="J33" i="3" s="1"/>
  <c r="G31" i="3"/>
  <c r="J31" i="3" s="1"/>
  <c r="G38" i="3"/>
  <c r="J38" i="3" s="1"/>
  <c r="G34" i="3"/>
  <c r="J34" i="3" s="1"/>
  <c r="G65" i="3"/>
  <c r="G52" i="3"/>
  <c r="M15" i="2"/>
  <c r="M17" i="2" s="1"/>
  <c r="L28" i="2"/>
  <c r="L29" i="2" s="1"/>
  <c r="N26" i="2"/>
  <c r="G58" i="3" s="1"/>
</calcChain>
</file>

<file path=xl/sharedStrings.xml><?xml version="1.0" encoding="utf-8"?>
<sst xmlns="http://schemas.openxmlformats.org/spreadsheetml/2006/main" count="221" uniqueCount="120">
  <si>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</si>
  <si>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</si>
  <si>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</si>
  <si>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</si>
  <si>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</si>
  <si>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</si>
  <si>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</si>
  <si>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</si>
  <si>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</si>
  <si>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</si>
  <si>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</si>
  <si>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</si>
  <si>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</si>
  <si>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</si>
  <si>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</si>
  <si>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</si>
  <si>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</si>
  <si>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</si>
  <si>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</si>
  <si>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</si>
  <si>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</si>
  <si>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</si>
  <si>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</si>
  <si>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</si>
  <si>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</si>
  <si>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</si>
  <si>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</si>
  <si>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</si>
  <si>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</si>
  <si>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</si>
  <si>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</si>
  <si>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</si>
  <si>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</si>
  <si>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</si>
  <si>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</si>
  <si>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</si>
  <si>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</si>
  <si>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</si>
  <si>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</si>
  <si>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</si>
  <si>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</si>
  <si>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</si>
  <si>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</si>
  <si>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</si>
  <si>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</si>
  <si>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</si>
  <si>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</si>
  <si>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</si>
  <si>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</si>
  <si>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</si>
  <si>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</si>
  <si>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</si>
  <si>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Demand Charge per kW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</si>
  <si>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</si>
  <si>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</si>
  <si>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</si>
  <si>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</si>
  <si>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</si>
  <si>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</si>
  <si>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</si>
  <si>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</si>
  <si>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</si>
  <si>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</si>
  <si>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</si>
  <si>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</si>
  <si>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</si>
  <si>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</si>
  <si>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</si>
  <si>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BIG SANDY RECC</t>
  </si>
  <si>
    <t xml:space="preserve">Farm &amp; Home </t>
  </si>
  <si>
    <t>A1</t>
  </si>
  <si>
    <t>Farm &amp; Home (ETS)</t>
  </si>
  <si>
    <t xml:space="preserve">Commercial &amp; Small Power </t>
  </si>
  <si>
    <t>A2</t>
  </si>
  <si>
    <t>Large Power Service (25-750 kV)</t>
  </si>
  <si>
    <t>LP</t>
  </si>
  <si>
    <t>Energy Charge Secondary per kWh</t>
  </si>
  <si>
    <t>Energy Charge Primary per kWh</t>
  </si>
  <si>
    <t>LPR</t>
  </si>
  <si>
    <t xml:space="preserve">146 WATT FLOOD </t>
  </si>
  <si>
    <t>150 WATT HIGH PRESSURE SODIUM</t>
  </si>
  <si>
    <t>250 WATT HIGH PRESSURE SODIUM</t>
  </si>
  <si>
    <t>85 WATT INDUCTION</t>
  </si>
  <si>
    <t>145  WATT LED</t>
  </si>
  <si>
    <t>55 WATT LED</t>
  </si>
  <si>
    <t>60 WATT LED</t>
  </si>
  <si>
    <t>65 WATT LED</t>
  </si>
  <si>
    <t>70 WATT LED</t>
  </si>
  <si>
    <t>100 WATT METAL HALIDE</t>
  </si>
  <si>
    <t>250 WATT FLOOD METAL HALIDE</t>
  </si>
  <si>
    <t>250 WATT METAL HALIDE</t>
  </si>
  <si>
    <t>175 WATT MERCURY VAPOR</t>
  </si>
  <si>
    <t xml:space="preserve">400 WATT FLOOD MERCURY VAPOR </t>
  </si>
  <si>
    <t>400 WATT MERCURY VAPOR</t>
  </si>
  <si>
    <t>500 WATT MERCURY VAPOR</t>
  </si>
  <si>
    <t>Energy Charge Off Peak per kWh</t>
  </si>
  <si>
    <t>YL1</t>
  </si>
  <si>
    <t>1500 WATT MERCURY VAPOR</t>
  </si>
  <si>
    <t>IND-1</t>
  </si>
  <si>
    <t>Industrial</t>
  </si>
  <si>
    <t>IND-2</t>
  </si>
  <si>
    <t>IND-1B</t>
  </si>
  <si>
    <t>Demand Charge-Contract per kW</t>
  </si>
  <si>
    <t>Demand Charge-Excess per kW</t>
  </si>
  <si>
    <t>175 Watt 6000-13000 Lumens</t>
  </si>
  <si>
    <t>400 Watt 13001-25000 Lumens</t>
  </si>
  <si>
    <t>500 Watt</t>
  </si>
  <si>
    <t>1500 Watt</t>
  </si>
  <si>
    <t>400 Watt Flood 13000-25000 Lumens</t>
  </si>
  <si>
    <t>Large Power Service (750 kVA +)</t>
  </si>
  <si>
    <t>A1-ETS</t>
  </si>
  <si>
    <t>Alert</t>
  </si>
  <si>
    <t>Set to LRO</t>
  </si>
  <si>
    <t>The target shares from the last rate order for each billing component are noted in blue highlight on the Billing Detail tab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</si>
  <si>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</si>
  <si>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</si>
  <si>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</si>
  <si>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NOTES</t>
  </si>
  <si>
    <t>The specific results from using the Last Rate Order / 2020-00095 method that yield unreasonable results</t>
  </si>
  <si>
    <r>
      <t xml:space="preserve">are noted on the Notice Table tab in the cells marked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in the Alert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</si>
</sst>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0.0%"/>
    <numFmt numFmtId="172" formatCode="&quot;$&quot;#,##0"/>
    <numFmt numFmtId="173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8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0" fontId="9" fillId="0" borderId="5" xfId="0" applyFont="1" applyBorder="1" applyAlignment="1">
      <alignment vertical="center"/>
    </xf>
    <xf numFmtId="167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43" fontId="3" fillId="0" borderId="0" xfId="0" applyNumberFormat="1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164" fontId="4" fillId="0" borderId="0" xfId="1" applyNumberFormat="1" applyFont="1" applyFill="1"/>
    <xf numFmtId="167" fontId="4" fillId="0" borderId="0" xfId="1" applyNumberFormat="1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1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171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44" fontId="3" fillId="0" borderId="0" xfId="2" applyNumberFormat="1" applyFont="1"/>
    <xf numFmtId="0" fontId="12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3" fillId="0" borderId="0" xfId="0" applyFont="1"/>
    <xf numFmtId="0" fontId="7" fillId="0" borderId="2" xfId="0" applyFont="1" applyBorder="1" applyAlignment="1">
      <alignment horizontal="center"/>
    </xf>
    <xf numFmtId="0" fontId="3" fillId="6" borderId="0" xfId="0" applyFont="1" applyFill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4" borderId="0" xfId="0" applyNumberFormat="1" applyFont="1" applyFill="1"/>
    <xf numFmtId="169" fontId="7" fillId="0" borderId="0" xfId="1" applyNumberFormat="1" applyFont="1" applyAlignment="1">
      <alignment vertical="center"/>
    </xf>
    <xf numFmtId="173" fontId="4" fillId="0" borderId="0" xfId="0" applyNumberFormat="1" applyFont="1"/>
    <xf numFmtId="166" fontId="8" fillId="0" borderId="0" xfId="1" applyNumberFormat="1" applyFont="1"/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166" fontId="4" fillId="0" borderId="0" xfId="1" applyNumberFormat="1" applyFont="1"/>
    <xf numFmtId="167" fontId="3" fillId="0" borderId="0" xfId="0" applyNumberFormat="1" applyFont="1" applyAlignment="1">
      <alignment vertical="center"/>
    </xf>
    <xf numFmtId="43" fontId="3" fillId="0" borderId="0" xfId="1" applyFont="1" applyAlignment="1">
      <alignment horizontal="left"/>
    </xf>
    <xf numFmtId="165" fontId="3" fillId="0" borderId="2" xfId="2" applyNumberFormat="1" applyFont="1" applyBorder="1"/>
    <xf numFmtId="10" fontId="4" fillId="7" borderId="0" xfId="3" applyNumberFormat="1" applyFont="1" applyFill="1"/>
    <xf numFmtId="173" fontId="8" fillId="0" borderId="0" xfId="0" applyNumberFormat="1" applyFont="1"/>
    <xf numFmtId="0" fontId="3" fillId="8" borderId="0" xfId="0" applyFont="1" applyFill="1"/>
    <xf numFmtId="0" fontId="2" fillId="0" borderId="4" xfId="0" applyFont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0"/>
  <sheetViews>
    <sheetView tabSelected="1" topLeftCell="B1" zoomScale="75" zoomScaleNormal="75" workbookViewId="0">
      <selection activeCell="N27" sqref="N27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7.33203125" style="27" bestFit="1" customWidth="1"/>
    <col min="4" max="4" width="15.109375" style="2" customWidth="1"/>
    <col min="5" max="5" width="14.88671875" style="2" customWidth="1"/>
    <col min="6" max="6" width="10.33203125" style="2" customWidth="1"/>
    <col min="7" max="7" width="16" style="2" bestFit="1" customWidth="1"/>
    <col min="8" max="8" width="10.5546875" style="2" customWidth="1"/>
    <col min="9" max="9" width="14.6640625" style="2" customWidth="1"/>
    <col min="10" max="10" width="14.5546875" style="2" bestFit="1" customWidth="1"/>
    <col min="11" max="11" width="10.6640625" style="2" customWidth="1"/>
    <col min="12" max="12" width="14.5546875" style="2" customWidth="1"/>
    <col min="13" max="13" width="8.44140625" style="2" customWidth="1"/>
    <col min="14" max="14" width="8.77734375" style="2" customWidth="1"/>
    <col min="15" max="15" width="10" style="2" bestFit="1" customWidth="1"/>
    <col min="16" max="16" width="8.88671875" style="2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68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43" t="s">
        <v>39</v>
      </c>
      <c r="L4" s="3">
        <v>808343</v>
      </c>
      <c r="M4" s="5">
        <f>L4/E17</f>
        <v>3.5546095767498793E-2</v>
      </c>
    </row>
    <row r="5" spans="1:22" x14ac:dyDescent="0.25">
      <c r="M5" s="5"/>
      <c r="N5" s="5"/>
      <c r="Q5" s="121"/>
      <c r="R5" s="117" t="s">
        <v>53</v>
      </c>
      <c r="S5" s="118"/>
      <c r="T5" s="117"/>
      <c r="U5" s="117"/>
      <c r="V5" s="117"/>
    </row>
    <row r="6" spans="1:22" s="13" customFormat="1" ht="31.95" customHeight="1" x14ac:dyDescent="0.25">
      <c r="A6" s="11" t="s">
        <v>1</v>
      </c>
      <c r="B6" s="11" t="s">
        <v>2</v>
      </c>
      <c r="C6" s="12" t="s">
        <v>11</v>
      </c>
      <c r="D6" s="52" t="s">
        <v>21</v>
      </c>
      <c r="E6" s="52" t="s">
        <v>3</v>
      </c>
      <c r="F6" s="52" t="s">
        <v>22</v>
      </c>
      <c r="G6" s="52" t="s">
        <v>34</v>
      </c>
      <c r="H6" s="52" t="s">
        <v>35</v>
      </c>
      <c r="I6" s="52" t="s">
        <v>36</v>
      </c>
      <c r="J6" s="52" t="s">
        <v>4</v>
      </c>
      <c r="K6" s="52" t="s">
        <v>24</v>
      </c>
      <c r="L6" s="52" t="s">
        <v>47</v>
      </c>
      <c r="M6" s="116" t="s">
        <v>45</v>
      </c>
      <c r="N6" s="116" t="s">
        <v>46</v>
      </c>
      <c r="O6" s="14" t="s">
        <v>38</v>
      </c>
      <c r="Q6" s="119"/>
      <c r="R6" s="147" t="s">
        <v>54</v>
      </c>
      <c r="S6" s="148"/>
      <c r="T6" s="149" t="s">
        <v>49</v>
      </c>
      <c r="U6" s="150"/>
      <c r="V6" s="151" t="s">
        <v>55</v>
      </c>
    </row>
    <row r="7" spans="1:22" s="74" customFormat="1" x14ac:dyDescent="0.25">
      <c r="A7" s="4">
        <v>1</v>
      </c>
      <c r="B7" s="70" t="s">
        <v>5</v>
      </c>
      <c r="C7" s="110"/>
      <c r="D7" s="70"/>
      <c r="E7" s="71"/>
      <c r="F7" s="72"/>
      <c r="G7" s="72"/>
      <c r="H7" s="13"/>
      <c r="I7" s="13"/>
      <c r="J7" s="71"/>
      <c r="K7" s="72"/>
      <c r="L7" s="71"/>
      <c r="M7" s="73"/>
      <c r="N7" s="73"/>
      <c r="Q7" s="119"/>
      <c r="R7" s="121"/>
      <c r="S7" s="120"/>
      <c r="T7" s="121"/>
      <c r="U7" s="122"/>
      <c r="V7" s="122"/>
    </row>
    <row r="8" spans="1:22" s="74" customFormat="1" x14ac:dyDescent="0.25">
      <c r="A8" s="4">
        <f>A7+1</f>
        <v>2</v>
      </c>
      <c r="B8" s="74" t="str">
        <f>'Billing Detail'!B7</f>
        <v xml:space="preserve">Farm &amp; Home </v>
      </c>
      <c r="C8" s="27" t="str">
        <f>'Billing Detail'!C7</f>
        <v>A1</v>
      </c>
      <c r="D8" s="75">
        <f>'Billing Detail'!G10</f>
        <v>16823058.147840001</v>
      </c>
      <c r="E8" s="75">
        <f>'Billing Detail'!I10</f>
        <v>16568609.7808</v>
      </c>
      <c r="F8" s="73">
        <f t="shared" ref="F8:F15" si="0">E8/E$15</f>
        <v>0.72858847049165265</v>
      </c>
      <c r="G8" s="99">
        <v>17658678.285640001</v>
      </c>
      <c r="H8" s="73">
        <f t="shared" ref="H8:H14" si="1">G8/G$15</f>
        <v>0.74993824219936867</v>
      </c>
      <c r="I8" s="77">
        <f t="shared" ref="I8:I14" si="2">ROUND(L$4*H8,2)</f>
        <v>606207.32999999996</v>
      </c>
      <c r="J8" s="75">
        <f>'Billing Detail'!M10</f>
        <v>17176000.551039997</v>
      </c>
      <c r="K8" s="73">
        <f t="shared" ref="K8:K15" si="3">J8/J$15</f>
        <v>0.72931294799929747</v>
      </c>
      <c r="L8" s="75">
        <f>'Billing Detail'!N10</f>
        <v>607390.77023999859</v>
      </c>
      <c r="M8" s="73">
        <f>IF(E8=0,0,L8/E8)</f>
        <v>3.6659127004358194E-2</v>
      </c>
      <c r="N8" s="73">
        <f>'Billing Detail'!O16</f>
        <v>3.4170545150292699E-2</v>
      </c>
      <c r="O8" s="78">
        <f>J8-I8-E8</f>
        <v>1183.4402399975806</v>
      </c>
      <c r="Q8" s="122" t="str">
        <f>C8</f>
        <v>A1</v>
      </c>
      <c r="R8" s="123">
        <v>17658678.285640001</v>
      </c>
      <c r="S8" s="124">
        <f t="shared" ref="S8:S14" si="4">R8/R$15</f>
        <v>0.74993824219936867</v>
      </c>
      <c r="T8" s="123">
        <f>E8</f>
        <v>16568609.7808</v>
      </c>
      <c r="U8" s="125">
        <f t="shared" ref="U8:U14" si="5">T8/T$15</f>
        <v>0.72858847049165265</v>
      </c>
      <c r="V8" s="125">
        <f t="shared" ref="V8:V15" si="6">U8-S8</f>
        <v>-2.1349771707716014E-2</v>
      </c>
    </row>
    <row r="9" spans="1:22" s="74" customFormat="1" x14ac:dyDescent="0.25">
      <c r="A9" s="4">
        <f t="shared" ref="A9:A29" si="7">A8+1</f>
        <v>3</v>
      </c>
      <c r="B9" s="74" t="str">
        <f>'Billing Detail'!B19</f>
        <v>Farm &amp; Home (ETS)</v>
      </c>
      <c r="C9" s="27" t="str">
        <f>'Billing Detail'!C19</f>
        <v>A1-ETS</v>
      </c>
      <c r="D9" s="75">
        <f>'Billing Detail'!G21</f>
        <v>587.66370000000006</v>
      </c>
      <c r="E9" s="75">
        <f>'Billing Detail'!I21</f>
        <v>569.43367000000001</v>
      </c>
      <c r="F9" s="73">
        <f t="shared" si="0"/>
        <v>2.5040290776388618E-5</v>
      </c>
      <c r="G9" s="99">
        <v>0</v>
      </c>
      <c r="H9" s="73">
        <f t="shared" si="1"/>
        <v>0</v>
      </c>
      <c r="I9" s="77">
        <f t="shared" si="2"/>
        <v>0</v>
      </c>
      <c r="J9" s="75">
        <f>'Billing Detail'!M21</f>
        <v>569.43367000000001</v>
      </c>
      <c r="K9" s="73">
        <f t="shared" si="3"/>
        <v>2.417881551200889E-5</v>
      </c>
      <c r="L9" s="75">
        <f>'Billing Detail'!N21</f>
        <v>0</v>
      </c>
      <c r="M9" s="73">
        <f t="shared" ref="M9:M14" si="8">IF(E9=0,0,L9/E9)</f>
        <v>0</v>
      </c>
      <c r="N9" s="73">
        <f>'Billing Detail'!O27</f>
        <v>0</v>
      </c>
      <c r="O9" s="78">
        <f t="shared" ref="O9:O15" si="9">J9-I9-E9</f>
        <v>0</v>
      </c>
      <c r="Q9" s="122" t="str">
        <f t="shared" ref="Q9:Q14" si="10">C9</f>
        <v>A1-ETS</v>
      </c>
      <c r="R9" s="123">
        <v>0</v>
      </c>
      <c r="S9" s="124">
        <f t="shared" si="4"/>
        <v>0</v>
      </c>
      <c r="T9" s="123">
        <f t="shared" ref="T9:T14" si="11">E9</f>
        <v>569.43367000000001</v>
      </c>
      <c r="U9" s="125">
        <f t="shared" si="5"/>
        <v>2.5040290776388618E-5</v>
      </c>
      <c r="V9" s="125">
        <f t="shared" si="6"/>
        <v>2.5040290776388618E-5</v>
      </c>
    </row>
    <row r="10" spans="1:22" s="74" customFormat="1" x14ac:dyDescent="0.25">
      <c r="A10" s="4">
        <f t="shared" si="7"/>
        <v>4</v>
      </c>
      <c r="B10" s="74" t="str">
        <f>'Billing Detail'!B30</f>
        <v xml:space="preserve">Commercial &amp; Small Power </v>
      </c>
      <c r="C10" s="27" t="str">
        <f>'Billing Detail'!C30</f>
        <v>A2</v>
      </c>
      <c r="D10" s="75">
        <f>'Billing Detail'!G34</f>
        <v>1167683.8785999999</v>
      </c>
      <c r="E10" s="75">
        <f>'Billing Detail'!I34</f>
        <v>1153018.0344</v>
      </c>
      <c r="F10" s="73">
        <f t="shared" si="0"/>
        <v>5.0702844550439129E-2</v>
      </c>
      <c r="G10" s="99">
        <v>1417269.7640799999</v>
      </c>
      <c r="H10" s="73">
        <f t="shared" si="1"/>
        <v>6.018937422178354E-2</v>
      </c>
      <c r="I10" s="77">
        <f t="shared" si="2"/>
        <v>48653.66</v>
      </c>
      <c r="J10" s="75">
        <f>'Billing Detail'!M34</f>
        <v>1201856.5072000001</v>
      </c>
      <c r="K10" s="73">
        <f t="shared" si="3"/>
        <v>5.1032224279073952E-2</v>
      </c>
      <c r="L10" s="75">
        <f>'Billing Detail'!N34</f>
        <v>48838.472800000105</v>
      </c>
      <c r="M10" s="73">
        <f t="shared" si="8"/>
        <v>4.2357076249387851E-2</v>
      </c>
      <c r="N10" s="73">
        <f>'Billing Detail'!O40</f>
        <v>3.9382929939770633E-2</v>
      </c>
      <c r="O10" s="78">
        <f t="shared" si="9"/>
        <v>184.81280000018887</v>
      </c>
      <c r="Q10" s="122" t="str">
        <f t="shared" si="10"/>
        <v>A2</v>
      </c>
      <c r="R10" s="123">
        <v>1417269.7640799999</v>
      </c>
      <c r="S10" s="124">
        <f t="shared" si="4"/>
        <v>6.018937422178354E-2</v>
      </c>
      <c r="T10" s="123">
        <f t="shared" si="11"/>
        <v>1153018.0344</v>
      </c>
      <c r="U10" s="125">
        <f t="shared" si="5"/>
        <v>5.0702844550439129E-2</v>
      </c>
      <c r="V10" s="125">
        <f t="shared" si="6"/>
        <v>-9.4865296713444111E-3</v>
      </c>
    </row>
    <row r="11" spans="1:22" s="74" customFormat="1" x14ac:dyDescent="0.25">
      <c r="A11" s="4">
        <f t="shared" si="7"/>
        <v>5</v>
      </c>
      <c r="B11" s="74" t="str">
        <f>'Billing Detail'!B43</f>
        <v>Large Power Service (25-750 kV)</v>
      </c>
      <c r="C11" s="27" t="str">
        <f>'Billing Detail'!C43</f>
        <v>LP</v>
      </c>
      <c r="D11" s="75">
        <f>'Billing Detail'!G48</f>
        <v>2320192.5572100002</v>
      </c>
      <c r="E11" s="75">
        <f>'Billing Detail'!I48</f>
        <v>2276709.6820399999</v>
      </c>
      <c r="F11" s="73">
        <f t="shared" si="0"/>
        <v>0.10011608981903172</v>
      </c>
      <c r="G11" s="99">
        <v>2517086.6020499999</v>
      </c>
      <c r="H11" s="73">
        <f t="shared" si="1"/>
        <v>0.10689698692455366</v>
      </c>
      <c r="I11" s="77">
        <f t="shared" si="2"/>
        <v>86409.43</v>
      </c>
      <c r="J11" s="75">
        <f>'Billing Detail'!M48</f>
        <v>2363101.1750600003</v>
      </c>
      <c r="K11" s="73">
        <f t="shared" si="3"/>
        <v>0.10034002265441587</v>
      </c>
      <c r="L11" s="75">
        <f>'Billing Detail'!N48</f>
        <v>86391.49302000014</v>
      </c>
      <c r="M11" s="73">
        <f t="shared" si="8"/>
        <v>3.7945766077030423E-2</v>
      </c>
      <c r="N11" s="73">
        <f>'Billing Detail'!O54</f>
        <v>3.6163533069374622E-2</v>
      </c>
      <c r="O11" s="78">
        <f t="shared" si="9"/>
        <v>-17.936979999765754</v>
      </c>
      <c r="Q11" s="122" t="str">
        <f t="shared" si="10"/>
        <v>LP</v>
      </c>
      <c r="R11" s="123">
        <v>2517086.6020499999</v>
      </c>
      <c r="S11" s="124">
        <f t="shared" si="4"/>
        <v>0.10689698692455366</v>
      </c>
      <c r="T11" s="123">
        <f t="shared" si="11"/>
        <v>2276709.6820399999</v>
      </c>
      <c r="U11" s="125">
        <f t="shared" si="5"/>
        <v>0.10011608981903172</v>
      </c>
      <c r="V11" s="125">
        <f t="shared" si="6"/>
        <v>-6.7808971055219325E-3</v>
      </c>
    </row>
    <row r="12" spans="1:22" s="74" customFormat="1" x14ac:dyDescent="0.25">
      <c r="A12" s="4">
        <f t="shared" si="7"/>
        <v>6</v>
      </c>
      <c r="B12" s="74" t="str">
        <f>'Billing Detail'!B57</f>
        <v>Large Power Service (750 kVA +)</v>
      </c>
      <c r="C12" s="27" t="str">
        <f>'Billing Detail'!C57</f>
        <v>LPR</v>
      </c>
      <c r="D12" s="75">
        <f>'Billing Detail'!G62</f>
        <v>814454.53092000005</v>
      </c>
      <c r="E12" s="75">
        <f>'Billing Detail'!I62</f>
        <v>797807.57527999999</v>
      </c>
      <c r="F12" s="73">
        <f t="shared" si="0"/>
        <v>3.5082810731259975E-2</v>
      </c>
      <c r="G12" s="99">
        <v>676690.52708999999</v>
      </c>
      <c r="H12" s="73">
        <f t="shared" si="1"/>
        <v>2.8738057072567956E-2</v>
      </c>
      <c r="I12" s="77">
        <f t="shared" si="2"/>
        <v>23230.21</v>
      </c>
      <c r="J12" s="75">
        <f>'Billing Detail'!M62</f>
        <v>821107.75028000004</v>
      </c>
      <c r="K12" s="73">
        <f t="shared" si="3"/>
        <v>3.4865189495206325E-2</v>
      </c>
      <c r="L12" s="75">
        <f>'Billing Detail'!N62</f>
        <v>23300.175000000032</v>
      </c>
      <c r="M12" s="73">
        <f>IF(E12=0,0,L12/E12)</f>
        <v>2.9205256658314582E-2</v>
      </c>
      <c r="N12" s="73">
        <f>'Billing Detail'!O68</f>
        <v>2.7666454168062377E-2</v>
      </c>
      <c r="O12" s="78">
        <f>J12-I12-E12</f>
        <v>69.965000000083819</v>
      </c>
      <c r="Q12" s="122" t="str">
        <f t="shared" si="10"/>
        <v>LPR</v>
      </c>
      <c r="R12" s="123">
        <v>676690.52708999999</v>
      </c>
      <c r="S12" s="124">
        <f t="shared" si="4"/>
        <v>2.8738057072567956E-2</v>
      </c>
      <c r="T12" s="123">
        <f t="shared" si="11"/>
        <v>797807.57527999999</v>
      </c>
      <c r="U12" s="125">
        <f t="shared" si="5"/>
        <v>3.5082810731259975E-2</v>
      </c>
      <c r="V12" s="125">
        <f t="shared" si="6"/>
        <v>6.3447536586920192E-3</v>
      </c>
    </row>
    <row r="13" spans="1:22" s="74" customFormat="1" x14ac:dyDescent="0.25">
      <c r="A13" s="4">
        <f t="shared" si="7"/>
        <v>7</v>
      </c>
      <c r="B13" s="74" t="str">
        <f>'Billing Detail'!B71</f>
        <v>Industrial</v>
      </c>
      <c r="C13" s="27" t="str">
        <f>'Billing Detail'!C71</f>
        <v>IND-1B</v>
      </c>
      <c r="D13" s="75">
        <f>'Billing Detail'!G77</f>
        <v>402204.47499999998</v>
      </c>
      <c r="E13" s="75">
        <f>'Billing Detail'!I77</f>
        <v>392445.45999999996</v>
      </c>
      <c r="F13" s="73">
        <f t="shared" si="0"/>
        <v>1.7257406700720009E-2</v>
      </c>
      <c r="G13" s="99">
        <v>412327.09700000007</v>
      </c>
      <c r="H13" s="73">
        <f t="shared" si="1"/>
        <v>1.7510928809819564E-2</v>
      </c>
      <c r="I13" s="77">
        <f t="shared" ref="I13" si="12">ROUND(L$4*H13,2)</f>
        <v>14154.84</v>
      </c>
      <c r="J13" s="75">
        <f>'Billing Detail'!M77</f>
        <v>406590.16499999998</v>
      </c>
      <c r="K13" s="73">
        <f t="shared" si="3"/>
        <v>1.7264291007822303E-2</v>
      </c>
      <c r="L13" s="75">
        <f>'Billing Detail'!N77</f>
        <v>14144.705000000005</v>
      </c>
      <c r="M13" s="73">
        <f>IF(E13=0,0,L13/E13)</f>
        <v>3.6042473264947458E-2</v>
      </c>
      <c r="N13" s="73">
        <f>'Billing Detail'!O83</f>
        <v>3.4363784504573933E-2</v>
      </c>
      <c r="O13" s="78">
        <f>J13-I13-E13</f>
        <v>-10.135000000009313</v>
      </c>
      <c r="Q13" s="122" t="str">
        <f t="shared" ref="Q13" si="13">C13</f>
        <v>IND-1B</v>
      </c>
      <c r="R13" s="123">
        <v>412327.09700000007</v>
      </c>
      <c r="S13" s="124">
        <f t="shared" si="4"/>
        <v>1.7510928809819564E-2</v>
      </c>
      <c r="T13" s="123">
        <f t="shared" ref="T13" si="14">E13</f>
        <v>392445.45999999996</v>
      </c>
      <c r="U13" s="125">
        <f t="shared" si="5"/>
        <v>1.7257406700720009E-2</v>
      </c>
      <c r="V13" s="125">
        <f t="shared" ref="V13" si="15">U13-S13</f>
        <v>-2.5352210909955486E-4</v>
      </c>
    </row>
    <row r="14" spans="1:22" s="74" customFormat="1" x14ac:dyDescent="0.25">
      <c r="A14" s="4">
        <f>A12+1</f>
        <v>7</v>
      </c>
      <c r="B14" s="74" t="str">
        <f>'Billing Detail'!B86</f>
        <v>Lighting</v>
      </c>
      <c r="C14" s="27" t="str">
        <f>'Billing Detail'!C86</f>
        <v>YL1</v>
      </c>
      <c r="D14" s="75">
        <f>'Billing Detail'!G104</f>
        <v>1572346.09</v>
      </c>
      <c r="E14" s="75">
        <f>'Billing Detail'!I104</f>
        <v>1551537.2199999997</v>
      </c>
      <c r="F14" s="73">
        <f t="shared" si="0"/>
        <v>6.8227337416120179E-2</v>
      </c>
      <c r="G14" s="99">
        <v>864791.04000000004</v>
      </c>
      <c r="H14" s="73">
        <f t="shared" si="1"/>
        <v>3.6726410771906706E-2</v>
      </c>
      <c r="I14" s="77">
        <f t="shared" si="2"/>
        <v>29687.54</v>
      </c>
      <c r="J14" s="75">
        <f>'Billing Detail'!M104</f>
        <v>1581707.6600000001</v>
      </c>
      <c r="K14" s="73">
        <f t="shared" si="3"/>
        <v>6.7161145748672157E-2</v>
      </c>
      <c r="L14" s="75">
        <f t="shared" ref="L14:L15" si="16">J14-E14</f>
        <v>30170.44000000041</v>
      </c>
      <c r="M14" s="73">
        <f t="shared" si="8"/>
        <v>1.9445514816589713E-2</v>
      </c>
      <c r="N14" s="73">
        <f>'Billing Detail'!O110</f>
        <v>1.9445514816589713E-2</v>
      </c>
      <c r="O14" s="78">
        <f t="shared" si="9"/>
        <v>482.90000000037253</v>
      </c>
      <c r="Q14" s="122" t="str">
        <f t="shared" si="10"/>
        <v>YL1</v>
      </c>
      <c r="R14" s="123">
        <v>864791.04000000004</v>
      </c>
      <c r="S14" s="124">
        <f t="shared" si="4"/>
        <v>3.6726410771906706E-2</v>
      </c>
      <c r="T14" s="123">
        <f t="shared" si="11"/>
        <v>1551537.2199999997</v>
      </c>
      <c r="U14" s="125">
        <f t="shared" si="5"/>
        <v>6.8227337416120179E-2</v>
      </c>
      <c r="V14" s="125">
        <f t="shared" si="6"/>
        <v>3.1500926644213473E-2</v>
      </c>
    </row>
    <row r="15" spans="1:22" s="74" customFormat="1" ht="16.2" customHeight="1" x14ac:dyDescent="0.25">
      <c r="A15" s="4">
        <f t="shared" si="7"/>
        <v>8</v>
      </c>
      <c r="B15" s="79" t="s">
        <v>44</v>
      </c>
      <c r="C15" s="111"/>
      <c r="D15" s="80">
        <f>SUM(D8:D14)</f>
        <v>23100527.34327</v>
      </c>
      <c r="E15" s="80">
        <f>SUM(E8:E14)</f>
        <v>22740697.186189998</v>
      </c>
      <c r="F15" s="81">
        <f t="shared" si="0"/>
        <v>1</v>
      </c>
      <c r="G15" s="80">
        <f>SUM(G8:G14)</f>
        <v>23546843.31586</v>
      </c>
      <c r="H15" s="81">
        <v>1</v>
      </c>
      <c r="I15" s="80">
        <f>SUM(I8:I14)</f>
        <v>808343.00999999989</v>
      </c>
      <c r="J15" s="80">
        <f>SUM(J8:J14)</f>
        <v>23550933.242249995</v>
      </c>
      <c r="K15" s="81">
        <f t="shared" si="3"/>
        <v>1</v>
      </c>
      <c r="L15" s="80">
        <f t="shared" si="16"/>
        <v>810236.05605999753</v>
      </c>
      <c r="M15" s="81">
        <f t="shared" ref="M15" si="17">L15/E15</f>
        <v>3.5629341063124431E-2</v>
      </c>
      <c r="N15" s="81"/>
      <c r="O15" s="82">
        <f t="shared" si="9"/>
        <v>1893.0460599958897</v>
      </c>
      <c r="Q15" s="146"/>
      <c r="R15" s="126">
        <f>SUM(R8:R14)</f>
        <v>23546843.31586</v>
      </c>
      <c r="S15" s="127">
        <f t="shared" ref="S15" si="18">R15/R$15</f>
        <v>1</v>
      </c>
      <c r="T15" s="126">
        <f>SUM(T8:T14)</f>
        <v>22740697.186189998</v>
      </c>
      <c r="U15" s="128">
        <f>SUM(U8:U14)</f>
        <v>1</v>
      </c>
      <c r="V15" s="125">
        <f t="shared" si="6"/>
        <v>0</v>
      </c>
    </row>
    <row r="16" spans="1:22" s="74" customFormat="1" ht="16.2" customHeight="1" x14ac:dyDescent="0.25">
      <c r="A16" s="4">
        <f t="shared" si="7"/>
        <v>9</v>
      </c>
      <c r="B16" s="83"/>
      <c r="C16" s="112"/>
      <c r="D16" s="84"/>
      <c r="E16" s="84"/>
      <c r="F16" s="85"/>
      <c r="G16" s="84"/>
      <c r="H16" s="85"/>
      <c r="I16" s="84"/>
      <c r="J16" s="84"/>
      <c r="K16" s="85"/>
      <c r="L16" s="84"/>
      <c r="M16" s="85"/>
      <c r="N16" s="85"/>
      <c r="O16" s="86"/>
    </row>
    <row r="17" spans="1:19" s="74" customFormat="1" ht="16.2" customHeight="1" x14ac:dyDescent="0.25">
      <c r="A17" s="4">
        <f t="shared" si="7"/>
        <v>10</v>
      </c>
      <c r="B17" s="87" t="s">
        <v>43</v>
      </c>
      <c r="C17" s="113"/>
      <c r="D17" s="88">
        <f>D15</f>
        <v>23100527.34327</v>
      </c>
      <c r="E17" s="88">
        <f t="shared" ref="E17:O17" si="19">E15</f>
        <v>22740697.186189998</v>
      </c>
      <c r="F17" s="159">
        <f t="shared" si="19"/>
        <v>1</v>
      </c>
      <c r="G17" s="88">
        <f t="shared" si="19"/>
        <v>23546843.31586</v>
      </c>
      <c r="H17" s="159">
        <f t="shared" si="19"/>
        <v>1</v>
      </c>
      <c r="I17" s="88">
        <f t="shared" si="19"/>
        <v>808343.00999999989</v>
      </c>
      <c r="J17" s="88">
        <f t="shared" si="19"/>
        <v>23550933.242249995</v>
      </c>
      <c r="K17" s="159">
        <f t="shared" si="19"/>
        <v>1</v>
      </c>
      <c r="L17" s="88">
        <f t="shared" si="19"/>
        <v>810236.05605999753</v>
      </c>
      <c r="M17" s="159">
        <f t="shared" si="19"/>
        <v>3.5629341063124431E-2</v>
      </c>
      <c r="N17" s="88"/>
      <c r="O17" s="88">
        <f t="shared" si="19"/>
        <v>1893.0460599958897</v>
      </c>
    </row>
    <row r="18" spans="1:19" s="74" customFormat="1" ht="12.6" customHeight="1" x14ac:dyDescent="0.25">
      <c r="A18" s="4">
        <f t="shared" si="7"/>
        <v>11</v>
      </c>
      <c r="C18" s="27"/>
      <c r="S18" s="75"/>
    </row>
    <row r="19" spans="1:19" s="74" customFormat="1" x14ac:dyDescent="0.25">
      <c r="A19" s="4">
        <f t="shared" si="7"/>
        <v>12</v>
      </c>
      <c r="B19" s="70" t="s">
        <v>7</v>
      </c>
      <c r="C19" s="110"/>
      <c r="D19" s="70"/>
    </row>
    <row r="20" spans="1:19" s="74" customFormat="1" x14ac:dyDescent="0.25">
      <c r="A20" s="4">
        <f t="shared" si="7"/>
        <v>13</v>
      </c>
      <c r="B20" s="74" t="str">
        <f>'Billing Detail'!D11</f>
        <v xml:space="preserve">    FAC</v>
      </c>
      <c r="C20" s="27"/>
      <c r="D20" s="75">
        <f>'Billing Detail'!G115</f>
        <v>-916822.19</v>
      </c>
      <c r="E20" s="75">
        <f>'Billing Detail'!I115</f>
        <v>-611909.56435999996</v>
      </c>
      <c r="F20" s="89"/>
      <c r="G20" s="90"/>
      <c r="H20" s="90"/>
      <c r="I20" s="90"/>
      <c r="J20" s="75">
        <f>'Billing Detail'!M115</f>
        <v>-611909.56435999996</v>
      </c>
      <c r="K20" s="91"/>
      <c r="L20" s="91"/>
      <c r="M20" s="90"/>
      <c r="N20" s="90"/>
    </row>
    <row r="21" spans="1:19" s="74" customFormat="1" x14ac:dyDescent="0.25">
      <c r="A21" s="4">
        <f t="shared" si="7"/>
        <v>14</v>
      </c>
      <c r="B21" s="74" t="str">
        <f>'Billing Detail'!D12</f>
        <v xml:space="preserve">    ES</v>
      </c>
      <c r="C21" s="27"/>
      <c r="D21" s="75">
        <f>'Billing Detail'!G116</f>
        <v>2081412.68</v>
      </c>
      <c r="E21" s="75">
        <f>'Billing Detail'!I116</f>
        <v>2081412.68</v>
      </c>
      <c r="F21" s="90"/>
      <c r="G21" s="90"/>
      <c r="H21" s="90"/>
      <c r="I21" s="90"/>
      <c r="J21" s="75">
        <f>'Billing Detail'!M116</f>
        <v>2081412.68</v>
      </c>
      <c r="K21" s="91"/>
      <c r="L21" s="91"/>
      <c r="M21" s="90"/>
      <c r="N21" s="90"/>
    </row>
    <row r="22" spans="1:19" s="74" customFormat="1" x14ac:dyDescent="0.25">
      <c r="A22" s="4">
        <f t="shared" si="7"/>
        <v>15</v>
      </c>
      <c r="B22" s="74" t="str">
        <f>'Billing Detail'!D13</f>
        <v xml:space="preserve">    Misc Adj</v>
      </c>
      <c r="C22" s="27"/>
      <c r="D22" s="75">
        <f>'Billing Detail'!G117</f>
        <v>0</v>
      </c>
      <c r="E22" s="75">
        <f>'Billing Detail'!I117</f>
        <v>0</v>
      </c>
      <c r="F22" s="90"/>
      <c r="G22" s="90"/>
      <c r="H22" s="90"/>
      <c r="I22" s="90"/>
      <c r="J22" s="75">
        <f>'Billing Detail'!M117</f>
        <v>0</v>
      </c>
      <c r="K22" s="91"/>
      <c r="L22" s="91"/>
      <c r="M22" s="90"/>
      <c r="N22" s="90"/>
    </row>
    <row r="23" spans="1:19" s="74" customFormat="1" x14ac:dyDescent="0.25">
      <c r="A23" s="4">
        <f t="shared" si="7"/>
        <v>16</v>
      </c>
      <c r="B23" s="74" t="str">
        <f>'Billing Detail'!D14</f>
        <v xml:space="preserve">    Other</v>
      </c>
      <c r="C23" s="27"/>
      <c r="D23" s="75">
        <f>'Billing Detail'!G118</f>
        <v>0</v>
      </c>
      <c r="E23" s="75">
        <f>'Billing Detail'!I118</f>
        <v>0</v>
      </c>
      <c r="F23" s="90"/>
      <c r="G23" s="90"/>
      <c r="H23" s="90"/>
      <c r="I23" s="90"/>
      <c r="J23" s="75">
        <f>'Billing Detail'!M118</f>
        <v>0</v>
      </c>
      <c r="K23" s="91"/>
      <c r="L23" s="91"/>
      <c r="M23" s="90"/>
      <c r="N23" s="101"/>
    </row>
    <row r="24" spans="1:19" s="74" customFormat="1" x14ac:dyDescent="0.25">
      <c r="A24" s="4">
        <f t="shared" si="7"/>
        <v>17</v>
      </c>
      <c r="B24" s="79" t="s">
        <v>8</v>
      </c>
      <c r="C24" s="111"/>
      <c r="D24" s="80">
        <f>SUM(D20:D23)</f>
        <v>1164590.49</v>
      </c>
      <c r="E24" s="80">
        <f>SUM(E20:E23)</f>
        <v>1469503.11564</v>
      </c>
      <c r="F24" s="92"/>
      <c r="G24" s="92"/>
      <c r="H24" s="92"/>
      <c r="I24" s="92"/>
      <c r="J24" s="80">
        <f>SUM(J20:J23)</f>
        <v>1469503.11564</v>
      </c>
      <c r="K24" s="93"/>
      <c r="L24" s="93"/>
      <c r="M24" s="92"/>
      <c r="N24" s="100"/>
    </row>
    <row r="25" spans="1:19" s="74" customFormat="1" x14ac:dyDescent="0.25">
      <c r="A25" s="4">
        <f t="shared" si="7"/>
        <v>18</v>
      </c>
      <c r="C25" s="27"/>
    </row>
    <row r="26" spans="1:19" s="74" customFormat="1" ht="18" customHeight="1" thickBot="1" x14ac:dyDescent="0.3">
      <c r="A26" s="4">
        <f t="shared" si="7"/>
        <v>19</v>
      </c>
      <c r="B26" s="94" t="s">
        <v>9</v>
      </c>
      <c r="C26" s="114"/>
      <c r="D26" s="95">
        <f>D17+D24</f>
        <v>24265117.833269998</v>
      </c>
      <c r="E26" s="95">
        <f>E17+E24</f>
        <v>24210200.301829997</v>
      </c>
      <c r="F26" s="96"/>
      <c r="G26" s="96"/>
      <c r="H26" s="96"/>
      <c r="I26" s="96"/>
      <c r="J26" s="95">
        <f>J17+J24</f>
        <v>25020436.357889995</v>
      </c>
      <c r="K26" s="97"/>
      <c r="L26" s="96">
        <f t="shared" ref="L26" si="20">J26-E26</f>
        <v>810236.05605999753</v>
      </c>
      <c r="M26" s="94"/>
      <c r="N26" s="98">
        <f>L26/E26</f>
        <v>3.3466722536729838E-2</v>
      </c>
    </row>
    <row r="27" spans="1:19" s="74" customFormat="1" ht="18" customHeight="1" thickTop="1" x14ac:dyDescent="0.25">
      <c r="A27" s="4">
        <f t="shared" si="7"/>
        <v>20</v>
      </c>
      <c r="B27" s="74" t="s">
        <v>10</v>
      </c>
      <c r="C27" s="27"/>
      <c r="D27" s="76"/>
      <c r="L27" s="84">
        <f>L4</f>
        <v>808343</v>
      </c>
    </row>
    <row r="28" spans="1:19" s="74" customFormat="1" ht="15" customHeight="1" x14ac:dyDescent="0.25">
      <c r="A28" s="4">
        <f t="shared" si="7"/>
        <v>21</v>
      </c>
      <c r="B28" s="79" t="s">
        <v>40</v>
      </c>
      <c r="C28" s="111"/>
      <c r="D28" s="80"/>
      <c r="E28" s="79"/>
      <c r="F28" s="79"/>
      <c r="G28" s="79"/>
      <c r="H28" s="79"/>
      <c r="I28" s="79"/>
      <c r="J28" s="79"/>
      <c r="K28" s="79"/>
      <c r="L28" s="80">
        <f>L26-L27</f>
        <v>1893.0560599975288</v>
      </c>
    </row>
    <row r="29" spans="1:19" s="74" customFormat="1" ht="15" customHeight="1" x14ac:dyDescent="0.25">
      <c r="A29" s="4">
        <f t="shared" si="7"/>
        <v>22</v>
      </c>
      <c r="B29" s="74" t="s">
        <v>40</v>
      </c>
      <c r="C29" s="27"/>
      <c r="D29" s="73"/>
      <c r="L29" s="73">
        <f>L28/L27</f>
        <v>2.3418970164862303E-3</v>
      </c>
    </row>
    <row r="30" spans="1:19" x14ac:dyDescent="0.25">
      <c r="A30" s="4"/>
    </row>
  </sheetData>
  <pageMargins left="0.7" right="0.7" top="0.75" bottom="0.75" header="0.3" footer="0.3"/>
  <pageSetup scale="65" orientation="landscape" r:id="rId1"/>
  <ignoredErrors>
    <ignoredError sqref="J15 F15 J8:J11 T8:T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35"/>
  <sheetViews>
    <sheetView zoomScale="75" zoomScaleNormal="75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6" sqref="A16"/>
    </sheetView>
  </sheetViews>
  <sheetFormatPr defaultColWidth="8.88671875" defaultRowHeight="13.2" x14ac:dyDescent="0.25"/>
  <cols>
    <col min="1" max="1" width="7.44140625" style="7" customWidth="1"/>
    <col min="2" max="2" width="33.21875" style="2" customWidth="1"/>
    <col min="3" max="3" width="6.6640625" style="27" customWidth="1"/>
    <col min="4" max="4" width="30.4414062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bestFit="1" customWidth="1"/>
    <col min="9" max="9" width="17.44140625" style="2" customWidth="1"/>
    <col min="10" max="10" width="12.109375" style="2" customWidth="1"/>
    <col min="11" max="11" width="13.109375" style="48" customWidth="1"/>
    <col min="12" max="12" width="11.44140625" style="2" customWidth="1"/>
    <col min="13" max="13" width="14.33203125" style="2" customWidth="1"/>
    <col min="14" max="14" width="12.33203125" style="2" customWidth="1"/>
    <col min="15" max="15" width="10.33203125" style="2" customWidth="1"/>
    <col min="16" max="16" width="11.44140625" style="2" customWidth="1"/>
    <col min="17" max="17" width="10.88671875" style="2" customWidth="1"/>
    <col min="18" max="19" width="12.6640625" style="2" customWidth="1"/>
    <col min="20" max="20" width="14.109375" style="2" customWidth="1"/>
    <col min="21" max="21" width="8.88671875" style="2" customWidth="1"/>
    <col min="22" max="16384" width="8.88671875" style="2"/>
  </cols>
  <sheetData>
    <row r="1" spans="1:20" x14ac:dyDescent="0.25">
      <c r="A1" s="62" t="str">
        <f>Summary!A1</f>
        <v>BIG SANDY RECC</v>
      </c>
      <c r="F1" s="18"/>
    </row>
    <row r="2" spans="1:20" ht="14.4" customHeight="1" x14ac:dyDescent="0.25">
      <c r="A2" s="62" t="str">
        <f>Summary!A2</f>
        <v>Billing Analysis for Pass-Through Rate Increase</v>
      </c>
      <c r="F2" s="67"/>
      <c r="G2" s="67"/>
      <c r="H2" s="67"/>
      <c r="I2" s="67"/>
      <c r="P2" s="44"/>
      <c r="R2" s="48"/>
      <c r="S2" s="48"/>
      <c r="T2" s="48"/>
    </row>
    <row r="3" spans="1:20" x14ac:dyDescent="0.25">
      <c r="R3" s="48"/>
      <c r="S3" s="48"/>
      <c r="T3" s="48"/>
    </row>
    <row r="4" spans="1:20" x14ac:dyDescent="0.25">
      <c r="D4" s="48"/>
      <c r="F4" s="48"/>
      <c r="G4" s="48"/>
      <c r="H4" s="48"/>
      <c r="I4" s="48"/>
      <c r="J4" s="169" t="s">
        <v>112</v>
      </c>
      <c r="L4" s="48"/>
      <c r="M4" s="48"/>
      <c r="N4" s="48"/>
      <c r="O4" s="48"/>
      <c r="P4" s="48"/>
      <c r="Q4" s="48"/>
      <c r="R4" s="48"/>
      <c r="S4" s="48"/>
      <c r="T4" s="48"/>
    </row>
    <row r="5" spans="1:20" ht="38.4" customHeight="1" x14ac:dyDescent="0.25">
      <c r="A5" s="29" t="s">
        <v>1</v>
      </c>
      <c r="B5" s="29" t="s">
        <v>12</v>
      </c>
      <c r="C5" s="12" t="s">
        <v>11</v>
      </c>
      <c r="D5" s="29" t="s">
        <v>13</v>
      </c>
      <c r="E5" s="14" t="s">
        <v>14</v>
      </c>
      <c r="F5" s="52" t="s">
        <v>20</v>
      </c>
      <c r="G5" s="14" t="s">
        <v>25</v>
      </c>
      <c r="H5" s="14" t="s">
        <v>26</v>
      </c>
      <c r="I5" s="14" t="s">
        <v>27</v>
      </c>
      <c r="J5" s="14" t="s">
        <v>56</v>
      </c>
      <c r="K5" s="52" t="s">
        <v>10</v>
      </c>
      <c r="L5" s="14" t="s">
        <v>23</v>
      </c>
      <c r="M5" s="14" t="s">
        <v>4</v>
      </c>
      <c r="N5" s="14" t="s">
        <v>15</v>
      </c>
      <c r="O5" s="12" t="s">
        <v>16</v>
      </c>
      <c r="P5" s="14" t="s">
        <v>24</v>
      </c>
      <c r="Q5" s="14" t="s">
        <v>28</v>
      </c>
      <c r="R5" s="14" t="s">
        <v>41</v>
      </c>
      <c r="T5" s="14" t="s">
        <v>37</v>
      </c>
    </row>
    <row r="6" spans="1:20" ht="30.6" customHeight="1" thickBot="1" x14ac:dyDescent="0.3">
      <c r="A6" s="63"/>
      <c r="B6" s="38"/>
      <c r="C6" s="39"/>
      <c r="D6" s="38"/>
      <c r="E6" s="152"/>
      <c r="F6" s="40"/>
      <c r="G6" s="40"/>
      <c r="H6" s="40"/>
      <c r="I6" s="40"/>
      <c r="J6" s="40"/>
      <c r="K6" s="53"/>
      <c r="L6" s="40"/>
      <c r="M6" s="40"/>
      <c r="N6" s="40"/>
      <c r="O6" s="39"/>
      <c r="P6" s="40"/>
      <c r="Q6" s="40"/>
      <c r="R6" s="40"/>
    </row>
    <row r="7" spans="1:20" x14ac:dyDescent="0.25">
      <c r="A7" s="64">
        <v>1</v>
      </c>
      <c r="B7" s="41" t="s">
        <v>69</v>
      </c>
      <c r="C7" s="42" t="s">
        <v>70</v>
      </c>
      <c r="D7" s="41"/>
      <c r="E7" s="41"/>
      <c r="F7" s="41"/>
      <c r="G7" s="41"/>
      <c r="H7" s="41"/>
      <c r="I7" s="41"/>
      <c r="J7" s="41"/>
      <c r="K7" s="54"/>
      <c r="L7" s="41"/>
      <c r="M7" s="41"/>
      <c r="N7" s="41"/>
      <c r="O7" s="41"/>
      <c r="P7" s="41"/>
      <c r="Q7" s="41"/>
      <c r="R7" s="41"/>
    </row>
    <row r="8" spans="1:20" x14ac:dyDescent="0.25">
      <c r="A8" s="64">
        <f>A7+1</f>
        <v>2</v>
      </c>
      <c r="C8" s="2"/>
      <c r="D8" s="2" t="s">
        <v>17</v>
      </c>
      <c r="E8" s="23">
        <v>140464</v>
      </c>
      <c r="F8" s="65">
        <f>H8</f>
        <v>21.25</v>
      </c>
      <c r="G8" s="6">
        <f>F8*E8</f>
        <v>2984860</v>
      </c>
      <c r="H8" s="20">
        <v>21.25</v>
      </c>
      <c r="I8" s="6">
        <f>H8*E8</f>
        <v>2984860</v>
      </c>
      <c r="J8" s="165">
        <v>0.18235595568372501</v>
      </c>
      <c r="K8" s="55"/>
      <c r="L8" s="19">
        <f>ROUND(J8*K10/E8,2)</f>
        <v>22.3</v>
      </c>
      <c r="M8" s="6">
        <f>L8*E8</f>
        <v>3132347.2</v>
      </c>
      <c r="N8" s="6">
        <f t="shared" ref="N8:N13" si="0">M8-I8</f>
        <v>147487.20000000019</v>
      </c>
      <c r="O8" s="5">
        <f>IF(I8=0,0,N8/I8)</f>
        <v>4.9411764705882412E-2</v>
      </c>
      <c r="P8" s="5">
        <f>M8/M10</f>
        <v>0.18236766997602002</v>
      </c>
      <c r="Q8" s="17">
        <f>P8-J8</f>
        <v>1.1714292295017525E-5</v>
      </c>
      <c r="R8" s="17"/>
      <c r="T8" s="5">
        <f>L8/H8-1</f>
        <v>4.9411764705882488E-2</v>
      </c>
    </row>
    <row r="9" spans="1:20" x14ac:dyDescent="0.25">
      <c r="A9" s="64">
        <f t="shared" ref="A9:A87" si="1">A8+1</f>
        <v>3</v>
      </c>
      <c r="B9" s="18"/>
      <c r="D9" s="2" t="s">
        <v>51</v>
      </c>
      <c r="E9" s="23">
        <v>158042464</v>
      </c>
      <c r="F9" s="161">
        <f>H9+0.00161</f>
        <v>8.7559999999999999E-2</v>
      </c>
      <c r="G9" s="6">
        <f t="shared" ref="G9" si="2">F9*E9</f>
        <v>13838198.147840001</v>
      </c>
      <c r="H9" s="161">
        <v>8.5949999999999999E-2</v>
      </c>
      <c r="I9" s="6">
        <f t="shared" ref="I9" si="3">H9*E9</f>
        <v>13583749.7808</v>
      </c>
      <c r="J9" s="165">
        <f>1-J8</f>
        <v>0.81764404431627502</v>
      </c>
      <c r="K9" s="55"/>
      <c r="L9" s="166">
        <f>ROUND(J9*K10/E9,5)</f>
        <v>8.8859999999999995E-2</v>
      </c>
      <c r="M9" s="6">
        <f t="shared" ref="M9" si="4">L9*E9</f>
        <v>14043653.351039998</v>
      </c>
      <c r="N9" s="6">
        <f t="shared" si="0"/>
        <v>459903.5702399984</v>
      </c>
      <c r="O9" s="5">
        <f t="shared" ref="O9" si="5">IF(I9=0,0,N9/I9)</f>
        <v>3.3856893542757296E-2</v>
      </c>
      <c r="P9" s="5">
        <f>M9/M10</f>
        <v>0.81763233002398006</v>
      </c>
      <c r="Q9" s="17">
        <f t="shared" ref="Q9:Q10" si="6">P9-J9</f>
        <v>-1.1714292294962014E-5</v>
      </c>
      <c r="R9" s="17"/>
      <c r="T9" s="5">
        <f>L9/H9-1</f>
        <v>3.3856893542757449E-2</v>
      </c>
    </row>
    <row r="10" spans="1:20" s="7" customFormat="1" ht="20.399999999999999" customHeight="1" x14ac:dyDescent="0.3">
      <c r="A10" s="64">
        <f t="shared" si="1"/>
        <v>4</v>
      </c>
      <c r="B10" s="162"/>
      <c r="C10" s="28"/>
      <c r="D10" s="30" t="s">
        <v>6</v>
      </c>
      <c r="E10" s="30"/>
      <c r="F10" s="30"/>
      <c r="G10" s="31">
        <f>SUM(G8:G9)</f>
        <v>16823058.147840001</v>
      </c>
      <c r="H10" s="30"/>
      <c r="I10" s="32">
        <f>SUM(I8:I9)</f>
        <v>16568609.7808</v>
      </c>
      <c r="J10" s="33">
        <f>SUM(J8:J9)</f>
        <v>1</v>
      </c>
      <c r="K10" s="56">
        <f>I10+Summary!I8</f>
        <v>17174817.110799998</v>
      </c>
      <c r="L10" s="30"/>
      <c r="M10" s="31">
        <f>SUM(M8:M9)</f>
        <v>17176000.551039997</v>
      </c>
      <c r="N10" s="31">
        <f>SUM(N8:N9)</f>
        <v>607390.77023999859</v>
      </c>
      <c r="O10" s="33">
        <f t="shared" ref="O10" si="7">N10/I10</f>
        <v>3.6659127004358194E-2</v>
      </c>
      <c r="P10" s="33">
        <f>SUM(P8:P9)</f>
        <v>1</v>
      </c>
      <c r="Q10" s="34">
        <f t="shared" si="6"/>
        <v>0</v>
      </c>
      <c r="R10" s="47">
        <f>M10-K10</f>
        <v>1183.4402399994433</v>
      </c>
      <c r="S10" s="115">
        <f>K10/I10</f>
        <v>1.0365877003574846</v>
      </c>
    </row>
    <row r="11" spans="1:20" x14ac:dyDescent="0.25">
      <c r="A11" s="64">
        <f t="shared" si="1"/>
        <v>5</v>
      </c>
      <c r="D11" s="2" t="s">
        <v>29</v>
      </c>
      <c r="G11" s="22">
        <v>-683400.97</v>
      </c>
      <c r="I11" s="61">
        <f>G11+(0.00161*E9)</f>
        <v>-428952.60295999993</v>
      </c>
      <c r="K11" s="69">
        <f>K10-I10</f>
        <v>606207.32999999821</v>
      </c>
      <c r="M11" s="6">
        <f>I11</f>
        <v>-428952.60295999993</v>
      </c>
      <c r="N11" s="6">
        <f t="shared" si="0"/>
        <v>0</v>
      </c>
      <c r="O11" s="18">
        <v>0</v>
      </c>
      <c r="R11" s="49"/>
    </row>
    <row r="12" spans="1:20" x14ac:dyDescent="0.25">
      <c r="A12" s="64">
        <f t="shared" si="1"/>
        <v>6</v>
      </c>
      <c r="D12" s="2" t="s">
        <v>30</v>
      </c>
      <c r="G12" s="22">
        <v>1635615.87</v>
      </c>
      <c r="I12" s="21">
        <f>G12</f>
        <v>1635615.87</v>
      </c>
      <c r="M12" s="6">
        <f t="shared" ref="M12:M14" si="8">I12</f>
        <v>1635615.87</v>
      </c>
      <c r="N12" s="6">
        <f t="shared" si="0"/>
        <v>0</v>
      </c>
      <c r="O12" s="18">
        <v>0</v>
      </c>
    </row>
    <row r="13" spans="1:20" x14ac:dyDescent="0.25">
      <c r="A13" s="64">
        <f t="shared" si="1"/>
        <v>7</v>
      </c>
      <c r="D13" s="2" t="s">
        <v>32</v>
      </c>
      <c r="G13" s="22"/>
      <c r="I13" s="21">
        <f>G13</f>
        <v>0</v>
      </c>
      <c r="M13" s="6">
        <f t="shared" si="8"/>
        <v>0</v>
      </c>
      <c r="N13" s="6">
        <f t="shared" si="0"/>
        <v>0</v>
      </c>
      <c r="O13" s="18">
        <v>0</v>
      </c>
    </row>
    <row r="14" spans="1:20" x14ac:dyDescent="0.25">
      <c r="A14" s="64">
        <f t="shared" si="1"/>
        <v>8</v>
      </c>
      <c r="D14" s="2" t="s">
        <v>42</v>
      </c>
      <c r="G14" s="22">
        <v>0</v>
      </c>
      <c r="I14" s="21">
        <f>G14</f>
        <v>0</v>
      </c>
      <c r="M14" s="6">
        <f t="shared" si="8"/>
        <v>0</v>
      </c>
      <c r="N14" s="6"/>
      <c r="O14" s="18">
        <v>0</v>
      </c>
    </row>
    <row r="15" spans="1:20" x14ac:dyDescent="0.25">
      <c r="A15" s="64">
        <f t="shared" si="1"/>
        <v>9</v>
      </c>
      <c r="D15" s="24" t="s">
        <v>8</v>
      </c>
      <c r="E15" s="24"/>
      <c r="F15" s="24"/>
      <c r="G15" s="25">
        <f>SUM(G11:G14)</f>
        <v>952214.90000000014</v>
      </c>
      <c r="H15" s="24"/>
      <c r="I15" s="25">
        <f>SUM(I11:I14)</f>
        <v>1206663.2670400003</v>
      </c>
      <c r="J15" s="24"/>
      <c r="K15" s="57"/>
      <c r="L15" s="24"/>
      <c r="M15" s="25">
        <f>SUM(M11:M14)</f>
        <v>1206663.2670400003</v>
      </c>
      <c r="N15" s="25">
        <f>M15-I15</f>
        <v>0</v>
      </c>
      <c r="O15" s="35">
        <v>0</v>
      </c>
    </row>
    <row r="16" spans="1:20" s="7" customFormat="1" ht="26.4" customHeight="1" thickBot="1" x14ac:dyDescent="0.3">
      <c r="A16" s="64">
        <f t="shared" si="1"/>
        <v>10</v>
      </c>
      <c r="C16" s="28"/>
      <c r="D16" s="8" t="s">
        <v>19</v>
      </c>
      <c r="E16" s="8"/>
      <c r="F16" s="8"/>
      <c r="G16" s="9">
        <f>G10+G15</f>
        <v>17775273.047839999</v>
      </c>
      <c r="H16" s="8"/>
      <c r="I16" s="26">
        <f>I15+I10</f>
        <v>17775273.047839999</v>
      </c>
      <c r="J16" s="8"/>
      <c r="K16" s="58"/>
      <c r="L16" s="8"/>
      <c r="M16" s="9">
        <f>M15+M10</f>
        <v>18382663.818079997</v>
      </c>
      <c r="N16" s="9">
        <f>M16-I16</f>
        <v>607390.77023999766</v>
      </c>
      <c r="O16" s="10">
        <f>N16/I16</f>
        <v>3.4170545150292699E-2</v>
      </c>
      <c r="P16" s="2"/>
      <c r="Q16" s="2"/>
      <c r="R16" s="2"/>
    </row>
    <row r="17" spans="1:20" ht="13.8" thickTop="1" x14ac:dyDescent="0.25">
      <c r="A17" s="64">
        <f t="shared" si="1"/>
        <v>11</v>
      </c>
      <c r="D17" s="2" t="s">
        <v>18</v>
      </c>
      <c r="E17" s="18">
        <f>E9/E8</f>
        <v>1125.1456885750085</v>
      </c>
      <c r="G17" s="16">
        <f>G16/E8</f>
        <v>126.54682372593689</v>
      </c>
      <c r="I17" s="16">
        <f>I16/E8</f>
        <v>126.54682372593689</v>
      </c>
      <c r="M17" s="16">
        <f>M16/E8</f>
        <v>130.87099767969013</v>
      </c>
      <c r="N17" s="16">
        <f>M17-I17</f>
        <v>4.3241739537532453</v>
      </c>
      <c r="O17" s="5">
        <f>N17/I17</f>
        <v>3.4170545150292601E-2</v>
      </c>
    </row>
    <row r="18" spans="1:20" ht="13.8" thickBot="1" x14ac:dyDescent="0.3">
      <c r="A18" s="64">
        <f t="shared" si="1"/>
        <v>12</v>
      </c>
    </row>
    <row r="19" spans="1:20" x14ac:dyDescent="0.25">
      <c r="A19" s="64">
        <f t="shared" si="1"/>
        <v>13</v>
      </c>
      <c r="B19" s="41" t="s">
        <v>71</v>
      </c>
      <c r="C19" s="42" t="s">
        <v>110</v>
      </c>
      <c r="D19" s="41"/>
      <c r="E19" s="41"/>
      <c r="F19" s="41"/>
      <c r="G19" s="41"/>
      <c r="H19" s="41"/>
      <c r="I19" s="41"/>
      <c r="J19" s="41"/>
      <c r="K19" s="54"/>
      <c r="L19" s="41"/>
      <c r="M19" s="41"/>
      <c r="N19" s="41"/>
      <c r="O19" s="41"/>
      <c r="P19" s="41"/>
      <c r="Q19" s="41"/>
      <c r="R19" s="41"/>
    </row>
    <row r="20" spans="1:20" x14ac:dyDescent="0.25">
      <c r="A20" s="64">
        <f t="shared" si="1"/>
        <v>14</v>
      </c>
      <c r="D20" s="2" t="s">
        <v>95</v>
      </c>
      <c r="E20" s="23">
        <v>11323</v>
      </c>
      <c r="F20" s="161">
        <f>H20+0.00161</f>
        <v>5.1900000000000002E-2</v>
      </c>
      <c r="G20" s="6">
        <f t="shared" ref="G20" si="9">F20*E20</f>
        <v>587.66370000000006</v>
      </c>
      <c r="H20" s="109">
        <v>5.0290000000000001E-2</v>
      </c>
      <c r="I20" s="6">
        <f t="shared" ref="I20" si="10">H20*E20</f>
        <v>569.43367000000001</v>
      </c>
      <c r="J20" s="5">
        <f>I20/I21</f>
        <v>1</v>
      </c>
      <c r="K20" s="55"/>
      <c r="L20" s="166">
        <f>ROUND(H20*S21,5)</f>
        <v>5.0290000000000001E-2</v>
      </c>
      <c r="M20" s="6">
        <f t="shared" ref="M20" si="11">L20*E20</f>
        <v>569.43367000000001</v>
      </c>
      <c r="N20" s="6">
        <f t="shared" ref="N20" si="12">M20-I20</f>
        <v>0</v>
      </c>
      <c r="O20" s="5">
        <f t="shared" ref="O20" si="13">IF(I20=0,0,N20/I20)</f>
        <v>0</v>
      </c>
      <c r="P20" s="5">
        <f>M20/M$21</f>
        <v>1</v>
      </c>
      <c r="Q20" s="17">
        <f t="shared" ref="Q20" si="14">P20-J20</f>
        <v>0</v>
      </c>
      <c r="R20" s="17"/>
      <c r="T20" s="5">
        <f>L20/H20-1</f>
        <v>0</v>
      </c>
    </row>
    <row r="21" spans="1:20" s="7" customFormat="1" ht="20.399999999999999" customHeight="1" x14ac:dyDescent="0.3">
      <c r="A21" s="64">
        <f t="shared" si="1"/>
        <v>15</v>
      </c>
      <c r="C21" s="28"/>
      <c r="D21" s="30" t="s">
        <v>6</v>
      </c>
      <c r="E21" s="30"/>
      <c r="F21" s="30"/>
      <c r="G21" s="31">
        <f>SUM(G20:G20)</f>
        <v>587.66370000000006</v>
      </c>
      <c r="H21" s="30"/>
      <c r="I21" s="32">
        <f>SUM(I20:I20)</f>
        <v>569.43367000000001</v>
      </c>
      <c r="J21" s="33">
        <f>SUM(J20:J20)</f>
        <v>1</v>
      </c>
      <c r="K21" s="56">
        <f>I21+Summary!I9</f>
        <v>569.43367000000001</v>
      </c>
      <c r="L21" s="30"/>
      <c r="M21" s="31">
        <f>SUM(M20:M20)</f>
        <v>569.43367000000001</v>
      </c>
      <c r="N21" s="31">
        <f>SUM(N20:N20)</f>
        <v>0</v>
      </c>
      <c r="O21" s="33">
        <f t="shared" ref="O21" si="15">N21/I21</f>
        <v>0</v>
      </c>
      <c r="P21" s="33">
        <f>SUM(P20:P20)</f>
        <v>1</v>
      </c>
      <c r="Q21" s="34">
        <f t="shared" ref="Q21" si="16">P21-J21</f>
        <v>0</v>
      </c>
      <c r="R21" s="47">
        <f>M21-K21</f>
        <v>0</v>
      </c>
      <c r="S21" s="115">
        <f>K21/I21</f>
        <v>1</v>
      </c>
    </row>
    <row r="22" spans="1:20" x14ac:dyDescent="0.25">
      <c r="A22" s="64">
        <f t="shared" si="1"/>
        <v>16</v>
      </c>
      <c r="D22" s="2" t="s">
        <v>29</v>
      </c>
      <c r="G22" s="22">
        <v>0</v>
      </c>
      <c r="I22" s="61">
        <f>G22+(0.00161*E20)</f>
        <v>18.230030000000003</v>
      </c>
      <c r="K22" s="69">
        <f>K21-I21</f>
        <v>0</v>
      </c>
      <c r="M22" s="6">
        <f>I22</f>
        <v>18.230030000000003</v>
      </c>
      <c r="N22" s="6">
        <f t="shared" ref="N22:N27" si="17">M22-I22</f>
        <v>0</v>
      </c>
      <c r="O22" s="18">
        <v>0</v>
      </c>
    </row>
    <row r="23" spans="1:20" x14ac:dyDescent="0.25">
      <c r="A23" s="64">
        <f t="shared" si="1"/>
        <v>17</v>
      </c>
      <c r="D23" s="2" t="s">
        <v>30</v>
      </c>
      <c r="G23" s="22">
        <v>0</v>
      </c>
      <c r="I23" s="21">
        <f t="shared" ref="I23:I25" si="18">G23</f>
        <v>0</v>
      </c>
      <c r="M23" s="6">
        <f t="shared" ref="M23:M25" si="19">I23</f>
        <v>0</v>
      </c>
      <c r="N23" s="6">
        <f t="shared" si="17"/>
        <v>0</v>
      </c>
      <c r="O23" s="18">
        <v>0</v>
      </c>
    </row>
    <row r="24" spans="1:20" x14ac:dyDescent="0.25">
      <c r="A24" s="64">
        <f t="shared" si="1"/>
        <v>18</v>
      </c>
      <c r="D24" s="2" t="s">
        <v>32</v>
      </c>
      <c r="G24" s="22">
        <v>0</v>
      </c>
      <c r="I24" s="21">
        <f t="shared" si="18"/>
        <v>0</v>
      </c>
      <c r="M24" s="6">
        <f t="shared" si="19"/>
        <v>0</v>
      </c>
      <c r="N24" s="6">
        <f t="shared" si="17"/>
        <v>0</v>
      </c>
      <c r="O24" s="18">
        <v>0</v>
      </c>
    </row>
    <row r="25" spans="1:20" x14ac:dyDescent="0.25">
      <c r="A25" s="64">
        <f t="shared" si="1"/>
        <v>19</v>
      </c>
      <c r="D25" s="2" t="s">
        <v>42</v>
      </c>
      <c r="G25" s="22">
        <v>0</v>
      </c>
      <c r="I25" s="21">
        <f t="shared" si="18"/>
        <v>0</v>
      </c>
      <c r="M25" s="6">
        <f t="shared" si="19"/>
        <v>0</v>
      </c>
      <c r="N25" s="6"/>
      <c r="O25" s="18"/>
    </row>
    <row r="26" spans="1:20" x14ac:dyDescent="0.25">
      <c r="A26" s="64">
        <f t="shared" si="1"/>
        <v>20</v>
      </c>
      <c r="D26" s="24" t="s">
        <v>8</v>
      </c>
      <c r="E26" s="24"/>
      <c r="F26" s="24"/>
      <c r="G26" s="25">
        <f>SUM(G22:G25)</f>
        <v>0</v>
      </c>
      <c r="H26" s="24"/>
      <c r="I26" s="25">
        <f>SUM(I22:I25)</f>
        <v>18.230030000000003</v>
      </c>
      <c r="J26" s="24"/>
      <c r="K26" s="57"/>
      <c r="L26" s="24"/>
      <c r="M26" s="25">
        <f>SUM(M22:M25)</f>
        <v>18.230030000000003</v>
      </c>
      <c r="N26" s="25">
        <f t="shared" si="17"/>
        <v>0</v>
      </c>
      <c r="O26" s="35">
        <f t="shared" ref="O26" si="20">N26-J26</f>
        <v>0</v>
      </c>
    </row>
    <row r="27" spans="1:20" s="7" customFormat="1" ht="26.4" customHeight="1" thickBot="1" x14ac:dyDescent="0.3">
      <c r="A27" s="64">
        <f t="shared" si="1"/>
        <v>21</v>
      </c>
      <c r="C27" s="28"/>
      <c r="D27" s="8" t="s">
        <v>19</v>
      </c>
      <c r="E27" s="8"/>
      <c r="F27" s="8"/>
      <c r="G27" s="9">
        <f>G21+G26</f>
        <v>587.66370000000006</v>
      </c>
      <c r="H27" s="8"/>
      <c r="I27" s="26">
        <f>I26+I21</f>
        <v>587.66370000000006</v>
      </c>
      <c r="J27" s="8"/>
      <c r="K27" s="58"/>
      <c r="L27" s="8"/>
      <c r="M27" s="9">
        <f>M26+M21</f>
        <v>587.66370000000006</v>
      </c>
      <c r="N27" s="9">
        <f t="shared" si="17"/>
        <v>0</v>
      </c>
      <c r="O27" s="10">
        <f>N27/I27</f>
        <v>0</v>
      </c>
      <c r="P27" s="2"/>
      <c r="Q27" s="2"/>
      <c r="R27" s="2"/>
    </row>
    <row r="28" spans="1:20" ht="13.8" thickTop="1" x14ac:dyDescent="0.25">
      <c r="A28" s="64">
        <f t="shared" si="1"/>
        <v>22</v>
      </c>
      <c r="D28" s="2" t="s">
        <v>18</v>
      </c>
      <c r="E28" s="163" t="s">
        <v>65</v>
      </c>
      <c r="G28" s="16" t="s">
        <v>65</v>
      </c>
      <c r="I28" s="16" t="s">
        <v>65</v>
      </c>
      <c r="M28" s="16" t="s">
        <v>65</v>
      </c>
      <c r="N28" s="16" t="s">
        <v>65</v>
      </c>
      <c r="O28" s="5" t="s">
        <v>65</v>
      </c>
    </row>
    <row r="29" spans="1:20" ht="13.8" thickBot="1" x14ac:dyDescent="0.3">
      <c r="A29" s="64">
        <f t="shared" si="1"/>
        <v>23</v>
      </c>
    </row>
    <row r="30" spans="1:20" x14ac:dyDescent="0.25">
      <c r="A30" s="64">
        <f t="shared" si="1"/>
        <v>24</v>
      </c>
      <c r="B30" s="41" t="s">
        <v>72</v>
      </c>
      <c r="C30" s="42" t="s">
        <v>73</v>
      </c>
      <c r="D30" s="41"/>
      <c r="E30" s="41"/>
      <c r="F30" s="41"/>
      <c r="G30" s="41"/>
      <c r="H30" s="41"/>
      <c r="I30" s="41"/>
      <c r="J30" s="41"/>
      <c r="K30" s="54"/>
      <c r="L30" s="41"/>
      <c r="M30" s="41"/>
      <c r="N30" s="41"/>
      <c r="O30" s="41"/>
      <c r="P30" s="41"/>
      <c r="Q30" s="41"/>
      <c r="R30" s="41"/>
    </row>
    <row r="31" spans="1:20" x14ac:dyDescent="0.25">
      <c r="A31" s="64">
        <f t="shared" si="1"/>
        <v>25</v>
      </c>
      <c r="C31" s="2"/>
      <c r="D31" s="2" t="s">
        <v>17</v>
      </c>
      <c r="E31" s="23">
        <v>10493</v>
      </c>
      <c r="F31" s="65">
        <f>H31</f>
        <v>30</v>
      </c>
      <c r="G31" s="6">
        <f>F31*E31</f>
        <v>314790</v>
      </c>
      <c r="H31" s="20">
        <v>30</v>
      </c>
      <c r="I31" s="6">
        <f>H31*E31</f>
        <v>314790</v>
      </c>
      <c r="J31" s="165">
        <v>0.25386181674227193</v>
      </c>
      <c r="K31" s="55"/>
      <c r="L31" s="19">
        <f>ROUND(J31*K34/E31,2)</f>
        <v>29.07</v>
      </c>
      <c r="M31" s="6">
        <f>L31*E31</f>
        <v>305031.51</v>
      </c>
      <c r="N31" s="6">
        <f>M31-I31</f>
        <v>-9758.4899999999907</v>
      </c>
      <c r="O31" s="5">
        <f>IF(I31=0,0,N31/I31)</f>
        <v>-3.0999999999999972E-2</v>
      </c>
      <c r="P31" s="5">
        <f>M31/M$34</f>
        <v>0.25380027330437371</v>
      </c>
      <c r="Q31" s="17">
        <f>P31-J31</f>
        <v>-6.1543437898214925E-5</v>
      </c>
      <c r="R31" s="17"/>
      <c r="T31" s="5">
        <f>L31/H31-1</f>
        <v>-3.1000000000000028E-2</v>
      </c>
    </row>
    <row r="32" spans="1:20" x14ac:dyDescent="0.25">
      <c r="A32" s="64">
        <f t="shared" si="1"/>
        <v>26</v>
      </c>
      <c r="D32" s="2" t="s">
        <v>52</v>
      </c>
      <c r="E32" s="108">
        <v>40577</v>
      </c>
      <c r="F32" s="65">
        <f>H32</f>
        <v>5.5</v>
      </c>
      <c r="G32" s="6">
        <f t="shared" ref="G32" si="21">F32*E32</f>
        <v>223173.5</v>
      </c>
      <c r="H32" s="20">
        <v>5.5</v>
      </c>
      <c r="I32" s="6">
        <f t="shared" ref="I32" si="22">H32*E32</f>
        <v>223173.5</v>
      </c>
      <c r="J32" s="165">
        <v>0.19839242558008363</v>
      </c>
      <c r="K32" s="55"/>
      <c r="L32" s="19">
        <f>ROUND(J32*K34/E32,2)</f>
        <v>5.88</v>
      </c>
      <c r="M32" s="6">
        <f t="shared" ref="M32" si="23">L32*E32</f>
        <v>238592.76</v>
      </c>
      <c r="N32" s="6">
        <f t="shared" ref="N32" si="24">M32-I32</f>
        <v>15419.260000000009</v>
      </c>
      <c r="O32" s="5">
        <f t="shared" ref="O32" si="25">IF(I32=0,0,N32/I32)</f>
        <v>6.9090909090909133E-2</v>
      </c>
      <c r="P32" s="5">
        <f t="shared" ref="P32:P33" si="26">M32/M$34</f>
        <v>0.1985201715601278</v>
      </c>
      <c r="Q32" s="17">
        <f t="shared" ref="Q32" si="27">P32-J32</f>
        <v>1.2774598004416937E-4</v>
      </c>
      <c r="R32" s="17"/>
      <c r="T32" s="5">
        <f>L32/H32-1</f>
        <v>6.9090909090909092E-2</v>
      </c>
    </row>
    <row r="33" spans="1:20" x14ac:dyDescent="0.25">
      <c r="A33" s="64">
        <f t="shared" si="1"/>
        <v>27</v>
      </c>
      <c r="D33" s="2" t="s">
        <v>51</v>
      </c>
      <c r="E33" s="108">
        <v>9109220</v>
      </c>
      <c r="F33" s="161">
        <f>H33+0.00161</f>
        <v>6.9129999999999997E-2</v>
      </c>
      <c r="G33" s="6">
        <f t="shared" ref="G33" si="28">F33*E33</f>
        <v>629720.37859999994</v>
      </c>
      <c r="H33" s="161">
        <v>6.7519999999999997E-2</v>
      </c>
      <c r="I33" s="6">
        <f t="shared" ref="I33" si="29">H33*E33</f>
        <v>615054.5344</v>
      </c>
      <c r="J33" s="165">
        <v>0.54774575767764444</v>
      </c>
      <c r="K33" s="55"/>
      <c r="L33" s="166">
        <f>ROUND(J33*K34/E33,5)</f>
        <v>7.2260000000000005E-2</v>
      </c>
      <c r="M33" s="6">
        <f t="shared" ref="M33" si="30">L33*E33</f>
        <v>658232.23720000009</v>
      </c>
      <c r="N33" s="6">
        <f t="shared" ref="N33:N41" si="31">M33-I33</f>
        <v>43177.702800000086</v>
      </c>
      <c r="O33" s="5">
        <f t="shared" ref="O33" si="32">IF(I33=0,0,N33/I33)</f>
        <v>7.0201421800948002E-2</v>
      </c>
      <c r="P33" s="5">
        <f t="shared" si="26"/>
        <v>0.54767955513549849</v>
      </c>
      <c r="Q33" s="17">
        <f t="shared" ref="Q33:Q34" si="33">P33-J33</f>
        <v>-6.6202542145954446E-5</v>
      </c>
      <c r="R33" s="17"/>
      <c r="T33" s="5">
        <f>L33/H33-1</f>
        <v>7.0201421800947905E-2</v>
      </c>
    </row>
    <row r="34" spans="1:20" s="7" customFormat="1" ht="20.399999999999999" customHeight="1" x14ac:dyDescent="0.3">
      <c r="A34" s="64">
        <f t="shared" si="1"/>
        <v>28</v>
      </c>
      <c r="C34" s="28"/>
      <c r="D34" s="30" t="s">
        <v>6</v>
      </c>
      <c r="E34" s="30"/>
      <c r="F34" s="30"/>
      <c r="G34" s="31">
        <f>SUM(G31:G33)</f>
        <v>1167683.8785999999</v>
      </c>
      <c r="H34" s="30"/>
      <c r="I34" s="32">
        <f>SUM(I31:I33)</f>
        <v>1153018.0344</v>
      </c>
      <c r="J34" s="33">
        <f>SUM(J31:J33)</f>
        <v>1</v>
      </c>
      <c r="K34" s="56">
        <f>I34+Summary!I10</f>
        <v>1201671.6943999999</v>
      </c>
      <c r="L34" s="30"/>
      <c r="M34" s="31">
        <f>SUM(M31:M33)</f>
        <v>1201856.5072000001</v>
      </c>
      <c r="N34" s="31">
        <f>SUM(N31:N33)</f>
        <v>48838.472800000105</v>
      </c>
      <c r="O34" s="33">
        <f t="shared" ref="O34" si="34">N34/I34</f>
        <v>4.2357076249387851E-2</v>
      </c>
      <c r="P34" s="33">
        <f>SUM(P31:P33)</f>
        <v>1</v>
      </c>
      <c r="Q34" s="34">
        <f t="shared" si="33"/>
        <v>0</v>
      </c>
      <c r="R34" s="47">
        <f>M34-K34</f>
        <v>184.81280000018887</v>
      </c>
      <c r="S34" s="115">
        <f>K34/I34</f>
        <v>1.0421967901181337</v>
      </c>
    </row>
    <row r="35" spans="1:20" x14ac:dyDescent="0.25">
      <c r="A35" s="64">
        <f t="shared" si="1"/>
        <v>29</v>
      </c>
      <c r="D35" s="2" t="s">
        <v>29</v>
      </c>
      <c r="G35" s="22">
        <v>-40283.46</v>
      </c>
      <c r="I35" s="61">
        <f>G35+(0.00161*(E33+E32))</f>
        <v>-25552.286829999997</v>
      </c>
      <c r="K35" s="69">
        <f>K34-I34</f>
        <v>48653.659999999916</v>
      </c>
      <c r="M35" s="6">
        <f>I35</f>
        <v>-25552.286829999997</v>
      </c>
      <c r="N35" s="6">
        <f t="shared" si="31"/>
        <v>0</v>
      </c>
      <c r="O35" s="18">
        <v>0</v>
      </c>
    </row>
    <row r="36" spans="1:20" x14ac:dyDescent="0.25">
      <c r="A36" s="64">
        <f t="shared" si="1"/>
        <v>30</v>
      </c>
      <c r="D36" s="2" t="s">
        <v>30</v>
      </c>
      <c r="G36" s="22">
        <v>112626.67</v>
      </c>
      <c r="I36" s="21">
        <f t="shared" ref="I36:I38" si="35">G36</f>
        <v>112626.67</v>
      </c>
      <c r="M36" s="6">
        <f t="shared" ref="M36:M38" si="36">I36</f>
        <v>112626.67</v>
      </c>
      <c r="N36" s="6">
        <f t="shared" si="31"/>
        <v>0</v>
      </c>
      <c r="O36" s="18">
        <v>0</v>
      </c>
    </row>
    <row r="37" spans="1:20" x14ac:dyDescent="0.25">
      <c r="A37" s="64">
        <f t="shared" si="1"/>
        <v>31</v>
      </c>
      <c r="D37" s="2" t="s">
        <v>32</v>
      </c>
      <c r="G37" s="22">
        <v>0</v>
      </c>
      <c r="I37" s="21">
        <f t="shared" si="35"/>
        <v>0</v>
      </c>
      <c r="M37" s="6">
        <f t="shared" si="36"/>
        <v>0</v>
      </c>
      <c r="N37" s="6">
        <f t="shared" si="31"/>
        <v>0</v>
      </c>
      <c r="O37" s="18">
        <v>0</v>
      </c>
    </row>
    <row r="38" spans="1:20" x14ac:dyDescent="0.25">
      <c r="A38" s="64">
        <f t="shared" si="1"/>
        <v>32</v>
      </c>
      <c r="D38" s="2" t="s">
        <v>42</v>
      </c>
      <c r="G38" s="22">
        <v>0</v>
      </c>
      <c r="I38" s="21">
        <f t="shared" si="35"/>
        <v>0</v>
      </c>
      <c r="M38" s="6">
        <f t="shared" si="36"/>
        <v>0</v>
      </c>
      <c r="N38" s="6"/>
      <c r="O38" s="18"/>
    </row>
    <row r="39" spans="1:20" x14ac:dyDescent="0.25">
      <c r="A39" s="64">
        <f t="shared" si="1"/>
        <v>33</v>
      </c>
      <c r="D39" s="24" t="s">
        <v>8</v>
      </c>
      <c r="E39" s="24"/>
      <c r="F39" s="24"/>
      <c r="G39" s="25">
        <f>SUM(G35:G38)</f>
        <v>72343.209999999992</v>
      </c>
      <c r="H39" s="24"/>
      <c r="I39" s="25">
        <f>SUM(I35:I38)</f>
        <v>87074.383170000001</v>
      </c>
      <c r="J39" s="24"/>
      <c r="K39" s="57"/>
      <c r="L39" s="24"/>
      <c r="M39" s="25">
        <f>SUM(M35:M38)</f>
        <v>87074.383170000001</v>
      </c>
      <c r="N39" s="25">
        <f t="shared" si="31"/>
        <v>0</v>
      </c>
      <c r="O39" s="35">
        <f t="shared" ref="O39" si="37">N39-J39</f>
        <v>0</v>
      </c>
    </row>
    <row r="40" spans="1:20" s="7" customFormat="1" ht="26.4" customHeight="1" thickBot="1" x14ac:dyDescent="0.3">
      <c r="A40" s="64">
        <f t="shared" si="1"/>
        <v>34</v>
      </c>
      <c r="C40" s="28"/>
      <c r="D40" s="8" t="s">
        <v>19</v>
      </c>
      <c r="E40" s="8"/>
      <c r="F40" s="8"/>
      <c r="G40" s="9">
        <f>G34+G39</f>
        <v>1240027.0885999999</v>
      </c>
      <c r="H40" s="8"/>
      <c r="I40" s="26">
        <f>I39+I34</f>
        <v>1240092.41757</v>
      </c>
      <c r="J40" s="8"/>
      <c r="K40" s="58"/>
      <c r="L40" s="8"/>
      <c r="M40" s="9">
        <f>M39+M34</f>
        <v>1288930.8903700002</v>
      </c>
      <c r="N40" s="9">
        <f t="shared" si="31"/>
        <v>48838.472800000105</v>
      </c>
      <c r="O40" s="10">
        <f>N40/I40</f>
        <v>3.9382929939770633E-2</v>
      </c>
      <c r="P40" s="2"/>
      <c r="Q40" s="2"/>
      <c r="R40" s="2"/>
    </row>
    <row r="41" spans="1:20" ht="13.8" thickTop="1" x14ac:dyDescent="0.25">
      <c r="A41" s="64">
        <f t="shared" si="1"/>
        <v>35</v>
      </c>
      <c r="D41" s="2" t="s">
        <v>18</v>
      </c>
      <c r="E41" s="18">
        <f>(E32+E33)/E31</f>
        <v>871.9905651386639</v>
      </c>
      <c r="G41" s="16">
        <f>G40/E31</f>
        <v>118.17660236348041</v>
      </c>
      <c r="I41" s="16">
        <f>I40/E31</f>
        <v>118.18282832078529</v>
      </c>
      <c r="M41" s="16">
        <f>M40/E31</f>
        <v>122.83721436862672</v>
      </c>
      <c r="N41" s="16">
        <f t="shared" si="31"/>
        <v>4.6543860478414274</v>
      </c>
      <c r="O41" s="5">
        <f>N41/I41</f>
        <v>3.9382929939770633E-2</v>
      </c>
    </row>
    <row r="42" spans="1:20" ht="13.8" thickBot="1" x14ac:dyDescent="0.3">
      <c r="A42" s="64">
        <f t="shared" si="1"/>
        <v>36</v>
      </c>
    </row>
    <row r="43" spans="1:20" x14ac:dyDescent="0.25">
      <c r="A43" s="64">
        <f t="shared" si="1"/>
        <v>37</v>
      </c>
      <c r="B43" s="41" t="s">
        <v>74</v>
      </c>
      <c r="C43" s="42" t="s">
        <v>75</v>
      </c>
      <c r="D43" s="41"/>
      <c r="E43" s="41"/>
      <c r="F43" s="41"/>
      <c r="G43" s="41"/>
      <c r="H43" s="41"/>
      <c r="I43" s="41"/>
      <c r="J43" s="41"/>
      <c r="K43" s="54"/>
      <c r="L43" s="54"/>
      <c r="M43" s="41"/>
      <c r="N43" s="41"/>
      <c r="O43" s="41"/>
      <c r="P43" s="41"/>
      <c r="Q43" s="41"/>
      <c r="R43" s="41"/>
    </row>
    <row r="44" spans="1:20" x14ac:dyDescent="0.25">
      <c r="A44" s="64">
        <f t="shared" si="1"/>
        <v>38</v>
      </c>
      <c r="C44" s="2"/>
      <c r="D44" s="2" t="s">
        <v>17</v>
      </c>
      <c r="E44" s="23">
        <v>2029</v>
      </c>
      <c r="F44" s="65">
        <f>H44</f>
        <v>93.28</v>
      </c>
      <c r="G44" s="6">
        <f>F44*E44</f>
        <v>189265.12</v>
      </c>
      <c r="H44" s="20">
        <v>93.28</v>
      </c>
      <c r="I44" s="6">
        <f>H44*E44</f>
        <v>189265.12</v>
      </c>
      <c r="J44" s="165">
        <v>7.2169382229821694E-2</v>
      </c>
      <c r="K44" s="55"/>
      <c r="L44" s="19">
        <f>ROUND(J44*K48/E44,2)</f>
        <v>84.05</v>
      </c>
      <c r="M44" s="6">
        <f>L44*E44</f>
        <v>170537.44999999998</v>
      </c>
      <c r="N44" s="6">
        <f>M44-I44</f>
        <v>-18727.670000000013</v>
      </c>
      <c r="O44" s="5">
        <f>IF(I44=0,0,N44/I44)</f>
        <v>-9.8949399656946893E-2</v>
      </c>
      <c r="P44" s="5">
        <f>M44/M$48</f>
        <v>7.2166800050645297E-2</v>
      </c>
      <c r="Q44" s="17">
        <f>P44-J44</f>
        <v>-2.5821791763969149E-6</v>
      </c>
      <c r="R44" s="17"/>
    </row>
    <row r="45" spans="1:20" x14ac:dyDescent="0.25">
      <c r="A45" s="64">
        <f t="shared" si="1"/>
        <v>39</v>
      </c>
      <c r="D45" s="2" t="s">
        <v>52</v>
      </c>
      <c r="E45" s="23">
        <v>93732</v>
      </c>
      <c r="F45" s="65">
        <f>H45</f>
        <v>6.27</v>
      </c>
      <c r="G45" s="6">
        <f t="shared" ref="G45" si="38">F45*E45</f>
        <v>587699.64</v>
      </c>
      <c r="H45" s="20">
        <v>6.27</v>
      </c>
      <c r="I45" s="6">
        <f t="shared" ref="I45" si="39">H45*E45</f>
        <v>587699.64</v>
      </c>
      <c r="J45" s="165">
        <v>0.25819802941040915</v>
      </c>
      <c r="K45" s="55"/>
      <c r="L45" s="19">
        <f>ROUND(J45*K48/E45,2)</f>
        <v>6.51</v>
      </c>
      <c r="M45" s="6">
        <f t="shared" ref="M45" si="40">L45*E45</f>
        <v>610195.31999999995</v>
      </c>
      <c r="N45" s="6">
        <f t="shared" ref="N45" si="41">M45-I45</f>
        <v>22495.679999999935</v>
      </c>
      <c r="O45" s="5">
        <f t="shared" ref="O45" si="42">IF(I45=0,0,N45/I45)</f>
        <v>3.8277511961722376E-2</v>
      </c>
      <c r="P45" s="5">
        <f>M45/M$48</f>
        <v>0.25821802571974378</v>
      </c>
      <c r="Q45" s="17">
        <f t="shared" ref="Q45" si="43">P45-J45</f>
        <v>1.9996309334635587E-5</v>
      </c>
      <c r="R45" s="17"/>
      <c r="T45" s="5">
        <f>L45/H45-1</f>
        <v>3.8277511961722466E-2</v>
      </c>
    </row>
    <row r="46" spans="1:20" x14ac:dyDescent="0.25">
      <c r="A46" s="64">
        <f t="shared" si="1"/>
        <v>40</v>
      </c>
      <c r="D46" s="2" t="s">
        <v>76</v>
      </c>
      <c r="E46" s="23">
        <v>20166241</v>
      </c>
      <c r="F46" s="161">
        <f>H46+0.00161</f>
        <v>5.8689999999999999E-2</v>
      </c>
      <c r="G46" s="6">
        <f t="shared" ref="G46" si="44">F46*E46</f>
        <v>1183556.68429</v>
      </c>
      <c r="H46" s="161">
        <v>5.7079999999999999E-2</v>
      </c>
      <c r="I46" s="6">
        <f t="shared" ref="I46" si="45">H46*E46</f>
        <v>1151089.0362799999</v>
      </c>
      <c r="J46" s="165">
        <v>0.48933588461802496</v>
      </c>
      <c r="K46" s="55"/>
      <c r="L46" s="166">
        <f>ROUND(J46*K48/E46,5)</f>
        <v>5.7340000000000002E-2</v>
      </c>
      <c r="M46" s="6">
        <f t="shared" ref="M46" si="46">L46*E46</f>
        <v>1156332.2589400001</v>
      </c>
      <c r="N46" s="6">
        <f t="shared" ref="N46" si="47">M46-I46</f>
        <v>5243.2226600002032</v>
      </c>
      <c r="O46" s="5">
        <f t="shared" ref="O46" si="48">IF(I46=0,0,N46/I46)</f>
        <v>4.5550105115628962E-3</v>
      </c>
      <c r="P46" s="5">
        <f>M46/M$48</f>
        <v>0.48932829078325024</v>
      </c>
      <c r="Q46" s="17">
        <f t="shared" ref="Q46" si="49">P46-J46</f>
        <v>-7.5938347747217527E-6</v>
      </c>
      <c r="R46" s="17"/>
      <c r="T46" s="5">
        <f>L46/H46-1</f>
        <v>4.5550105115628181E-3</v>
      </c>
    </row>
    <row r="47" spans="1:20" x14ac:dyDescent="0.25">
      <c r="A47" s="64">
        <f t="shared" si="1"/>
        <v>41</v>
      </c>
      <c r="D47" s="2" t="s">
        <v>77</v>
      </c>
      <c r="E47" s="23">
        <v>6841756</v>
      </c>
      <c r="F47" s="161">
        <f>H47+0.00161</f>
        <v>5.2569999999999999E-2</v>
      </c>
      <c r="G47" s="6">
        <f t="shared" ref="G47" si="50">F47*E47</f>
        <v>359671.11291999999</v>
      </c>
      <c r="H47" s="161">
        <v>5.0959999999999998E-2</v>
      </c>
      <c r="I47" s="6">
        <f t="shared" ref="I47" si="51">H47*E47</f>
        <v>348655.88575999998</v>
      </c>
      <c r="J47" s="165">
        <v>0.18029670374174417</v>
      </c>
      <c r="K47" s="55"/>
      <c r="L47" s="166">
        <f>ROUND(J47*K48/E47,5)</f>
        <v>6.2269999999999999E-2</v>
      </c>
      <c r="M47" s="6">
        <f t="shared" ref="M47" si="52">L47*E47</f>
        <v>426036.14611999999</v>
      </c>
      <c r="N47" s="6">
        <f t="shared" ref="N47" si="53">M47-I47</f>
        <v>77380.260360000015</v>
      </c>
      <c r="O47" s="5">
        <f t="shared" ref="O47" si="54">IF(I47=0,0,N47/I47)</f>
        <v>0.22193877551020413</v>
      </c>
      <c r="P47" s="5">
        <f>M47/M$48</f>
        <v>0.18028688344636057</v>
      </c>
      <c r="Q47" s="17">
        <f t="shared" ref="Q47" si="55">P47-J47</f>
        <v>-9.8202953836001861E-6</v>
      </c>
      <c r="R47" s="17"/>
      <c r="T47" s="5">
        <f>L47/H47-1</f>
        <v>0.22193877551020402</v>
      </c>
    </row>
    <row r="48" spans="1:20" s="7" customFormat="1" ht="20.399999999999999" customHeight="1" x14ac:dyDescent="0.3">
      <c r="A48" s="64">
        <f t="shared" si="1"/>
        <v>42</v>
      </c>
      <c r="C48" s="28"/>
      <c r="D48" s="30" t="s">
        <v>6</v>
      </c>
      <c r="E48" s="30"/>
      <c r="F48" s="30"/>
      <c r="G48" s="31">
        <f>SUM(G44:G47)</f>
        <v>2320192.5572100002</v>
      </c>
      <c r="H48" s="30"/>
      <c r="I48" s="32">
        <f>SUM(I44:I47)</f>
        <v>2276709.6820399999</v>
      </c>
      <c r="J48" s="33">
        <f>SUM(J44:J47)</f>
        <v>1</v>
      </c>
      <c r="K48" s="56">
        <f>I48+Summary!I11</f>
        <v>2363119.11204</v>
      </c>
      <c r="L48" s="30"/>
      <c r="M48" s="31">
        <f>SUM(M44:M47)</f>
        <v>2363101.1750600003</v>
      </c>
      <c r="N48" s="31">
        <f>SUM(N44:N47)</f>
        <v>86391.49302000014</v>
      </c>
      <c r="O48" s="33">
        <f t="shared" ref="O48" si="56">N48/I48</f>
        <v>3.7945766077030423E-2</v>
      </c>
      <c r="P48" s="33">
        <f>SUM(P44:P47)</f>
        <v>0.99999999999999989</v>
      </c>
      <c r="Q48" s="34">
        <f t="shared" ref="Q48" si="57">P48-J48</f>
        <v>0</v>
      </c>
      <c r="R48" s="47">
        <f>M48-K48</f>
        <v>-17.936979999765754</v>
      </c>
      <c r="S48" s="115">
        <f>K48/I48</f>
        <v>1.0379536445431088</v>
      </c>
    </row>
    <row r="49" spans="1:20" x14ac:dyDescent="0.25">
      <c r="A49" s="64">
        <f t="shared" si="1"/>
        <v>43</v>
      </c>
      <c r="D49" s="2" t="s">
        <v>29</v>
      </c>
      <c r="G49" s="22">
        <v>-119974.75</v>
      </c>
      <c r="I49" s="61">
        <f>G49+(0.00161*E47)</f>
        <v>-108959.52284000001</v>
      </c>
      <c r="K49" s="69">
        <f>K48-I48</f>
        <v>86409.430000000168</v>
      </c>
      <c r="M49" s="6">
        <f>I49</f>
        <v>-108959.52284000001</v>
      </c>
      <c r="N49" s="6">
        <f t="shared" ref="N49:N55" si="58">M49-I49</f>
        <v>0</v>
      </c>
      <c r="O49" s="18">
        <v>0</v>
      </c>
    </row>
    <row r="50" spans="1:20" x14ac:dyDescent="0.25">
      <c r="A50" s="64">
        <f t="shared" si="1"/>
        <v>44</v>
      </c>
      <c r="D50" s="2" t="s">
        <v>30</v>
      </c>
      <c r="G50" s="22">
        <v>221161.7</v>
      </c>
      <c r="I50" s="21">
        <f t="shared" ref="I50:I52" si="59">G50</f>
        <v>221161.7</v>
      </c>
      <c r="M50" s="6">
        <f t="shared" ref="M50:M52" si="60">I50</f>
        <v>221161.7</v>
      </c>
      <c r="N50" s="6">
        <f t="shared" si="58"/>
        <v>0</v>
      </c>
      <c r="O50" s="18">
        <v>0</v>
      </c>
    </row>
    <row r="51" spans="1:20" x14ac:dyDescent="0.25">
      <c r="A51" s="64">
        <f t="shared" si="1"/>
        <v>45</v>
      </c>
      <c r="D51" s="2" t="s">
        <v>32</v>
      </c>
      <c r="G51" s="22">
        <v>0</v>
      </c>
      <c r="I51" s="21">
        <f t="shared" si="59"/>
        <v>0</v>
      </c>
      <c r="M51" s="6">
        <f t="shared" si="60"/>
        <v>0</v>
      </c>
      <c r="N51" s="6">
        <f t="shared" si="58"/>
        <v>0</v>
      </c>
      <c r="O51" s="18">
        <v>0</v>
      </c>
    </row>
    <row r="52" spans="1:20" x14ac:dyDescent="0.25">
      <c r="A52" s="64">
        <f t="shared" si="1"/>
        <v>46</v>
      </c>
      <c r="D52" s="2" t="s">
        <v>42</v>
      </c>
      <c r="G52" s="22">
        <v>0</v>
      </c>
      <c r="I52" s="21">
        <f t="shared" si="59"/>
        <v>0</v>
      </c>
      <c r="M52" s="6">
        <f t="shared" si="60"/>
        <v>0</v>
      </c>
      <c r="N52" s="6"/>
      <c r="O52" s="18"/>
    </row>
    <row r="53" spans="1:20" x14ac:dyDescent="0.25">
      <c r="A53" s="64">
        <f t="shared" si="1"/>
        <v>47</v>
      </c>
      <c r="D53" s="24" t="s">
        <v>8</v>
      </c>
      <c r="E53" s="24"/>
      <c r="F53" s="24"/>
      <c r="G53" s="25">
        <f>SUM(G49:G52)</f>
        <v>101186.95000000001</v>
      </c>
      <c r="H53" s="24"/>
      <c r="I53" s="25">
        <f>SUM(I49:I52)</f>
        <v>112202.17716000001</v>
      </c>
      <c r="J53" s="24"/>
      <c r="K53" s="57"/>
      <c r="L53" s="24"/>
      <c r="M53" s="25">
        <f>SUM(M49:M52)</f>
        <v>112202.17716000001</v>
      </c>
      <c r="N53" s="25">
        <f t="shared" si="58"/>
        <v>0</v>
      </c>
      <c r="O53" s="35">
        <f t="shared" ref="O53" si="61">N53-J53</f>
        <v>0</v>
      </c>
    </row>
    <row r="54" spans="1:20" s="7" customFormat="1" ht="26.4" customHeight="1" thickBot="1" x14ac:dyDescent="0.3">
      <c r="A54" s="64">
        <f t="shared" si="1"/>
        <v>48</v>
      </c>
      <c r="C54" s="28"/>
      <c r="D54" s="8" t="s">
        <v>19</v>
      </c>
      <c r="E54" s="8"/>
      <c r="F54" s="8"/>
      <c r="G54" s="9">
        <f>G48+G53</f>
        <v>2421379.5072100004</v>
      </c>
      <c r="H54" s="8"/>
      <c r="I54" s="26">
        <f>I53+I48</f>
        <v>2388911.8591999998</v>
      </c>
      <c r="J54" s="8"/>
      <c r="K54" s="58"/>
      <c r="L54" s="8"/>
      <c r="M54" s="9">
        <f>M53+M48</f>
        <v>2475303.3522200002</v>
      </c>
      <c r="N54" s="9">
        <f t="shared" si="58"/>
        <v>86391.493020000402</v>
      </c>
      <c r="O54" s="10">
        <f>N54/I54</f>
        <v>3.6163533069374622E-2</v>
      </c>
      <c r="P54" s="2"/>
      <c r="Q54" s="2"/>
      <c r="R54" s="2"/>
    </row>
    <row r="55" spans="1:20" ht="13.8" thickTop="1" x14ac:dyDescent="0.25">
      <c r="A55" s="64">
        <f t="shared" si="1"/>
        <v>49</v>
      </c>
      <c r="D55" s="2" t="s">
        <v>18</v>
      </c>
      <c r="E55" s="18">
        <f>E47/E44</f>
        <v>3371.9842286840808</v>
      </c>
      <c r="G55" s="16">
        <f>G54/E44</f>
        <v>1193.3856615130608</v>
      </c>
      <c r="I55" s="16">
        <f>I54/E44</f>
        <v>1177.3838635781171</v>
      </c>
      <c r="M55" s="16">
        <f>M54/E44</f>
        <v>1219.9622238639724</v>
      </c>
      <c r="N55" s="16">
        <f t="shared" si="58"/>
        <v>42.578360285855297</v>
      </c>
      <c r="O55" s="5">
        <f>N55/I55</f>
        <v>3.6163533069374622E-2</v>
      </c>
    </row>
    <row r="56" spans="1:20" ht="13.8" thickBot="1" x14ac:dyDescent="0.3">
      <c r="A56" s="64">
        <f t="shared" si="1"/>
        <v>50</v>
      </c>
    </row>
    <row r="57" spans="1:20" x14ac:dyDescent="0.25">
      <c r="A57" s="64">
        <f t="shared" si="1"/>
        <v>51</v>
      </c>
      <c r="B57" s="41" t="s">
        <v>109</v>
      </c>
      <c r="C57" s="42" t="s">
        <v>78</v>
      </c>
      <c r="D57" s="41"/>
      <c r="E57" s="41"/>
      <c r="F57" s="41"/>
      <c r="G57" s="41"/>
      <c r="H57" s="41"/>
      <c r="I57" s="41"/>
      <c r="J57" s="41"/>
      <c r="K57" s="54"/>
      <c r="L57" s="41"/>
      <c r="M57" s="41"/>
      <c r="N57" s="41"/>
      <c r="O57" s="41"/>
      <c r="P57" s="41"/>
      <c r="Q57" s="41"/>
      <c r="R57" s="41"/>
    </row>
    <row r="58" spans="1:20" x14ac:dyDescent="0.25">
      <c r="A58" s="64">
        <f t="shared" si="1"/>
        <v>52</v>
      </c>
      <c r="C58" s="2"/>
      <c r="D58" s="2" t="s">
        <v>17</v>
      </c>
      <c r="E58" s="23">
        <v>108</v>
      </c>
      <c r="F58" s="65">
        <f t="shared" ref="F58:F59" si="62">H58</f>
        <v>114.5</v>
      </c>
      <c r="G58" s="6">
        <f>F58*E58</f>
        <v>12366</v>
      </c>
      <c r="H58" s="20">
        <v>114.5</v>
      </c>
      <c r="I58" s="6">
        <f>H58*E58</f>
        <v>12366</v>
      </c>
      <c r="J58" s="165">
        <v>1.5149583006591564E-2</v>
      </c>
      <c r="K58" s="55"/>
      <c r="L58" s="19">
        <f>ROUND(J58*K62/E58,2)</f>
        <v>115.17</v>
      </c>
      <c r="M58" s="6">
        <f>L58*E58</f>
        <v>12438.36</v>
      </c>
      <c r="N58" s="6">
        <f>M58-I58</f>
        <v>72.360000000000582</v>
      </c>
      <c r="O58" s="5">
        <f>IF(I58=0,0,N58/I58)</f>
        <v>5.8515283842795231E-3</v>
      </c>
      <c r="P58" s="5">
        <f>M58/M$62</f>
        <v>1.5148267685645988E-2</v>
      </c>
      <c r="Q58" s="17">
        <f>P58-J58</f>
        <v>-1.3153209455756681E-6</v>
      </c>
      <c r="R58" s="17"/>
      <c r="T58" s="5"/>
    </row>
    <row r="59" spans="1:20" x14ac:dyDescent="0.25">
      <c r="A59" s="64">
        <f t="shared" si="1"/>
        <v>53</v>
      </c>
      <c r="D59" s="2" t="s">
        <v>52</v>
      </c>
      <c r="E59" s="23">
        <v>39667</v>
      </c>
      <c r="F59" s="65">
        <f t="shared" si="62"/>
        <v>6.47</v>
      </c>
      <c r="G59" s="6">
        <f t="shared" ref="G59" si="63">F59*E59</f>
        <v>256645.49</v>
      </c>
      <c r="H59" s="20">
        <v>6.47</v>
      </c>
      <c r="I59" s="6">
        <f t="shared" ref="I59" si="64">H59*E59</f>
        <v>256645.49</v>
      </c>
      <c r="J59" s="165">
        <v>0.30473114519134076</v>
      </c>
      <c r="K59" s="55"/>
      <c r="L59" s="19">
        <f>ROUND(J59*K62/E59,2)</f>
        <v>6.31</v>
      </c>
      <c r="M59" s="6">
        <f t="shared" ref="M59" si="65">L59*E59</f>
        <v>250298.77</v>
      </c>
      <c r="N59" s="6">
        <f t="shared" ref="N59" si="66">M59-I59</f>
        <v>-6346.7200000000012</v>
      </c>
      <c r="O59" s="5">
        <f t="shared" ref="O59" si="67">IF(I59=0,0,N59/I59)</f>
        <v>-2.4729520865533237E-2</v>
      </c>
      <c r="P59" s="5">
        <f>M59/M$62</f>
        <v>0.30483060221347003</v>
      </c>
      <c r="Q59" s="17">
        <f t="shared" ref="Q59" si="68">P59-J59</f>
        <v>9.945702212926788E-5</v>
      </c>
      <c r="R59" s="17"/>
      <c r="T59" s="5">
        <f>L59/H59-1</f>
        <v>-2.4729520865533261E-2</v>
      </c>
    </row>
    <row r="60" spans="1:20" x14ac:dyDescent="0.25">
      <c r="A60" s="64">
        <f t="shared" si="1"/>
        <v>54</v>
      </c>
      <c r="D60" s="2" t="s">
        <v>76</v>
      </c>
      <c r="E60" s="23">
        <v>1059840</v>
      </c>
      <c r="F60" s="161">
        <f>H60+0.00161</f>
        <v>5.8200000000000002E-2</v>
      </c>
      <c r="G60" s="6">
        <f t="shared" ref="G60" si="69">F60*E60</f>
        <v>61682.688000000002</v>
      </c>
      <c r="H60" s="161">
        <v>5.6590000000000001E-2</v>
      </c>
      <c r="I60" s="6">
        <f t="shared" ref="I60" si="70">H60*E60</f>
        <v>59976.345600000001</v>
      </c>
      <c r="J60" s="165">
        <v>0</v>
      </c>
      <c r="K60" s="55"/>
      <c r="L60" s="19">
        <f>ROUND(J60*K62/E60,5)</f>
        <v>0</v>
      </c>
      <c r="M60" s="6">
        <f t="shared" ref="M60" si="71">L60*E60</f>
        <v>0</v>
      </c>
      <c r="N60" s="6">
        <f t="shared" ref="N60" si="72">M60-I60</f>
        <v>-59976.345600000001</v>
      </c>
      <c r="O60" s="5">
        <f t="shared" ref="O60" si="73">IF(I60=0,0,N60/I60)</f>
        <v>-1</v>
      </c>
      <c r="P60" s="5">
        <f>M60/M$62</f>
        <v>0</v>
      </c>
      <c r="Q60" s="17">
        <f t="shared" ref="Q60" si="74">P60-J60</f>
        <v>0</v>
      </c>
      <c r="R60" s="17"/>
      <c r="T60" s="5">
        <f>L60/H60-1</f>
        <v>-1</v>
      </c>
    </row>
    <row r="61" spans="1:20" x14ac:dyDescent="0.25">
      <c r="A61" s="64">
        <f t="shared" si="1"/>
        <v>55</v>
      </c>
      <c r="D61" s="2" t="s">
        <v>77</v>
      </c>
      <c r="E61" s="23">
        <v>9279884</v>
      </c>
      <c r="F61" s="161">
        <f>H61+0.00161</f>
        <v>5.2130000000000003E-2</v>
      </c>
      <c r="G61" s="6">
        <f t="shared" ref="G61" si="75">F61*E61</f>
        <v>483760.35292000003</v>
      </c>
      <c r="H61" s="161">
        <v>5.0520000000000002E-2</v>
      </c>
      <c r="I61" s="6">
        <f t="shared" ref="I61" si="76">H61*E61</f>
        <v>468819.73968</v>
      </c>
      <c r="J61" s="165">
        <v>0.68011927180206777</v>
      </c>
      <c r="K61" s="55"/>
      <c r="L61" s="166">
        <f>ROUND(J61*K62/E61,5)</f>
        <v>6.0170000000000001E-2</v>
      </c>
      <c r="M61" s="6">
        <f t="shared" ref="M61" si="77">L61*E61</f>
        <v>558370.62028000003</v>
      </c>
      <c r="N61" s="6">
        <f t="shared" ref="N61" si="78">M61-I61</f>
        <v>89550.880600000033</v>
      </c>
      <c r="O61" s="5">
        <f t="shared" ref="O61" si="79">IF(I61=0,0,N61/I61)</f>
        <v>0.19101346001583538</v>
      </c>
      <c r="P61" s="5">
        <f>M61/M$62</f>
        <v>0.68002113010088394</v>
      </c>
      <c r="Q61" s="17">
        <f t="shared" ref="Q61" si="80">P61-J61</f>
        <v>-9.8141701183829255E-5</v>
      </c>
      <c r="R61" s="17"/>
      <c r="T61" s="5">
        <f>L61/H61-1</f>
        <v>0.1910134600158353</v>
      </c>
    </row>
    <row r="62" spans="1:20" s="7" customFormat="1" ht="20.399999999999999" customHeight="1" x14ac:dyDescent="0.3">
      <c r="A62" s="64">
        <f t="shared" si="1"/>
        <v>56</v>
      </c>
      <c r="C62" s="28"/>
      <c r="D62" s="30" t="s">
        <v>6</v>
      </c>
      <c r="E62" s="30"/>
      <c r="F62" s="30"/>
      <c r="G62" s="31">
        <f>SUM(G58:G61)</f>
        <v>814454.53092000005</v>
      </c>
      <c r="H62" s="66"/>
      <c r="I62" s="32">
        <f>SUM(I58:I61)</f>
        <v>797807.57527999999</v>
      </c>
      <c r="J62" s="33">
        <f>SUM(J58:J61)</f>
        <v>1</v>
      </c>
      <c r="K62" s="56">
        <f>I62+Summary!I12</f>
        <v>821037.78527999995</v>
      </c>
      <c r="L62" s="30"/>
      <c r="M62" s="31">
        <f>SUM(M58:M61)</f>
        <v>821107.75028000004</v>
      </c>
      <c r="N62" s="31">
        <f>SUM(N58:N61)</f>
        <v>23300.175000000032</v>
      </c>
      <c r="O62" s="33">
        <f t="shared" ref="O62" si="81">N62/I62</f>
        <v>2.9205256658314582E-2</v>
      </c>
      <c r="P62" s="33">
        <f>SUM(P58:P61)</f>
        <v>1</v>
      </c>
      <c r="Q62" s="34">
        <f t="shared" ref="Q62" si="82">P62-J62</f>
        <v>0</v>
      </c>
      <c r="R62" s="47">
        <f>M62-K62</f>
        <v>69.965000000083819</v>
      </c>
      <c r="S62" s="115">
        <f>K62/I62</f>
        <v>1.0291175600731128</v>
      </c>
    </row>
    <row r="63" spans="1:20" x14ac:dyDescent="0.25">
      <c r="A63" s="64">
        <f t="shared" si="1"/>
        <v>57</v>
      </c>
      <c r="D63" s="2" t="s">
        <v>29</v>
      </c>
      <c r="G63" s="22">
        <v>-45983.43</v>
      </c>
      <c r="I63" s="61">
        <f>G63+(0.00161*(E61))</f>
        <v>-31042.816760000002</v>
      </c>
      <c r="K63" s="69">
        <f>K62-I62</f>
        <v>23230.209999999963</v>
      </c>
      <c r="M63" s="6">
        <f>I63</f>
        <v>-31042.816760000002</v>
      </c>
      <c r="N63" s="6">
        <f t="shared" ref="N63:N69" si="83">M63-I63</f>
        <v>0</v>
      </c>
      <c r="O63" s="18">
        <v>0</v>
      </c>
    </row>
    <row r="64" spans="1:20" x14ac:dyDescent="0.25">
      <c r="A64" s="64">
        <f t="shared" si="1"/>
        <v>58</v>
      </c>
      <c r="D64" s="2" t="s">
        <v>30</v>
      </c>
      <c r="G64" s="22">
        <v>75416.710000000006</v>
      </c>
      <c r="I64" s="21">
        <f t="shared" ref="I64:I66" si="84">G64</f>
        <v>75416.710000000006</v>
      </c>
      <c r="M64" s="6">
        <f t="shared" ref="M64:M66" si="85">I64</f>
        <v>75416.710000000006</v>
      </c>
      <c r="N64" s="6">
        <f t="shared" si="83"/>
        <v>0</v>
      </c>
      <c r="O64" s="18">
        <v>0</v>
      </c>
    </row>
    <row r="65" spans="1:20" x14ac:dyDescent="0.25">
      <c r="A65" s="64">
        <f t="shared" si="1"/>
        <v>59</v>
      </c>
      <c r="D65" s="2" t="s">
        <v>32</v>
      </c>
      <c r="G65" s="22">
        <v>0</v>
      </c>
      <c r="I65" s="21">
        <f t="shared" si="84"/>
        <v>0</v>
      </c>
      <c r="M65" s="6">
        <f t="shared" si="85"/>
        <v>0</v>
      </c>
      <c r="N65" s="6">
        <f t="shared" si="83"/>
        <v>0</v>
      </c>
      <c r="O65" s="18">
        <v>0</v>
      </c>
    </row>
    <row r="66" spans="1:20" x14ac:dyDescent="0.25">
      <c r="A66" s="64">
        <f t="shared" si="1"/>
        <v>60</v>
      </c>
      <c r="D66" s="2" t="s">
        <v>42</v>
      </c>
      <c r="G66" s="22">
        <v>0</v>
      </c>
      <c r="I66" s="21">
        <f t="shared" si="84"/>
        <v>0</v>
      </c>
      <c r="M66" s="6">
        <f t="shared" si="85"/>
        <v>0</v>
      </c>
      <c r="N66" s="6"/>
      <c r="O66" s="18"/>
    </row>
    <row r="67" spans="1:20" x14ac:dyDescent="0.25">
      <c r="A67" s="64">
        <f t="shared" si="1"/>
        <v>61</v>
      </c>
      <c r="D67" s="24" t="s">
        <v>8</v>
      </c>
      <c r="E67" s="24"/>
      <c r="F67" s="24"/>
      <c r="G67" s="25">
        <f>SUM(G63:G66)</f>
        <v>29433.280000000006</v>
      </c>
      <c r="H67" s="24"/>
      <c r="I67" s="25">
        <f>SUM(I63:I66)</f>
        <v>44373.893240000005</v>
      </c>
      <c r="J67" s="24"/>
      <c r="K67" s="57"/>
      <c r="L67" s="24"/>
      <c r="M67" s="25">
        <f>SUM(M63:M66)</f>
        <v>44373.893240000005</v>
      </c>
      <c r="N67" s="25">
        <f t="shared" si="83"/>
        <v>0</v>
      </c>
      <c r="O67" s="35">
        <f t="shared" ref="O67" si="86">N67-J67</f>
        <v>0</v>
      </c>
    </row>
    <row r="68" spans="1:20" s="7" customFormat="1" ht="26.4" customHeight="1" thickBot="1" x14ac:dyDescent="0.3">
      <c r="A68" s="64">
        <f t="shared" si="1"/>
        <v>62</v>
      </c>
      <c r="C68" s="28"/>
      <c r="D68" s="8" t="s">
        <v>19</v>
      </c>
      <c r="E68" s="8"/>
      <c r="F68" s="8"/>
      <c r="G68" s="9">
        <f>G62+G67</f>
        <v>843887.81092000008</v>
      </c>
      <c r="H68" s="8"/>
      <c r="I68" s="26">
        <f>I67+I62</f>
        <v>842181.46851999999</v>
      </c>
      <c r="J68" s="8"/>
      <c r="K68" s="58"/>
      <c r="L68" s="8"/>
      <c r="M68" s="9">
        <f>M67+M62</f>
        <v>865481.64352000004</v>
      </c>
      <c r="N68" s="9">
        <f t="shared" si="83"/>
        <v>23300.175000000047</v>
      </c>
      <c r="O68" s="10">
        <f>N68/I68</f>
        <v>2.7666454168062377E-2</v>
      </c>
      <c r="P68" s="2"/>
      <c r="Q68" s="2"/>
      <c r="R68" s="2"/>
    </row>
    <row r="69" spans="1:20" ht="13.8" thickTop="1" x14ac:dyDescent="0.25">
      <c r="A69" s="64">
        <f t="shared" si="1"/>
        <v>63</v>
      </c>
      <c r="D69" s="2" t="s">
        <v>18</v>
      </c>
      <c r="E69" s="18">
        <f>E61/E58</f>
        <v>85924.851851851854</v>
      </c>
      <c r="G69" s="16">
        <f>G68/E58</f>
        <v>7813.7760270370381</v>
      </c>
      <c r="I69" s="16">
        <f>I68/E58</f>
        <v>7797.97656037037</v>
      </c>
      <c r="M69" s="16">
        <f>M68/E58</f>
        <v>8013.7189214814816</v>
      </c>
      <c r="N69" s="16">
        <f t="shared" si="83"/>
        <v>215.74236111111168</v>
      </c>
      <c r="O69" s="5">
        <f>N69/I69</f>
        <v>2.7666454168062394E-2</v>
      </c>
    </row>
    <row r="70" spans="1:20" ht="13.8" thickBot="1" x14ac:dyDescent="0.3">
      <c r="A70" s="64">
        <f t="shared" si="1"/>
        <v>64</v>
      </c>
      <c r="B70" s="48"/>
      <c r="C70" s="51"/>
      <c r="D70" s="48"/>
      <c r="F70" s="48"/>
      <c r="G70" s="48"/>
      <c r="H70" s="48"/>
      <c r="I70" s="48"/>
      <c r="J70" s="48"/>
      <c r="L70" s="48"/>
      <c r="M70" s="48"/>
      <c r="N70" s="48"/>
      <c r="O70" s="48"/>
      <c r="P70" s="48"/>
      <c r="Q70" s="48"/>
      <c r="R70" s="48"/>
    </row>
    <row r="71" spans="1:20" x14ac:dyDescent="0.25">
      <c r="A71" s="64">
        <f t="shared" si="1"/>
        <v>65</v>
      </c>
      <c r="B71" s="41" t="s">
        <v>99</v>
      </c>
      <c r="C71" s="42" t="s">
        <v>101</v>
      </c>
      <c r="D71" s="41"/>
      <c r="E71" s="41"/>
      <c r="F71" s="41"/>
      <c r="G71" s="41"/>
      <c r="H71" s="41"/>
      <c r="I71" s="41"/>
      <c r="J71" s="41"/>
      <c r="K71" s="54"/>
      <c r="L71" s="54"/>
      <c r="M71" s="41"/>
      <c r="N71" s="41"/>
      <c r="O71" s="41"/>
      <c r="P71" s="41"/>
      <c r="Q71" s="41"/>
      <c r="R71" s="41"/>
    </row>
    <row r="72" spans="1:20" x14ac:dyDescent="0.25">
      <c r="A72" s="64">
        <f t="shared" si="1"/>
        <v>66</v>
      </c>
      <c r="C72" s="2"/>
      <c r="D72" s="2" t="s">
        <v>17</v>
      </c>
      <c r="E72" s="23">
        <v>12</v>
      </c>
      <c r="F72" s="65">
        <f>H72</f>
        <v>173.33</v>
      </c>
      <c r="G72" s="6">
        <f>F72*E72</f>
        <v>2079.96</v>
      </c>
      <c r="H72" s="20">
        <v>173.33</v>
      </c>
      <c r="I72" s="6">
        <f>H72*E72</f>
        <v>2079.96</v>
      </c>
      <c r="J72" s="165">
        <v>5.1576017729021758E-3</v>
      </c>
      <c r="K72" s="55"/>
      <c r="L72" s="19">
        <f>ROUND(J72*K77/E72,2)</f>
        <v>174.76</v>
      </c>
      <c r="M72" s="6">
        <f>L72*E72</f>
        <v>2097.12</v>
      </c>
      <c r="N72" s="6">
        <f>M72-I72</f>
        <v>17.159999999999854</v>
      </c>
      <c r="O72" s="5">
        <f>IF(I72=0,0,N72/I72)</f>
        <v>8.2501586568971778E-3</v>
      </c>
      <c r="P72" s="5">
        <f>M72/M$77</f>
        <v>5.1578227427119391E-3</v>
      </c>
      <c r="Q72" s="17">
        <f>P72-J72</f>
        <v>2.2096980976330644E-7</v>
      </c>
      <c r="R72" s="17"/>
    </row>
    <row r="73" spans="1:20" x14ac:dyDescent="0.25">
      <c r="A73" s="64">
        <f>A71+1</f>
        <v>66</v>
      </c>
      <c r="D73" s="2" t="s">
        <v>102</v>
      </c>
      <c r="E73" s="23">
        <f>850*12</f>
        <v>10200</v>
      </c>
      <c r="F73" s="65">
        <f>H73</f>
        <v>6.44</v>
      </c>
      <c r="G73" s="6">
        <f t="shared" ref="G73:G76" si="87">F73*E73</f>
        <v>65688</v>
      </c>
      <c r="H73" s="20">
        <v>6.44</v>
      </c>
      <c r="I73" s="6">
        <f t="shared" ref="I73" si="88">H73*E73</f>
        <v>65688</v>
      </c>
      <c r="J73" s="165">
        <v>0.16288416376199452</v>
      </c>
      <c r="K73" s="55"/>
      <c r="L73" s="19">
        <f>ROUND(J73*K77/E73,2)</f>
        <v>6.49</v>
      </c>
      <c r="M73" s="6">
        <f t="shared" ref="M73" si="89">L73*E73</f>
        <v>66198</v>
      </c>
      <c r="N73" s="6">
        <f t="shared" ref="N73" si="90">M73-I73</f>
        <v>510</v>
      </c>
      <c r="O73" s="5">
        <f t="shared" ref="O73" si="91">IF(I73=0,0,N73/I73)</f>
        <v>7.763975155279503E-3</v>
      </c>
      <c r="P73" s="5">
        <f t="shared" ref="P73:P76" si="92">M73/M$77</f>
        <v>0.16281259533171444</v>
      </c>
      <c r="Q73" s="17">
        <f t="shared" ref="Q73" si="93">P73-J73</f>
        <v>-7.1568430280083417E-5</v>
      </c>
      <c r="R73" s="17"/>
      <c r="T73" s="5">
        <f>L73/H73-1</f>
        <v>7.763975155279379E-3</v>
      </c>
    </row>
    <row r="74" spans="1:20" x14ac:dyDescent="0.25">
      <c r="A74" s="64">
        <f>A72+1</f>
        <v>67</v>
      </c>
      <c r="D74" s="2" t="s">
        <v>103</v>
      </c>
      <c r="E74" s="23">
        <f>11812-E73</f>
        <v>1612</v>
      </c>
      <c r="F74" s="65">
        <f>H74</f>
        <v>9.34</v>
      </c>
      <c r="G74" s="6">
        <f t="shared" si="87"/>
        <v>15056.08</v>
      </c>
      <c r="H74" s="20">
        <v>9.34</v>
      </c>
      <c r="I74" s="6">
        <f t="shared" ref="I74:I76" si="94">H74*E74</f>
        <v>15056.08</v>
      </c>
      <c r="J74" s="165">
        <v>1.9384971089734703E-2</v>
      </c>
      <c r="K74" s="55"/>
      <c r="L74" s="19">
        <f>ROUND(J74*K77/E74,2)</f>
        <v>4.8899999999999997</v>
      </c>
      <c r="M74" s="6">
        <f t="shared" ref="M74:M76" si="95">L74*E74</f>
        <v>7882.6799999999994</v>
      </c>
      <c r="N74" s="6">
        <f t="shared" ref="N74:N76" si="96">M74-I74</f>
        <v>-7173.4000000000005</v>
      </c>
      <c r="O74" s="5">
        <f t="shared" ref="O74:O76" si="97">IF(I74=0,0,N74/I74)</f>
        <v>-0.47644539614561032</v>
      </c>
      <c r="P74" s="5">
        <f t="shared" si="92"/>
        <v>1.9387286458343131E-2</v>
      </c>
      <c r="Q74" s="17">
        <f t="shared" ref="Q74:Q77" si="98">P74-J74</f>
        <v>2.3153686084277647E-6</v>
      </c>
      <c r="R74" s="17"/>
      <c r="T74" s="5">
        <f>L74/H74-1</f>
        <v>-0.47644539614561032</v>
      </c>
    </row>
    <row r="75" spans="1:20" x14ac:dyDescent="0.25">
      <c r="A75" s="64">
        <f t="shared" si="1"/>
        <v>68</v>
      </c>
      <c r="D75" s="2" t="s">
        <v>76</v>
      </c>
      <c r="E75" s="23">
        <v>0</v>
      </c>
      <c r="F75" s="161">
        <f>H75+0.00161</f>
        <v>5.339E-2</v>
      </c>
      <c r="G75" s="6">
        <f t="shared" si="87"/>
        <v>0</v>
      </c>
      <c r="H75" s="157">
        <v>5.178E-2</v>
      </c>
      <c r="I75" s="6">
        <f t="shared" si="94"/>
        <v>0</v>
      </c>
      <c r="J75" s="165">
        <v>0</v>
      </c>
      <c r="K75" s="55"/>
      <c r="L75" s="166">
        <f>H75</f>
        <v>5.178E-2</v>
      </c>
      <c r="M75" s="6">
        <f t="shared" si="95"/>
        <v>0</v>
      </c>
      <c r="N75" s="6">
        <f t="shared" si="96"/>
        <v>0</v>
      </c>
      <c r="O75" s="5">
        <f t="shared" si="97"/>
        <v>0</v>
      </c>
      <c r="P75" s="5">
        <f t="shared" si="92"/>
        <v>0</v>
      </c>
      <c r="Q75" s="17">
        <f t="shared" si="98"/>
        <v>0</v>
      </c>
      <c r="R75" s="17"/>
      <c r="T75" s="5">
        <f>L75/H75-1</f>
        <v>0</v>
      </c>
    </row>
    <row r="76" spans="1:20" x14ac:dyDescent="0.25">
      <c r="A76" s="64">
        <f t="shared" si="1"/>
        <v>69</v>
      </c>
      <c r="D76" s="2" t="s">
        <v>77</v>
      </c>
      <c r="E76" s="23">
        <v>6061500</v>
      </c>
      <c r="F76" s="161">
        <f>H76+0.00161</f>
        <v>5.2690000000000001E-2</v>
      </c>
      <c r="G76" s="6">
        <f t="shared" si="87"/>
        <v>319380.435</v>
      </c>
      <c r="H76" s="157">
        <v>5.108E-2</v>
      </c>
      <c r="I76" s="6">
        <f t="shared" si="94"/>
        <v>309621.42</v>
      </c>
      <c r="J76" s="165">
        <v>0.8125732633753685</v>
      </c>
      <c r="K76" s="55"/>
      <c r="L76" s="166">
        <f>ROUND(J76*K77/E76,5)</f>
        <v>5.4510000000000003E-2</v>
      </c>
      <c r="M76" s="6">
        <f t="shared" si="95"/>
        <v>330412.36499999999</v>
      </c>
      <c r="N76" s="6">
        <f t="shared" si="96"/>
        <v>20790.945000000007</v>
      </c>
      <c r="O76" s="5">
        <f t="shared" si="97"/>
        <v>6.714956930305406E-2</v>
      </c>
      <c r="P76" s="5">
        <f t="shared" si="92"/>
        <v>0.81264229546723055</v>
      </c>
      <c r="Q76" s="17">
        <f t="shared" si="98"/>
        <v>6.90320918620424E-5</v>
      </c>
      <c r="R76" s="17"/>
      <c r="T76" s="5">
        <f>L76/H76-1</f>
        <v>6.7149569303054157E-2</v>
      </c>
    </row>
    <row r="77" spans="1:20" s="7" customFormat="1" ht="20.399999999999999" customHeight="1" x14ac:dyDescent="0.3">
      <c r="A77" s="64">
        <f t="shared" si="1"/>
        <v>70</v>
      </c>
      <c r="C77" s="28"/>
      <c r="D77" s="30" t="s">
        <v>6</v>
      </c>
      <c r="E77" s="30"/>
      <c r="F77" s="30"/>
      <c r="G77" s="31">
        <f>SUM(G72:G76)</f>
        <v>402204.47499999998</v>
      </c>
      <c r="H77" s="30"/>
      <c r="I77" s="32">
        <f>SUM(I72:I76)</f>
        <v>392445.45999999996</v>
      </c>
      <c r="J77" s="33">
        <f>SUM(J72:J76)</f>
        <v>0.99999999999999989</v>
      </c>
      <c r="K77" s="56">
        <f>I77+Summary!I13</f>
        <v>406600.3</v>
      </c>
      <c r="L77" s="30"/>
      <c r="M77" s="31">
        <f>SUM(M72:M76)</f>
        <v>406590.16499999998</v>
      </c>
      <c r="N77" s="31">
        <f>SUM(N72:N76)</f>
        <v>14144.705000000005</v>
      </c>
      <c r="O77" s="33">
        <f t="shared" ref="O77" si="99">N77/I77</f>
        <v>3.6042473264947458E-2</v>
      </c>
      <c r="P77" s="33">
        <f>SUM(P72:P76)</f>
        <v>1</v>
      </c>
      <c r="Q77" s="34">
        <f t="shared" si="98"/>
        <v>0</v>
      </c>
      <c r="R77" s="47">
        <f>M77-K77</f>
        <v>-10.135000000009313</v>
      </c>
      <c r="S77" s="115">
        <f>K77/I77</f>
        <v>1.036068298509556</v>
      </c>
    </row>
    <row r="78" spans="1:20" x14ac:dyDescent="0.25">
      <c r="A78" s="64">
        <f t="shared" si="1"/>
        <v>71</v>
      </c>
      <c r="D78" s="2" t="s">
        <v>29</v>
      </c>
      <c r="G78" s="22">
        <v>-27179.58</v>
      </c>
      <c r="I78" s="61">
        <f>G78+(0.00161*E76)</f>
        <v>-17420.565000000002</v>
      </c>
      <c r="K78" s="69">
        <f>K77-I77</f>
        <v>14154.840000000026</v>
      </c>
      <c r="M78" s="6">
        <f>I78</f>
        <v>-17420.565000000002</v>
      </c>
      <c r="N78" s="6">
        <f t="shared" ref="N78:N80" si="100">M78-I78</f>
        <v>0</v>
      </c>
      <c r="O78" s="18">
        <v>0</v>
      </c>
    </row>
    <row r="79" spans="1:20" x14ac:dyDescent="0.25">
      <c r="A79" s="64">
        <f t="shared" si="1"/>
        <v>72</v>
      </c>
      <c r="D79" s="2" t="s">
        <v>30</v>
      </c>
      <c r="G79" s="22">
        <v>36591.730000000003</v>
      </c>
      <c r="I79" s="21">
        <f t="shared" ref="I79:I81" si="101">G79</f>
        <v>36591.730000000003</v>
      </c>
      <c r="M79" s="6">
        <f t="shared" ref="M79:M81" si="102">I79</f>
        <v>36591.730000000003</v>
      </c>
      <c r="N79" s="6">
        <f t="shared" si="100"/>
        <v>0</v>
      </c>
      <c r="O79" s="18">
        <v>0</v>
      </c>
    </row>
    <row r="80" spans="1:20" x14ac:dyDescent="0.25">
      <c r="A80" s="64">
        <f t="shared" si="1"/>
        <v>73</v>
      </c>
      <c r="D80" s="2" t="s">
        <v>32</v>
      </c>
      <c r="G80" s="22">
        <v>0</v>
      </c>
      <c r="I80" s="21">
        <f t="shared" si="101"/>
        <v>0</v>
      </c>
      <c r="M80" s="6">
        <f t="shared" si="102"/>
        <v>0</v>
      </c>
      <c r="N80" s="6">
        <f t="shared" si="100"/>
        <v>0</v>
      </c>
      <c r="O80" s="18">
        <v>0</v>
      </c>
    </row>
    <row r="81" spans="1:20" x14ac:dyDescent="0.25">
      <c r="A81" s="64">
        <f t="shared" si="1"/>
        <v>74</v>
      </c>
      <c r="D81" s="2" t="s">
        <v>42</v>
      </c>
      <c r="G81" s="22">
        <v>0</v>
      </c>
      <c r="I81" s="21">
        <f t="shared" si="101"/>
        <v>0</v>
      </c>
      <c r="M81" s="6">
        <f t="shared" si="102"/>
        <v>0</v>
      </c>
      <c r="N81" s="6"/>
      <c r="O81" s="18"/>
    </row>
    <row r="82" spans="1:20" x14ac:dyDescent="0.25">
      <c r="A82" s="64">
        <f t="shared" si="1"/>
        <v>75</v>
      </c>
      <c r="D82" s="24" t="s">
        <v>8</v>
      </c>
      <c r="E82" s="24"/>
      <c r="F82" s="24"/>
      <c r="G82" s="25">
        <f>SUM(G78:G81)</f>
        <v>9412.1500000000015</v>
      </c>
      <c r="H82" s="24"/>
      <c r="I82" s="25">
        <f>SUM(I78:I81)</f>
        <v>19171.165000000001</v>
      </c>
      <c r="J82" s="24"/>
      <c r="K82" s="57"/>
      <c r="L82" s="24"/>
      <c r="M82" s="25">
        <f>SUM(M78:M81)</f>
        <v>19171.165000000001</v>
      </c>
      <c r="N82" s="25">
        <f t="shared" ref="N82:N84" si="103">M82-I82</f>
        <v>0</v>
      </c>
      <c r="O82" s="35">
        <f t="shared" ref="O82" si="104">N82-J82</f>
        <v>0</v>
      </c>
    </row>
    <row r="83" spans="1:20" s="7" customFormat="1" ht="26.4" customHeight="1" thickBot="1" x14ac:dyDescent="0.3">
      <c r="A83" s="64">
        <f t="shared" si="1"/>
        <v>76</v>
      </c>
      <c r="C83" s="28"/>
      <c r="D83" s="8" t="s">
        <v>19</v>
      </c>
      <c r="E83" s="8"/>
      <c r="F83" s="8"/>
      <c r="G83" s="9">
        <f>G77+G82</f>
        <v>411616.625</v>
      </c>
      <c r="H83" s="8"/>
      <c r="I83" s="26">
        <f>I82+I77</f>
        <v>411616.62499999994</v>
      </c>
      <c r="J83" s="8"/>
      <c r="K83" s="58"/>
      <c r="L83" s="8"/>
      <c r="M83" s="9">
        <f>M82+M77</f>
        <v>425761.32999999996</v>
      </c>
      <c r="N83" s="9">
        <f t="shared" si="103"/>
        <v>14144.705000000016</v>
      </c>
      <c r="O83" s="10">
        <f>N83/I83</f>
        <v>3.4363784504573933E-2</v>
      </c>
      <c r="P83" s="2"/>
      <c r="Q83" s="2"/>
      <c r="R83" s="2"/>
    </row>
    <row r="84" spans="1:20" ht="13.8" thickTop="1" x14ac:dyDescent="0.25">
      <c r="A84" s="64">
        <f t="shared" si="1"/>
        <v>77</v>
      </c>
      <c r="D84" s="2" t="s">
        <v>18</v>
      </c>
      <c r="E84" s="18">
        <f>E76/E72</f>
        <v>505125</v>
      </c>
      <c r="G84" s="16">
        <f>G83/E72</f>
        <v>34301.385416666664</v>
      </c>
      <c r="I84" s="16">
        <f>I83/E72</f>
        <v>34301.385416666664</v>
      </c>
      <c r="M84" s="16">
        <f>M83/E72</f>
        <v>35480.110833333332</v>
      </c>
      <c r="N84" s="16">
        <f t="shared" si="103"/>
        <v>1178.725416666668</v>
      </c>
      <c r="O84" s="5">
        <f>N84/I84</f>
        <v>3.4363784504573926E-2</v>
      </c>
    </row>
    <row r="85" spans="1:20" ht="13.8" thickBot="1" x14ac:dyDescent="0.3">
      <c r="A85" s="64">
        <f t="shared" si="1"/>
        <v>78</v>
      </c>
    </row>
    <row r="86" spans="1:20" x14ac:dyDescent="0.25">
      <c r="A86" s="64">
        <f>A70+1</f>
        <v>65</v>
      </c>
      <c r="B86" s="41" t="s">
        <v>33</v>
      </c>
      <c r="C86" s="42" t="s">
        <v>96</v>
      </c>
      <c r="D86" s="41"/>
      <c r="E86" s="41"/>
      <c r="F86" s="41"/>
      <c r="G86" s="41"/>
      <c r="H86" s="41"/>
      <c r="I86" s="41"/>
      <c r="J86" s="41"/>
      <c r="K86" s="54"/>
      <c r="L86" s="41"/>
      <c r="M86" s="41"/>
      <c r="N86" s="41"/>
      <c r="O86" s="41"/>
      <c r="P86" s="41"/>
      <c r="Q86" s="41"/>
      <c r="R86" s="41"/>
    </row>
    <row r="87" spans="1:20" x14ac:dyDescent="0.25">
      <c r="A87" s="64">
        <f t="shared" si="1"/>
        <v>66</v>
      </c>
      <c r="B87" s="60"/>
      <c r="C87" s="50"/>
      <c r="D87" s="2" t="s">
        <v>79</v>
      </c>
      <c r="E87" s="23">
        <v>242</v>
      </c>
      <c r="F87" s="20">
        <v>13.89</v>
      </c>
      <c r="G87" s="6">
        <f t="shared" ref="G87" si="105">F87*E87</f>
        <v>3361.38</v>
      </c>
      <c r="H87" s="20">
        <v>13.64</v>
      </c>
      <c r="I87" s="6">
        <f t="shared" ref="I87" si="106">H87*E87</f>
        <v>3300.88</v>
      </c>
      <c r="J87" s="5">
        <f>I87/I$104</f>
        <v>2.1274900514471709E-3</v>
      </c>
      <c r="K87" s="55"/>
      <c r="L87" s="19">
        <f>ROUND(H87*S$104,2)</f>
        <v>13.9</v>
      </c>
      <c r="M87" s="6">
        <f t="shared" ref="M87" si="107">L87*E87</f>
        <v>3363.8</v>
      </c>
      <c r="N87" s="6">
        <f t="shared" ref="N87" si="108">M87-I87</f>
        <v>62.920000000000073</v>
      </c>
      <c r="O87" s="5">
        <f t="shared" ref="O87" si="109">IF(I87=0,0,N87/I87)</f>
        <v>1.9061583577712631E-2</v>
      </c>
      <c r="P87" s="5">
        <f>M87/M$104</f>
        <v>2.1266888218774891E-3</v>
      </c>
      <c r="Q87" s="17">
        <f t="shared" ref="Q87" si="110">P87-J87</f>
        <v>-8.0122956968176756E-7</v>
      </c>
      <c r="R87" s="17"/>
      <c r="T87" s="5">
        <f>L87/H87-1</f>
        <v>1.9061583577712593E-2</v>
      </c>
    </row>
    <row r="88" spans="1:20" x14ac:dyDescent="0.25">
      <c r="A88" s="64">
        <f t="shared" ref="A88:A135" si="111">A87+1</f>
        <v>67</v>
      </c>
      <c r="B88" s="60"/>
      <c r="C88" s="50"/>
      <c r="D88" s="2" t="s">
        <v>80</v>
      </c>
      <c r="E88" s="23">
        <v>176</v>
      </c>
      <c r="F88" s="20">
        <v>9.31</v>
      </c>
      <c r="G88" s="6">
        <f t="shared" ref="G88:G90" si="112">F88*E88</f>
        <v>1638.5600000000002</v>
      </c>
      <c r="H88" s="20">
        <v>9.1999999999999993</v>
      </c>
      <c r="I88" s="6">
        <f t="shared" ref="I88:I90" si="113">H88*E88</f>
        <v>1619.1999999999998</v>
      </c>
      <c r="J88" s="5">
        <f>I88/I$104</f>
        <v>1.0436101558685136E-3</v>
      </c>
      <c r="K88" s="55"/>
      <c r="L88" s="19">
        <f>ROUND(H88*S$104,2)</f>
        <v>9.3800000000000008</v>
      </c>
      <c r="M88" s="6">
        <f t="shared" ref="M88:M90" si="114">L88*E88</f>
        <v>1650.88</v>
      </c>
      <c r="N88" s="6">
        <f t="shared" ref="N88:N90" si="115">M88-I88</f>
        <v>31.680000000000291</v>
      </c>
      <c r="O88" s="5">
        <f t="shared" ref="O88:O90" si="116">IF(I88=0,0,N88/I88)</f>
        <v>1.956521739130453E-2</v>
      </c>
      <c r="P88" s="5">
        <f>M88/M$104</f>
        <v>1.0437326958383699E-3</v>
      </c>
      <c r="Q88" s="17">
        <f t="shared" ref="Q88:Q90" si="117">P88-J88</f>
        <v>1.2253996985634071E-7</v>
      </c>
      <c r="R88" s="17"/>
      <c r="T88" s="5">
        <f t="shared" ref="T88:T103" si="118">L88/H88-1</f>
        <v>1.9565217391304568E-2</v>
      </c>
    </row>
    <row r="89" spans="1:20" x14ac:dyDescent="0.25">
      <c r="A89" s="64">
        <f t="shared" si="111"/>
        <v>68</v>
      </c>
      <c r="B89" s="60"/>
      <c r="C89" s="50"/>
      <c r="D89" s="2" t="s">
        <v>81</v>
      </c>
      <c r="E89" s="23">
        <v>132</v>
      </c>
      <c r="F89" s="20">
        <v>13.89</v>
      </c>
      <c r="G89" s="6">
        <f t="shared" si="112"/>
        <v>1833.48</v>
      </c>
      <c r="H89" s="20">
        <v>13.64</v>
      </c>
      <c r="I89" s="6">
        <f t="shared" si="113"/>
        <v>1800.48</v>
      </c>
      <c r="J89" s="5">
        <f>I89/I$104</f>
        <v>1.1604491189711841E-3</v>
      </c>
      <c r="K89" s="55"/>
      <c r="L89" s="19">
        <f>ROUND(H89*S$104,2)</f>
        <v>13.9</v>
      </c>
      <c r="M89" s="6">
        <f t="shared" si="114"/>
        <v>1834.8</v>
      </c>
      <c r="N89" s="6">
        <f t="shared" si="115"/>
        <v>34.319999999999936</v>
      </c>
      <c r="O89" s="5">
        <f t="shared" si="116"/>
        <v>1.9061583577712576E-2</v>
      </c>
      <c r="P89" s="5">
        <f>M89/M$104</f>
        <v>1.1600120846604483E-3</v>
      </c>
      <c r="Q89" s="17">
        <f t="shared" si="117"/>
        <v>-4.3703431073572642E-7</v>
      </c>
      <c r="R89" s="17"/>
      <c r="T89" s="5">
        <f t="shared" si="118"/>
        <v>1.9061583577712593E-2</v>
      </c>
    </row>
    <row r="90" spans="1:20" x14ac:dyDescent="0.25">
      <c r="A90" s="64">
        <f t="shared" si="111"/>
        <v>69</v>
      </c>
      <c r="B90" s="60"/>
      <c r="C90" s="50"/>
      <c r="D90" s="2" t="s">
        <v>82</v>
      </c>
      <c r="E90" s="23">
        <v>4644</v>
      </c>
      <c r="F90" s="20">
        <v>9.31</v>
      </c>
      <c r="G90" s="6">
        <f t="shared" si="112"/>
        <v>43235.64</v>
      </c>
      <c r="H90" s="20">
        <v>9.1999999999999993</v>
      </c>
      <c r="I90" s="6">
        <f t="shared" si="113"/>
        <v>42724.799999999996</v>
      </c>
      <c r="J90" s="5">
        <f>I90/I$104</f>
        <v>2.7537077067348731E-2</v>
      </c>
      <c r="K90" s="55"/>
      <c r="L90" s="19">
        <f>ROUND(H90*S$104,2)</f>
        <v>9.3800000000000008</v>
      </c>
      <c r="M90" s="6">
        <f t="shared" si="114"/>
        <v>43560.72</v>
      </c>
      <c r="N90" s="6">
        <f t="shared" si="115"/>
        <v>835.92000000000553</v>
      </c>
      <c r="O90" s="5">
        <f t="shared" si="116"/>
        <v>1.9565217391304478E-2</v>
      </c>
      <c r="P90" s="5">
        <f>M90/M$104</f>
        <v>2.7540310451553352E-2</v>
      </c>
      <c r="Q90" s="17">
        <f t="shared" si="117"/>
        <v>3.2333842046212979E-6</v>
      </c>
      <c r="R90" s="17"/>
      <c r="T90" s="5">
        <f t="shared" si="118"/>
        <v>1.9565217391304568E-2</v>
      </c>
    </row>
    <row r="91" spans="1:20" x14ac:dyDescent="0.25">
      <c r="A91" s="64">
        <f t="shared" si="111"/>
        <v>70</v>
      </c>
      <c r="B91" s="60"/>
      <c r="C91" s="50"/>
      <c r="D91" s="2" t="s">
        <v>83</v>
      </c>
      <c r="E91" s="23">
        <v>18109</v>
      </c>
      <c r="F91" s="20">
        <v>13.89</v>
      </c>
      <c r="G91" s="6">
        <f t="shared" ref="G91:G93" si="119">F91*E91</f>
        <v>251534.01</v>
      </c>
      <c r="H91" s="20">
        <v>13.64</v>
      </c>
      <c r="I91" s="6">
        <f t="shared" ref="I91:I93" si="120">H91*E91</f>
        <v>247006.76</v>
      </c>
      <c r="J91" s="5">
        <f t="shared" ref="J91:J93" si="121">I91/I$104</f>
        <v>0.15920131132916041</v>
      </c>
      <c r="K91" s="55"/>
      <c r="L91" s="19">
        <f t="shared" ref="L91:L93" si="122">ROUND(H91*S$104,2)</f>
        <v>13.9</v>
      </c>
      <c r="M91" s="6">
        <f t="shared" ref="M91:M93" si="123">L91*E91</f>
        <v>251715.1</v>
      </c>
      <c r="N91" s="6">
        <f t="shared" ref="N91:N93" si="124">M91-I91</f>
        <v>4708.3399999999965</v>
      </c>
      <c r="O91" s="5">
        <f t="shared" ref="O91:O93" si="125">IF(I91=0,0,N91/I91)</f>
        <v>1.9061583577712597E-2</v>
      </c>
      <c r="P91" s="5">
        <f t="shared" ref="P91:P93" si="126">M91/M$104</f>
        <v>0.15914135485693987</v>
      </c>
      <c r="Q91" s="17">
        <f t="shared" ref="Q91:Q93" si="127">P91-J91</f>
        <v>-5.9956472220540347E-5</v>
      </c>
      <c r="R91" s="17"/>
      <c r="T91" s="5"/>
    </row>
    <row r="92" spans="1:20" x14ac:dyDescent="0.25">
      <c r="A92" s="64">
        <f t="shared" si="111"/>
        <v>71</v>
      </c>
      <c r="B92" s="60"/>
      <c r="C92" s="50"/>
      <c r="D92" s="2" t="s">
        <v>84</v>
      </c>
      <c r="E92" s="23">
        <v>12271</v>
      </c>
      <c r="F92" s="20">
        <v>9.31</v>
      </c>
      <c r="G92" s="6">
        <f t="shared" si="119"/>
        <v>114243.01000000001</v>
      </c>
      <c r="H92" s="20">
        <v>9.1999999999999993</v>
      </c>
      <c r="I92" s="6">
        <f t="shared" si="120"/>
        <v>112893.2</v>
      </c>
      <c r="J92" s="5">
        <f t="shared" si="121"/>
        <v>7.2762160356037109E-2</v>
      </c>
      <c r="K92" s="55"/>
      <c r="L92" s="19">
        <f t="shared" si="122"/>
        <v>9.3800000000000008</v>
      </c>
      <c r="M92" s="6">
        <f t="shared" si="123"/>
        <v>115101.98000000001</v>
      </c>
      <c r="N92" s="6">
        <f t="shared" si="124"/>
        <v>2208.7800000000134</v>
      </c>
      <c r="O92" s="5">
        <f t="shared" si="125"/>
        <v>1.9565217391304467E-2</v>
      </c>
      <c r="P92" s="5">
        <f t="shared" si="126"/>
        <v>7.2770704037685444E-2</v>
      </c>
      <c r="Q92" s="17">
        <f t="shared" si="127"/>
        <v>8.5436816483347444E-6</v>
      </c>
      <c r="R92" s="17"/>
      <c r="T92" s="5"/>
    </row>
    <row r="93" spans="1:20" x14ac:dyDescent="0.25">
      <c r="A93" s="64">
        <f t="shared" si="111"/>
        <v>72</v>
      </c>
      <c r="B93" s="60"/>
      <c r="C93" s="50"/>
      <c r="D93" s="2" t="s">
        <v>85</v>
      </c>
      <c r="E93" s="23">
        <v>3458</v>
      </c>
      <c r="F93" s="20">
        <v>9.31</v>
      </c>
      <c r="G93" s="6">
        <f t="shared" si="119"/>
        <v>32193.980000000003</v>
      </c>
      <c r="H93" s="20">
        <v>9.1999999999999993</v>
      </c>
      <c r="I93" s="6">
        <f t="shared" si="120"/>
        <v>31813.599999999999</v>
      </c>
      <c r="J93" s="5">
        <f t="shared" si="121"/>
        <v>2.0504567721552954E-2</v>
      </c>
      <c r="K93" s="55"/>
      <c r="L93" s="19">
        <f t="shared" si="122"/>
        <v>9.3800000000000008</v>
      </c>
      <c r="M93" s="6">
        <f t="shared" si="123"/>
        <v>32436.040000000005</v>
      </c>
      <c r="N93" s="6">
        <f t="shared" si="124"/>
        <v>622.44000000000597</v>
      </c>
      <c r="O93" s="5">
        <f t="shared" si="125"/>
        <v>1.9565217391304537E-2</v>
      </c>
      <c r="P93" s="5">
        <f t="shared" si="126"/>
        <v>2.0506975353460702E-2</v>
      </c>
      <c r="Q93" s="17">
        <f t="shared" si="127"/>
        <v>2.4076319077477593E-6</v>
      </c>
      <c r="R93" s="17"/>
      <c r="T93" s="5">
        <f t="shared" si="118"/>
        <v>1.9565217391304568E-2</v>
      </c>
    </row>
    <row r="94" spans="1:20" x14ac:dyDescent="0.25">
      <c r="A94" s="64">
        <f t="shared" si="111"/>
        <v>73</v>
      </c>
      <c r="B94" s="60"/>
      <c r="C94" s="50"/>
      <c r="D94" s="2" t="s">
        <v>86</v>
      </c>
      <c r="E94" s="23">
        <v>13037</v>
      </c>
      <c r="F94" s="20">
        <v>9.31</v>
      </c>
      <c r="G94" s="6">
        <f t="shared" ref="G94:G103" si="128">F94*E94</f>
        <v>121374.47</v>
      </c>
      <c r="H94" s="20">
        <v>9.1999999999999993</v>
      </c>
      <c r="I94" s="6">
        <f t="shared" ref="I94:I103" si="129">H94*E94</f>
        <v>119940.4</v>
      </c>
      <c r="J94" s="5">
        <f t="shared" ref="J94:J103" si="130">I94/I$104</f>
        <v>7.7304236375328475E-2</v>
      </c>
      <c r="K94" s="55"/>
      <c r="L94" s="19">
        <f t="shared" ref="L94:L103" si="131">ROUND(H94*S$104,2)</f>
        <v>9.3800000000000008</v>
      </c>
      <c r="M94" s="6">
        <f t="shared" ref="M94:M103" si="132">L94*E94</f>
        <v>122287.06000000001</v>
      </c>
      <c r="N94" s="6">
        <f t="shared" ref="N94:N103" si="133">M94-I94</f>
        <v>2346.660000000018</v>
      </c>
      <c r="O94" s="5">
        <f t="shared" ref="O94:O103" si="134">IF(I94=0,0,N94/I94)</f>
        <v>1.9565217391304499E-2</v>
      </c>
      <c r="P94" s="5">
        <f t="shared" ref="P94:P103" si="135">M94/M$104</f>
        <v>7.7313313384345619E-2</v>
      </c>
      <c r="Q94" s="17">
        <f t="shared" ref="Q94:Q103" si="136">P94-J94</f>
        <v>9.0770090171443663E-6</v>
      </c>
      <c r="R94" s="17"/>
      <c r="T94" s="5">
        <f t="shared" si="118"/>
        <v>1.9565217391304568E-2</v>
      </c>
    </row>
    <row r="95" spans="1:20" x14ac:dyDescent="0.25">
      <c r="A95" s="64">
        <f t="shared" si="111"/>
        <v>74</v>
      </c>
      <c r="B95" s="60"/>
      <c r="C95" s="50"/>
      <c r="D95" s="2" t="s">
        <v>87</v>
      </c>
      <c r="E95" s="23">
        <v>42518</v>
      </c>
      <c r="F95" s="20">
        <v>9.31</v>
      </c>
      <c r="G95" s="6">
        <f t="shared" si="128"/>
        <v>395842.58</v>
      </c>
      <c r="H95" s="20">
        <v>9.1999999999999993</v>
      </c>
      <c r="I95" s="6">
        <f t="shared" si="129"/>
        <v>391165.6</v>
      </c>
      <c r="J95" s="5">
        <f t="shared" si="130"/>
        <v>0.25211486708646286</v>
      </c>
      <c r="K95" s="55"/>
      <c r="L95" s="19">
        <f t="shared" si="131"/>
        <v>9.3800000000000008</v>
      </c>
      <c r="M95" s="6">
        <f t="shared" si="132"/>
        <v>398818.84</v>
      </c>
      <c r="N95" s="6">
        <f t="shared" si="133"/>
        <v>7653.2400000000489</v>
      </c>
      <c r="O95" s="5">
        <f t="shared" si="134"/>
        <v>1.9565217391304474E-2</v>
      </c>
      <c r="P95" s="5">
        <f t="shared" si="135"/>
        <v>0.2521444702366808</v>
      </c>
      <c r="Q95" s="17">
        <f t="shared" si="136"/>
        <v>2.9603150217938357E-5</v>
      </c>
      <c r="R95" s="17"/>
      <c r="T95" s="5">
        <f t="shared" si="118"/>
        <v>1.9565217391304568E-2</v>
      </c>
    </row>
    <row r="96" spans="1:20" x14ac:dyDescent="0.25">
      <c r="A96" s="64">
        <f t="shared" si="111"/>
        <v>75</v>
      </c>
      <c r="B96" s="60"/>
      <c r="C96" s="50"/>
      <c r="D96" s="2" t="s">
        <v>88</v>
      </c>
      <c r="E96" s="23">
        <v>2854</v>
      </c>
      <c r="F96" s="20">
        <v>9.31</v>
      </c>
      <c r="G96" s="6">
        <f t="shared" si="128"/>
        <v>26570.74</v>
      </c>
      <c r="H96" s="20">
        <v>9.1999999999999993</v>
      </c>
      <c r="I96" s="6">
        <f t="shared" si="129"/>
        <v>26256.799999999999</v>
      </c>
      <c r="J96" s="5">
        <f t="shared" si="130"/>
        <v>1.6923087413913282E-2</v>
      </c>
      <c r="K96" s="55"/>
      <c r="L96" s="19">
        <f t="shared" si="131"/>
        <v>9.3800000000000008</v>
      </c>
      <c r="M96" s="6">
        <f t="shared" si="132"/>
        <v>26770.52</v>
      </c>
      <c r="N96" s="6">
        <f t="shared" si="133"/>
        <v>513.72000000000116</v>
      </c>
      <c r="O96" s="5">
        <f t="shared" si="134"/>
        <v>1.9565217391304391E-2</v>
      </c>
      <c r="P96" s="5">
        <f t="shared" si="135"/>
        <v>1.6925074510924475E-2</v>
      </c>
      <c r="Q96" s="17">
        <f t="shared" si="136"/>
        <v>1.9870970111926511E-6</v>
      </c>
      <c r="R96" s="17"/>
      <c r="T96" s="5">
        <f t="shared" si="118"/>
        <v>1.9565217391304568E-2</v>
      </c>
    </row>
    <row r="97" spans="1:20" x14ac:dyDescent="0.25">
      <c r="A97" s="64">
        <f t="shared" si="111"/>
        <v>76</v>
      </c>
      <c r="B97" s="60"/>
      <c r="C97" s="50"/>
      <c r="D97" s="2" t="s">
        <v>89</v>
      </c>
      <c r="E97" s="23">
        <v>1066</v>
      </c>
      <c r="F97" s="20">
        <v>18.899999999999999</v>
      </c>
      <c r="G97" s="6">
        <f t="shared" si="128"/>
        <v>20147.399999999998</v>
      </c>
      <c r="H97" s="20">
        <v>18.649999999999999</v>
      </c>
      <c r="I97" s="6">
        <f t="shared" si="129"/>
        <v>19880.899999999998</v>
      </c>
      <c r="J97" s="5">
        <f t="shared" si="130"/>
        <v>1.281367906855628E-2</v>
      </c>
      <c r="K97" s="55"/>
      <c r="L97" s="19">
        <f t="shared" si="131"/>
        <v>19.010000000000002</v>
      </c>
      <c r="M97" s="6">
        <f t="shared" si="132"/>
        <v>20264.66</v>
      </c>
      <c r="N97" s="6">
        <f t="shared" si="133"/>
        <v>383.76000000000204</v>
      </c>
      <c r="O97" s="5">
        <f t="shared" si="134"/>
        <v>1.9302949061662304E-2</v>
      </c>
      <c r="P97" s="5">
        <f t="shared" si="135"/>
        <v>1.2811887122048836E-2</v>
      </c>
      <c r="Q97" s="17">
        <f t="shared" si="136"/>
        <v>-1.7919465074445889E-6</v>
      </c>
      <c r="R97" s="17"/>
      <c r="T97" s="5">
        <f t="shared" si="118"/>
        <v>1.93029490616623E-2</v>
      </c>
    </row>
    <row r="98" spans="1:20" x14ac:dyDescent="0.25">
      <c r="A98" s="64">
        <f t="shared" si="111"/>
        <v>77</v>
      </c>
      <c r="B98" s="60"/>
      <c r="C98" s="50"/>
      <c r="D98" s="2" t="s">
        <v>90</v>
      </c>
      <c r="E98" s="23">
        <v>711</v>
      </c>
      <c r="F98" s="20">
        <v>13.89</v>
      </c>
      <c r="G98" s="6">
        <f t="shared" si="128"/>
        <v>9875.7900000000009</v>
      </c>
      <c r="H98" s="20">
        <v>13.64</v>
      </c>
      <c r="I98" s="6">
        <f t="shared" si="129"/>
        <v>9698.0400000000009</v>
      </c>
      <c r="J98" s="5">
        <f t="shared" si="130"/>
        <v>6.250600936276606E-3</v>
      </c>
      <c r="K98" s="55"/>
      <c r="L98" s="19">
        <f t="shared" si="131"/>
        <v>13.9</v>
      </c>
      <c r="M98" s="6">
        <f t="shared" si="132"/>
        <v>9882.9</v>
      </c>
      <c r="N98" s="6">
        <f t="shared" si="133"/>
        <v>184.85999999999876</v>
      </c>
      <c r="O98" s="5">
        <f t="shared" si="134"/>
        <v>1.9061583577712482E-2</v>
      </c>
      <c r="P98" s="5">
        <f t="shared" si="135"/>
        <v>6.2482469105574158E-3</v>
      </c>
      <c r="Q98" s="17">
        <f t="shared" si="136"/>
        <v>-2.354025719190217E-6</v>
      </c>
      <c r="R98" s="17"/>
      <c r="T98" s="5">
        <f t="shared" si="118"/>
        <v>1.9061583577712593E-2</v>
      </c>
    </row>
    <row r="99" spans="1:20" x14ac:dyDescent="0.25">
      <c r="A99" s="64">
        <f t="shared" si="111"/>
        <v>78</v>
      </c>
      <c r="B99" s="60"/>
      <c r="C99" s="50"/>
      <c r="D99" s="2" t="s">
        <v>91</v>
      </c>
      <c r="E99" s="23">
        <v>46941</v>
      </c>
      <c r="F99" s="20">
        <v>9.31</v>
      </c>
      <c r="G99" s="6">
        <f t="shared" si="128"/>
        <v>437020.71</v>
      </c>
      <c r="H99" s="20">
        <v>9.1999999999999993</v>
      </c>
      <c r="I99" s="6">
        <f t="shared" si="129"/>
        <v>431857.19999999995</v>
      </c>
      <c r="J99" s="5">
        <f t="shared" si="130"/>
        <v>0.27834150185581757</v>
      </c>
      <c r="K99" s="55"/>
      <c r="L99" s="19">
        <f t="shared" si="131"/>
        <v>9.3800000000000008</v>
      </c>
      <c r="M99" s="6">
        <f t="shared" si="132"/>
        <v>440306.58</v>
      </c>
      <c r="N99" s="6">
        <f t="shared" si="133"/>
        <v>8449.3800000000629</v>
      </c>
      <c r="O99" s="5">
        <f t="shared" si="134"/>
        <v>1.9565217391304495E-2</v>
      </c>
      <c r="P99" s="5">
        <f t="shared" si="135"/>
        <v>0.27837418451902796</v>
      </c>
      <c r="Q99" s="17">
        <f t="shared" si="136"/>
        <v>3.2682663210381602E-5</v>
      </c>
      <c r="R99" s="17"/>
      <c r="T99" s="5">
        <f t="shared" si="118"/>
        <v>1.9565217391304568E-2</v>
      </c>
    </row>
    <row r="100" spans="1:20" x14ac:dyDescent="0.25">
      <c r="A100" s="64">
        <f t="shared" si="111"/>
        <v>79</v>
      </c>
      <c r="B100" s="60"/>
      <c r="C100" s="50"/>
      <c r="D100" s="2" t="s">
        <v>92</v>
      </c>
      <c r="E100" s="23">
        <v>1646</v>
      </c>
      <c r="F100" s="20">
        <v>18.899999999999999</v>
      </c>
      <c r="G100" s="6">
        <f t="shared" si="128"/>
        <v>31109.399999999998</v>
      </c>
      <c r="H100" s="20">
        <v>18.649999999999999</v>
      </c>
      <c r="I100" s="6">
        <f t="shared" si="129"/>
        <v>30697.899999999998</v>
      </c>
      <c r="J100" s="5">
        <f t="shared" si="130"/>
        <v>1.9785474434187277E-2</v>
      </c>
      <c r="K100" s="55"/>
      <c r="L100" s="19">
        <f t="shared" si="131"/>
        <v>19.010000000000002</v>
      </c>
      <c r="M100" s="6">
        <f t="shared" si="132"/>
        <v>31290.460000000003</v>
      </c>
      <c r="N100" s="6">
        <f t="shared" si="133"/>
        <v>592.56000000000495</v>
      </c>
      <c r="O100" s="5">
        <f t="shared" si="134"/>
        <v>1.9302949061662363E-2</v>
      </c>
      <c r="P100" s="5">
        <f t="shared" si="135"/>
        <v>1.9782707507403737E-2</v>
      </c>
      <c r="Q100" s="17">
        <f t="shared" si="136"/>
        <v>-2.766926783540069E-6</v>
      </c>
      <c r="R100" s="17"/>
      <c r="T100" s="5">
        <f t="shared" si="118"/>
        <v>1.93029490616623E-2</v>
      </c>
    </row>
    <row r="101" spans="1:20" x14ac:dyDescent="0.25">
      <c r="A101" s="64">
        <f t="shared" si="111"/>
        <v>80</v>
      </c>
      <c r="B101" s="60"/>
      <c r="C101" s="50"/>
      <c r="D101" s="2" t="s">
        <v>93</v>
      </c>
      <c r="E101" s="23">
        <v>5904</v>
      </c>
      <c r="F101" s="20">
        <v>13.89</v>
      </c>
      <c r="G101" s="6">
        <f t="shared" si="128"/>
        <v>82006.559999999998</v>
      </c>
      <c r="H101" s="20">
        <v>13.64</v>
      </c>
      <c r="I101" s="6">
        <f t="shared" si="129"/>
        <v>80530.559999999998</v>
      </c>
      <c r="J101" s="5">
        <f t="shared" si="130"/>
        <v>5.190372423034751E-2</v>
      </c>
      <c r="K101" s="55"/>
      <c r="L101" s="19">
        <f t="shared" si="131"/>
        <v>13.9</v>
      </c>
      <c r="M101" s="6">
        <f t="shared" si="132"/>
        <v>82065.600000000006</v>
      </c>
      <c r="N101" s="6">
        <f t="shared" si="133"/>
        <v>1535.0400000000081</v>
      </c>
      <c r="O101" s="5">
        <f t="shared" si="134"/>
        <v>1.9061583577712711E-2</v>
      </c>
      <c r="P101" s="5">
        <f t="shared" si="135"/>
        <v>5.1884176877540059E-2</v>
      </c>
      <c r="Q101" s="17">
        <f t="shared" si="136"/>
        <v>-1.9547352807451623E-5</v>
      </c>
      <c r="R101" s="17"/>
      <c r="T101" s="5">
        <f t="shared" si="118"/>
        <v>1.9061583577712593E-2</v>
      </c>
    </row>
    <row r="102" spans="1:20" x14ac:dyDescent="0.25">
      <c r="A102" s="64">
        <f t="shared" si="111"/>
        <v>81</v>
      </c>
      <c r="B102" s="60"/>
      <c r="C102" s="50"/>
      <c r="D102" s="2" t="s">
        <v>94</v>
      </c>
      <c r="E102" s="23">
        <v>22</v>
      </c>
      <c r="F102" s="20">
        <v>16.29</v>
      </c>
      <c r="G102" s="6">
        <f t="shared" ref="G102" si="137">F102*E102</f>
        <v>358.38</v>
      </c>
      <c r="H102" s="20">
        <v>15.95</v>
      </c>
      <c r="I102" s="6">
        <f t="shared" ref="I102" si="138">H102*E102</f>
        <v>350.9</v>
      </c>
      <c r="J102" s="5">
        <f t="shared" si="130"/>
        <v>2.2616279872422271E-4</v>
      </c>
      <c r="K102" s="55"/>
      <c r="L102" s="19">
        <f t="shared" si="131"/>
        <v>16.260000000000002</v>
      </c>
      <c r="M102" s="6">
        <f t="shared" ref="M102" si="139">L102*E102</f>
        <v>357.72</v>
      </c>
      <c r="N102" s="6">
        <f t="shared" ref="N102" si="140">M102-I102</f>
        <v>6.82000000000005</v>
      </c>
      <c r="O102" s="5">
        <f t="shared" ref="O102" si="141">IF(I102=0,0,N102/I102)</f>
        <v>1.9435736677116133E-2</v>
      </c>
      <c r="P102" s="5">
        <f t="shared" si="135"/>
        <v>2.2616062945538242E-4</v>
      </c>
      <c r="Q102" s="17">
        <f t="shared" ref="Q102" si="142">P102-J102</f>
        <v>-2.1692688402952937E-9</v>
      </c>
      <c r="R102" s="17"/>
      <c r="T102" s="5">
        <f t="shared" ref="T102" si="143">L102/H102-1</f>
        <v>1.9435736677116067E-2</v>
      </c>
    </row>
    <row r="103" spans="1:20" x14ac:dyDescent="0.25">
      <c r="A103" s="64">
        <f t="shared" si="111"/>
        <v>82</v>
      </c>
      <c r="B103" s="60"/>
      <c r="C103" s="50"/>
      <c r="D103" s="2" t="s">
        <v>97</v>
      </c>
      <c r="E103" s="23">
        <v>0</v>
      </c>
      <c r="F103" s="20">
        <v>27.55</v>
      </c>
      <c r="G103" s="6">
        <f t="shared" si="128"/>
        <v>0</v>
      </c>
      <c r="H103" s="20">
        <v>36.54</v>
      </c>
      <c r="I103" s="6">
        <f t="shared" si="129"/>
        <v>0</v>
      </c>
      <c r="J103" s="5">
        <f t="shared" si="130"/>
        <v>0</v>
      </c>
      <c r="K103" s="55"/>
      <c r="L103" s="19">
        <f t="shared" si="131"/>
        <v>37.24</v>
      </c>
      <c r="M103" s="6">
        <f t="shared" si="132"/>
        <v>0</v>
      </c>
      <c r="N103" s="6">
        <f t="shared" si="133"/>
        <v>0</v>
      </c>
      <c r="O103" s="5">
        <f t="shared" si="134"/>
        <v>0</v>
      </c>
      <c r="P103" s="5">
        <f t="shared" si="135"/>
        <v>0</v>
      </c>
      <c r="Q103" s="17">
        <f t="shared" si="136"/>
        <v>0</v>
      </c>
      <c r="R103" s="17"/>
      <c r="T103" s="5">
        <f t="shared" si="118"/>
        <v>1.9157088122605526E-2</v>
      </c>
    </row>
    <row r="104" spans="1:20" s="7" customFormat="1" ht="24.6" customHeight="1" x14ac:dyDescent="0.3">
      <c r="A104" s="64">
        <f t="shared" si="111"/>
        <v>83</v>
      </c>
      <c r="C104" s="28"/>
      <c r="D104" s="30" t="s">
        <v>6</v>
      </c>
      <c r="E104" s="30"/>
      <c r="F104" s="30"/>
      <c r="G104" s="31">
        <f>SUM(G87:G103)</f>
        <v>1572346.09</v>
      </c>
      <c r="H104" s="30"/>
      <c r="I104" s="32">
        <f>SUM(I87:I103)</f>
        <v>1551537.2199999997</v>
      </c>
      <c r="J104" s="33">
        <f>SUM(J87:J103)</f>
        <v>1</v>
      </c>
      <c r="K104" s="56">
        <f>I104+Summary!I14</f>
        <v>1581224.7599999998</v>
      </c>
      <c r="L104" s="30"/>
      <c r="M104" s="31">
        <f>SUM(M87:M103)</f>
        <v>1581707.6600000001</v>
      </c>
      <c r="N104" s="31">
        <f>SUM(N87:N103)</f>
        <v>30170.44000000017</v>
      </c>
      <c r="O104" s="33">
        <f t="shared" ref="O104" si="144">N104/I104</f>
        <v>1.944551481658956E-2</v>
      </c>
      <c r="P104" s="33">
        <f>SUM(P87:P103)</f>
        <v>0.99999999999999989</v>
      </c>
      <c r="Q104" s="34">
        <f t="shared" ref="Q104" si="145">P104-J104</f>
        <v>0</v>
      </c>
      <c r="R104" s="47">
        <f>M104-K104</f>
        <v>482.90000000037253</v>
      </c>
      <c r="S104" s="115">
        <f>K104/I104</f>
        <v>1.0191342751029846</v>
      </c>
    </row>
    <row r="105" spans="1:20" x14ac:dyDescent="0.25">
      <c r="A105" s="64">
        <f t="shared" si="111"/>
        <v>84</v>
      </c>
      <c r="D105" s="2" t="s">
        <v>29</v>
      </c>
      <c r="G105" s="22">
        <v>0</v>
      </c>
      <c r="I105" s="21">
        <v>0</v>
      </c>
      <c r="K105" s="69">
        <f>K104-I104</f>
        <v>29687.540000000037</v>
      </c>
      <c r="M105" s="6">
        <f>I105</f>
        <v>0</v>
      </c>
      <c r="N105" s="6">
        <f>M105-I105</f>
        <v>0</v>
      </c>
      <c r="O105" s="18">
        <v>0</v>
      </c>
    </row>
    <row r="106" spans="1:20" x14ac:dyDescent="0.25">
      <c r="A106" s="64">
        <f t="shared" si="111"/>
        <v>85</v>
      </c>
      <c r="D106" s="2" t="s">
        <v>30</v>
      </c>
      <c r="G106" s="22">
        <v>0</v>
      </c>
      <c r="I106" s="21">
        <v>0</v>
      </c>
      <c r="M106" s="6">
        <f t="shared" ref="M106:M107" si="146">I106</f>
        <v>0</v>
      </c>
      <c r="N106" s="6">
        <f>M106-I106</f>
        <v>0</v>
      </c>
      <c r="O106" s="18">
        <v>0</v>
      </c>
    </row>
    <row r="107" spans="1:20" x14ac:dyDescent="0.25">
      <c r="A107" s="64">
        <f t="shared" si="111"/>
        <v>86</v>
      </c>
      <c r="D107" s="2" t="s">
        <v>32</v>
      </c>
      <c r="G107" s="22">
        <v>0</v>
      </c>
      <c r="I107" s="21">
        <v>0</v>
      </c>
      <c r="M107" s="6">
        <f t="shared" si="146"/>
        <v>0</v>
      </c>
      <c r="N107" s="6">
        <f>M107-I107</f>
        <v>0</v>
      </c>
      <c r="O107" s="18">
        <v>0</v>
      </c>
    </row>
    <row r="108" spans="1:20" x14ac:dyDescent="0.25">
      <c r="A108" s="64">
        <f t="shared" si="111"/>
        <v>87</v>
      </c>
      <c r="D108" s="2" t="s">
        <v>42</v>
      </c>
      <c r="G108" s="22"/>
      <c r="I108" s="21"/>
      <c r="M108" s="6"/>
      <c r="N108" s="6"/>
      <c r="O108" s="18"/>
    </row>
    <row r="109" spans="1:20" x14ac:dyDescent="0.25">
      <c r="A109" s="64">
        <f t="shared" si="111"/>
        <v>88</v>
      </c>
      <c r="D109" s="24" t="s">
        <v>8</v>
      </c>
      <c r="E109" s="24"/>
      <c r="F109" s="24"/>
      <c r="G109" s="25">
        <f>SUM(G105:G107)</f>
        <v>0</v>
      </c>
      <c r="H109" s="24"/>
      <c r="I109" s="25">
        <f>SUM(I105:I107)</f>
        <v>0</v>
      </c>
      <c r="J109" s="24"/>
      <c r="K109" s="57"/>
      <c r="L109" s="24"/>
      <c r="M109" s="25">
        <f>SUM(M105:M107)</f>
        <v>0</v>
      </c>
      <c r="N109" s="25">
        <f>M109-I109</f>
        <v>0</v>
      </c>
      <c r="O109" s="35">
        <f>N109-J109</f>
        <v>0</v>
      </c>
    </row>
    <row r="110" spans="1:20" s="7" customFormat="1" ht="26.4" customHeight="1" thickBot="1" x14ac:dyDescent="0.3">
      <c r="A110" s="64">
        <f t="shared" si="111"/>
        <v>89</v>
      </c>
      <c r="C110" s="28"/>
      <c r="D110" s="8" t="s">
        <v>19</v>
      </c>
      <c r="E110" s="8"/>
      <c r="F110" s="8"/>
      <c r="G110" s="9">
        <f>G104+G109</f>
        <v>1572346.09</v>
      </c>
      <c r="H110" s="8"/>
      <c r="I110" s="26">
        <f>I109+I104</f>
        <v>1551537.2199999997</v>
      </c>
      <c r="J110" s="8"/>
      <c r="K110" s="58"/>
      <c r="L110" s="8"/>
      <c r="M110" s="9">
        <f>M109+M104</f>
        <v>1581707.6600000001</v>
      </c>
      <c r="N110" s="9">
        <f>M110-I110</f>
        <v>30170.44000000041</v>
      </c>
      <c r="O110" s="10">
        <f>N110/I110</f>
        <v>1.9445514816589713E-2</v>
      </c>
      <c r="P110" s="2"/>
      <c r="Q110" s="2"/>
      <c r="R110" s="2"/>
    </row>
    <row r="111" spans="1:20" ht="13.8" thickTop="1" x14ac:dyDescent="0.25">
      <c r="A111" s="64">
        <f t="shared" si="111"/>
        <v>90</v>
      </c>
      <c r="G111" s="16"/>
      <c r="I111" s="16"/>
      <c r="M111" s="16"/>
      <c r="N111" s="16"/>
      <c r="O111" s="5"/>
    </row>
    <row r="112" spans="1:20" x14ac:dyDescent="0.25">
      <c r="A112" s="64">
        <f t="shared" si="111"/>
        <v>91</v>
      </c>
      <c r="B112" s="36"/>
      <c r="C112" s="3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20" x14ac:dyDescent="0.25">
      <c r="A113" s="64">
        <f t="shared" si="111"/>
        <v>92</v>
      </c>
    </row>
    <row r="114" spans="1:20" s="7" customFormat="1" ht="19.95" customHeight="1" x14ac:dyDescent="0.3">
      <c r="A114" s="64">
        <f t="shared" si="111"/>
        <v>93</v>
      </c>
      <c r="B114" s="7" t="s">
        <v>31</v>
      </c>
      <c r="C114" s="68"/>
      <c r="D114" s="30" t="s">
        <v>6</v>
      </c>
      <c r="E114" s="30"/>
      <c r="F114" s="30"/>
      <c r="G114" s="46">
        <f>G10+G21+G34+G48+G62+G104+G77</f>
        <v>23100527.34327</v>
      </c>
      <c r="H114" s="46"/>
      <c r="I114" s="46">
        <f>I10+I21+I34+I48+I62+I104+I77</f>
        <v>22740697.186189998</v>
      </c>
      <c r="J114" s="30"/>
      <c r="K114" s="59"/>
      <c r="L114" s="30"/>
      <c r="M114" s="46">
        <f>M10+M21+M34+M48+M62+M104+M77</f>
        <v>23550933.242249995</v>
      </c>
      <c r="N114" s="46">
        <f>N10+N21+N34+N48+N62+N104+N77</f>
        <v>810236.05605999904</v>
      </c>
      <c r="O114" s="33">
        <f>N114/I114</f>
        <v>3.5629341063124501E-2</v>
      </c>
    </row>
    <row r="115" spans="1:20" x14ac:dyDescent="0.25">
      <c r="A115" s="64">
        <f t="shared" si="111"/>
        <v>94</v>
      </c>
      <c r="C115" s="51"/>
      <c r="D115" s="2" t="s">
        <v>29</v>
      </c>
      <c r="G115" s="15">
        <f t="shared" ref="G115:I118" si="147">G11+G22+G35+G49+G63+G105+G78</f>
        <v>-916822.19</v>
      </c>
      <c r="H115" s="15"/>
      <c r="I115" s="15">
        <f t="shared" si="147"/>
        <v>-611909.56435999996</v>
      </c>
      <c r="M115" s="15">
        <f t="shared" ref="M115:N115" si="148">M11+M22+M35+M49+M63+M105+M78</f>
        <v>-611909.56435999996</v>
      </c>
      <c r="N115" s="15">
        <f t="shared" si="148"/>
        <v>0</v>
      </c>
    </row>
    <row r="116" spans="1:20" x14ac:dyDescent="0.25">
      <c r="A116" s="64">
        <f t="shared" si="111"/>
        <v>95</v>
      </c>
      <c r="C116" s="51"/>
      <c r="D116" s="2" t="s">
        <v>30</v>
      </c>
      <c r="G116" s="15">
        <f t="shared" si="147"/>
        <v>2081412.68</v>
      </c>
      <c r="H116" s="15"/>
      <c r="I116" s="15">
        <f t="shared" si="147"/>
        <v>2081412.68</v>
      </c>
      <c r="M116" s="15">
        <f t="shared" ref="M116:N116" si="149">M12+M23+M36+M50+M64+M106+M79</f>
        <v>2081412.68</v>
      </c>
      <c r="N116" s="15">
        <f t="shared" si="149"/>
        <v>0</v>
      </c>
    </row>
    <row r="117" spans="1:20" x14ac:dyDescent="0.25">
      <c r="A117" s="64">
        <f t="shared" si="111"/>
        <v>96</v>
      </c>
      <c r="C117" s="51"/>
      <c r="D117" s="2" t="s">
        <v>32</v>
      </c>
      <c r="G117" s="15">
        <f t="shared" si="147"/>
        <v>0</v>
      </c>
      <c r="H117" s="15"/>
      <c r="I117" s="15">
        <f t="shared" si="147"/>
        <v>0</v>
      </c>
      <c r="M117" s="15">
        <f t="shared" ref="M117:N117" si="150">M13+M24+M37+M51+M65+M107+M80</f>
        <v>0</v>
      </c>
      <c r="N117" s="15">
        <f t="shared" si="150"/>
        <v>0</v>
      </c>
    </row>
    <row r="118" spans="1:20" x14ac:dyDescent="0.25">
      <c r="A118" s="64">
        <f t="shared" si="111"/>
        <v>97</v>
      </c>
      <c r="C118" s="51"/>
      <c r="D118" s="2" t="s">
        <v>42</v>
      </c>
      <c r="G118" s="15">
        <f t="shared" si="147"/>
        <v>0</v>
      </c>
      <c r="I118" s="15">
        <f t="shared" si="147"/>
        <v>0</v>
      </c>
      <c r="M118" s="15">
        <f t="shared" ref="M118:N118" si="151">M14+M25+M38+M52+M66+M108+M81</f>
        <v>0</v>
      </c>
      <c r="N118" s="15">
        <f t="shared" si="151"/>
        <v>0</v>
      </c>
      <c r="O118" s="18"/>
    </row>
    <row r="119" spans="1:20" x14ac:dyDescent="0.25">
      <c r="A119" s="64">
        <f t="shared" si="111"/>
        <v>98</v>
      </c>
      <c r="C119" s="51"/>
      <c r="D119" s="24" t="s">
        <v>8</v>
      </c>
      <c r="E119" s="24"/>
      <c r="F119" s="24"/>
      <c r="G119" s="45">
        <f>G15+G26+G39+G53+G67+G109</f>
        <v>1155178.3400000001</v>
      </c>
      <c r="H119" s="45"/>
      <c r="I119" s="45">
        <f>I15+I26+I39+I53+I67+I109</f>
        <v>1450331.9506400004</v>
      </c>
      <c r="J119" s="24"/>
      <c r="K119" s="57"/>
      <c r="L119" s="24"/>
      <c r="M119" s="45">
        <f>M15+M26+M39+M53+M67+M109</f>
        <v>1450331.9506400004</v>
      </c>
      <c r="N119" s="45">
        <f>N15+N26+N39+N53+N67+N109</f>
        <v>0</v>
      </c>
      <c r="O119" s="24"/>
    </row>
    <row r="120" spans="1:20" s="7" customFormat="1" ht="21" customHeight="1" thickBot="1" x14ac:dyDescent="0.35">
      <c r="A120" s="64">
        <f t="shared" si="111"/>
        <v>99</v>
      </c>
      <c r="C120" s="68"/>
      <c r="D120" s="8" t="s">
        <v>19</v>
      </c>
      <c r="E120" s="8"/>
      <c r="F120" s="8"/>
      <c r="G120" s="26">
        <f>G119+G114</f>
        <v>24255705.68327</v>
      </c>
      <c r="H120" s="26"/>
      <c r="I120" s="26">
        <f>I119+I114</f>
        <v>24191029.136829998</v>
      </c>
      <c r="J120" s="8"/>
      <c r="K120" s="58"/>
      <c r="L120" s="8"/>
      <c r="M120" s="26">
        <f>M119+M114</f>
        <v>25001265.192889996</v>
      </c>
      <c r="N120" s="26">
        <f>N119+N114</f>
        <v>810236.05605999904</v>
      </c>
      <c r="O120" s="10">
        <f>N120/I120</f>
        <v>3.3493244602249804E-2</v>
      </c>
    </row>
    <row r="121" spans="1:20" ht="13.8" thickTop="1" x14ac:dyDescent="0.25">
      <c r="A121" s="64">
        <f t="shared" si="111"/>
        <v>100</v>
      </c>
      <c r="C121" s="51"/>
    </row>
    <row r="122" spans="1:20" x14ac:dyDescent="0.25">
      <c r="A122" s="64">
        <f t="shared" si="111"/>
        <v>101</v>
      </c>
      <c r="D122" s="2" t="s">
        <v>40</v>
      </c>
      <c r="N122" s="15">
        <f>N120-Summary!L4</f>
        <v>1893.0560599990422</v>
      </c>
    </row>
    <row r="123" spans="1:20" x14ac:dyDescent="0.25">
      <c r="A123" s="64">
        <f t="shared" si="111"/>
        <v>102</v>
      </c>
      <c r="N123" s="15"/>
    </row>
    <row r="124" spans="1:20" x14ac:dyDescent="0.25">
      <c r="A124" s="64">
        <f t="shared" si="111"/>
        <v>103</v>
      </c>
      <c r="B124" s="1" t="s">
        <v>67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155"/>
      <c r="O124" s="36"/>
      <c r="P124" s="36"/>
      <c r="Q124" s="36"/>
      <c r="R124" s="36"/>
    </row>
    <row r="125" spans="1:20" ht="13.8" thickBot="1" x14ac:dyDescent="0.3">
      <c r="A125" s="64">
        <f t="shared" si="111"/>
        <v>104</v>
      </c>
      <c r="D125" s="27"/>
      <c r="E125" s="27"/>
      <c r="F125" s="27"/>
      <c r="G125" s="27"/>
      <c r="K125" s="2"/>
    </row>
    <row r="126" spans="1:20" x14ac:dyDescent="0.25">
      <c r="A126" s="64">
        <f t="shared" si="111"/>
        <v>105</v>
      </c>
      <c r="B126" s="41" t="s">
        <v>99</v>
      </c>
      <c r="C126" s="42" t="s">
        <v>98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1:20" ht="12.6" customHeight="1" x14ac:dyDescent="0.25">
      <c r="A127" s="64">
        <f t="shared" si="111"/>
        <v>106</v>
      </c>
      <c r="D127" s="2" t="s">
        <v>17</v>
      </c>
      <c r="E127" s="23"/>
      <c r="F127" s="20"/>
      <c r="G127" s="6"/>
      <c r="H127" s="20">
        <v>165.06</v>
      </c>
      <c r="I127" s="6"/>
      <c r="J127" s="5"/>
      <c r="K127" s="55"/>
      <c r="L127" s="19">
        <f>H127*S127</f>
        <v>170.94097903587934</v>
      </c>
      <c r="M127" s="6"/>
      <c r="N127" s="6"/>
      <c r="O127" s="5"/>
      <c r="P127" s="5"/>
      <c r="Q127" s="17"/>
      <c r="R127" s="17"/>
      <c r="S127" s="156">
        <f>1+$O$114</f>
        <v>1.0356293410631245</v>
      </c>
      <c r="T127" s="5">
        <f t="shared" ref="T127:T130" si="152">L127/H127-1</f>
        <v>3.5629341063124542E-2</v>
      </c>
    </row>
    <row r="128" spans="1:20" x14ac:dyDescent="0.25">
      <c r="A128" s="64">
        <f t="shared" si="111"/>
        <v>107</v>
      </c>
      <c r="D128" s="2" t="s">
        <v>52</v>
      </c>
      <c r="E128" s="23"/>
      <c r="F128" s="157"/>
      <c r="G128" s="6"/>
      <c r="H128" s="20">
        <v>5.93</v>
      </c>
      <c r="I128" s="6"/>
      <c r="J128" s="5"/>
      <c r="K128" s="55"/>
      <c r="L128" s="158">
        <f>H128*S128</f>
        <v>6.1412819925043278</v>
      </c>
      <c r="M128" s="6"/>
      <c r="N128" s="6"/>
      <c r="O128" s="5"/>
      <c r="P128" s="5"/>
      <c r="Q128" s="17"/>
      <c r="R128" s="17"/>
      <c r="S128" s="156">
        <f t="shared" ref="S128:S130" si="153">1+$O$114</f>
        <v>1.0356293410631245</v>
      </c>
      <c r="T128" s="5">
        <f t="shared" si="152"/>
        <v>3.5629341063124542E-2</v>
      </c>
    </row>
    <row r="129" spans="1:20" x14ac:dyDescent="0.25">
      <c r="A129" s="64">
        <f t="shared" si="111"/>
        <v>108</v>
      </c>
      <c r="D129" s="2" t="s">
        <v>76</v>
      </c>
      <c r="E129" s="23"/>
      <c r="F129" s="157"/>
      <c r="G129" s="6"/>
      <c r="H129" s="157">
        <v>5.289E-2</v>
      </c>
      <c r="I129" s="6"/>
      <c r="J129" s="5"/>
      <c r="K129" s="55"/>
      <c r="L129" s="158">
        <f>H129*S129</f>
        <v>5.4774435848828656E-2</v>
      </c>
      <c r="M129" s="6"/>
      <c r="N129" s="6"/>
      <c r="O129" s="5"/>
      <c r="P129" s="5"/>
      <c r="Q129" s="17"/>
      <c r="R129" s="17"/>
      <c r="S129" s="156">
        <f t="shared" si="153"/>
        <v>1.0356293410631245</v>
      </c>
      <c r="T129" s="5">
        <f t="shared" si="152"/>
        <v>3.5629341063124542E-2</v>
      </c>
    </row>
    <row r="130" spans="1:20" ht="13.8" thickBot="1" x14ac:dyDescent="0.3">
      <c r="A130" s="64">
        <f t="shared" si="111"/>
        <v>109</v>
      </c>
      <c r="D130" s="2" t="s">
        <v>77</v>
      </c>
      <c r="E130" s="23"/>
      <c r="F130" s="157"/>
      <c r="G130" s="6"/>
      <c r="H130" s="157">
        <v>5.2260000000000001E-2</v>
      </c>
      <c r="I130" s="6"/>
      <c r="J130" s="5"/>
      <c r="K130" s="55"/>
      <c r="L130" s="158">
        <f>H130*S130</f>
        <v>5.4121989363958886E-2</v>
      </c>
      <c r="M130" s="6"/>
      <c r="N130" s="6"/>
      <c r="O130" s="5"/>
      <c r="P130" s="5"/>
      <c r="Q130" s="17"/>
      <c r="R130" s="17"/>
      <c r="S130" s="156">
        <f t="shared" si="153"/>
        <v>1.0356293410631245</v>
      </c>
      <c r="T130" s="5">
        <f t="shared" si="152"/>
        <v>3.5629341063124542E-2</v>
      </c>
    </row>
    <row r="131" spans="1:20" x14ac:dyDescent="0.25">
      <c r="A131" s="64">
        <f t="shared" si="111"/>
        <v>110</v>
      </c>
      <c r="B131" s="41" t="s">
        <v>99</v>
      </c>
      <c r="C131" s="42" t="s">
        <v>100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20" ht="12.6" customHeight="1" x14ac:dyDescent="0.25">
      <c r="A132" s="64">
        <f t="shared" si="111"/>
        <v>111</v>
      </c>
      <c r="D132" s="2" t="s">
        <v>17</v>
      </c>
      <c r="E132" s="23"/>
      <c r="F132" s="20"/>
      <c r="G132" s="6"/>
      <c r="H132" s="20">
        <v>1176.33</v>
      </c>
      <c r="I132" s="6"/>
      <c r="J132" s="5"/>
      <c r="K132" s="55"/>
      <c r="L132" s="19">
        <f>H132*S132</f>
        <v>1218.2418627727852</v>
      </c>
      <c r="M132" s="6"/>
      <c r="N132" s="6"/>
      <c r="O132" s="5"/>
      <c r="P132" s="5"/>
      <c r="Q132" s="17"/>
      <c r="R132" s="17"/>
      <c r="S132" s="156">
        <f>1+$O$114</f>
        <v>1.0356293410631245</v>
      </c>
      <c r="T132" s="5">
        <f t="shared" ref="T132:T135" si="154">L132/H132-1</f>
        <v>3.5629341063124542E-2</v>
      </c>
    </row>
    <row r="133" spans="1:20" x14ac:dyDescent="0.25">
      <c r="A133" s="64">
        <f t="shared" si="111"/>
        <v>112</v>
      </c>
      <c r="D133" s="2" t="s">
        <v>52</v>
      </c>
      <c r="E133" s="23"/>
      <c r="F133" s="157"/>
      <c r="G133" s="6"/>
      <c r="H133" s="20">
        <v>5.93</v>
      </c>
      <c r="I133" s="6"/>
      <c r="J133" s="5"/>
      <c r="K133" s="55"/>
      <c r="L133" s="158">
        <f>H133*S133</f>
        <v>6.1412819925043278</v>
      </c>
      <c r="M133" s="6"/>
      <c r="N133" s="6"/>
      <c r="O133" s="5"/>
      <c r="P133" s="5"/>
      <c r="Q133" s="17"/>
      <c r="R133" s="17"/>
      <c r="S133" s="156">
        <f t="shared" ref="S133:S135" si="155">1+$O$114</f>
        <v>1.0356293410631245</v>
      </c>
      <c r="T133" s="5">
        <f t="shared" si="154"/>
        <v>3.5629341063124542E-2</v>
      </c>
    </row>
    <row r="134" spans="1:20" x14ac:dyDescent="0.25">
      <c r="A134" s="64">
        <f t="shared" si="111"/>
        <v>113</v>
      </c>
      <c r="D134" s="2" t="s">
        <v>76</v>
      </c>
      <c r="E134" s="23"/>
      <c r="F134" s="157"/>
      <c r="G134" s="6"/>
      <c r="H134" s="157">
        <v>4.7390000000000002E-2</v>
      </c>
      <c r="I134" s="6"/>
      <c r="J134" s="5"/>
      <c r="K134" s="55"/>
      <c r="L134" s="158">
        <f>H134*S134</f>
        <v>4.907847447298147E-2</v>
      </c>
      <c r="M134" s="6"/>
      <c r="N134" s="6"/>
      <c r="O134" s="5"/>
      <c r="P134" s="5"/>
      <c r="Q134" s="17"/>
      <c r="R134" s="17"/>
      <c r="S134" s="156">
        <f t="shared" si="155"/>
        <v>1.0356293410631245</v>
      </c>
      <c r="T134" s="5">
        <f t="shared" si="154"/>
        <v>3.5629341063124542E-2</v>
      </c>
    </row>
    <row r="135" spans="1:20" x14ac:dyDescent="0.25">
      <c r="A135" s="64">
        <f t="shared" si="111"/>
        <v>114</v>
      </c>
      <c r="D135" s="2" t="s">
        <v>77</v>
      </c>
      <c r="E135" s="23"/>
      <c r="F135" s="157"/>
      <c r="G135" s="6"/>
      <c r="H135" s="157">
        <v>4.6899999999999997E-2</v>
      </c>
      <c r="I135" s="6"/>
      <c r="J135" s="5"/>
      <c r="K135" s="55"/>
      <c r="L135" s="158">
        <f>H135*S135</f>
        <v>4.8571016095860536E-2</v>
      </c>
      <c r="M135" s="6"/>
      <c r="N135" s="6"/>
      <c r="O135" s="5"/>
      <c r="P135" s="5"/>
      <c r="Q135" s="17"/>
      <c r="R135" s="17"/>
      <c r="S135" s="156">
        <f t="shared" si="155"/>
        <v>1.0356293410631245</v>
      </c>
      <c r="T135" s="5">
        <f t="shared" si="154"/>
        <v>3.5629341063124542E-2</v>
      </c>
    </row>
  </sheetData>
  <phoneticPr fontId="10" type="noConversion"/>
  <pageMargins left="0.7" right="0.7" top="0.75" bottom="0.75" header="0.3" footer="0.3"/>
  <pageSetup scale="37" orientation="landscape" r:id="rId1"/>
  <rowBreaks count="1" manualBreakCount="1">
    <brk id="85" max="17" man="1"/>
  </rowBreaks>
  <ignoredErrors>
    <ignoredError sqref="M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L70"/>
  <sheetViews>
    <sheetView zoomScale="85" zoomScaleNormal="85" workbookViewId="0">
      <selection activeCell="L21" sqref="L21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7" customWidth="1"/>
    <col min="4" max="4" width="28.6640625" style="27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BIG SANDY RECC</v>
      </c>
    </row>
    <row r="2" spans="1:10" x14ac:dyDescent="0.25">
      <c r="A2" s="1" t="s">
        <v>48</v>
      </c>
    </row>
    <row r="4" spans="1:10" x14ac:dyDescent="0.25">
      <c r="C4" s="104" t="s">
        <v>66</v>
      </c>
      <c r="D4" s="103"/>
      <c r="E4" s="103" t="s">
        <v>2</v>
      </c>
      <c r="F4" s="107" t="s">
        <v>49</v>
      </c>
      <c r="G4" s="107" t="s">
        <v>50</v>
      </c>
      <c r="I4" s="168" t="s">
        <v>111</v>
      </c>
      <c r="J4" s="107" t="s">
        <v>58</v>
      </c>
    </row>
    <row r="5" spans="1:10" x14ac:dyDescent="0.25">
      <c r="C5" s="27" t="str">
        <f>'Billing Detail'!C7</f>
        <v>A1</v>
      </c>
      <c r="D5" s="144" t="str">
        <f>'Billing Detail'!B7</f>
        <v xml:space="preserve">Farm &amp; Home </v>
      </c>
    </row>
    <row r="6" spans="1:10" x14ac:dyDescent="0.25">
      <c r="D6" s="144"/>
      <c r="E6" s="2" t="str">
        <f>'Billing Detail'!D8</f>
        <v>Customer Charge</v>
      </c>
      <c r="F6" s="105">
        <f>'Billing Detail'!H8</f>
        <v>21.25</v>
      </c>
      <c r="G6" s="105">
        <f>'Billing Detail'!L8</f>
        <v>22.3</v>
      </c>
      <c r="J6" s="5">
        <f>G6/F6-1</f>
        <v>4.9411764705882488E-2</v>
      </c>
    </row>
    <row r="7" spans="1:10" x14ac:dyDescent="0.25">
      <c r="D7" s="144"/>
      <c r="E7" s="2" t="str">
        <f>'Billing Detail'!D9</f>
        <v>Energy Charge per kWh</v>
      </c>
      <c r="F7" s="106">
        <f>'Billing Detail'!H9</f>
        <v>8.5949999999999999E-2</v>
      </c>
      <c r="G7" s="106">
        <f>'Billing Detail'!L9</f>
        <v>8.8859999999999995E-2</v>
      </c>
      <c r="J7" s="5">
        <f t="shared" ref="J7:J29" si="0">G7/F7-1</f>
        <v>3.3856893542757449E-2</v>
      </c>
    </row>
    <row r="8" spans="1:10" x14ac:dyDescent="0.25">
      <c r="C8" s="27" t="str">
        <f>'Billing Detail'!C19</f>
        <v>A1-ETS</v>
      </c>
      <c r="D8" s="144" t="str">
        <f>'Billing Detail'!B19</f>
        <v>Farm &amp; Home (ETS)</v>
      </c>
      <c r="F8" s="105"/>
      <c r="G8" s="105"/>
      <c r="J8" s="5"/>
    </row>
    <row r="9" spans="1:10" x14ac:dyDescent="0.25">
      <c r="D9" s="144"/>
      <c r="E9" s="2" t="str">
        <f>'Billing Detail'!D20</f>
        <v>Energy Charge Off Peak per kWh</v>
      </c>
      <c r="F9" s="106">
        <f>'Billing Detail'!H20</f>
        <v>5.0290000000000001E-2</v>
      </c>
      <c r="G9" s="106">
        <f>'Billing Detail'!L20</f>
        <v>5.0290000000000001E-2</v>
      </c>
      <c r="J9" s="5">
        <f t="shared" si="0"/>
        <v>0</v>
      </c>
    </row>
    <row r="10" spans="1:10" x14ac:dyDescent="0.25">
      <c r="C10" s="27" t="str">
        <f>'Billing Detail'!C30</f>
        <v>A2</v>
      </c>
      <c r="D10" s="144" t="str">
        <f>'Billing Detail'!B30</f>
        <v xml:space="preserve">Commercial &amp; Small Power </v>
      </c>
      <c r="F10" s="106"/>
      <c r="G10" s="106"/>
      <c r="J10" s="5"/>
    </row>
    <row r="11" spans="1:10" x14ac:dyDescent="0.25">
      <c r="D11" s="144"/>
      <c r="E11" s="2" t="str">
        <f>'Billing Detail'!D31</f>
        <v>Customer Charge</v>
      </c>
      <c r="F11" s="105">
        <f>'Billing Detail'!H31</f>
        <v>30</v>
      </c>
      <c r="G11" s="105">
        <f>'Billing Detail'!L31</f>
        <v>29.07</v>
      </c>
      <c r="I11" s="167"/>
      <c r="J11" s="5">
        <f t="shared" si="0"/>
        <v>-3.1000000000000028E-2</v>
      </c>
    </row>
    <row r="12" spans="1:10" x14ac:dyDescent="0.25">
      <c r="D12" s="144"/>
      <c r="E12" s="2" t="str">
        <f>'Billing Detail'!D32</f>
        <v>Demand Charge per kW</v>
      </c>
      <c r="F12" s="129">
        <f>'Billing Detail'!H32</f>
        <v>5.5</v>
      </c>
      <c r="G12" s="129">
        <f>'Billing Detail'!L32</f>
        <v>5.88</v>
      </c>
      <c r="J12" s="5">
        <f t="shared" si="0"/>
        <v>6.9090909090909092E-2</v>
      </c>
    </row>
    <row r="13" spans="1:10" x14ac:dyDescent="0.25">
      <c r="D13" s="144"/>
      <c r="E13" s="2" t="str">
        <f>'Billing Detail'!D33</f>
        <v>Energy Charge per kWh</v>
      </c>
      <c r="F13" s="106">
        <f>'Billing Detail'!H33</f>
        <v>6.7519999999999997E-2</v>
      </c>
      <c r="G13" s="106">
        <f>'Billing Detail'!L33</f>
        <v>7.2260000000000005E-2</v>
      </c>
      <c r="J13" s="5">
        <f t="shared" si="0"/>
        <v>7.0201421800947905E-2</v>
      </c>
    </row>
    <row r="14" spans="1:10" x14ac:dyDescent="0.25">
      <c r="C14" s="27" t="str">
        <f>'Billing Detail'!C43</f>
        <v>LP</v>
      </c>
      <c r="D14" s="144" t="str">
        <f>'Billing Detail'!B43</f>
        <v>Large Power Service (25-750 kV)</v>
      </c>
      <c r="F14" s="105"/>
      <c r="G14" s="105"/>
      <c r="J14" s="5"/>
    </row>
    <row r="15" spans="1:10" x14ac:dyDescent="0.25">
      <c r="D15" s="144"/>
      <c r="E15" s="2" t="str">
        <f>'Billing Detail'!D44</f>
        <v>Customer Charge</v>
      </c>
      <c r="F15" s="105">
        <f>'Billing Detail'!H44</f>
        <v>93.28</v>
      </c>
      <c r="G15" s="105">
        <f>'Billing Detail'!L44</f>
        <v>84.05</v>
      </c>
      <c r="I15" s="167"/>
      <c r="J15" s="5">
        <f t="shared" si="0"/>
        <v>-9.8949399656946824E-2</v>
      </c>
    </row>
    <row r="16" spans="1:10" x14ac:dyDescent="0.25">
      <c r="D16" s="144"/>
      <c r="E16" s="2" t="str">
        <f>'Billing Detail'!D45</f>
        <v>Demand Charge per kW</v>
      </c>
      <c r="F16" s="105">
        <f>'Billing Detail'!H45</f>
        <v>6.27</v>
      </c>
      <c r="G16" s="105">
        <f>'Billing Detail'!L45</f>
        <v>6.51</v>
      </c>
      <c r="J16" s="5">
        <f t="shared" si="0"/>
        <v>3.8277511961722466E-2</v>
      </c>
    </row>
    <row r="17" spans="3:10" x14ac:dyDescent="0.25">
      <c r="D17" s="144"/>
      <c r="E17" s="2" t="str">
        <f>'Billing Detail'!D46</f>
        <v>Energy Charge Secondary per kWh</v>
      </c>
      <c r="F17" s="106">
        <f>'Billing Detail'!H46</f>
        <v>5.7079999999999999E-2</v>
      </c>
      <c r="G17" s="106">
        <f>'Billing Detail'!L46</f>
        <v>5.7340000000000002E-2</v>
      </c>
      <c r="J17" s="5">
        <f t="shared" si="0"/>
        <v>4.5550105115628181E-3</v>
      </c>
    </row>
    <row r="18" spans="3:10" x14ac:dyDescent="0.25">
      <c r="D18" s="144"/>
      <c r="E18" s="2" t="str">
        <f>'Billing Detail'!D47</f>
        <v>Energy Charge Primary per kWh</v>
      </c>
      <c r="F18" s="106">
        <f>'Billing Detail'!H47</f>
        <v>5.0959999999999998E-2</v>
      </c>
      <c r="G18" s="106">
        <f>'Billing Detail'!L47</f>
        <v>6.2269999999999999E-2</v>
      </c>
      <c r="I18" s="167"/>
      <c r="J18" s="5">
        <f t="shared" si="0"/>
        <v>0.22193877551020402</v>
      </c>
    </row>
    <row r="19" spans="3:10" x14ac:dyDescent="0.25">
      <c r="C19" s="27" t="str">
        <f>'Billing Detail'!C57</f>
        <v>LPR</v>
      </c>
      <c r="D19" s="144" t="str">
        <f>'Billing Detail'!B57</f>
        <v>Large Power Service (750 kVA +)</v>
      </c>
      <c r="F19" s="106"/>
      <c r="G19" s="106"/>
      <c r="J19" s="5"/>
    </row>
    <row r="20" spans="3:10" x14ac:dyDescent="0.25">
      <c r="D20" s="144"/>
      <c r="E20" s="2" t="str">
        <f>'Billing Detail'!D58</f>
        <v>Customer Charge</v>
      </c>
      <c r="F20" s="105">
        <f>'Billing Detail'!H58</f>
        <v>114.5</v>
      </c>
      <c r="G20" s="129">
        <f>'Billing Detail'!L58</f>
        <v>115.17</v>
      </c>
      <c r="J20" s="5">
        <f t="shared" si="0"/>
        <v>5.8515283842794918E-3</v>
      </c>
    </row>
    <row r="21" spans="3:10" x14ac:dyDescent="0.25">
      <c r="D21" s="144"/>
      <c r="E21" s="2" t="str">
        <f>'Billing Detail'!D59</f>
        <v>Demand Charge per kW</v>
      </c>
      <c r="F21" s="105">
        <f>'Billing Detail'!H59</f>
        <v>6.47</v>
      </c>
      <c r="G21" s="105">
        <f>'Billing Detail'!L59</f>
        <v>6.31</v>
      </c>
      <c r="I21" s="167"/>
      <c r="J21" s="5">
        <f t="shared" si="0"/>
        <v>-2.4729520865533261E-2</v>
      </c>
    </row>
    <row r="22" spans="3:10" x14ac:dyDescent="0.25">
      <c r="D22" s="144"/>
      <c r="E22" s="2" t="str">
        <f>'Billing Detail'!D60</f>
        <v>Energy Charge Secondary per kWh</v>
      </c>
      <c r="F22" s="106">
        <f>'Billing Detail'!H60</f>
        <v>5.6590000000000001E-2</v>
      </c>
      <c r="G22" s="106">
        <f>'Billing Detail'!L60</f>
        <v>0</v>
      </c>
      <c r="I22" s="167"/>
      <c r="J22" s="5">
        <f t="shared" si="0"/>
        <v>-1</v>
      </c>
    </row>
    <row r="23" spans="3:10" x14ac:dyDescent="0.25">
      <c r="D23" s="144"/>
      <c r="E23" s="2" t="str">
        <f>'Billing Detail'!D61</f>
        <v>Energy Charge Primary per kWh</v>
      </c>
      <c r="F23" s="106">
        <f>'Billing Detail'!H61</f>
        <v>5.0520000000000002E-2</v>
      </c>
      <c r="G23" s="106">
        <f>'Billing Detail'!L61</f>
        <v>6.0170000000000001E-2</v>
      </c>
      <c r="I23" s="167"/>
      <c r="J23" s="5">
        <f t="shared" si="0"/>
        <v>0.1910134600158353</v>
      </c>
    </row>
    <row r="24" spans="3:10" x14ac:dyDescent="0.25">
      <c r="C24" s="27" t="str">
        <f>'Billing Detail'!C71</f>
        <v>IND-1B</v>
      </c>
      <c r="D24" s="144" t="str">
        <f>'Billing Detail'!B71</f>
        <v>Industrial</v>
      </c>
      <c r="F24" s="18"/>
      <c r="G24" s="106"/>
      <c r="J24" s="5"/>
    </row>
    <row r="25" spans="3:10" x14ac:dyDescent="0.25">
      <c r="D25" s="144"/>
      <c r="E25" s="2" t="str">
        <f>'Billing Detail'!D72</f>
        <v>Customer Charge</v>
      </c>
      <c r="F25" s="18">
        <f>'Billing Detail'!H72</f>
        <v>173.33</v>
      </c>
      <c r="G25" s="18">
        <f>'Billing Detail'!L72</f>
        <v>174.76</v>
      </c>
      <c r="J25" s="5">
        <f t="shared" si="0"/>
        <v>8.2501586568970442E-3</v>
      </c>
    </row>
    <row r="26" spans="3:10" x14ac:dyDescent="0.25">
      <c r="D26" s="144"/>
      <c r="E26" s="2" t="str">
        <f>'Billing Detail'!D73</f>
        <v>Demand Charge-Contract per kW</v>
      </c>
      <c r="F26" s="18">
        <f>'Billing Detail'!H73</f>
        <v>6.44</v>
      </c>
      <c r="G26" s="18">
        <f>'Billing Detail'!L73</f>
        <v>6.49</v>
      </c>
      <c r="J26" s="5">
        <f t="shared" si="0"/>
        <v>7.763975155279379E-3</v>
      </c>
    </row>
    <row r="27" spans="3:10" x14ac:dyDescent="0.25">
      <c r="D27" s="144"/>
      <c r="E27" s="2" t="str">
        <f>'Billing Detail'!D74</f>
        <v>Demand Charge-Excess per kW</v>
      </c>
      <c r="F27" s="18">
        <f>'Billing Detail'!H74</f>
        <v>9.34</v>
      </c>
      <c r="G27" s="18">
        <f>'Billing Detail'!L74</f>
        <v>4.8899999999999997</v>
      </c>
      <c r="I27" s="167"/>
      <c r="J27" s="5">
        <f t="shared" si="0"/>
        <v>-0.47644539614561032</v>
      </c>
    </row>
    <row r="28" spans="3:10" x14ac:dyDescent="0.25">
      <c r="D28" s="144"/>
      <c r="E28" s="2" t="str">
        <f>'Billing Detail'!D75</f>
        <v>Energy Charge Secondary per kWh</v>
      </c>
      <c r="F28" s="106">
        <f>'Billing Detail'!H75</f>
        <v>5.178E-2</v>
      </c>
      <c r="G28" s="106">
        <f>'Billing Detail'!L75</f>
        <v>5.178E-2</v>
      </c>
      <c r="J28" s="5">
        <f t="shared" si="0"/>
        <v>0</v>
      </c>
    </row>
    <row r="29" spans="3:10" x14ac:dyDescent="0.25">
      <c r="D29" s="144"/>
      <c r="E29" s="2" t="str">
        <f>'Billing Detail'!D76</f>
        <v>Energy Charge Primary per kWh</v>
      </c>
      <c r="F29" s="106">
        <f>'Billing Detail'!H76</f>
        <v>5.108E-2</v>
      </c>
      <c r="G29" s="106">
        <f>'Billing Detail'!L76</f>
        <v>5.4510000000000003E-2</v>
      </c>
      <c r="J29" s="5">
        <f t="shared" si="0"/>
        <v>6.7149569303054157E-2</v>
      </c>
    </row>
    <row r="30" spans="3:10" x14ac:dyDescent="0.25">
      <c r="C30" s="27" t="str">
        <f>'Billing Detail'!C126</f>
        <v>IND-1</v>
      </c>
      <c r="D30" s="144" t="str">
        <f>'Billing Detail'!B126</f>
        <v>Industrial</v>
      </c>
      <c r="F30" s="105"/>
      <c r="G30" s="105"/>
      <c r="J30" s="5"/>
    </row>
    <row r="31" spans="3:10" x14ac:dyDescent="0.25">
      <c r="D31" s="2"/>
      <c r="E31" s="2" t="str">
        <f>'Billing Detail'!D127</f>
        <v>Customer Charge</v>
      </c>
      <c r="F31" s="105">
        <f>'Billing Detail'!H127</f>
        <v>165.06</v>
      </c>
      <c r="G31" s="105">
        <f>'Billing Detail'!L127</f>
        <v>170.94097903587934</v>
      </c>
      <c r="J31" s="5">
        <f t="shared" ref="J31:J39" si="1">G31/F31-1</f>
        <v>3.5629341063124542E-2</v>
      </c>
    </row>
    <row r="32" spans="3:10" x14ac:dyDescent="0.25">
      <c r="D32" s="2"/>
      <c r="E32" s="2" t="str">
        <f>'Billing Detail'!D128</f>
        <v>Demand Charge per kW</v>
      </c>
      <c r="F32" s="105">
        <f>'Billing Detail'!H128</f>
        <v>5.93</v>
      </c>
      <c r="G32" s="105">
        <f>'Billing Detail'!L128</f>
        <v>6.1412819925043278</v>
      </c>
      <c r="J32" s="5">
        <f t="shared" si="1"/>
        <v>3.5629341063124542E-2</v>
      </c>
    </row>
    <row r="33" spans="3:10" x14ac:dyDescent="0.25">
      <c r="D33" s="2"/>
      <c r="E33" s="2" t="str">
        <f>'Billing Detail'!D129</f>
        <v>Energy Charge Secondary per kWh</v>
      </c>
      <c r="F33" s="106">
        <f>'Billing Detail'!H129</f>
        <v>5.289E-2</v>
      </c>
      <c r="G33" s="106">
        <f>'Billing Detail'!L129</f>
        <v>5.4774435848828656E-2</v>
      </c>
      <c r="J33" s="5">
        <f t="shared" si="1"/>
        <v>3.5629341063124542E-2</v>
      </c>
    </row>
    <row r="34" spans="3:10" x14ac:dyDescent="0.25">
      <c r="D34" s="2"/>
      <c r="E34" s="2" t="str">
        <f>'Billing Detail'!D130</f>
        <v>Energy Charge Primary per kWh</v>
      </c>
      <c r="F34" s="106">
        <f>'Billing Detail'!H130</f>
        <v>5.2260000000000001E-2</v>
      </c>
      <c r="G34" s="106">
        <f>'Billing Detail'!L130</f>
        <v>5.4121989363958886E-2</v>
      </c>
      <c r="J34" s="5">
        <f t="shared" si="1"/>
        <v>3.5629341063124542E-2</v>
      </c>
    </row>
    <row r="35" spans="3:10" x14ac:dyDescent="0.25">
      <c r="C35" s="27" t="str">
        <f>'Billing Detail'!C131</f>
        <v>IND-2</v>
      </c>
      <c r="D35" s="144" t="str">
        <f>'Billing Detail'!B131</f>
        <v>Industrial</v>
      </c>
      <c r="F35" s="105"/>
      <c r="G35" s="105"/>
      <c r="J35" s="5"/>
    </row>
    <row r="36" spans="3:10" x14ac:dyDescent="0.25">
      <c r="D36" s="2"/>
      <c r="E36" s="2" t="str">
        <f>'Billing Detail'!D132</f>
        <v>Customer Charge</v>
      </c>
      <c r="F36" s="105">
        <f>'Billing Detail'!H132</f>
        <v>1176.33</v>
      </c>
      <c r="G36" s="105">
        <f>'Billing Detail'!L132</f>
        <v>1218.2418627727852</v>
      </c>
      <c r="J36" s="5">
        <f t="shared" si="1"/>
        <v>3.5629341063124542E-2</v>
      </c>
    </row>
    <row r="37" spans="3:10" x14ac:dyDescent="0.25">
      <c r="D37" s="2"/>
      <c r="E37" s="2" t="str">
        <f>'Billing Detail'!D133</f>
        <v>Demand Charge per kW</v>
      </c>
      <c r="F37" s="105">
        <f>'Billing Detail'!H133</f>
        <v>5.93</v>
      </c>
      <c r="G37" s="105">
        <f>'Billing Detail'!L133</f>
        <v>6.1412819925043278</v>
      </c>
      <c r="J37" s="5">
        <f t="shared" si="1"/>
        <v>3.5629341063124542E-2</v>
      </c>
    </row>
    <row r="38" spans="3:10" x14ac:dyDescent="0.25">
      <c r="D38" s="2"/>
      <c r="E38" s="2" t="str">
        <f>'Billing Detail'!D134</f>
        <v>Energy Charge Secondary per kWh</v>
      </c>
      <c r="F38" s="106">
        <f>'Billing Detail'!H134</f>
        <v>4.7390000000000002E-2</v>
      </c>
      <c r="G38" s="106">
        <f>'Billing Detail'!L134</f>
        <v>4.907847447298147E-2</v>
      </c>
      <c r="J38" s="5">
        <f t="shared" si="1"/>
        <v>3.5629341063124542E-2</v>
      </c>
    </row>
    <row r="39" spans="3:10" x14ac:dyDescent="0.25">
      <c r="D39" s="2"/>
      <c r="E39" s="2" t="str">
        <f>'Billing Detail'!D135</f>
        <v>Energy Charge Primary per kWh</v>
      </c>
      <c r="F39" s="106">
        <f>'Billing Detail'!H135</f>
        <v>4.6899999999999997E-2</v>
      </c>
      <c r="G39" s="106">
        <f>'Billing Detail'!L135</f>
        <v>4.8571016095860536E-2</v>
      </c>
      <c r="J39" s="5">
        <f t="shared" si="1"/>
        <v>3.5629341063124542E-2</v>
      </c>
    </row>
    <row r="40" spans="3:10" x14ac:dyDescent="0.25">
      <c r="C40" s="27" t="str">
        <f>'Billing Detail'!C86</f>
        <v>YL1</v>
      </c>
      <c r="D40" s="144" t="str">
        <f>'Billing Detail'!B86</f>
        <v>Lighting</v>
      </c>
      <c r="F40" s="105"/>
      <c r="G40" s="105"/>
      <c r="J40" s="5"/>
    </row>
    <row r="41" spans="3:10" x14ac:dyDescent="0.25">
      <c r="D41" s="144"/>
      <c r="E41" s="2" t="s">
        <v>104</v>
      </c>
      <c r="F41" s="105">
        <f>'Billing Detail'!H88</f>
        <v>9.1999999999999993</v>
      </c>
      <c r="G41" s="105">
        <f>'Billing Detail'!L88</f>
        <v>9.3800000000000008</v>
      </c>
      <c r="J41" s="5">
        <f>G41/F41-1</f>
        <v>1.9565217391304568E-2</v>
      </c>
    </row>
    <row r="42" spans="3:10" x14ac:dyDescent="0.25">
      <c r="D42" s="2"/>
      <c r="E42" s="2" t="s">
        <v>105</v>
      </c>
      <c r="F42" s="105">
        <f>'Billing Detail'!H89</f>
        <v>13.64</v>
      </c>
      <c r="G42" s="105">
        <f>'Billing Detail'!L89</f>
        <v>13.9</v>
      </c>
      <c r="J42" s="5">
        <f>G42/F42-1</f>
        <v>1.9061583577712593E-2</v>
      </c>
    </row>
    <row r="43" spans="3:10" x14ac:dyDescent="0.25">
      <c r="D43" s="2"/>
      <c r="E43" s="2" t="s">
        <v>106</v>
      </c>
      <c r="F43" s="102">
        <f>'Billing Detail'!H102</f>
        <v>15.95</v>
      </c>
      <c r="G43" s="102">
        <f>'Billing Detail'!L102</f>
        <v>16.260000000000002</v>
      </c>
      <c r="J43" s="5">
        <f>G43/F43-1</f>
        <v>1.9435736677116067E-2</v>
      </c>
    </row>
    <row r="44" spans="3:10" x14ac:dyDescent="0.25">
      <c r="D44" s="2"/>
      <c r="E44" s="2" t="s">
        <v>107</v>
      </c>
      <c r="F44" s="105">
        <f>'Billing Detail'!H103</f>
        <v>36.54</v>
      </c>
      <c r="G44" s="105">
        <f>'Billing Detail'!L103</f>
        <v>37.24</v>
      </c>
      <c r="J44" s="5">
        <f>G44/F44-1</f>
        <v>1.9157088122605526E-2</v>
      </c>
    </row>
    <row r="45" spans="3:10" x14ac:dyDescent="0.25">
      <c r="D45" s="2"/>
      <c r="E45" s="2" t="s">
        <v>108</v>
      </c>
      <c r="F45" s="105">
        <f>'Billing Detail'!H100</f>
        <v>18.649999999999999</v>
      </c>
      <c r="G45" s="105">
        <f>'Billing Detail'!L100</f>
        <v>19.010000000000002</v>
      </c>
      <c r="J45" s="5">
        <f>G45/F45-1</f>
        <v>1.93029490616623E-2</v>
      </c>
    </row>
    <row r="46" spans="3:10" x14ac:dyDescent="0.25">
      <c r="F46" s="105"/>
      <c r="G46" s="105"/>
    </row>
    <row r="47" spans="3:10" x14ac:dyDescent="0.25">
      <c r="F47" s="105"/>
      <c r="G47" s="105"/>
    </row>
    <row r="48" spans="3:10" ht="41.4" customHeight="1" x14ac:dyDescent="0.25">
      <c r="C48" s="171" t="s">
        <v>57</v>
      </c>
      <c r="D48" s="171"/>
      <c r="E48" s="171"/>
      <c r="F48" s="171"/>
      <c r="G48" s="171"/>
    </row>
    <row r="49" spans="3:12" x14ac:dyDescent="0.25">
      <c r="D49" s="2"/>
      <c r="F49" s="172" t="s">
        <v>58</v>
      </c>
      <c r="G49" s="172"/>
    </row>
    <row r="50" spans="3:12" x14ac:dyDescent="0.25">
      <c r="C50" s="140" t="s">
        <v>59</v>
      </c>
      <c r="D50" s="130"/>
      <c r="E50" s="131"/>
      <c r="F50" s="132" t="s">
        <v>60</v>
      </c>
      <c r="G50" s="132" t="s">
        <v>61</v>
      </c>
    </row>
    <row r="51" spans="3:12" x14ac:dyDescent="0.25">
      <c r="C51" s="141" t="str">
        <f>Summary!C8</f>
        <v>A1</v>
      </c>
      <c r="D51" s="4" t="str">
        <f>Summary!B8</f>
        <v xml:space="preserve">Farm &amp; Home </v>
      </c>
      <c r="F51" s="133">
        <f>Summary!L8</f>
        <v>607390.77023999859</v>
      </c>
      <c r="G51" s="134">
        <f>Summary!N8</f>
        <v>3.4170545150292699E-2</v>
      </c>
      <c r="L51" s="15"/>
    </row>
    <row r="52" spans="3:12" x14ac:dyDescent="0.25">
      <c r="C52" s="141" t="str">
        <f>Summary!C9</f>
        <v>A1-ETS</v>
      </c>
      <c r="D52" s="4" t="str">
        <f>Summary!B9</f>
        <v>Farm &amp; Home (ETS)</v>
      </c>
      <c r="F52" s="133">
        <f>Summary!L9</f>
        <v>0</v>
      </c>
      <c r="G52" s="134">
        <f>Summary!N9</f>
        <v>0</v>
      </c>
      <c r="H52" s="1"/>
      <c r="L52" s="15"/>
    </row>
    <row r="53" spans="3:12" x14ac:dyDescent="0.25">
      <c r="C53" s="141" t="str">
        <f>Summary!C10</f>
        <v>A2</v>
      </c>
      <c r="D53" s="4" t="str">
        <f>Summary!B10</f>
        <v xml:space="preserve">Commercial &amp; Small Power </v>
      </c>
      <c r="F53" s="133">
        <f>Summary!L10</f>
        <v>48838.472800000105</v>
      </c>
      <c r="G53" s="134">
        <f>Summary!N10</f>
        <v>3.9382929939770633E-2</v>
      </c>
      <c r="H53" s="1"/>
      <c r="L53" s="15"/>
    </row>
    <row r="54" spans="3:12" x14ac:dyDescent="0.25">
      <c r="C54" s="141" t="str">
        <f>Summary!C11</f>
        <v>LP</v>
      </c>
      <c r="D54" s="4" t="str">
        <f>Summary!B11</f>
        <v>Large Power Service (25-750 kV)</v>
      </c>
      <c r="F54" s="133">
        <f>Summary!L11</f>
        <v>86391.49302000014</v>
      </c>
      <c r="G54" s="134">
        <f>Summary!N11</f>
        <v>3.6163533069374622E-2</v>
      </c>
      <c r="H54" s="1"/>
      <c r="L54" s="15"/>
    </row>
    <row r="55" spans="3:12" x14ac:dyDescent="0.25">
      <c r="C55" s="141" t="str">
        <f>Summary!C12</f>
        <v>LPR</v>
      </c>
      <c r="D55" s="4" t="str">
        <f>Summary!B12</f>
        <v>Large Power Service (750 kVA +)</v>
      </c>
      <c r="F55" s="133">
        <f>Summary!L12</f>
        <v>23300.175000000032</v>
      </c>
      <c r="G55" s="134">
        <f>Summary!N12</f>
        <v>2.7666454168062377E-2</v>
      </c>
      <c r="H55" s="1"/>
      <c r="L55" s="15"/>
    </row>
    <row r="56" spans="3:12" x14ac:dyDescent="0.25">
      <c r="C56" s="141" t="str">
        <f>Summary!C13</f>
        <v>IND-1B</v>
      </c>
      <c r="D56" s="4" t="str">
        <f>Summary!B13</f>
        <v>Industrial</v>
      </c>
      <c r="F56" s="133">
        <f>Summary!L13</f>
        <v>14144.705000000005</v>
      </c>
      <c r="G56" s="134">
        <f>Summary!N13</f>
        <v>3.4363784504573933E-2</v>
      </c>
      <c r="H56" s="1"/>
      <c r="L56" s="15"/>
    </row>
    <row r="57" spans="3:12" x14ac:dyDescent="0.25">
      <c r="C57" s="141" t="str">
        <f>Summary!C14</f>
        <v>YL1</v>
      </c>
      <c r="D57" s="4" t="str">
        <f>Summary!B14</f>
        <v>Lighting</v>
      </c>
      <c r="F57" s="133">
        <f>Summary!L14</f>
        <v>30170.44000000041</v>
      </c>
      <c r="G57" s="134">
        <f>Summary!N14</f>
        <v>1.9445514816589713E-2</v>
      </c>
      <c r="H57" s="1"/>
      <c r="L57" s="15"/>
    </row>
    <row r="58" spans="3:12" x14ac:dyDescent="0.25">
      <c r="C58" s="145" t="s">
        <v>62</v>
      </c>
      <c r="D58" s="135"/>
      <c r="E58" s="135"/>
      <c r="F58" s="164">
        <f>Summary!L26</f>
        <v>810236.05605999753</v>
      </c>
      <c r="G58" s="136">
        <f>Summary!N26</f>
        <v>3.3466722536729838E-2</v>
      </c>
      <c r="L58" s="15"/>
    </row>
    <row r="59" spans="3:12" x14ac:dyDescent="0.25">
      <c r="C59" s="141"/>
      <c r="D59" s="2"/>
      <c r="F59" s="137"/>
      <c r="G59" s="138"/>
    </row>
    <row r="60" spans="3:12" x14ac:dyDescent="0.25">
      <c r="D60" s="2"/>
    </row>
    <row r="61" spans="3:12" ht="40.200000000000003" customHeight="1" x14ac:dyDescent="0.25">
      <c r="C61" s="171" t="s">
        <v>63</v>
      </c>
      <c r="D61" s="171"/>
      <c r="E61" s="171"/>
      <c r="F61" s="171"/>
      <c r="G61" s="171"/>
      <c r="H61" s="171"/>
    </row>
    <row r="62" spans="3:12" x14ac:dyDescent="0.25">
      <c r="D62" s="2"/>
      <c r="E62" s="139" t="s">
        <v>18</v>
      </c>
      <c r="F62" s="172" t="s">
        <v>58</v>
      </c>
      <c r="G62" s="172"/>
    </row>
    <row r="63" spans="3:12" x14ac:dyDescent="0.25">
      <c r="C63" s="140" t="s">
        <v>59</v>
      </c>
      <c r="D63" s="131"/>
      <c r="E63" s="140" t="s">
        <v>64</v>
      </c>
      <c r="F63" s="132" t="s">
        <v>60</v>
      </c>
      <c r="G63" s="132" t="s">
        <v>61</v>
      </c>
    </row>
    <row r="64" spans="3:12" x14ac:dyDescent="0.25">
      <c r="C64" s="27" t="str">
        <f>Summary!C8</f>
        <v>A1</v>
      </c>
      <c r="D64" s="160" t="str">
        <f>Summary!B8</f>
        <v xml:space="preserve">Farm &amp; Home </v>
      </c>
      <c r="E64" s="142">
        <f>'Billing Detail'!E17</f>
        <v>1125.1456885750085</v>
      </c>
      <c r="F64" s="105">
        <f>'Billing Detail'!N17</f>
        <v>4.3241739537532453</v>
      </c>
      <c r="G64" s="5">
        <f>Summary!N8</f>
        <v>3.4170545150292699E-2</v>
      </c>
    </row>
    <row r="65" spans="3:7" x14ac:dyDescent="0.25">
      <c r="C65" s="27" t="str">
        <f>Summary!C9</f>
        <v>A1-ETS</v>
      </c>
      <c r="D65" s="160" t="str">
        <f>Summary!B9</f>
        <v>Farm &amp; Home (ETS)</v>
      </c>
      <c r="E65" s="143" t="s">
        <v>65</v>
      </c>
      <c r="F65" s="105">
        <v>0</v>
      </c>
      <c r="G65" s="5">
        <f>Summary!N9</f>
        <v>0</v>
      </c>
    </row>
    <row r="66" spans="3:7" x14ac:dyDescent="0.25">
      <c r="C66" s="27" t="str">
        <f>Summary!C10</f>
        <v>A2</v>
      </c>
      <c r="D66" s="160" t="str">
        <f>Summary!B10</f>
        <v xml:space="preserve">Commercial &amp; Small Power </v>
      </c>
      <c r="E66" s="142">
        <f>'Billing Detail'!E41</f>
        <v>871.9905651386639</v>
      </c>
      <c r="F66" s="105">
        <f>'Billing Detail'!N41</f>
        <v>4.6543860478414274</v>
      </c>
      <c r="G66" s="5">
        <f>Summary!N10</f>
        <v>3.9382929939770633E-2</v>
      </c>
    </row>
    <row r="67" spans="3:7" x14ac:dyDescent="0.25">
      <c r="C67" s="27" t="str">
        <f>Summary!C11</f>
        <v>LP</v>
      </c>
      <c r="D67" s="160" t="str">
        <f>Summary!B11</f>
        <v>Large Power Service (25-750 kV)</v>
      </c>
      <c r="E67" s="142">
        <f>'Billing Detail'!E55</f>
        <v>3371.9842286840808</v>
      </c>
      <c r="F67" s="105">
        <f>'Billing Detail'!N55</f>
        <v>42.578360285855297</v>
      </c>
      <c r="G67" s="5">
        <f>Summary!N11</f>
        <v>3.6163533069374622E-2</v>
      </c>
    </row>
    <row r="68" spans="3:7" x14ac:dyDescent="0.25">
      <c r="C68" s="27" t="str">
        <f>Summary!C12</f>
        <v>LPR</v>
      </c>
      <c r="D68" s="160" t="str">
        <f>Summary!B12</f>
        <v>Large Power Service (750 kVA +)</v>
      </c>
      <c r="E68" s="142">
        <f>'Billing Detail'!E69</f>
        <v>85924.851851851854</v>
      </c>
      <c r="F68" s="105">
        <f>'Billing Detail'!N69</f>
        <v>215.74236111111168</v>
      </c>
      <c r="G68" s="5">
        <f>Summary!N12</f>
        <v>2.7666454168062377E-2</v>
      </c>
    </row>
    <row r="69" spans="3:7" x14ac:dyDescent="0.25">
      <c r="C69" s="27" t="str">
        <f>Summary!C13</f>
        <v>IND-1B</v>
      </c>
      <c r="D69" s="160" t="str">
        <f>Summary!B13</f>
        <v>Industrial</v>
      </c>
      <c r="E69" s="142">
        <f>'Billing Detail'!E84</f>
        <v>505125</v>
      </c>
      <c r="F69" s="105">
        <f>'Billing Detail'!N84</f>
        <v>1178.725416666668</v>
      </c>
      <c r="G69" s="5">
        <f>Summary!N13</f>
        <v>3.4363784504573933E-2</v>
      </c>
    </row>
    <row r="70" spans="3:7" x14ac:dyDescent="0.25">
      <c r="C70" s="27" t="str">
        <f>Summary!C14</f>
        <v>YL1</v>
      </c>
      <c r="D70" s="160" t="str">
        <f>Summary!B14</f>
        <v>Lighting</v>
      </c>
      <c r="E70" s="154" t="s">
        <v>65</v>
      </c>
      <c r="F70" s="153" t="s">
        <v>65</v>
      </c>
      <c r="G70" s="5">
        <f>Summary!N14</f>
        <v>1.9445514816589713E-2</v>
      </c>
    </row>
  </sheetData>
  <mergeCells count="4">
    <mergeCell ref="C48:G48"/>
    <mergeCell ref="F49:G49"/>
    <mergeCell ref="C61:H61"/>
    <mergeCell ref="F62:G62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9353-8D6D-48D0-B56E-B30741DE4616}">
  <dimension ref="A1:B12"/>
  <sheetViews>
    <sheetView workbookViewId="0">
      <selection activeCell="F4" sqref="F4"/>
    </sheetView>
  </sheetViews>
  <sheetFormatPr defaultRowHeight="13.2" x14ac:dyDescent="0.25"/>
  <cols>
    <col min="1" max="1" width="8.88671875" style="27"/>
    <col min="2" max="16384" width="8.88671875" style="2"/>
  </cols>
  <sheetData>
    <row r="1" spans="1:2" x14ac:dyDescent="0.25">
      <c r="A1" s="170" t="s">
        <v>117</v>
      </c>
    </row>
    <row r="3" spans="1:2" x14ac:dyDescent="0.25">
      <c r="A3" s="27">
        <v>1</v>
      </c>
      <c r="B3" s="2" t="s">
        <v>118</v>
      </c>
    </row>
    <row r="4" spans="1:2" x14ac:dyDescent="0.25">
      <c r="B4" s="2" t="s">
        <v>119</v>
      </c>
    </row>
    <row r="6" spans="1:2" x14ac:dyDescent="0.25">
      <c r="A6" s="27">
        <v>2</v>
      </c>
      <c r="B6" s="2" t="s">
        <v>114</v>
      </c>
    </row>
    <row r="7" spans="1:2" x14ac:dyDescent="0.25">
      <c r="B7" s="2" t="s">
        <v>115</v>
      </c>
    </row>
    <row r="8" spans="1:2" x14ac:dyDescent="0.25">
      <c r="B8" s="2" t="s">
        <v>116</v>
      </c>
    </row>
    <row r="10" spans="1:2" x14ac:dyDescent="0.25">
      <c r="A10" s="27">
        <v>3</v>
      </c>
      <c r="B10" s="2" t="s">
        <v>113</v>
      </c>
    </row>
    <row r="11" spans="1:2" x14ac:dyDescent="0.25">
      <c r="B11" s="2" t="s">
        <v>115</v>
      </c>
    </row>
    <row r="12" spans="1:2" x14ac:dyDescent="0.25">
      <c r="B12" s="2" t="s">
        <v>116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2021-03-10T01:03:20Z</cp:lastPrinted>
  <dcterms:created xsi:type="dcterms:W3CDTF">2021-02-09T02:13:44Z</dcterms:created>
  <dcterms:modified xsi:type="dcterms:W3CDTF">2021-05-24T12:51:30Z</dcterms:modified>
</cp:coreProperties>
</file>