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hael.west\Documents\Matters\Case related\2021-00103 EKPC Rate\Testimony\"/>
    </mc:Choice>
  </mc:AlternateContent>
  <bookViews>
    <workbookView xWindow="0" yWindow="0" windowWidth="28800" windowHeight="12300"/>
  </bookViews>
  <sheets>
    <sheet name="Revenue Requirement" sheetId="6" r:id="rId1"/>
    <sheet name="1.30 - As Filed And Adj Rev Inc" sheetId="31" r:id="rId2"/>
    <sheet name="Capacity Revenues" sheetId="42" r:id="rId3"/>
    <sheet name="Net Leased Property Income" sheetId="48" r:id="rId4"/>
    <sheet name="Payroll &amp; PR Expenses" sheetId="49" r:id="rId5"/>
    <sheet name="OPEB" sheetId="18" r:id="rId6"/>
    <sheet name="Generation Outage Exp Normal" sheetId="52" r:id="rId7"/>
    <sheet name="Gen Maint Bar Chart" sheetId="53" r:id="rId8"/>
    <sheet name="PP Exp Due to Forced Outages" sheetId="24" r:id="rId9"/>
    <sheet name="Depr Exp-Adj 1 " sheetId="32" r:id="rId10"/>
    <sheet name="Depr Exp-Adj 2" sheetId="39" r:id="rId11"/>
    <sheet name="Depr Exp-Adj 3" sheetId="50" r:id="rId12"/>
    <sheet name="Depr Exp-Adj  General Res Surp" sheetId="45" r:id="rId13"/>
    <sheet name="As Filed Depr Table 1" sheetId="33" r:id="rId14"/>
    <sheet name="Adjust Depr Table 1" sheetId="34" r:id="rId15"/>
    <sheet name="Adjust Depr Table 2" sheetId="40" r:id="rId16"/>
    <sheet name="Adjust Depr Table 3" sheetId="51" r:id="rId17"/>
    <sheet name="Interest Exp - ST Investments" sheetId="38" r:id="rId18"/>
    <sheet name="Interest Expense ES Removal" sheetId="26" r:id="rId19"/>
    <sheet name="WP 1.02 Plant" sheetId="35" r:id="rId20"/>
    <sheet name="WP 1.02 Interest &amp; Principal" sheetId="36" r:id="rId21"/>
    <sheet name="1.04 - LTD Interest Expense" sheetId="37" r:id="rId22"/>
    <sheet name="Smith 1 Reg Asset" sheetId="46" r:id="rId23"/>
    <sheet name="Select Post Test Adjust" sheetId="54" r:id="rId24"/>
  </sheets>
  <definedNames>
    <definedName name="\\" hidden="1">#REF!</definedName>
    <definedName name="\\\" hidden="1">#REF!</definedName>
    <definedName name="\\\\" localSheetId="6" hidden="1">#REF!</definedName>
    <definedName name="\\\\" hidden="1">#REF!</definedName>
    <definedName name="__123Graph_A" hidden="1">#REF!</definedName>
    <definedName name="__123Graph_B" hidden="1">#REF!</definedName>
    <definedName name="__123Graph_C" localSheetId="6" hidden="1">#REF!</definedName>
    <definedName name="__123Graph_C" hidden="1">#REF!</definedName>
    <definedName name="__123Graph_D" hidden="1">#REF!</definedName>
    <definedName name="__123Graph_E" localSheetId="6" hidden="1">#REF!</definedName>
    <definedName name="__123Graph_E" hidden="1">#REF!</definedName>
    <definedName name="__123Graph_F" hidden="1">#REF!</definedName>
    <definedName name="__123Graph_X" hidden="1">#REF!</definedName>
    <definedName name="_Key1" hidden="1">#REF!</definedName>
    <definedName name="_Order1" hidden="1">0</definedName>
    <definedName name="_Order2" hidden="1">0</definedName>
    <definedName name="_Sort" hidden="1">#REF!</definedName>
    <definedName name="_xlnm.Print_Area" localSheetId="0">'Revenue Requirement'!$A$1:$H$37</definedName>
    <definedName name="recap" hidden="1">{#N/A,#N/A,TRUE,"Cover";#N/A,#N/A,TRUE,"Revision Log";#N/A,#N/A,TRUE,"Assumptions";#N/A,#N/A,TRUE,"Inputs";#N/A,#N/A,TRUE,"Sensitivity";#N/A,#N/A,TRUE,"Graphs";#N/A,#N/A,TRUE,"Operating Graphs";#N/A,#N/A,TRUE,"Stats";#N/A,#N/A,TRUE,"Summary"}</definedName>
    <definedName name="wrn.Cashflow." hidden="1">{#N/A,#N/A,TRUE,"Cover";#N/A,#N/A,TRUE,"Revision Log";#N/A,#N/A,TRUE,"Assumptions";#N/A,#N/A,TRUE,"Inputs";#N/A,#N/A,TRUE,"Sensitivity";#N/A,#N/A,TRUE,"Graphs";#N/A,#N/A,TRUE,"Operating Graphs";#N/A,#N/A,TRUE,"Stats";#N/A,#N/A,TRUE,"Summary"}</definedName>
    <definedName name="wrn.Operating_Graphs_Stats." hidden="1">{#N/A,#N/A,TRUE,"Operating Graphs";#N/A,#N/A,TRUE,"Stats"}</definedName>
    <definedName name="wrn.Print._.All." hidden="1">{#N/A,#N/A,FALSE,"Summary";#N/A,#N/A,FALSE,"City Gate";#N/A,#N/A,FALSE,"Ind Trans";#N/A,#N/A,FALSE,"Electric Gen"}</definedName>
    <definedName name="wrn.printb1." hidden="1">{#N/A,#N/A,FALSE,"B-1";#N/A,#N/A,FALSE,"B-1(P2)";#N/A,#N/A,FALSE,"B-1(P3)";#N/A,#N/A,FALSE,"B-1(P4)"}</definedName>
    <definedName name="wrn.printb1.4." hidden="1">{"page1",#N/A,FALSE,"B-1_4";"page2",#N/A,FALSE,"B-1_4";"page3",#N/A,FALSE,"B-1_4";"page4",#N/A,FALSE,"B-1_4";"page5",#N/A,FALSE,"B-1_4";"page6",#N/A,FALSE,"B-1_4";"page7",#N/A,FALSE,"B-1_4";"page8",#N/A,FALSE,"B-1_4"}</definedName>
    <definedName name="wrn.Schedule._.J." hidden="1">{"Schedule J-1",#N/A,FALSE,"Schedule J-1";"WP/J-1.1",#N/A,FALSE,"Schedule J-1";"Schedule J-2",#N/A,FALSE,"Schedule J-1";"WP/J-2.1",#N/A,FALSE,"Schedule J-1";"Schedule J-3",#N/A,FALSE,"Schedule J-1";"Schedule J-4",#N/A,FALSE,"Schedule J-1";"Schedule J-5",#N/A,FALSE,"Schedule J-1";"Schedule J-6",#N/A,FALSE,"Schedule J-1"}</definedName>
    <definedName name="yikes" hidden="1">{#N/A,#N/A,FALSE,"Summary";#N/A,#N/A,FALSE,"City Gate";#N/A,#N/A,FALSE,"Ind Trans";#N/A,#N/A,FALSE,"Electric Gen"}</definedName>
    <definedName name="yikes1" hidden="1">{"Schedule J-1",#N/A,FALSE,"Schedule J-1";"WP/J-1.1",#N/A,FALSE,"Schedule J-1";"Schedule J-2",#N/A,FALSE,"Schedule J-1";"WP/J-2.1",#N/A,FALSE,"Schedule J-1";"Schedule J-3",#N/A,FALSE,"Schedule J-1";"Schedule J-4",#N/A,FALSE,"Schedule J-1";"Schedule J-5",#N/A,FALSE,"Schedule J-1";"Schedule J-6",#N/A,FALSE,"Schedule J-1"}</definedName>
  </definedNames>
  <calcPr calcId="162913" iterate="1"/>
</workbook>
</file>

<file path=xl/calcChain.xml><?xml version="1.0" encoding="utf-8"?>
<calcChain xmlns="http://schemas.openxmlformats.org/spreadsheetml/2006/main">
  <c r="G15" i="54" l="1"/>
  <c r="E6" i="54" l="1"/>
  <c r="G6" i="54" s="1"/>
  <c r="G17" i="54"/>
  <c r="G13" i="54"/>
  <c r="G9" i="54"/>
  <c r="E11" i="54"/>
  <c r="G11" i="54" s="1"/>
  <c r="F4" i="54"/>
  <c r="G4" i="54" s="1"/>
  <c r="G20" i="54" l="1"/>
  <c r="B32" i="53"/>
  <c r="B31" i="53"/>
  <c r="B30" i="53"/>
  <c r="B29" i="53"/>
  <c r="B28" i="53"/>
  <c r="B27" i="53"/>
  <c r="B26" i="53"/>
  <c r="B25" i="53"/>
  <c r="B24" i="53"/>
  <c r="B23" i="53"/>
  <c r="L38" i="31" l="1"/>
  <c r="L39" i="31" s="1"/>
  <c r="L40" i="31" s="1"/>
  <c r="M40" i="31" s="1"/>
  <c r="C77" i="24" l="1"/>
  <c r="C87" i="24" s="1"/>
  <c r="C89" i="24" s="1"/>
  <c r="E45" i="24"/>
  <c r="E81" i="24" s="1"/>
  <c r="E87" i="24" s="1"/>
  <c r="E89" i="24" s="1"/>
  <c r="E91" i="24"/>
  <c r="C91" i="24"/>
  <c r="C93" i="24" l="1"/>
  <c r="E93" i="24"/>
  <c r="E95" i="24" l="1"/>
  <c r="C18" i="52" l="1"/>
  <c r="E18" i="52" s="1"/>
  <c r="E17" i="52"/>
  <c r="E19" i="52"/>
  <c r="E16" i="52"/>
  <c r="E15" i="52"/>
  <c r="E21" i="52" l="1"/>
  <c r="E23" i="52" s="1"/>
  <c r="D25" i="6" s="1"/>
  <c r="I22" i="46" l="1"/>
  <c r="K311" i="51" l="1"/>
  <c r="M296" i="51"/>
  <c r="Q294" i="51"/>
  <c r="Q293" i="51"/>
  <c r="Q292" i="51"/>
  <c r="Q291" i="51"/>
  <c r="Q290" i="51"/>
  <c r="Q289" i="51"/>
  <c r="Q288" i="51"/>
  <c r="Q296" i="51" s="1"/>
  <c r="Q282" i="51"/>
  <c r="O282" i="51"/>
  <c r="M282" i="51"/>
  <c r="K282" i="51"/>
  <c r="S282" i="51" s="1"/>
  <c r="Q274" i="51"/>
  <c r="O274" i="51"/>
  <c r="M274" i="51"/>
  <c r="K274" i="51"/>
  <c r="S274" i="51" s="1"/>
  <c r="Q266" i="51"/>
  <c r="O266" i="51"/>
  <c r="M266" i="51"/>
  <c r="K266" i="51"/>
  <c r="Q260" i="51"/>
  <c r="O260" i="51"/>
  <c r="M260" i="51"/>
  <c r="K260" i="51"/>
  <c r="Q251" i="51"/>
  <c r="O251" i="51"/>
  <c r="M251" i="51"/>
  <c r="K251" i="51"/>
  <c r="S251" i="51" s="1"/>
  <c r="Q245" i="51"/>
  <c r="O245" i="51"/>
  <c r="O284" i="51" s="1"/>
  <c r="M245" i="51"/>
  <c r="M284" i="51" s="1"/>
  <c r="K245" i="51"/>
  <c r="K284" i="51" s="1"/>
  <c r="M235" i="51"/>
  <c r="K235" i="51"/>
  <c r="AA233" i="51"/>
  <c r="U233" i="51"/>
  <c r="O233" i="51"/>
  <c r="Q233" i="51" s="1"/>
  <c r="S233" i="51" s="1"/>
  <c r="AA232" i="51"/>
  <c r="U232" i="51" s="1"/>
  <c r="O232" i="51"/>
  <c r="AA231" i="51"/>
  <c r="U231" i="51" s="1"/>
  <c r="Q231" i="51" s="1"/>
  <c r="O231" i="51"/>
  <c r="M227" i="51"/>
  <c r="K227" i="51"/>
  <c r="AA225" i="51"/>
  <c r="U225" i="51"/>
  <c r="O225" i="51"/>
  <c r="Q225" i="51" s="1"/>
  <c r="S225" i="51" s="1"/>
  <c r="AA224" i="51"/>
  <c r="U224" i="51" s="1"/>
  <c r="O224" i="51"/>
  <c r="AA223" i="51"/>
  <c r="U223" i="51" s="1"/>
  <c r="Q223" i="51" s="1"/>
  <c r="S223" i="51" s="1"/>
  <c r="O223" i="51"/>
  <c r="AA222" i="51"/>
  <c r="U222" i="51"/>
  <c r="O222" i="51"/>
  <c r="Q222" i="51" s="1"/>
  <c r="S222" i="51" s="1"/>
  <c r="AA221" i="51"/>
  <c r="U221" i="51"/>
  <c r="O221" i="51"/>
  <c r="AA220" i="51"/>
  <c r="U220" i="51" s="1"/>
  <c r="O220" i="51"/>
  <c r="Q220" i="51" s="1"/>
  <c r="M214" i="51"/>
  <c r="K214" i="51"/>
  <c r="W212" i="51"/>
  <c r="AA212" i="51" s="1"/>
  <c r="U212" i="51" s="1"/>
  <c r="O212" i="51"/>
  <c r="AA211" i="51"/>
  <c r="U211" i="51" s="1"/>
  <c r="Q211" i="51" s="1"/>
  <c r="O211" i="51"/>
  <c r="O210" i="51"/>
  <c r="O209" i="51"/>
  <c r="O208" i="51"/>
  <c r="O207" i="51"/>
  <c r="M204" i="51"/>
  <c r="K204" i="51"/>
  <c r="O202" i="51"/>
  <c r="O201" i="51"/>
  <c r="O200" i="51"/>
  <c r="O199" i="51"/>
  <c r="Q199" i="51" s="1"/>
  <c r="O198" i="51"/>
  <c r="O197" i="51"/>
  <c r="O196" i="51"/>
  <c r="O195" i="51"/>
  <c r="O194" i="51"/>
  <c r="O193" i="51"/>
  <c r="O192" i="51"/>
  <c r="O191" i="51"/>
  <c r="O190" i="51"/>
  <c r="O189" i="51"/>
  <c r="O188" i="51"/>
  <c r="O187" i="51"/>
  <c r="O186" i="51"/>
  <c r="O185" i="51"/>
  <c r="O184" i="51"/>
  <c r="O183" i="51"/>
  <c r="M180" i="51"/>
  <c r="K180" i="51"/>
  <c r="O178" i="51"/>
  <c r="O177" i="51"/>
  <c r="O176" i="51"/>
  <c r="O175" i="51"/>
  <c r="O174" i="51"/>
  <c r="O173" i="51"/>
  <c r="O172" i="51"/>
  <c r="O171" i="51"/>
  <c r="O170" i="51"/>
  <c r="O169" i="51"/>
  <c r="O168" i="51"/>
  <c r="O167" i="51"/>
  <c r="O166" i="51"/>
  <c r="O165" i="51"/>
  <c r="O164" i="51"/>
  <c r="O163" i="51"/>
  <c r="O162" i="51"/>
  <c r="O161" i="51"/>
  <c r="O160" i="51"/>
  <c r="O159" i="51"/>
  <c r="O158" i="51"/>
  <c r="M155" i="51"/>
  <c r="K155" i="51"/>
  <c r="O153" i="51"/>
  <c r="O152" i="51"/>
  <c r="O151" i="51"/>
  <c r="O150" i="51"/>
  <c r="O149" i="51"/>
  <c r="O148" i="51"/>
  <c r="O147" i="51"/>
  <c r="O146" i="51"/>
  <c r="O145" i="51"/>
  <c r="U144" i="51"/>
  <c r="O144" i="51"/>
  <c r="O143" i="51"/>
  <c r="O142" i="51"/>
  <c r="O141" i="51"/>
  <c r="O140" i="51"/>
  <c r="O139" i="51"/>
  <c r="O138" i="51"/>
  <c r="O137" i="51"/>
  <c r="O136" i="51"/>
  <c r="O135" i="51"/>
  <c r="M132" i="51"/>
  <c r="K132" i="51"/>
  <c r="O130" i="51"/>
  <c r="O129" i="51"/>
  <c r="Q129" i="51" s="1"/>
  <c r="O128" i="51"/>
  <c r="O127" i="51"/>
  <c r="O126" i="51"/>
  <c r="O125" i="51"/>
  <c r="O124" i="51"/>
  <c r="O123" i="51"/>
  <c r="M120" i="51"/>
  <c r="K120" i="51"/>
  <c r="O118" i="51"/>
  <c r="O117" i="51"/>
  <c r="O116" i="51"/>
  <c r="O115" i="51"/>
  <c r="O114" i="51"/>
  <c r="O113" i="51"/>
  <c r="O112" i="51"/>
  <c r="O111" i="51"/>
  <c r="O110" i="51"/>
  <c r="O109" i="51"/>
  <c r="O108" i="51"/>
  <c r="O107" i="51"/>
  <c r="O106" i="51"/>
  <c r="O105" i="51"/>
  <c r="O104" i="51"/>
  <c r="O103" i="51"/>
  <c r="O102" i="51"/>
  <c r="W101" i="51"/>
  <c r="AA101" i="51" s="1"/>
  <c r="U101" i="51" s="1"/>
  <c r="O101" i="51"/>
  <c r="O100" i="51"/>
  <c r="O99" i="51"/>
  <c r="O120" i="51" s="1"/>
  <c r="M92" i="51"/>
  <c r="K92" i="51"/>
  <c r="O90" i="51"/>
  <c r="O89" i="51"/>
  <c r="O88" i="51"/>
  <c r="O87" i="51"/>
  <c r="O86" i="51"/>
  <c r="W85" i="51"/>
  <c r="AA85" i="51" s="1"/>
  <c r="U85" i="51" s="1"/>
  <c r="Q85" i="51" s="1"/>
  <c r="S85" i="51" s="1"/>
  <c r="O85" i="51"/>
  <c r="O84" i="51"/>
  <c r="M81" i="51"/>
  <c r="K81" i="51"/>
  <c r="O79" i="51"/>
  <c r="O78" i="51"/>
  <c r="W77" i="51"/>
  <c r="AA77" i="51" s="1"/>
  <c r="U77" i="51" s="1"/>
  <c r="O77" i="51"/>
  <c r="O76" i="51"/>
  <c r="O75" i="51"/>
  <c r="O74" i="51"/>
  <c r="O73" i="51"/>
  <c r="O72" i="51"/>
  <c r="Q72" i="51" s="1"/>
  <c r="S72" i="51" s="1"/>
  <c r="O71" i="51"/>
  <c r="O70" i="51"/>
  <c r="O69" i="51"/>
  <c r="M66" i="51"/>
  <c r="K66" i="51"/>
  <c r="U64" i="51"/>
  <c r="Q64" i="51" s="1"/>
  <c r="S64" i="51" s="1"/>
  <c r="O64" i="51"/>
  <c r="O63" i="51"/>
  <c r="O62" i="51"/>
  <c r="O61" i="51"/>
  <c r="O60" i="51"/>
  <c r="M57" i="51"/>
  <c r="K57" i="51"/>
  <c r="O55" i="51"/>
  <c r="O54" i="51"/>
  <c r="O53" i="51"/>
  <c r="O52" i="51"/>
  <c r="O51" i="51"/>
  <c r="O50" i="51"/>
  <c r="O49" i="51"/>
  <c r="O48" i="51"/>
  <c r="O47" i="51"/>
  <c r="O46" i="51"/>
  <c r="O45" i="51"/>
  <c r="M42" i="51"/>
  <c r="K42" i="51"/>
  <c r="O40" i="51"/>
  <c r="O39" i="51"/>
  <c r="O38" i="51"/>
  <c r="W37" i="51"/>
  <c r="AA37" i="51" s="1"/>
  <c r="U37" i="51" s="1"/>
  <c r="Q37" i="51" s="1"/>
  <c r="S37" i="51" s="1"/>
  <c r="O37" i="51"/>
  <c r="O36" i="51"/>
  <c r="O35" i="51"/>
  <c r="W34" i="51"/>
  <c r="AA34" i="51" s="1"/>
  <c r="U34" i="51" s="1"/>
  <c r="Q34" i="51" s="1"/>
  <c r="S34" i="51" s="1"/>
  <c r="O34" i="51"/>
  <c r="O33" i="51"/>
  <c r="O32" i="51"/>
  <c r="O31" i="51"/>
  <c r="M28" i="51"/>
  <c r="K28" i="51"/>
  <c r="O26" i="51"/>
  <c r="O25" i="51"/>
  <c r="O24" i="51"/>
  <c r="W23" i="51"/>
  <c r="AA23" i="51" s="1"/>
  <c r="U23" i="51" s="1"/>
  <c r="O23" i="51"/>
  <c r="O22" i="51"/>
  <c r="Q17" i="51"/>
  <c r="M17" i="51"/>
  <c r="K17" i="51"/>
  <c r="O15" i="51"/>
  <c r="O17" i="51" s="1"/>
  <c r="W211" i="40"/>
  <c r="W209" i="40"/>
  <c r="W197" i="40"/>
  <c r="W195" i="40"/>
  <c r="W187" i="40"/>
  <c r="W183" i="40"/>
  <c r="W171" i="40"/>
  <c r="W169" i="40"/>
  <c r="W161" i="40"/>
  <c r="W159" i="40"/>
  <c r="W147" i="40"/>
  <c r="W143" i="40"/>
  <c r="W135" i="40"/>
  <c r="W129" i="40"/>
  <c r="W117" i="40"/>
  <c r="W115" i="40"/>
  <c r="W107" i="40"/>
  <c r="W104" i="40"/>
  <c r="W90" i="40"/>
  <c r="W88" i="40"/>
  <c r="W78" i="40"/>
  <c r="W76" i="40"/>
  <c r="W70" i="40"/>
  <c r="W64" i="40"/>
  <c r="W54" i="40"/>
  <c r="W52" i="40"/>
  <c r="W46" i="40"/>
  <c r="W40" i="40"/>
  <c r="W34" i="40"/>
  <c r="W32" i="40"/>
  <c r="W22" i="40"/>
  <c r="U212" i="34"/>
  <c r="W212" i="40" s="1"/>
  <c r="U211" i="34"/>
  <c r="W211" i="51" s="1"/>
  <c r="U210" i="34"/>
  <c r="W210" i="51" s="1"/>
  <c r="AA210" i="51" s="1"/>
  <c r="U210" i="51" s="1"/>
  <c r="U209" i="34"/>
  <c r="W209" i="51" s="1"/>
  <c r="AA209" i="51" s="1"/>
  <c r="U209" i="51" s="1"/>
  <c r="Q209" i="51" s="1"/>
  <c r="U208" i="34"/>
  <c r="W208" i="40" s="1"/>
  <c r="U207" i="34"/>
  <c r="W207" i="51" s="1"/>
  <c r="AA207" i="51" s="1"/>
  <c r="U207" i="51" s="1"/>
  <c r="Q207" i="51" s="1"/>
  <c r="N178" i="50" s="1"/>
  <c r="U202" i="34"/>
  <c r="W202" i="40" s="1"/>
  <c r="U201" i="34"/>
  <c r="U200" i="34"/>
  <c r="W200" i="51" s="1"/>
  <c r="AA200" i="51" s="1"/>
  <c r="U200" i="51" s="1"/>
  <c r="Q200" i="51" s="1"/>
  <c r="U199" i="34"/>
  <c r="W199" i="51" s="1"/>
  <c r="AA199" i="51" s="1"/>
  <c r="U199" i="51" s="1"/>
  <c r="U198" i="34"/>
  <c r="W198" i="51" s="1"/>
  <c r="AA198" i="51" s="1"/>
  <c r="U198" i="51" s="1"/>
  <c r="Q198" i="51" s="1"/>
  <c r="U197" i="34"/>
  <c r="W197" i="51" s="1"/>
  <c r="AA197" i="51" s="1"/>
  <c r="U197" i="51" s="1"/>
  <c r="U196" i="34"/>
  <c r="W196" i="51" s="1"/>
  <c r="AA196" i="51" s="1"/>
  <c r="U196" i="51" s="1"/>
  <c r="Q196" i="51" s="1"/>
  <c r="U195" i="34"/>
  <c r="W195" i="51" s="1"/>
  <c r="AA195" i="51" s="1"/>
  <c r="U195" i="51" s="1"/>
  <c r="U194" i="34"/>
  <c r="U193" i="34"/>
  <c r="W193" i="40" s="1"/>
  <c r="U192" i="34"/>
  <c r="W192" i="40" s="1"/>
  <c r="U191" i="34"/>
  <c r="W191" i="51" s="1"/>
  <c r="AA191" i="51" s="1"/>
  <c r="U191" i="51" s="1"/>
  <c r="U190" i="34"/>
  <c r="W190" i="51" s="1"/>
  <c r="AA190" i="51" s="1"/>
  <c r="U190" i="51" s="1"/>
  <c r="U189" i="34"/>
  <c r="W189" i="51" s="1"/>
  <c r="AA189" i="51" s="1"/>
  <c r="U189" i="51" s="1"/>
  <c r="U188" i="34"/>
  <c r="W188" i="51" s="1"/>
  <c r="AA188" i="51" s="1"/>
  <c r="U188" i="51" s="1"/>
  <c r="U187" i="34"/>
  <c r="W187" i="51" s="1"/>
  <c r="AA187" i="51" s="1"/>
  <c r="U187" i="51" s="1"/>
  <c r="U186" i="34"/>
  <c r="U185" i="34"/>
  <c r="W185" i="40" s="1"/>
  <c r="U184" i="34"/>
  <c r="W184" i="51" s="1"/>
  <c r="AA184" i="51" s="1"/>
  <c r="U184" i="51" s="1"/>
  <c r="U183" i="34"/>
  <c r="W183" i="51" s="1"/>
  <c r="AA183" i="51" s="1"/>
  <c r="U183" i="51" s="1"/>
  <c r="U178" i="34"/>
  <c r="W178" i="51" s="1"/>
  <c r="AA178" i="51" s="1"/>
  <c r="U178" i="51" s="1"/>
  <c r="Q178" i="51" s="1"/>
  <c r="U177" i="34"/>
  <c r="W177" i="51" s="1"/>
  <c r="AA177" i="51" s="1"/>
  <c r="U177" i="51" s="1"/>
  <c r="U176" i="34"/>
  <c r="W176" i="51" s="1"/>
  <c r="AA176" i="51" s="1"/>
  <c r="U176" i="51" s="1"/>
  <c r="Q176" i="51" s="1"/>
  <c r="U175" i="34"/>
  <c r="W175" i="51" s="1"/>
  <c r="AA175" i="51" s="1"/>
  <c r="U175" i="51" s="1"/>
  <c r="Q175" i="51" s="1"/>
  <c r="U174" i="34"/>
  <c r="U173" i="34"/>
  <c r="U172" i="34"/>
  <c r="W172" i="51" s="1"/>
  <c r="AA172" i="51" s="1"/>
  <c r="U172" i="51" s="1"/>
  <c r="Q172" i="51" s="1"/>
  <c r="U171" i="34"/>
  <c r="W171" i="51" s="1"/>
  <c r="AA171" i="51" s="1"/>
  <c r="U171" i="51" s="1"/>
  <c r="U170" i="34"/>
  <c r="W170" i="51" s="1"/>
  <c r="AA170" i="51" s="1"/>
  <c r="U170" i="51" s="1"/>
  <c r="Q170" i="51" s="1"/>
  <c r="U169" i="34"/>
  <c r="W169" i="51" s="1"/>
  <c r="AA169" i="51" s="1"/>
  <c r="U169" i="51" s="1"/>
  <c r="U168" i="34"/>
  <c r="W168" i="40" s="1"/>
  <c r="U167" i="34"/>
  <c r="W167" i="51" s="1"/>
  <c r="AA167" i="51" s="1"/>
  <c r="U167" i="51" s="1"/>
  <c r="Q167" i="51" s="1"/>
  <c r="U166" i="34"/>
  <c r="U165" i="34"/>
  <c r="W165" i="40" s="1"/>
  <c r="U164" i="34"/>
  <c r="W164" i="51" s="1"/>
  <c r="AA164" i="51" s="1"/>
  <c r="U164" i="51" s="1"/>
  <c r="Q164" i="51" s="1"/>
  <c r="U163" i="34"/>
  <c r="W163" i="40" s="1"/>
  <c r="U162" i="34"/>
  <c r="W162" i="51" s="1"/>
  <c r="AA162" i="51" s="1"/>
  <c r="U162" i="51" s="1"/>
  <c r="Q162" i="51" s="1"/>
  <c r="U161" i="34"/>
  <c r="W161" i="51" s="1"/>
  <c r="AA161" i="51" s="1"/>
  <c r="U161" i="51" s="1"/>
  <c r="U160" i="34"/>
  <c r="W160" i="51" s="1"/>
  <c r="AA160" i="51" s="1"/>
  <c r="U160" i="51" s="1"/>
  <c r="Q160" i="51" s="1"/>
  <c r="U159" i="34"/>
  <c r="W159" i="51" s="1"/>
  <c r="AA159" i="51" s="1"/>
  <c r="U159" i="51" s="1"/>
  <c r="Q159" i="51" s="1"/>
  <c r="U158" i="34"/>
  <c r="U153" i="34"/>
  <c r="W153" i="40" s="1"/>
  <c r="U152" i="34"/>
  <c r="W152" i="51" s="1"/>
  <c r="AA152" i="51" s="1"/>
  <c r="U152" i="51" s="1"/>
  <c r="U151" i="34"/>
  <c r="W151" i="51" s="1"/>
  <c r="AA151" i="51" s="1"/>
  <c r="U151" i="51" s="1"/>
  <c r="U150" i="34"/>
  <c r="W150" i="51" s="1"/>
  <c r="AA150" i="51" s="1"/>
  <c r="U150" i="51" s="1"/>
  <c r="U149" i="34"/>
  <c r="W149" i="51" s="1"/>
  <c r="AA149" i="51" s="1"/>
  <c r="U149" i="51" s="1"/>
  <c r="U148" i="34"/>
  <c r="W148" i="51" s="1"/>
  <c r="AA148" i="51" s="1"/>
  <c r="U148" i="51" s="1"/>
  <c r="U147" i="34"/>
  <c r="W147" i="51" s="1"/>
  <c r="AA147" i="51" s="1"/>
  <c r="U147" i="51" s="1"/>
  <c r="Q147" i="51" s="1"/>
  <c r="U146" i="34"/>
  <c r="U145" i="34"/>
  <c r="U144" i="34"/>
  <c r="W144" i="51" s="1"/>
  <c r="AA144" i="51" s="1"/>
  <c r="U143" i="34"/>
  <c r="W143" i="51" s="1"/>
  <c r="AA143" i="51" s="1"/>
  <c r="U143" i="51" s="1"/>
  <c r="U142" i="34"/>
  <c r="W142" i="51" s="1"/>
  <c r="AA142" i="51" s="1"/>
  <c r="U142" i="51" s="1"/>
  <c r="U141" i="34"/>
  <c r="W141" i="51" s="1"/>
  <c r="AA141" i="51" s="1"/>
  <c r="U141" i="51" s="1"/>
  <c r="U140" i="34"/>
  <c r="W140" i="51" s="1"/>
  <c r="AA140" i="51" s="1"/>
  <c r="U140" i="51" s="1"/>
  <c r="U139" i="34"/>
  <c r="W139" i="51" s="1"/>
  <c r="AA139" i="51" s="1"/>
  <c r="U139" i="51" s="1"/>
  <c r="U138" i="34"/>
  <c r="U137" i="34"/>
  <c r="U136" i="34"/>
  <c r="W136" i="51" s="1"/>
  <c r="AA136" i="51" s="1"/>
  <c r="U136" i="51" s="1"/>
  <c r="U135" i="34"/>
  <c r="W135" i="51" s="1"/>
  <c r="AA135" i="51" s="1"/>
  <c r="U135" i="51" s="1"/>
  <c r="Q135" i="51" s="1"/>
  <c r="N112" i="50" s="1"/>
  <c r="U130" i="34"/>
  <c r="W130" i="51" s="1"/>
  <c r="AA130" i="51" s="1"/>
  <c r="U130" i="51" s="1"/>
  <c r="Q130" i="51" s="1"/>
  <c r="U129" i="34"/>
  <c r="W129" i="51" s="1"/>
  <c r="AA129" i="51" s="1"/>
  <c r="U129" i="51" s="1"/>
  <c r="U128" i="34"/>
  <c r="W128" i="51" s="1"/>
  <c r="AA128" i="51" s="1"/>
  <c r="U128" i="51" s="1"/>
  <c r="Q128" i="51" s="1"/>
  <c r="U127" i="34"/>
  <c r="W127" i="51" s="1"/>
  <c r="AA127" i="51" s="1"/>
  <c r="U127" i="51" s="1"/>
  <c r="U126" i="34"/>
  <c r="U125" i="34"/>
  <c r="U124" i="34"/>
  <c r="W124" i="51" s="1"/>
  <c r="AA124" i="51" s="1"/>
  <c r="U124" i="51" s="1"/>
  <c r="Q124" i="51" s="1"/>
  <c r="U123" i="34"/>
  <c r="W123" i="40" s="1"/>
  <c r="U118" i="34"/>
  <c r="W118" i="51" s="1"/>
  <c r="AA118" i="51" s="1"/>
  <c r="U118" i="51" s="1"/>
  <c r="Q118" i="51" s="1"/>
  <c r="U117" i="34"/>
  <c r="W117" i="51" s="1"/>
  <c r="AA117" i="51" s="1"/>
  <c r="U117" i="51" s="1"/>
  <c r="U116" i="34"/>
  <c r="W116" i="51" s="1"/>
  <c r="AA116" i="51" s="1"/>
  <c r="U116" i="51" s="1"/>
  <c r="Q116" i="51" s="1"/>
  <c r="U115" i="34"/>
  <c r="W115" i="51" s="1"/>
  <c r="AA115" i="51" s="1"/>
  <c r="U115" i="51" s="1"/>
  <c r="U114" i="34"/>
  <c r="U113" i="34"/>
  <c r="U112" i="34"/>
  <c r="W112" i="51" s="1"/>
  <c r="AA112" i="51" s="1"/>
  <c r="U112" i="51" s="1"/>
  <c r="Q112" i="51" s="1"/>
  <c r="U111" i="34"/>
  <c r="W111" i="40" s="1"/>
  <c r="U110" i="34"/>
  <c r="W110" i="51" s="1"/>
  <c r="AA110" i="51" s="1"/>
  <c r="U110" i="51" s="1"/>
  <c r="Q110" i="51" s="1"/>
  <c r="U109" i="34"/>
  <c r="W109" i="51" s="1"/>
  <c r="AA109" i="51" s="1"/>
  <c r="U109" i="51" s="1"/>
  <c r="U108" i="34"/>
  <c r="W108" i="51" s="1"/>
  <c r="AA108" i="51" s="1"/>
  <c r="U108" i="51" s="1"/>
  <c r="Q108" i="51" s="1"/>
  <c r="U107" i="34"/>
  <c r="W107" i="51" s="1"/>
  <c r="AA107" i="51" s="1"/>
  <c r="U107" i="51" s="1"/>
  <c r="U106" i="34"/>
  <c r="U105" i="34"/>
  <c r="W105" i="51" s="1"/>
  <c r="AA105" i="51" s="1"/>
  <c r="U105" i="51" s="1"/>
  <c r="U104" i="34"/>
  <c r="W104" i="51" s="1"/>
  <c r="AA104" i="51" s="1"/>
  <c r="U104" i="51" s="1"/>
  <c r="Q104" i="51" s="1"/>
  <c r="U103" i="34"/>
  <c r="W103" i="40" s="1"/>
  <c r="U102" i="34"/>
  <c r="W102" i="51" s="1"/>
  <c r="AA102" i="51" s="1"/>
  <c r="U102" i="51" s="1"/>
  <c r="Q102" i="51" s="1"/>
  <c r="U101" i="34"/>
  <c r="W101" i="40" s="1"/>
  <c r="U100" i="34"/>
  <c r="W100" i="51" s="1"/>
  <c r="AA100" i="51" s="1"/>
  <c r="U100" i="51" s="1"/>
  <c r="Q100" i="51" s="1"/>
  <c r="U99" i="34"/>
  <c r="W99" i="51" s="1"/>
  <c r="AA99" i="51" s="1"/>
  <c r="U99" i="51" s="1"/>
  <c r="U90" i="34"/>
  <c r="W90" i="51" s="1"/>
  <c r="AA90" i="51" s="1"/>
  <c r="U90" i="51" s="1"/>
  <c r="U89" i="34"/>
  <c r="W89" i="51" s="1"/>
  <c r="AA89" i="51" s="1"/>
  <c r="U89" i="51" s="1"/>
  <c r="Q89" i="51" s="1"/>
  <c r="S89" i="51" s="1"/>
  <c r="U88" i="34"/>
  <c r="W88" i="51" s="1"/>
  <c r="AA88" i="51" s="1"/>
  <c r="U88" i="51" s="1"/>
  <c r="U87" i="34"/>
  <c r="W87" i="51" s="1"/>
  <c r="AA87" i="51" s="1"/>
  <c r="U87" i="51" s="1"/>
  <c r="Q87" i="51" s="1"/>
  <c r="S87" i="51" s="1"/>
  <c r="U86" i="34"/>
  <c r="W86" i="40" s="1"/>
  <c r="U85" i="34"/>
  <c r="W85" i="40" s="1"/>
  <c r="U84" i="34"/>
  <c r="W84" i="51" s="1"/>
  <c r="AA84" i="51" s="1"/>
  <c r="U84" i="51" s="1"/>
  <c r="U79" i="34"/>
  <c r="W79" i="51" s="1"/>
  <c r="AA79" i="51" s="1"/>
  <c r="U79" i="51" s="1"/>
  <c r="U78" i="34"/>
  <c r="W78" i="51" s="1"/>
  <c r="AA78" i="51" s="1"/>
  <c r="U78" i="51" s="1"/>
  <c r="U77" i="34"/>
  <c r="W77" i="40" s="1"/>
  <c r="U76" i="34"/>
  <c r="W76" i="51" s="1"/>
  <c r="AA76" i="51" s="1"/>
  <c r="U76" i="51" s="1"/>
  <c r="Q76" i="51" s="1"/>
  <c r="S76" i="51" s="1"/>
  <c r="U75" i="34"/>
  <c r="W75" i="51" s="1"/>
  <c r="AA75" i="51" s="1"/>
  <c r="U75" i="51" s="1"/>
  <c r="U74" i="34"/>
  <c r="W74" i="51" s="1"/>
  <c r="AA74" i="51" s="1"/>
  <c r="U74" i="51" s="1"/>
  <c r="Q74" i="51" s="1"/>
  <c r="S74" i="51" s="1"/>
  <c r="U73" i="34"/>
  <c r="W73" i="51" s="1"/>
  <c r="AA73" i="51" s="1"/>
  <c r="U73" i="51" s="1"/>
  <c r="U72" i="34"/>
  <c r="W72" i="51" s="1"/>
  <c r="AA72" i="51" s="1"/>
  <c r="U72" i="51" s="1"/>
  <c r="U71" i="34"/>
  <c r="W71" i="51" s="1"/>
  <c r="AA71" i="51" s="1"/>
  <c r="U71" i="51" s="1"/>
  <c r="U70" i="34"/>
  <c r="W70" i="51" s="1"/>
  <c r="AA70" i="51" s="1"/>
  <c r="U70" i="51" s="1"/>
  <c r="U69" i="34"/>
  <c r="W69" i="51" s="1"/>
  <c r="AA69" i="51" s="1"/>
  <c r="U69" i="51" s="1"/>
  <c r="U64" i="34"/>
  <c r="W64" i="51" s="1"/>
  <c r="AA64" i="51" s="1"/>
  <c r="U63" i="34"/>
  <c r="W63" i="51" s="1"/>
  <c r="AA63" i="51" s="1"/>
  <c r="U63" i="51" s="1"/>
  <c r="U62" i="34"/>
  <c r="W62" i="51" s="1"/>
  <c r="AA62" i="51" s="1"/>
  <c r="U62" i="51" s="1"/>
  <c r="Q62" i="51" s="1"/>
  <c r="S62" i="51" s="1"/>
  <c r="U61" i="34"/>
  <c r="W61" i="40" s="1"/>
  <c r="U60" i="34"/>
  <c r="W60" i="51" s="1"/>
  <c r="AA60" i="51" s="1"/>
  <c r="U60" i="51" s="1"/>
  <c r="Q60" i="51" s="1"/>
  <c r="S60" i="51" s="1"/>
  <c r="U55" i="34"/>
  <c r="W55" i="51" s="1"/>
  <c r="AA55" i="51" s="1"/>
  <c r="U55" i="51" s="1"/>
  <c r="Q55" i="51" s="1"/>
  <c r="S55" i="51" s="1"/>
  <c r="U54" i="34"/>
  <c r="W54" i="51" s="1"/>
  <c r="AA54" i="51" s="1"/>
  <c r="U54" i="51" s="1"/>
  <c r="U53" i="34"/>
  <c r="W53" i="51" s="1"/>
  <c r="AA53" i="51" s="1"/>
  <c r="U53" i="51" s="1"/>
  <c r="U52" i="34"/>
  <c r="W52" i="51" s="1"/>
  <c r="AA52" i="51" s="1"/>
  <c r="U52" i="51" s="1"/>
  <c r="U51" i="34"/>
  <c r="W51" i="40" s="1"/>
  <c r="U50" i="34"/>
  <c r="W50" i="51" s="1"/>
  <c r="AA50" i="51" s="1"/>
  <c r="U50" i="51" s="1"/>
  <c r="U49" i="34"/>
  <c r="W49" i="40" s="1"/>
  <c r="U48" i="34"/>
  <c r="W48" i="40" s="1"/>
  <c r="U47" i="34"/>
  <c r="W47" i="51" s="1"/>
  <c r="AA47" i="51" s="1"/>
  <c r="U47" i="51" s="1"/>
  <c r="Q47" i="51" s="1"/>
  <c r="S47" i="51" s="1"/>
  <c r="U46" i="34"/>
  <c r="W46" i="51" s="1"/>
  <c r="AA46" i="51" s="1"/>
  <c r="U46" i="51" s="1"/>
  <c r="U45" i="34"/>
  <c r="W45" i="51" s="1"/>
  <c r="AA45" i="51" s="1"/>
  <c r="U45" i="51" s="1"/>
  <c r="U40" i="34"/>
  <c r="W40" i="51" s="1"/>
  <c r="AA40" i="51" s="1"/>
  <c r="U40" i="51" s="1"/>
  <c r="U39" i="34"/>
  <c r="W39" i="51" s="1"/>
  <c r="AA39" i="51" s="1"/>
  <c r="U39" i="51" s="1"/>
  <c r="Q39" i="51" s="1"/>
  <c r="S39" i="51" s="1"/>
  <c r="U38" i="34"/>
  <c r="W38" i="51" s="1"/>
  <c r="AA38" i="51" s="1"/>
  <c r="U38" i="51" s="1"/>
  <c r="U37" i="34"/>
  <c r="W37" i="40" s="1"/>
  <c r="U36" i="34"/>
  <c r="W36" i="51" s="1"/>
  <c r="AA36" i="51" s="1"/>
  <c r="U36" i="51" s="1"/>
  <c r="Q36" i="51" s="1"/>
  <c r="S36" i="51" s="1"/>
  <c r="U35" i="34"/>
  <c r="W35" i="51" s="1"/>
  <c r="AA35" i="51" s="1"/>
  <c r="U35" i="51" s="1"/>
  <c r="Q35" i="51" s="1"/>
  <c r="S35" i="51" s="1"/>
  <c r="U34" i="34"/>
  <c r="U33" i="34"/>
  <c r="W33" i="51" s="1"/>
  <c r="AA33" i="51" s="1"/>
  <c r="U33" i="51" s="1"/>
  <c r="Q33" i="51" s="1"/>
  <c r="S33" i="51" s="1"/>
  <c r="U32" i="34"/>
  <c r="W32" i="51" s="1"/>
  <c r="AA32" i="51" s="1"/>
  <c r="U32" i="51" s="1"/>
  <c r="U31" i="34"/>
  <c r="W31" i="51" s="1"/>
  <c r="AA31" i="51" s="1"/>
  <c r="U31" i="51" s="1"/>
  <c r="Q31" i="51" s="1"/>
  <c r="U26" i="34"/>
  <c r="W26" i="51" s="1"/>
  <c r="AA26" i="51" s="1"/>
  <c r="U26" i="51" s="1"/>
  <c r="U25" i="34"/>
  <c r="W25" i="51" s="1"/>
  <c r="AA25" i="51" s="1"/>
  <c r="U25" i="51" s="1"/>
  <c r="U24" i="34"/>
  <c r="W24" i="51" s="1"/>
  <c r="AA24" i="51" s="1"/>
  <c r="U24" i="51" s="1"/>
  <c r="U23" i="34"/>
  <c r="W23" i="40" s="1"/>
  <c r="U22" i="34"/>
  <c r="W22" i="51" s="1"/>
  <c r="AA22" i="51" s="1"/>
  <c r="U22" i="51" s="1"/>
  <c r="Q22" i="51" s="1"/>
  <c r="C267" i="50"/>
  <c r="D252" i="50"/>
  <c r="H250" i="50"/>
  <c r="E250" i="50"/>
  <c r="F250" i="50" s="1"/>
  <c r="H249" i="50"/>
  <c r="E249" i="50"/>
  <c r="I249" i="50" s="1"/>
  <c r="M249" i="50" s="1"/>
  <c r="H248" i="50"/>
  <c r="E248" i="50"/>
  <c r="F248" i="50" s="1"/>
  <c r="I247" i="50"/>
  <c r="M247" i="50" s="1"/>
  <c r="H247" i="50"/>
  <c r="E247" i="50"/>
  <c r="F247" i="50" s="1"/>
  <c r="H246" i="50"/>
  <c r="I246" i="50" s="1"/>
  <c r="M246" i="50" s="1"/>
  <c r="F246" i="50"/>
  <c r="E246" i="50"/>
  <c r="H245" i="50"/>
  <c r="E245" i="50"/>
  <c r="H244" i="50"/>
  <c r="E244" i="50"/>
  <c r="F244" i="50" s="1"/>
  <c r="E237" i="50"/>
  <c r="D237" i="50"/>
  <c r="C237" i="50"/>
  <c r="G237" i="50" s="1"/>
  <c r="N236" i="50"/>
  <c r="I236" i="50"/>
  <c r="M236" i="50" s="1"/>
  <c r="H236" i="50"/>
  <c r="F236" i="50"/>
  <c r="N235" i="50"/>
  <c r="N237" i="50" s="1"/>
  <c r="H235" i="50"/>
  <c r="I235" i="50" s="1"/>
  <c r="F235" i="50"/>
  <c r="H233" i="50"/>
  <c r="I233" i="50" s="1"/>
  <c r="M233" i="50" s="1"/>
  <c r="N233" i="50" s="1"/>
  <c r="O233" i="50" s="1"/>
  <c r="F233" i="50"/>
  <c r="E232" i="50"/>
  <c r="D232" i="50"/>
  <c r="C232" i="50"/>
  <c r="G232" i="50" s="1"/>
  <c r="N231" i="50"/>
  <c r="H231" i="50"/>
  <c r="I231" i="50" s="1"/>
  <c r="M231" i="50" s="1"/>
  <c r="F231" i="50"/>
  <c r="N230" i="50"/>
  <c r="N232" i="50" s="1"/>
  <c r="H230" i="50"/>
  <c r="I230" i="50" s="1"/>
  <c r="F230" i="50"/>
  <c r="F232" i="50" s="1"/>
  <c r="N228" i="50"/>
  <c r="H228" i="50"/>
  <c r="I228" i="50" s="1"/>
  <c r="M228" i="50" s="1"/>
  <c r="F228" i="50"/>
  <c r="E227" i="50"/>
  <c r="D227" i="50"/>
  <c r="C227" i="50"/>
  <c r="G227" i="50" s="1"/>
  <c r="N226" i="50"/>
  <c r="H226" i="50"/>
  <c r="I226" i="50" s="1"/>
  <c r="M226" i="50" s="1"/>
  <c r="F226" i="50"/>
  <c r="N225" i="50"/>
  <c r="N227" i="50" s="1"/>
  <c r="H225" i="50"/>
  <c r="I225" i="50" s="1"/>
  <c r="F225" i="50"/>
  <c r="F227" i="50" s="1"/>
  <c r="F223" i="50"/>
  <c r="E223" i="50"/>
  <c r="D223" i="50"/>
  <c r="C223" i="50"/>
  <c r="N222" i="50"/>
  <c r="H222" i="50"/>
  <c r="I222" i="50" s="1"/>
  <c r="M222" i="50" s="1"/>
  <c r="O222" i="50" s="1"/>
  <c r="F222" i="50"/>
  <c r="N221" i="50"/>
  <c r="N223" i="50" s="1"/>
  <c r="H221" i="50"/>
  <c r="F221" i="50"/>
  <c r="N219" i="50"/>
  <c r="H219" i="50"/>
  <c r="I219" i="50" s="1"/>
  <c r="M219" i="50" s="1"/>
  <c r="O219" i="50" s="1"/>
  <c r="F219" i="50"/>
  <c r="N218" i="50"/>
  <c r="H218" i="50"/>
  <c r="I218" i="50" s="1"/>
  <c r="M218" i="50" s="1"/>
  <c r="F218" i="50"/>
  <c r="E217" i="50"/>
  <c r="D217" i="50"/>
  <c r="C217" i="50"/>
  <c r="N216" i="50"/>
  <c r="O216" i="50" s="1"/>
  <c r="M216" i="50"/>
  <c r="H216" i="50"/>
  <c r="I216" i="50" s="1"/>
  <c r="F216" i="50"/>
  <c r="N215" i="50"/>
  <c r="O215" i="50" s="1"/>
  <c r="M215" i="50"/>
  <c r="H215" i="50"/>
  <c r="I215" i="50" s="1"/>
  <c r="F215" i="50"/>
  <c r="F217" i="50" s="1"/>
  <c r="E213" i="50"/>
  <c r="D213" i="50"/>
  <c r="C213" i="50"/>
  <c r="N212" i="50"/>
  <c r="M212" i="50"/>
  <c r="O212" i="50" s="1"/>
  <c r="H212" i="50"/>
  <c r="I212" i="50" s="1"/>
  <c r="F212" i="50"/>
  <c r="N211" i="50"/>
  <c r="N213" i="50" s="1"/>
  <c r="M211" i="50"/>
  <c r="H211" i="50"/>
  <c r="H213" i="50" s="1"/>
  <c r="F211" i="50"/>
  <c r="F213" i="50" s="1"/>
  <c r="O209" i="50"/>
  <c r="N209" i="50"/>
  <c r="M209" i="50"/>
  <c r="H209" i="50"/>
  <c r="I209" i="50" s="1"/>
  <c r="F209" i="50"/>
  <c r="E205" i="50"/>
  <c r="G205" i="50" s="1"/>
  <c r="D205" i="50"/>
  <c r="C205" i="50"/>
  <c r="H203" i="50"/>
  <c r="I203" i="50" s="1"/>
  <c r="F203" i="50"/>
  <c r="H202" i="50"/>
  <c r="I202" i="50" s="1"/>
  <c r="F202" i="50"/>
  <c r="H201" i="50"/>
  <c r="F201" i="50"/>
  <c r="F205" i="50" s="1"/>
  <c r="E197" i="50"/>
  <c r="D197" i="50"/>
  <c r="C197" i="50"/>
  <c r="H195" i="50"/>
  <c r="I195" i="50" s="1"/>
  <c r="F195" i="50"/>
  <c r="H194" i="50"/>
  <c r="I194" i="50" s="1"/>
  <c r="F194" i="50"/>
  <c r="I193" i="50"/>
  <c r="H193" i="50"/>
  <c r="F193" i="50"/>
  <c r="H192" i="50"/>
  <c r="I192" i="50" s="1"/>
  <c r="F192" i="50"/>
  <c r="H191" i="50"/>
  <c r="I191" i="50" s="1"/>
  <c r="F191" i="50"/>
  <c r="Q190" i="50"/>
  <c r="H190" i="50"/>
  <c r="I190" i="50" s="1"/>
  <c r="F190" i="50"/>
  <c r="F197" i="50" s="1"/>
  <c r="E184" i="50"/>
  <c r="D184" i="50"/>
  <c r="C184" i="50"/>
  <c r="G184" i="50" s="1"/>
  <c r="H183" i="50"/>
  <c r="I183" i="50" s="1"/>
  <c r="F183" i="50"/>
  <c r="I182" i="50"/>
  <c r="H182" i="50"/>
  <c r="F182" i="50"/>
  <c r="I181" i="50"/>
  <c r="H181" i="50"/>
  <c r="F181" i="50"/>
  <c r="H180" i="50"/>
  <c r="I180" i="50" s="1"/>
  <c r="F180" i="50"/>
  <c r="H179" i="50"/>
  <c r="I179" i="50" s="1"/>
  <c r="F179" i="50"/>
  <c r="I178" i="50"/>
  <c r="H178" i="50"/>
  <c r="F178" i="50"/>
  <c r="E176" i="50"/>
  <c r="D176" i="50"/>
  <c r="C176" i="50"/>
  <c r="H175" i="50"/>
  <c r="I175" i="50" s="1"/>
  <c r="F175" i="50"/>
  <c r="I174" i="50"/>
  <c r="H174" i="50"/>
  <c r="F174" i="50"/>
  <c r="I173" i="50"/>
  <c r="H173" i="50"/>
  <c r="F173" i="50"/>
  <c r="H172" i="50"/>
  <c r="I172" i="50" s="1"/>
  <c r="F172" i="50"/>
  <c r="H171" i="50"/>
  <c r="I171" i="50" s="1"/>
  <c r="F171" i="50"/>
  <c r="H170" i="50"/>
  <c r="I170" i="50" s="1"/>
  <c r="F170" i="50"/>
  <c r="H169" i="50"/>
  <c r="I169" i="50" s="1"/>
  <c r="F169" i="50"/>
  <c r="H168" i="50"/>
  <c r="I168" i="50" s="1"/>
  <c r="F168" i="50"/>
  <c r="H167" i="50"/>
  <c r="I167" i="50" s="1"/>
  <c r="F167" i="50"/>
  <c r="I166" i="50"/>
  <c r="H166" i="50"/>
  <c r="F166" i="50"/>
  <c r="H165" i="50"/>
  <c r="I165" i="50" s="1"/>
  <c r="F165" i="50"/>
  <c r="H164" i="50"/>
  <c r="I164" i="50" s="1"/>
  <c r="F164" i="50"/>
  <c r="H163" i="50"/>
  <c r="I163" i="50" s="1"/>
  <c r="F163" i="50"/>
  <c r="I162" i="50"/>
  <c r="H162" i="50"/>
  <c r="F162" i="50"/>
  <c r="I161" i="50"/>
  <c r="H161" i="50"/>
  <c r="F161" i="50"/>
  <c r="H160" i="50"/>
  <c r="I160" i="50" s="1"/>
  <c r="F160" i="50"/>
  <c r="H159" i="50"/>
  <c r="I159" i="50" s="1"/>
  <c r="F159" i="50"/>
  <c r="I158" i="50"/>
  <c r="H158" i="50"/>
  <c r="F158" i="50"/>
  <c r="I157" i="50"/>
  <c r="H157" i="50"/>
  <c r="F157" i="50"/>
  <c r="H156" i="50"/>
  <c r="I156" i="50" s="1"/>
  <c r="F156" i="50"/>
  <c r="E154" i="50"/>
  <c r="G154" i="50" s="1"/>
  <c r="D154" i="50"/>
  <c r="C154" i="50"/>
  <c r="I153" i="50"/>
  <c r="H153" i="50"/>
  <c r="F153" i="50"/>
  <c r="H152" i="50"/>
  <c r="I152" i="50" s="1"/>
  <c r="F152" i="50"/>
  <c r="H151" i="50"/>
  <c r="I151" i="50" s="1"/>
  <c r="F151" i="50"/>
  <c r="H150" i="50"/>
  <c r="I150" i="50" s="1"/>
  <c r="F150" i="50"/>
  <c r="H149" i="50"/>
  <c r="I149" i="50" s="1"/>
  <c r="F149" i="50"/>
  <c r="H148" i="50"/>
  <c r="I148" i="50" s="1"/>
  <c r="F148" i="50"/>
  <c r="H147" i="50"/>
  <c r="I147" i="50" s="1"/>
  <c r="F147" i="50"/>
  <c r="H146" i="50"/>
  <c r="I146" i="50" s="1"/>
  <c r="F146" i="50"/>
  <c r="H145" i="50"/>
  <c r="I145" i="50" s="1"/>
  <c r="F145" i="50"/>
  <c r="I144" i="50"/>
  <c r="H144" i="50"/>
  <c r="F144" i="50"/>
  <c r="I143" i="50"/>
  <c r="H143" i="50"/>
  <c r="F143" i="50"/>
  <c r="H142" i="50"/>
  <c r="I142" i="50" s="1"/>
  <c r="F142" i="50"/>
  <c r="H141" i="50"/>
  <c r="I141" i="50" s="1"/>
  <c r="F141" i="50"/>
  <c r="H140" i="50"/>
  <c r="I140" i="50" s="1"/>
  <c r="F140" i="50"/>
  <c r="H139" i="50"/>
  <c r="I139" i="50" s="1"/>
  <c r="F139" i="50"/>
  <c r="H138" i="50"/>
  <c r="I138" i="50" s="1"/>
  <c r="F138" i="50"/>
  <c r="H137" i="50"/>
  <c r="I137" i="50" s="1"/>
  <c r="F137" i="50"/>
  <c r="I136" i="50"/>
  <c r="H136" i="50"/>
  <c r="F136" i="50"/>
  <c r="H135" i="50"/>
  <c r="I135" i="50" s="1"/>
  <c r="F135" i="50"/>
  <c r="H134" i="50"/>
  <c r="I134" i="50" s="1"/>
  <c r="F134" i="50"/>
  <c r="H133" i="50"/>
  <c r="I133" i="50" s="1"/>
  <c r="F133" i="50"/>
  <c r="E131" i="50"/>
  <c r="D131" i="50"/>
  <c r="C131" i="50"/>
  <c r="H130" i="50"/>
  <c r="I130" i="50" s="1"/>
  <c r="F130" i="50"/>
  <c r="H129" i="50"/>
  <c r="I129" i="50" s="1"/>
  <c r="F129" i="50"/>
  <c r="H128" i="50"/>
  <c r="I128" i="50" s="1"/>
  <c r="F128" i="50"/>
  <c r="I127" i="50"/>
  <c r="H127" i="50"/>
  <c r="F127" i="50"/>
  <c r="H126" i="50"/>
  <c r="I126" i="50" s="1"/>
  <c r="F126" i="50"/>
  <c r="H125" i="50"/>
  <c r="I125" i="50" s="1"/>
  <c r="F125" i="50"/>
  <c r="H124" i="50"/>
  <c r="I124" i="50" s="1"/>
  <c r="F124" i="50"/>
  <c r="H123" i="50"/>
  <c r="I123" i="50" s="1"/>
  <c r="F123" i="50"/>
  <c r="H122" i="50"/>
  <c r="I122" i="50" s="1"/>
  <c r="F122" i="50"/>
  <c r="H121" i="50"/>
  <c r="I121" i="50" s="1"/>
  <c r="F121" i="50"/>
  <c r="I120" i="50"/>
  <c r="H120" i="50"/>
  <c r="F120" i="50"/>
  <c r="I119" i="50"/>
  <c r="H119" i="50"/>
  <c r="F119" i="50"/>
  <c r="H118" i="50"/>
  <c r="I118" i="50" s="1"/>
  <c r="F118" i="50"/>
  <c r="H117" i="50"/>
  <c r="I117" i="50" s="1"/>
  <c r="F117" i="50"/>
  <c r="I116" i="50"/>
  <c r="H116" i="50"/>
  <c r="F116" i="50"/>
  <c r="I115" i="50"/>
  <c r="H115" i="50"/>
  <c r="F115" i="50"/>
  <c r="H114" i="50"/>
  <c r="I114" i="50" s="1"/>
  <c r="F114" i="50"/>
  <c r="H113" i="50"/>
  <c r="F113" i="50"/>
  <c r="H112" i="50"/>
  <c r="I112" i="50" s="1"/>
  <c r="F112" i="50"/>
  <c r="E110" i="50"/>
  <c r="D110" i="50"/>
  <c r="C110" i="50"/>
  <c r="H109" i="50"/>
  <c r="I109" i="50" s="1"/>
  <c r="F109" i="50"/>
  <c r="H108" i="50"/>
  <c r="I108" i="50" s="1"/>
  <c r="F108" i="50"/>
  <c r="I107" i="50"/>
  <c r="H107" i="50"/>
  <c r="F107" i="50"/>
  <c r="H106" i="50"/>
  <c r="I106" i="50" s="1"/>
  <c r="F106" i="50"/>
  <c r="H105" i="50"/>
  <c r="I105" i="50" s="1"/>
  <c r="F105" i="50"/>
  <c r="H104" i="50"/>
  <c r="I104" i="50" s="1"/>
  <c r="F104" i="50"/>
  <c r="H103" i="50"/>
  <c r="I103" i="50" s="1"/>
  <c r="F103" i="50"/>
  <c r="H102" i="50"/>
  <c r="I102" i="50" s="1"/>
  <c r="F102" i="50"/>
  <c r="F110" i="50" s="1"/>
  <c r="E100" i="50"/>
  <c r="D100" i="50"/>
  <c r="C100" i="50"/>
  <c r="H99" i="50"/>
  <c r="I99" i="50" s="1"/>
  <c r="F99" i="50"/>
  <c r="H98" i="50"/>
  <c r="I98" i="50" s="1"/>
  <c r="F98" i="50"/>
  <c r="H97" i="50"/>
  <c r="I97" i="50" s="1"/>
  <c r="F97" i="50"/>
  <c r="I96" i="50"/>
  <c r="H96" i="50"/>
  <c r="F96" i="50"/>
  <c r="I95" i="50"/>
  <c r="H95" i="50"/>
  <c r="F95" i="50"/>
  <c r="H94" i="50"/>
  <c r="I94" i="50" s="1"/>
  <c r="F94" i="50"/>
  <c r="H93" i="50"/>
  <c r="I93" i="50" s="1"/>
  <c r="F93" i="50"/>
  <c r="I92" i="50"/>
  <c r="H92" i="50"/>
  <c r="F92" i="50"/>
  <c r="I91" i="50"/>
  <c r="H91" i="50"/>
  <c r="F91" i="50"/>
  <c r="H90" i="50"/>
  <c r="I90" i="50" s="1"/>
  <c r="F90" i="50"/>
  <c r="H89" i="50"/>
  <c r="I89" i="50" s="1"/>
  <c r="F89" i="50"/>
  <c r="H88" i="50"/>
  <c r="I88" i="50" s="1"/>
  <c r="F88" i="50"/>
  <c r="I87" i="50"/>
  <c r="H87" i="50"/>
  <c r="F87" i="50"/>
  <c r="H86" i="50"/>
  <c r="I86" i="50" s="1"/>
  <c r="F86" i="50"/>
  <c r="H85" i="50"/>
  <c r="I85" i="50" s="1"/>
  <c r="F85" i="50"/>
  <c r="H84" i="50"/>
  <c r="I84" i="50" s="1"/>
  <c r="F84" i="50"/>
  <c r="H83" i="50"/>
  <c r="I83" i="50" s="1"/>
  <c r="F83" i="50"/>
  <c r="H82" i="50"/>
  <c r="I82" i="50" s="1"/>
  <c r="F82" i="50"/>
  <c r="H81" i="50"/>
  <c r="I81" i="50" s="1"/>
  <c r="F81" i="50"/>
  <c r="I80" i="50"/>
  <c r="H80" i="50"/>
  <c r="F80" i="50"/>
  <c r="E73" i="50"/>
  <c r="D73" i="50"/>
  <c r="C73" i="50"/>
  <c r="Q72" i="50"/>
  <c r="I72" i="50"/>
  <c r="H72" i="50"/>
  <c r="F72" i="50"/>
  <c r="Q71" i="50"/>
  <c r="H71" i="50"/>
  <c r="I71" i="50" s="1"/>
  <c r="F71" i="50"/>
  <c r="Q70" i="50"/>
  <c r="I70" i="50"/>
  <c r="H70" i="50"/>
  <c r="F70" i="50"/>
  <c r="Q69" i="50"/>
  <c r="H69" i="50"/>
  <c r="I69" i="50" s="1"/>
  <c r="F69" i="50"/>
  <c r="Q68" i="50"/>
  <c r="I68" i="50"/>
  <c r="H68" i="50"/>
  <c r="F68" i="50"/>
  <c r="Q67" i="50"/>
  <c r="H67" i="50"/>
  <c r="I67" i="50" s="1"/>
  <c r="F67" i="50"/>
  <c r="Q66" i="50"/>
  <c r="I66" i="50"/>
  <c r="H66" i="50"/>
  <c r="F66" i="50"/>
  <c r="F73" i="50" s="1"/>
  <c r="E64" i="50"/>
  <c r="D64" i="50"/>
  <c r="C64" i="50"/>
  <c r="G64" i="50" s="1"/>
  <c r="Q63" i="50"/>
  <c r="H63" i="50"/>
  <c r="I63" i="50" s="1"/>
  <c r="F63" i="50"/>
  <c r="Q62" i="50"/>
  <c r="H62" i="50"/>
  <c r="I62" i="50" s="1"/>
  <c r="F62" i="50"/>
  <c r="Q61" i="50"/>
  <c r="H61" i="50"/>
  <c r="I61" i="50" s="1"/>
  <c r="F61" i="50"/>
  <c r="Q60" i="50"/>
  <c r="H60" i="50"/>
  <c r="I60" i="50" s="1"/>
  <c r="F60" i="50"/>
  <c r="Q59" i="50"/>
  <c r="H59" i="50"/>
  <c r="I59" i="50" s="1"/>
  <c r="F59" i="50"/>
  <c r="Q58" i="50"/>
  <c r="H58" i="50"/>
  <c r="I58" i="50" s="1"/>
  <c r="F58" i="50"/>
  <c r="Q57" i="50"/>
  <c r="H57" i="50"/>
  <c r="I57" i="50" s="1"/>
  <c r="F57" i="50"/>
  <c r="Q56" i="50"/>
  <c r="H56" i="50"/>
  <c r="I56" i="50" s="1"/>
  <c r="F56" i="50"/>
  <c r="Q55" i="50"/>
  <c r="H55" i="50"/>
  <c r="I55" i="50" s="1"/>
  <c r="F55" i="50"/>
  <c r="Q54" i="50"/>
  <c r="H54" i="50"/>
  <c r="I54" i="50" s="1"/>
  <c r="F54" i="50"/>
  <c r="Q53" i="50"/>
  <c r="H53" i="50"/>
  <c r="I53" i="50" s="1"/>
  <c r="F53" i="50"/>
  <c r="E51" i="50"/>
  <c r="D51" i="50"/>
  <c r="C51" i="50"/>
  <c r="G51" i="50" s="1"/>
  <c r="Q50" i="50"/>
  <c r="H50" i="50"/>
  <c r="I50" i="50" s="1"/>
  <c r="F50" i="50"/>
  <c r="Q49" i="50"/>
  <c r="H49" i="50"/>
  <c r="I49" i="50" s="1"/>
  <c r="F49" i="50"/>
  <c r="Q48" i="50"/>
  <c r="H48" i="50"/>
  <c r="I48" i="50" s="1"/>
  <c r="F48" i="50"/>
  <c r="Q47" i="50"/>
  <c r="H47" i="50"/>
  <c r="I47" i="50" s="1"/>
  <c r="F47" i="50"/>
  <c r="Q46" i="50"/>
  <c r="H46" i="50"/>
  <c r="H51" i="50" s="1"/>
  <c r="F46" i="50"/>
  <c r="E44" i="50"/>
  <c r="D44" i="50"/>
  <c r="C44" i="50"/>
  <c r="G44" i="50" s="1"/>
  <c r="Q43" i="50"/>
  <c r="H43" i="50"/>
  <c r="I43" i="50" s="1"/>
  <c r="F43" i="50"/>
  <c r="Q42" i="50"/>
  <c r="H42" i="50"/>
  <c r="I42" i="50" s="1"/>
  <c r="F42" i="50"/>
  <c r="Q41" i="50"/>
  <c r="H41" i="50"/>
  <c r="I41" i="50" s="1"/>
  <c r="F41" i="50"/>
  <c r="Q40" i="50"/>
  <c r="H40" i="50"/>
  <c r="I40" i="50" s="1"/>
  <c r="F40" i="50"/>
  <c r="Q39" i="50"/>
  <c r="H39" i="50"/>
  <c r="I39" i="50" s="1"/>
  <c r="F39" i="50"/>
  <c r="Q38" i="50"/>
  <c r="H38" i="50"/>
  <c r="I38" i="50" s="1"/>
  <c r="F38" i="50"/>
  <c r="Q37" i="50"/>
  <c r="H37" i="50"/>
  <c r="I37" i="50" s="1"/>
  <c r="F37" i="50"/>
  <c r="Q36" i="50"/>
  <c r="H36" i="50"/>
  <c r="I36" i="50" s="1"/>
  <c r="F36" i="50"/>
  <c r="Q35" i="50"/>
  <c r="H35" i="50"/>
  <c r="I35" i="50" s="1"/>
  <c r="F35" i="50"/>
  <c r="Q34" i="50"/>
  <c r="H34" i="50"/>
  <c r="I34" i="50" s="1"/>
  <c r="F34" i="50"/>
  <c r="Q33" i="50"/>
  <c r="H33" i="50"/>
  <c r="I33" i="50" s="1"/>
  <c r="F33" i="50"/>
  <c r="C32" i="50"/>
  <c r="E31" i="50"/>
  <c r="D31" i="50"/>
  <c r="C31" i="50"/>
  <c r="G31" i="50" s="1"/>
  <c r="Q30" i="50"/>
  <c r="H30" i="50"/>
  <c r="I30" i="50" s="1"/>
  <c r="F30" i="50"/>
  <c r="Q29" i="50"/>
  <c r="H29" i="50"/>
  <c r="I29" i="50" s="1"/>
  <c r="F29" i="50"/>
  <c r="Q28" i="50"/>
  <c r="H28" i="50"/>
  <c r="I28" i="50" s="1"/>
  <c r="F28" i="50"/>
  <c r="Q27" i="50"/>
  <c r="H27" i="50"/>
  <c r="I27" i="50" s="1"/>
  <c r="F27" i="50"/>
  <c r="Q26" i="50"/>
  <c r="H26" i="50"/>
  <c r="I26" i="50" s="1"/>
  <c r="F26" i="50"/>
  <c r="Q25" i="50"/>
  <c r="H25" i="50"/>
  <c r="I25" i="50" s="1"/>
  <c r="F25" i="50"/>
  <c r="Q24" i="50"/>
  <c r="H24" i="50"/>
  <c r="I24" i="50" s="1"/>
  <c r="F24" i="50"/>
  <c r="Q23" i="50"/>
  <c r="H23" i="50"/>
  <c r="I23" i="50" s="1"/>
  <c r="F23" i="50"/>
  <c r="Q22" i="50"/>
  <c r="H22" i="50"/>
  <c r="I22" i="50" s="1"/>
  <c r="F22" i="50"/>
  <c r="Q21" i="50"/>
  <c r="H21" i="50"/>
  <c r="I21" i="50" s="1"/>
  <c r="F21" i="50"/>
  <c r="E19" i="50"/>
  <c r="D19" i="50"/>
  <c r="D75" i="50" s="1"/>
  <c r="C19" i="50"/>
  <c r="Q18" i="50"/>
  <c r="H18" i="50"/>
  <c r="I18" i="50" s="1"/>
  <c r="F18" i="50"/>
  <c r="Q17" i="50"/>
  <c r="H17" i="50"/>
  <c r="I17" i="50" s="1"/>
  <c r="F17" i="50"/>
  <c r="H16" i="50"/>
  <c r="I16" i="50" s="1"/>
  <c r="F16" i="50"/>
  <c r="D16" i="50"/>
  <c r="Q15" i="50"/>
  <c r="I15" i="50"/>
  <c r="H15" i="50"/>
  <c r="F15" i="50"/>
  <c r="Q14" i="50"/>
  <c r="I14" i="50"/>
  <c r="H14" i="50"/>
  <c r="F14" i="50"/>
  <c r="Q9" i="50"/>
  <c r="N9" i="50"/>
  <c r="K9" i="50"/>
  <c r="M9" i="50" s="1"/>
  <c r="I9" i="50"/>
  <c r="H9" i="50"/>
  <c r="S104" i="51" l="1"/>
  <c r="K85" i="50" s="1"/>
  <c r="M85" i="50" s="1"/>
  <c r="N85" i="50"/>
  <c r="S112" i="51"/>
  <c r="K93" i="50" s="1"/>
  <c r="M93" i="50" s="1"/>
  <c r="N93" i="50"/>
  <c r="S172" i="51"/>
  <c r="K147" i="50" s="1"/>
  <c r="M147" i="50" s="1"/>
  <c r="N147" i="50"/>
  <c r="S167" i="51"/>
  <c r="K142" i="50" s="1"/>
  <c r="M142" i="50" s="1"/>
  <c r="N142" i="50"/>
  <c r="S100" i="51"/>
  <c r="K81" i="50" s="1"/>
  <c r="M81" i="50" s="1"/>
  <c r="N81" i="50"/>
  <c r="S108" i="51"/>
  <c r="K89" i="50" s="1"/>
  <c r="M89" i="50" s="1"/>
  <c r="N89" i="50"/>
  <c r="S116" i="51"/>
  <c r="K97" i="50" s="1"/>
  <c r="M97" i="50" s="1"/>
  <c r="N97" i="50"/>
  <c r="S160" i="51"/>
  <c r="K135" i="50" s="1"/>
  <c r="M135" i="50" s="1"/>
  <c r="N135" i="50"/>
  <c r="S196" i="51"/>
  <c r="K169" i="50" s="1"/>
  <c r="M169" i="50" s="1"/>
  <c r="N169" i="50"/>
  <c r="S209" i="51"/>
  <c r="K180" i="50" s="1"/>
  <c r="M180" i="50" s="1"/>
  <c r="N180" i="50"/>
  <c r="S147" i="51"/>
  <c r="K124" i="50" s="1"/>
  <c r="M124" i="50" s="1"/>
  <c r="N124" i="50"/>
  <c r="S162" i="51"/>
  <c r="K137" i="50" s="1"/>
  <c r="M137" i="50" s="1"/>
  <c r="N137" i="50"/>
  <c r="S170" i="51"/>
  <c r="K145" i="50" s="1"/>
  <c r="M145" i="50" s="1"/>
  <c r="N145" i="50"/>
  <c r="S178" i="51"/>
  <c r="K153" i="50" s="1"/>
  <c r="M153" i="50" s="1"/>
  <c r="N153" i="50"/>
  <c r="S211" i="51"/>
  <c r="K182" i="50" s="1"/>
  <c r="M182" i="50" s="1"/>
  <c r="N182" i="50"/>
  <c r="S128" i="51"/>
  <c r="K107" i="50" s="1"/>
  <c r="M107" i="50" s="1"/>
  <c r="N107" i="50"/>
  <c r="S176" i="51"/>
  <c r="K151" i="50" s="1"/>
  <c r="M151" i="50" s="1"/>
  <c r="N151" i="50"/>
  <c r="W48" i="51"/>
  <c r="AA48" i="51" s="1"/>
  <c r="U48" i="51" s="1"/>
  <c r="S129" i="51"/>
  <c r="K108" i="50" s="1"/>
  <c r="M108" i="50" s="1"/>
  <c r="N108" i="50"/>
  <c r="E75" i="50"/>
  <c r="F51" i="50"/>
  <c r="F64" i="50"/>
  <c r="E186" i="50"/>
  <c r="G186" i="50" s="1"/>
  <c r="F131" i="50"/>
  <c r="F176" i="50"/>
  <c r="G197" i="50"/>
  <c r="M217" i="50"/>
  <c r="G217" i="50"/>
  <c r="W33" i="40"/>
  <c r="W45" i="40"/>
  <c r="W53" i="40"/>
  <c r="W69" i="40"/>
  <c r="W89" i="40"/>
  <c r="W105" i="40"/>
  <c r="W116" i="40"/>
  <c r="W130" i="40"/>
  <c r="W144" i="40"/>
  <c r="W160" i="40"/>
  <c r="W170" i="40"/>
  <c r="W184" i="40"/>
  <c r="W196" i="40"/>
  <c r="W210" i="40"/>
  <c r="Q77" i="51"/>
  <c r="S77" i="51" s="1"/>
  <c r="W111" i="51"/>
  <c r="AA111" i="51" s="1"/>
  <c r="U111" i="51" s="1"/>
  <c r="W123" i="51"/>
  <c r="AA123" i="51" s="1"/>
  <c r="U123" i="51" s="1"/>
  <c r="W163" i="51"/>
  <c r="AA163" i="51" s="1"/>
  <c r="U163" i="51" s="1"/>
  <c r="W168" i="51"/>
  <c r="AA168" i="51" s="1"/>
  <c r="U168" i="51" s="1"/>
  <c r="Q168" i="51" s="1"/>
  <c r="W192" i="51"/>
  <c r="AA192" i="51" s="1"/>
  <c r="U192" i="51" s="1"/>
  <c r="F31" i="50"/>
  <c r="S110" i="51"/>
  <c r="K91" i="50" s="1"/>
  <c r="M91" i="50" s="1"/>
  <c r="N91" i="50"/>
  <c r="I46" i="50"/>
  <c r="I51" i="50" s="1"/>
  <c r="G73" i="50"/>
  <c r="I110" i="50"/>
  <c r="F154" i="50"/>
  <c r="G176" i="50"/>
  <c r="H205" i="50"/>
  <c r="I211" i="50"/>
  <c r="I213" i="50" s="1"/>
  <c r="C239" i="50"/>
  <c r="W35" i="40"/>
  <c r="W47" i="40"/>
  <c r="W55" i="40"/>
  <c r="W71" i="40"/>
  <c r="W79" i="40"/>
  <c r="W99" i="40"/>
  <c r="W108" i="40"/>
  <c r="W118" i="40"/>
  <c r="W136" i="40"/>
  <c r="W148" i="40"/>
  <c r="W162" i="40"/>
  <c r="W172" i="40"/>
  <c r="W188" i="40"/>
  <c r="W198" i="40"/>
  <c r="Q24" i="51"/>
  <c r="S24" i="51" s="1"/>
  <c r="W49" i="51"/>
  <c r="AA49" i="51" s="1"/>
  <c r="U49" i="51" s="1"/>
  <c r="Q49" i="51" s="1"/>
  <c r="S49" i="51" s="1"/>
  <c r="Q78" i="51"/>
  <c r="S78" i="51" s="1"/>
  <c r="W103" i="51"/>
  <c r="AA103" i="51" s="1"/>
  <c r="U103" i="51" s="1"/>
  <c r="Q103" i="51" s="1"/>
  <c r="Q139" i="51"/>
  <c r="W193" i="51"/>
  <c r="AA193" i="51" s="1"/>
  <c r="U193" i="51" s="1"/>
  <c r="W208" i="51"/>
  <c r="AA208" i="51" s="1"/>
  <c r="U208" i="51" s="1"/>
  <c r="I19" i="50"/>
  <c r="F252" i="50"/>
  <c r="S118" i="51"/>
  <c r="K99" i="50" s="1"/>
  <c r="M99" i="50" s="1"/>
  <c r="N99" i="50"/>
  <c r="S199" i="51"/>
  <c r="K172" i="50" s="1"/>
  <c r="M172" i="50" s="1"/>
  <c r="N172" i="50"/>
  <c r="F44" i="50"/>
  <c r="I154" i="50"/>
  <c r="M213" i="50"/>
  <c r="D239" i="50"/>
  <c r="S124" i="51"/>
  <c r="K103" i="50" s="1"/>
  <c r="M103" i="50" s="1"/>
  <c r="N103" i="50"/>
  <c r="S164" i="51"/>
  <c r="K139" i="50" s="1"/>
  <c r="M139" i="50" s="1"/>
  <c r="N139" i="50"/>
  <c r="S200" i="51"/>
  <c r="K173" i="50" s="1"/>
  <c r="M173" i="50" s="1"/>
  <c r="N173" i="50"/>
  <c r="W24" i="40"/>
  <c r="W36" i="40"/>
  <c r="W60" i="40"/>
  <c r="W72" i="40"/>
  <c r="W84" i="40"/>
  <c r="W100" i="40"/>
  <c r="W109" i="40"/>
  <c r="W139" i="40"/>
  <c r="W149" i="40"/>
  <c r="W175" i="40"/>
  <c r="W189" i="40"/>
  <c r="W199" i="40"/>
  <c r="W61" i="51"/>
  <c r="AA61" i="51" s="1"/>
  <c r="U61" i="51" s="1"/>
  <c r="Q61" i="51" s="1"/>
  <c r="S61" i="51" s="1"/>
  <c r="W86" i="51"/>
  <c r="AA86" i="51" s="1"/>
  <c r="U86" i="51" s="1"/>
  <c r="W165" i="51"/>
  <c r="AA165" i="51" s="1"/>
  <c r="U165" i="51" s="1"/>
  <c r="Q165" i="51" s="1"/>
  <c r="H44" i="50"/>
  <c r="I217" i="50"/>
  <c r="O218" i="50"/>
  <c r="G131" i="50"/>
  <c r="I176" i="50"/>
  <c r="N217" i="50"/>
  <c r="N239" i="50" s="1"/>
  <c r="H131" i="50"/>
  <c r="G213" i="50"/>
  <c r="H223" i="50"/>
  <c r="I245" i="50"/>
  <c r="M245" i="50" s="1"/>
  <c r="F249" i="50"/>
  <c r="W113" i="51"/>
  <c r="AA113" i="51" s="1"/>
  <c r="U113" i="51" s="1"/>
  <c r="W113" i="40"/>
  <c r="W125" i="51"/>
  <c r="AA125" i="51" s="1"/>
  <c r="U125" i="51" s="1"/>
  <c r="Q125" i="51" s="1"/>
  <c r="W125" i="40"/>
  <c r="W137" i="51"/>
  <c r="AA137" i="51" s="1"/>
  <c r="U137" i="51" s="1"/>
  <c r="Q137" i="51" s="1"/>
  <c r="W137" i="40"/>
  <c r="W145" i="40"/>
  <c r="W145" i="51"/>
  <c r="AA145" i="51" s="1"/>
  <c r="U145" i="51" s="1"/>
  <c r="Q145" i="51" s="1"/>
  <c r="W173" i="40"/>
  <c r="W173" i="51"/>
  <c r="AA173" i="51" s="1"/>
  <c r="U173" i="51" s="1"/>
  <c r="Q173" i="51" s="1"/>
  <c r="W201" i="51"/>
  <c r="AA201" i="51" s="1"/>
  <c r="U201" i="51" s="1"/>
  <c r="W201" i="40"/>
  <c r="W25" i="40"/>
  <c r="W73" i="40"/>
  <c r="W110" i="40"/>
  <c r="W124" i="40"/>
  <c r="W140" i="40"/>
  <c r="W150" i="40"/>
  <c r="W164" i="40"/>
  <c r="W176" i="40"/>
  <c r="W190" i="40"/>
  <c r="W200" i="40"/>
  <c r="O81" i="51"/>
  <c r="Q141" i="51"/>
  <c r="I64" i="50"/>
  <c r="I250" i="50"/>
  <c r="M250" i="50" s="1"/>
  <c r="S130" i="51"/>
  <c r="K109" i="50" s="1"/>
  <c r="M109" i="50" s="1"/>
  <c r="N109" i="50"/>
  <c r="F100" i="50"/>
  <c r="F19" i="50"/>
  <c r="H73" i="50"/>
  <c r="H100" i="50"/>
  <c r="G110" i="50"/>
  <c r="F184" i="50"/>
  <c r="I221" i="50"/>
  <c r="G223" i="50"/>
  <c r="O236" i="50"/>
  <c r="F245" i="50"/>
  <c r="W106" i="51"/>
  <c r="AA106" i="51" s="1"/>
  <c r="U106" i="51" s="1"/>
  <c r="Q106" i="51" s="1"/>
  <c r="W106" i="40"/>
  <c r="W114" i="51"/>
  <c r="AA114" i="51" s="1"/>
  <c r="U114" i="51" s="1"/>
  <c r="Q114" i="51" s="1"/>
  <c r="W114" i="40"/>
  <c r="W126" i="51"/>
  <c r="AA126" i="51" s="1"/>
  <c r="U126" i="51" s="1"/>
  <c r="Q126" i="51" s="1"/>
  <c r="W126" i="40"/>
  <c r="W138" i="51"/>
  <c r="AA138" i="51" s="1"/>
  <c r="U138" i="51" s="1"/>
  <c r="W138" i="40"/>
  <c r="W146" i="40"/>
  <c r="W146" i="51"/>
  <c r="AA146" i="51" s="1"/>
  <c r="U146" i="51" s="1"/>
  <c r="W158" i="40"/>
  <c r="W158" i="51"/>
  <c r="AA158" i="51" s="1"/>
  <c r="U158" i="51" s="1"/>
  <c r="Q158" i="51" s="1"/>
  <c r="N133" i="50" s="1"/>
  <c r="W166" i="40"/>
  <c r="W166" i="51"/>
  <c r="AA166" i="51" s="1"/>
  <c r="U166" i="51" s="1"/>
  <c r="Q166" i="51" s="1"/>
  <c r="W174" i="40"/>
  <c r="W174" i="51"/>
  <c r="AA174" i="51" s="1"/>
  <c r="U174" i="51" s="1"/>
  <c r="Q174" i="51" s="1"/>
  <c r="W186" i="40"/>
  <c r="W186" i="51"/>
  <c r="AA186" i="51" s="1"/>
  <c r="U186" i="51" s="1"/>
  <c r="W194" i="40"/>
  <c r="W194" i="51"/>
  <c r="AA194" i="51" s="1"/>
  <c r="U194" i="51" s="1"/>
  <c r="Q194" i="51" s="1"/>
  <c r="W26" i="40"/>
  <c r="W38" i="40"/>
  <c r="W50" i="40"/>
  <c r="W62" i="40"/>
  <c r="W74" i="40"/>
  <c r="W102" i="40"/>
  <c r="W127" i="40"/>
  <c r="W141" i="40"/>
  <c r="W151" i="40"/>
  <c r="W167" i="40"/>
  <c r="W177" i="40"/>
  <c r="W191" i="40"/>
  <c r="W207" i="40"/>
  <c r="Q26" i="51"/>
  <c r="S26" i="51" s="1"/>
  <c r="W51" i="51"/>
  <c r="AA51" i="51" s="1"/>
  <c r="U51" i="51" s="1"/>
  <c r="W153" i="51"/>
  <c r="AA153" i="51" s="1"/>
  <c r="U153" i="51" s="1"/>
  <c r="Q153" i="51" s="1"/>
  <c r="W202" i="51"/>
  <c r="AA202" i="51" s="1"/>
  <c r="U202" i="51" s="1"/>
  <c r="Q202" i="51" s="1"/>
  <c r="S102" i="51"/>
  <c r="K83" i="50" s="1"/>
  <c r="M83" i="50" s="1"/>
  <c r="N83" i="50"/>
  <c r="S198" i="51"/>
  <c r="K171" i="50" s="1"/>
  <c r="M171" i="50" s="1"/>
  <c r="N171" i="50"/>
  <c r="I44" i="50"/>
  <c r="I73" i="50"/>
  <c r="C186" i="50"/>
  <c r="O226" i="50"/>
  <c r="O228" i="50"/>
  <c r="O231" i="50"/>
  <c r="F237" i="50"/>
  <c r="F239" i="50" s="1"/>
  <c r="S159" i="51"/>
  <c r="K134" i="50" s="1"/>
  <c r="M134" i="50" s="1"/>
  <c r="N134" i="50"/>
  <c r="S175" i="51"/>
  <c r="K150" i="50" s="1"/>
  <c r="M150" i="50" s="1"/>
  <c r="N150" i="50"/>
  <c r="W31" i="40"/>
  <c r="W39" i="40"/>
  <c r="W63" i="40"/>
  <c r="W75" i="40"/>
  <c r="W87" i="40"/>
  <c r="W112" i="40"/>
  <c r="W128" i="40"/>
  <c r="W142" i="40"/>
  <c r="W152" i="40"/>
  <c r="W178" i="40"/>
  <c r="Q70" i="51"/>
  <c r="S70" i="51" s="1"/>
  <c r="M216" i="51"/>
  <c r="W185" i="51"/>
  <c r="AA185" i="51" s="1"/>
  <c r="U185" i="51" s="1"/>
  <c r="O155" i="51"/>
  <c r="O180" i="51"/>
  <c r="K94" i="51"/>
  <c r="K298" i="51" s="1"/>
  <c r="K313" i="51" s="1"/>
  <c r="Q38" i="51"/>
  <c r="S38" i="51" s="1"/>
  <c r="Q53" i="51"/>
  <c r="S53" i="51" s="1"/>
  <c r="Q84" i="51"/>
  <c r="Q169" i="51"/>
  <c r="Q210" i="51"/>
  <c r="S260" i="51"/>
  <c r="M94" i="51"/>
  <c r="M298" i="51" s="1"/>
  <c r="Q48" i="51"/>
  <c r="S48" i="51" s="1"/>
  <c r="Q105" i="51"/>
  <c r="Q113" i="51"/>
  <c r="Q143" i="51"/>
  <c r="Q149" i="51"/>
  <c r="Q177" i="51"/>
  <c r="Q187" i="51"/>
  <c r="Q191" i="51"/>
  <c r="Q201" i="51"/>
  <c r="Q23" i="51"/>
  <c r="S23" i="51" s="1"/>
  <c r="Q51" i="51"/>
  <c r="S51" i="51" s="1"/>
  <c r="Q90" i="51"/>
  <c r="S90" i="51" s="1"/>
  <c r="K216" i="51"/>
  <c r="Q184" i="51"/>
  <c r="Q221" i="51"/>
  <c r="S221" i="51" s="1"/>
  <c r="O235" i="51"/>
  <c r="Q284" i="51"/>
  <c r="S284" i="51" s="1"/>
  <c r="S266" i="51"/>
  <c r="Q101" i="51"/>
  <c r="Q109" i="51"/>
  <c r="Q117" i="51"/>
  <c r="O132" i="51"/>
  <c r="Q163" i="51"/>
  <c r="Q185" i="51"/>
  <c r="Q189" i="51"/>
  <c r="Q193" i="51"/>
  <c r="Q212" i="51"/>
  <c r="Q224" i="51"/>
  <c r="S224" i="51" s="1"/>
  <c r="S22" i="51"/>
  <c r="Q45" i="51"/>
  <c r="S31" i="51"/>
  <c r="Q32" i="51"/>
  <c r="S32" i="51" s="1"/>
  <c r="Q40" i="51"/>
  <c r="S40" i="51" s="1"/>
  <c r="S17" i="51"/>
  <c r="Q46" i="51"/>
  <c r="S46" i="51" s="1"/>
  <c r="Q54" i="51"/>
  <c r="S54" i="51" s="1"/>
  <c r="O66" i="51"/>
  <c r="Q63" i="51"/>
  <c r="S63" i="51" s="1"/>
  <c r="Q73" i="51"/>
  <c r="S73" i="51" s="1"/>
  <c r="Q88" i="51"/>
  <c r="S88" i="51" s="1"/>
  <c r="Q151" i="51"/>
  <c r="Q171" i="51"/>
  <c r="O28" i="51"/>
  <c r="O42" i="51"/>
  <c r="Q71" i="51"/>
  <c r="S71" i="51" s="1"/>
  <c r="Q79" i="51"/>
  <c r="S79" i="51" s="1"/>
  <c r="Q86" i="51"/>
  <c r="S86" i="51" s="1"/>
  <c r="Q107" i="51"/>
  <c r="Q111" i="51"/>
  <c r="Q115" i="51"/>
  <c r="Q127" i="51"/>
  <c r="Q161" i="51"/>
  <c r="Q25" i="51"/>
  <c r="S25" i="51" s="1"/>
  <c r="Q50" i="51"/>
  <c r="S50" i="51" s="1"/>
  <c r="S84" i="51"/>
  <c r="S135" i="51"/>
  <c r="K112" i="50" s="1"/>
  <c r="O57" i="51"/>
  <c r="Q52" i="51"/>
  <c r="S52" i="51" s="1"/>
  <c r="Q75" i="51"/>
  <c r="S75" i="51" s="1"/>
  <c r="O92" i="51"/>
  <c r="Q69" i="51"/>
  <c r="Q123" i="51"/>
  <c r="N102" i="50" s="1"/>
  <c r="Q144" i="51"/>
  <c r="Q152" i="51"/>
  <c r="O204" i="51"/>
  <c r="Q183" i="51"/>
  <c r="N156" i="50" s="1"/>
  <c r="Q195" i="51"/>
  <c r="S207" i="51"/>
  <c r="K178" i="50" s="1"/>
  <c r="Q232" i="51"/>
  <c r="S232" i="51" s="1"/>
  <c r="Q138" i="51"/>
  <c r="Q146" i="51"/>
  <c r="Q186" i="51"/>
  <c r="Q188" i="51"/>
  <c r="Q190" i="51"/>
  <c r="Q192" i="51"/>
  <c r="Q197" i="51"/>
  <c r="Q208" i="51"/>
  <c r="Q140" i="51"/>
  <c r="Q148" i="51"/>
  <c r="Q99" i="51"/>
  <c r="N80" i="50" s="1"/>
  <c r="Q136" i="51"/>
  <c r="Q142" i="51"/>
  <c r="Q150" i="51"/>
  <c r="Q227" i="51"/>
  <c r="S227" i="51" s="1"/>
  <c r="S220" i="51"/>
  <c r="Q235" i="51"/>
  <c r="S235" i="51" s="1"/>
  <c r="S231" i="51"/>
  <c r="S245" i="51"/>
  <c r="O214" i="51"/>
  <c r="O227" i="51"/>
  <c r="O9" i="50"/>
  <c r="I31" i="50"/>
  <c r="I75" i="50" s="1"/>
  <c r="H19" i="50"/>
  <c r="Q16" i="50"/>
  <c r="C75" i="50"/>
  <c r="C254" i="50" s="1"/>
  <c r="C269" i="50" s="1"/>
  <c r="G19" i="50"/>
  <c r="I100" i="50"/>
  <c r="H31" i="50"/>
  <c r="H64" i="50"/>
  <c r="D240" i="50"/>
  <c r="G75" i="50"/>
  <c r="D186" i="50"/>
  <c r="I113" i="50"/>
  <c r="I131" i="50" s="1"/>
  <c r="O217" i="50"/>
  <c r="I237" i="50"/>
  <c r="M235" i="50"/>
  <c r="H110" i="50"/>
  <c r="I184" i="50"/>
  <c r="I197" i="50"/>
  <c r="I227" i="50"/>
  <c r="M225" i="50"/>
  <c r="I232" i="50"/>
  <c r="M230" i="50"/>
  <c r="G100" i="50"/>
  <c r="H154" i="50"/>
  <c r="I201" i="50"/>
  <c r="I205" i="50" s="1"/>
  <c r="O211" i="50"/>
  <c r="O213" i="50" s="1"/>
  <c r="E252" i="50"/>
  <c r="H197" i="50"/>
  <c r="E239" i="50"/>
  <c r="I244" i="50"/>
  <c r="I248" i="50"/>
  <c r="M248" i="50" s="1"/>
  <c r="H176" i="50"/>
  <c r="H184" i="50"/>
  <c r="H217" i="50"/>
  <c r="H239" i="50" s="1"/>
  <c r="H227" i="50"/>
  <c r="H232" i="50"/>
  <c r="H237" i="50"/>
  <c r="H252" i="50"/>
  <c r="D22" i="6"/>
  <c r="J25" i="49"/>
  <c r="J29" i="49" s="1"/>
  <c r="J31" i="49" s="1"/>
  <c r="J13" i="49"/>
  <c r="J17" i="49" s="1"/>
  <c r="J19" i="49" s="1"/>
  <c r="D21" i="6" s="1"/>
  <c r="S125" i="51" l="1"/>
  <c r="K104" i="50" s="1"/>
  <c r="M104" i="50" s="1"/>
  <c r="N104" i="50"/>
  <c r="S103" i="51"/>
  <c r="K84" i="50" s="1"/>
  <c r="M84" i="50" s="1"/>
  <c r="N84" i="50"/>
  <c r="S208" i="51"/>
  <c r="K179" i="50" s="1"/>
  <c r="M179" i="50" s="1"/>
  <c r="N179" i="50"/>
  <c r="S115" i="51"/>
  <c r="K96" i="50" s="1"/>
  <c r="M96" i="50" s="1"/>
  <c r="N96" i="50"/>
  <c r="Q42" i="51"/>
  <c r="S42" i="51" s="1"/>
  <c r="S163" i="51"/>
  <c r="K138" i="50" s="1"/>
  <c r="M138" i="50" s="1"/>
  <c r="N138" i="50"/>
  <c r="S187" i="51"/>
  <c r="K160" i="50" s="1"/>
  <c r="M160" i="50" s="1"/>
  <c r="N160" i="50"/>
  <c r="S114" i="51"/>
  <c r="K95" i="50" s="1"/>
  <c r="M95" i="50" s="1"/>
  <c r="N95" i="50"/>
  <c r="G239" i="50"/>
  <c r="H186" i="50"/>
  <c r="S150" i="51"/>
  <c r="K127" i="50" s="1"/>
  <c r="M127" i="50" s="1"/>
  <c r="N127" i="50"/>
  <c r="S197" i="51"/>
  <c r="K170" i="50" s="1"/>
  <c r="M170" i="50" s="1"/>
  <c r="N170" i="50"/>
  <c r="S111" i="51"/>
  <c r="K92" i="50" s="1"/>
  <c r="M92" i="50" s="1"/>
  <c r="N92" i="50"/>
  <c r="O94" i="51"/>
  <c r="O298" i="51" s="1"/>
  <c r="S184" i="51"/>
  <c r="K157" i="50" s="1"/>
  <c r="M157" i="50" s="1"/>
  <c r="N157" i="50"/>
  <c r="S177" i="51"/>
  <c r="K152" i="50" s="1"/>
  <c r="M152" i="50" s="1"/>
  <c r="N152" i="50"/>
  <c r="S210" i="51"/>
  <c r="K181" i="50" s="1"/>
  <c r="M181" i="50" s="1"/>
  <c r="N181" i="50"/>
  <c r="S141" i="51"/>
  <c r="K118" i="50" s="1"/>
  <c r="M118" i="50" s="1"/>
  <c r="N118" i="50"/>
  <c r="S145" i="51"/>
  <c r="K122" i="50" s="1"/>
  <c r="M122" i="50" s="1"/>
  <c r="N122" i="50"/>
  <c r="S152" i="51"/>
  <c r="K129" i="50" s="1"/>
  <c r="M129" i="50" s="1"/>
  <c r="N129" i="50"/>
  <c r="S161" i="51"/>
  <c r="K136" i="50" s="1"/>
  <c r="M136" i="50" s="1"/>
  <c r="N136" i="50"/>
  <c r="S189" i="51"/>
  <c r="K162" i="50" s="1"/>
  <c r="M162" i="50" s="1"/>
  <c r="N162" i="50"/>
  <c r="Q214" i="51"/>
  <c r="S214" i="51" s="1"/>
  <c r="S149" i="51"/>
  <c r="K126" i="50" s="1"/>
  <c r="M126" i="50" s="1"/>
  <c r="N126" i="50"/>
  <c r="S169" i="51"/>
  <c r="K144" i="50" s="1"/>
  <c r="M144" i="50" s="1"/>
  <c r="N144" i="50"/>
  <c r="S126" i="51"/>
  <c r="K105" i="50" s="1"/>
  <c r="M105" i="50" s="1"/>
  <c r="N105" i="50"/>
  <c r="S140" i="51"/>
  <c r="K117" i="50" s="1"/>
  <c r="M117" i="50" s="1"/>
  <c r="N117" i="50"/>
  <c r="S144" i="51"/>
  <c r="K121" i="50" s="1"/>
  <c r="M121" i="50" s="1"/>
  <c r="N121" i="50"/>
  <c r="S185" i="51"/>
  <c r="K158" i="50" s="1"/>
  <c r="M158" i="50" s="1"/>
  <c r="N158" i="50"/>
  <c r="S191" i="51"/>
  <c r="K164" i="50" s="1"/>
  <c r="M164" i="50" s="1"/>
  <c r="N164" i="50"/>
  <c r="S142" i="51"/>
  <c r="K119" i="50" s="1"/>
  <c r="M119" i="50" s="1"/>
  <c r="N119" i="50"/>
  <c r="S192" i="51"/>
  <c r="K165" i="50" s="1"/>
  <c r="M165" i="50" s="1"/>
  <c r="N165" i="50"/>
  <c r="S107" i="51"/>
  <c r="K88" i="50" s="1"/>
  <c r="M88" i="50" s="1"/>
  <c r="N88" i="50"/>
  <c r="S117" i="51"/>
  <c r="K98" i="50" s="1"/>
  <c r="M98" i="50" s="1"/>
  <c r="N98" i="50"/>
  <c r="S106" i="51"/>
  <c r="K87" i="50" s="1"/>
  <c r="M87" i="50" s="1"/>
  <c r="N87" i="50"/>
  <c r="S136" i="51"/>
  <c r="K113" i="50" s="1"/>
  <c r="M113" i="50" s="1"/>
  <c r="N113" i="50"/>
  <c r="S190" i="51"/>
  <c r="K163" i="50" s="1"/>
  <c r="M163" i="50" s="1"/>
  <c r="N163" i="50"/>
  <c r="S195" i="51"/>
  <c r="K168" i="50" s="1"/>
  <c r="M168" i="50" s="1"/>
  <c r="N168" i="50"/>
  <c r="S158" i="51"/>
  <c r="K133" i="50" s="1"/>
  <c r="Q92" i="51"/>
  <c r="S92" i="51" s="1"/>
  <c r="S171" i="51"/>
  <c r="K146" i="50" s="1"/>
  <c r="M146" i="50" s="1"/>
  <c r="N146" i="50"/>
  <c r="S109" i="51"/>
  <c r="K90" i="50" s="1"/>
  <c r="M90" i="50" s="1"/>
  <c r="N90" i="50"/>
  <c r="S143" i="51"/>
  <c r="K120" i="50" s="1"/>
  <c r="M120" i="50" s="1"/>
  <c r="N120" i="50"/>
  <c r="S174" i="51"/>
  <c r="K149" i="50" s="1"/>
  <c r="M149" i="50" s="1"/>
  <c r="N149" i="50"/>
  <c r="F75" i="50"/>
  <c r="S146" i="51"/>
  <c r="K123" i="50" s="1"/>
  <c r="M123" i="50" s="1"/>
  <c r="N123" i="50"/>
  <c r="S202" i="51"/>
  <c r="K175" i="50" s="1"/>
  <c r="M175" i="50" s="1"/>
  <c r="N175" i="50"/>
  <c r="I223" i="50"/>
  <c r="I239" i="50" s="1"/>
  <c r="M221" i="50"/>
  <c r="S188" i="51"/>
  <c r="K161" i="50" s="1"/>
  <c r="M161" i="50" s="1"/>
  <c r="N161" i="50"/>
  <c r="Q180" i="51"/>
  <c r="S180" i="51" s="1"/>
  <c r="S151" i="51"/>
  <c r="K128" i="50" s="1"/>
  <c r="M128" i="50" s="1"/>
  <c r="N128" i="50"/>
  <c r="S212" i="51"/>
  <c r="K183" i="50" s="1"/>
  <c r="M183" i="50" s="1"/>
  <c r="N183" i="50"/>
  <c r="S101" i="51"/>
  <c r="K82" i="50" s="1"/>
  <c r="M82" i="50" s="1"/>
  <c r="N82" i="50"/>
  <c r="S113" i="51"/>
  <c r="K94" i="50" s="1"/>
  <c r="M94" i="50" s="1"/>
  <c r="N94" i="50"/>
  <c r="F186" i="50"/>
  <c r="S137" i="51"/>
  <c r="K114" i="50" s="1"/>
  <c r="M114" i="50" s="1"/>
  <c r="N114" i="50"/>
  <c r="S165" i="51"/>
  <c r="K140" i="50" s="1"/>
  <c r="M140" i="50" s="1"/>
  <c r="N140" i="50"/>
  <c r="S186" i="51"/>
  <c r="K159" i="50" s="1"/>
  <c r="M159" i="50" s="1"/>
  <c r="N159" i="50"/>
  <c r="O216" i="51"/>
  <c r="S193" i="51"/>
  <c r="K166" i="50" s="1"/>
  <c r="M166" i="50" s="1"/>
  <c r="N166" i="50"/>
  <c r="S105" i="51"/>
  <c r="K86" i="50" s="1"/>
  <c r="M86" i="50" s="1"/>
  <c r="N86" i="50"/>
  <c r="S166" i="51"/>
  <c r="K141" i="50" s="1"/>
  <c r="M141" i="50" s="1"/>
  <c r="N141" i="50"/>
  <c r="S148" i="51"/>
  <c r="K125" i="50" s="1"/>
  <c r="M125" i="50" s="1"/>
  <c r="N125" i="50"/>
  <c r="S201" i="51"/>
  <c r="K174" i="50" s="1"/>
  <c r="M174" i="50" s="1"/>
  <c r="N174" i="50"/>
  <c r="S139" i="51"/>
  <c r="K116" i="50" s="1"/>
  <c r="M116" i="50" s="1"/>
  <c r="N116" i="50"/>
  <c r="S168" i="51"/>
  <c r="K143" i="50" s="1"/>
  <c r="M143" i="50" s="1"/>
  <c r="N143" i="50"/>
  <c r="S138" i="51"/>
  <c r="K115" i="50" s="1"/>
  <c r="M115" i="50" s="1"/>
  <c r="N115" i="50"/>
  <c r="S127" i="51"/>
  <c r="K106" i="50" s="1"/>
  <c r="M106" i="50" s="1"/>
  <c r="N106" i="50"/>
  <c r="S153" i="51"/>
  <c r="K130" i="50" s="1"/>
  <c r="M130" i="50" s="1"/>
  <c r="N130" i="50"/>
  <c r="S194" i="51"/>
  <c r="K167" i="50" s="1"/>
  <c r="M167" i="50" s="1"/>
  <c r="N167" i="50"/>
  <c r="S173" i="51"/>
  <c r="K148" i="50" s="1"/>
  <c r="M148" i="50" s="1"/>
  <c r="N148" i="50"/>
  <c r="Q155" i="51"/>
  <c r="S155" i="51" s="1"/>
  <c r="Q66" i="51"/>
  <c r="S66" i="51" s="1"/>
  <c r="Q57" i="51"/>
  <c r="S57" i="51" s="1"/>
  <c r="S45" i="51"/>
  <c r="Q120" i="51"/>
  <c r="S120" i="51" s="1"/>
  <c r="S99" i="51"/>
  <c r="K80" i="50" s="1"/>
  <c r="Q204" i="51"/>
  <c r="S204" i="51" s="1"/>
  <c r="S183" i="51"/>
  <c r="K156" i="50" s="1"/>
  <c r="Q132" i="51"/>
  <c r="S132" i="51" s="1"/>
  <c r="S123" i="51"/>
  <c r="K102" i="50" s="1"/>
  <c r="M102" i="50" s="1"/>
  <c r="S69" i="51"/>
  <c r="Q81" i="51"/>
  <c r="S81" i="51" s="1"/>
  <c r="Q28" i="51"/>
  <c r="S28" i="51" s="1"/>
  <c r="O235" i="50"/>
  <c r="O237" i="50" s="1"/>
  <c r="M237" i="50"/>
  <c r="I252" i="50"/>
  <c r="M244" i="50"/>
  <c r="O225" i="50"/>
  <c r="O227" i="50" s="1"/>
  <c r="M227" i="50"/>
  <c r="O230" i="50"/>
  <c r="O232" i="50" s="1"/>
  <c r="M232" i="50"/>
  <c r="H75" i="50"/>
  <c r="E254" i="50"/>
  <c r="G254" i="50" s="1"/>
  <c r="I186" i="50"/>
  <c r="O221" i="50" l="1"/>
  <c r="O223" i="50" s="1"/>
  <c r="O239" i="50" s="1"/>
  <c r="M223" i="50"/>
  <c r="M239" i="50"/>
  <c r="I254" i="50"/>
  <c r="H254" i="50"/>
  <c r="F254" i="50"/>
  <c r="Q216" i="51"/>
  <c r="S216" i="51" s="1"/>
  <c r="Q94" i="51"/>
  <c r="S94" i="51" s="1"/>
  <c r="M252" i="50"/>
  <c r="I12" i="18"/>
  <c r="I17" i="18" s="1"/>
  <c r="D23" i="6" s="1"/>
  <c r="E17" i="48"/>
  <c r="F19" i="48" s="1"/>
  <c r="F21" i="48" s="1"/>
  <c r="D20" i="6" s="1"/>
  <c r="Q298" i="51" l="1"/>
  <c r="S298" i="51" s="1"/>
  <c r="G22" i="46"/>
  <c r="D20" i="46"/>
  <c r="G23" i="46" l="1"/>
  <c r="G25" i="46" s="1"/>
  <c r="G28" i="46" s="1"/>
  <c r="G30" i="46" s="1"/>
  <c r="I23" i="46"/>
  <c r="I25" i="46"/>
  <c r="I28" i="46" s="1"/>
  <c r="I30" i="46" s="1"/>
  <c r="G33" i="46"/>
  <c r="I33" i="46" l="1"/>
  <c r="N9" i="39"/>
  <c r="AA233" i="34"/>
  <c r="U233" i="34" s="1"/>
  <c r="AA232" i="34"/>
  <c r="U232" i="34"/>
  <c r="AA231" i="34"/>
  <c r="U231" i="34" s="1"/>
  <c r="AA225" i="34"/>
  <c r="U225" i="34" s="1"/>
  <c r="AA224" i="34"/>
  <c r="U224" i="34" s="1"/>
  <c r="AA223" i="34"/>
  <c r="U223" i="34" s="1"/>
  <c r="AA222" i="34"/>
  <c r="U222" i="34" s="1"/>
  <c r="AA221" i="34"/>
  <c r="U221" i="34" s="1"/>
  <c r="AA220" i="34"/>
  <c r="U220" i="34" s="1"/>
  <c r="AA212" i="34"/>
  <c r="AA211" i="34"/>
  <c r="AA210" i="34"/>
  <c r="AA209" i="34"/>
  <c r="AA208" i="34"/>
  <c r="AA207" i="34"/>
  <c r="AA202" i="34"/>
  <c r="AA201" i="34"/>
  <c r="AA200" i="34"/>
  <c r="AA199" i="34"/>
  <c r="AA198" i="34"/>
  <c r="AA197" i="34"/>
  <c r="AA196" i="34"/>
  <c r="AA195" i="34"/>
  <c r="AA194" i="34"/>
  <c r="AA193" i="34"/>
  <c r="AA192" i="34"/>
  <c r="AA191" i="34"/>
  <c r="AA190" i="34"/>
  <c r="AA189" i="34"/>
  <c r="AA188" i="34"/>
  <c r="AA187" i="34"/>
  <c r="AA186" i="34"/>
  <c r="AA185" i="34"/>
  <c r="AA184" i="34"/>
  <c r="AA183" i="34"/>
  <c r="AA178" i="34"/>
  <c r="AA177" i="34"/>
  <c r="AA176" i="34"/>
  <c r="AA175" i="34"/>
  <c r="AA174" i="34"/>
  <c r="AA173" i="34"/>
  <c r="AA172" i="34"/>
  <c r="AA171" i="34"/>
  <c r="AA170" i="34"/>
  <c r="AA169" i="34"/>
  <c r="AA168" i="34"/>
  <c r="AA167" i="34"/>
  <c r="AA166" i="34"/>
  <c r="AA165" i="34"/>
  <c r="AA164" i="34"/>
  <c r="AA163" i="34"/>
  <c r="AA162" i="34"/>
  <c r="AA161" i="34"/>
  <c r="AA160" i="34"/>
  <c r="AA159" i="34"/>
  <c r="AA158" i="34"/>
  <c r="AA153" i="34"/>
  <c r="AA152" i="34"/>
  <c r="AA151" i="34"/>
  <c r="AA150" i="34"/>
  <c r="AA149" i="34"/>
  <c r="AA148" i="34"/>
  <c r="AA147" i="34"/>
  <c r="AA146" i="34"/>
  <c r="AA145" i="34"/>
  <c r="AA144" i="34"/>
  <c r="AA143" i="34"/>
  <c r="AA142" i="34"/>
  <c r="AA141" i="34"/>
  <c r="AA140" i="34"/>
  <c r="AA139" i="34"/>
  <c r="AA138" i="34"/>
  <c r="AA137" i="34"/>
  <c r="AA136" i="34"/>
  <c r="AA135" i="34"/>
  <c r="AA130" i="34"/>
  <c r="AA129" i="34"/>
  <c r="AA128" i="34"/>
  <c r="AA127" i="34"/>
  <c r="AA126" i="34"/>
  <c r="AA125" i="34"/>
  <c r="AA124" i="34"/>
  <c r="AA123" i="34"/>
  <c r="AA118" i="34"/>
  <c r="AA117" i="34"/>
  <c r="AA116" i="34"/>
  <c r="AA115" i="34"/>
  <c r="AA114" i="34"/>
  <c r="AA113" i="34"/>
  <c r="AA112" i="34"/>
  <c r="AA111" i="34"/>
  <c r="AA110" i="34"/>
  <c r="AA109" i="34"/>
  <c r="AA108" i="34"/>
  <c r="AA107" i="34"/>
  <c r="AA106" i="34"/>
  <c r="AA105" i="34"/>
  <c r="AA104" i="34"/>
  <c r="AA103" i="34"/>
  <c r="AA102" i="34"/>
  <c r="AA101" i="34"/>
  <c r="AA100" i="34"/>
  <c r="AA99" i="34"/>
  <c r="K9" i="39"/>
  <c r="F16" i="45"/>
  <c r="E16" i="45"/>
  <c r="F15" i="45"/>
  <c r="E15" i="45"/>
  <c r="F14" i="45"/>
  <c r="E14" i="45"/>
  <c r="F13" i="45"/>
  <c r="E13" i="45"/>
  <c r="F12" i="45"/>
  <c r="E12" i="45"/>
  <c r="F11" i="45"/>
  <c r="E11" i="45"/>
  <c r="F10" i="45"/>
  <c r="E10" i="45"/>
  <c r="D18" i="45"/>
  <c r="I36" i="46" l="1"/>
  <c r="D30" i="6" s="1"/>
  <c r="F18" i="45"/>
  <c r="E18" i="45"/>
  <c r="F21" i="45" s="1"/>
  <c r="D29" i="6" s="1"/>
  <c r="E53" i="24"/>
  <c r="E55" i="24" s="1"/>
  <c r="C53" i="24"/>
  <c r="C55" i="24" s="1"/>
  <c r="E57" i="24"/>
  <c r="C57" i="24"/>
  <c r="E28" i="24"/>
  <c r="C28" i="24"/>
  <c r="E24" i="24"/>
  <c r="E26" i="24" s="1"/>
  <c r="J89" i="24" s="1"/>
  <c r="C24" i="24"/>
  <c r="C26" i="24" s="1"/>
  <c r="H89" i="24" s="1"/>
  <c r="H12" i="31"/>
  <c r="H10" i="31"/>
  <c r="J55" i="24" l="1"/>
  <c r="H55" i="24"/>
  <c r="H14" i="31"/>
  <c r="E30" i="24"/>
  <c r="E59" i="24"/>
  <c r="C59" i="24"/>
  <c r="C30" i="24"/>
  <c r="E32" i="24" l="1"/>
  <c r="E98" i="24" s="1"/>
  <c r="E61" i="24"/>
  <c r="E64" i="24" l="1"/>
  <c r="D24" i="6" s="1"/>
  <c r="F17" i="42"/>
  <c r="D19" i="6" s="1"/>
  <c r="K311" i="40"/>
  <c r="M296" i="40"/>
  <c r="Q294" i="40"/>
  <c r="Q293" i="40"/>
  <c r="Q292" i="40"/>
  <c r="Q291" i="40"/>
  <c r="Q290" i="40"/>
  <c r="Q289" i="40"/>
  <c r="Q288" i="40"/>
  <c r="Q282" i="40"/>
  <c r="O282" i="40"/>
  <c r="M282" i="40"/>
  <c r="K282" i="40"/>
  <c r="Q274" i="40"/>
  <c r="O274" i="40"/>
  <c r="M274" i="40"/>
  <c r="K274" i="40"/>
  <c r="Q266" i="40"/>
  <c r="O266" i="40"/>
  <c r="M266" i="40"/>
  <c r="K266" i="40"/>
  <c r="Q260" i="40"/>
  <c r="O260" i="40"/>
  <c r="M260" i="40"/>
  <c r="K260" i="40"/>
  <c r="Q251" i="40"/>
  <c r="O251" i="40"/>
  <c r="M251" i="40"/>
  <c r="K251" i="40"/>
  <c r="Q245" i="40"/>
  <c r="O245" i="40"/>
  <c r="M245" i="40"/>
  <c r="K245" i="40"/>
  <c r="K284" i="40" s="1"/>
  <c r="M235" i="40"/>
  <c r="K235" i="40"/>
  <c r="AA233" i="40"/>
  <c r="U233" i="40" s="1"/>
  <c r="O233" i="40"/>
  <c r="AA232" i="40"/>
  <c r="U232" i="40" s="1"/>
  <c r="O232" i="40"/>
  <c r="AA231" i="40"/>
  <c r="U231" i="40" s="1"/>
  <c r="Q231" i="40" s="1"/>
  <c r="O231" i="40"/>
  <c r="M227" i="40"/>
  <c r="K227" i="40"/>
  <c r="AA225" i="40"/>
  <c r="U225" i="40" s="1"/>
  <c r="O225" i="40"/>
  <c r="AA224" i="40"/>
  <c r="U224" i="40" s="1"/>
  <c r="O224" i="40"/>
  <c r="AA223" i="40"/>
  <c r="U223" i="40" s="1"/>
  <c r="O223" i="40"/>
  <c r="AA222" i="40"/>
  <c r="U222" i="40" s="1"/>
  <c r="O222" i="40"/>
  <c r="Q222" i="40" s="1"/>
  <c r="S222" i="40" s="1"/>
  <c r="AA221" i="40"/>
  <c r="U221" i="40" s="1"/>
  <c r="O221" i="40"/>
  <c r="AA220" i="40"/>
  <c r="U220" i="40" s="1"/>
  <c r="O220" i="40"/>
  <c r="M214" i="40"/>
  <c r="K214" i="40"/>
  <c r="AA212" i="40"/>
  <c r="U212" i="40" s="1"/>
  <c r="O212" i="40"/>
  <c r="AA211" i="40"/>
  <c r="U211" i="40" s="1"/>
  <c r="O211" i="40"/>
  <c r="AA210" i="40"/>
  <c r="U210" i="40" s="1"/>
  <c r="O210" i="40"/>
  <c r="AA209" i="40"/>
  <c r="U209" i="40" s="1"/>
  <c r="O209" i="40"/>
  <c r="AA208" i="40"/>
  <c r="U208" i="40" s="1"/>
  <c r="O208" i="40"/>
  <c r="AA207" i="40"/>
  <c r="U207" i="40" s="1"/>
  <c r="O207" i="40"/>
  <c r="M204" i="40"/>
  <c r="K204" i="40"/>
  <c r="AA202" i="40"/>
  <c r="U202" i="40" s="1"/>
  <c r="O202" i="40"/>
  <c r="AA201" i="40"/>
  <c r="U201" i="40" s="1"/>
  <c r="O201" i="40"/>
  <c r="AA200" i="40"/>
  <c r="U200" i="40" s="1"/>
  <c r="O200" i="40"/>
  <c r="AA199" i="40"/>
  <c r="U199" i="40" s="1"/>
  <c r="O199" i="40"/>
  <c r="AA198" i="40"/>
  <c r="U198" i="40" s="1"/>
  <c r="O198" i="40"/>
  <c r="AA197" i="40"/>
  <c r="U197" i="40" s="1"/>
  <c r="O197" i="40"/>
  <c r="AA196" i="40"/>
  <c r="U196" i="40" s="1"/>
  <c r="O196" i="40"/>
  <c r="AA195" i="40"/>
  <c r="U195" i="40" s="1"/>
  <c r="O195" i="40"/>
  <c r="AA194" i="40"/>
  <c r="U194" i="40" s="1"/>
  <c r="O194" i="40"/>
  <c r="AA193" i="40"/>
  <c r="U193" i="40" s="1"/>
  <c r="O193" i="40"/>
  <c r="AA192" i="40"/>
  <c r="U192" i="40" s="1"/>
  <c r="O192" i="40"/>
  <c r="AA191" i="40"/>
  <c r="U191" i="40" s="1"/>
  <c r="O191" i="40"/>
  <c r="AA190" i="40"/>
  <c r="U190" i="40" s="1"/>
  <c r="O190" i="40"/>
  <c r="AA189" i="40"/>
  <c r="U189" i="40" s="1"/>
  <c r="O189" i="40"/>
  <c r="AA188" i="40"/>
  <c r="U188" i="40" s="1"/>
  <c r="O188" i="40"/>
  <c r="AA187" i="40"/>
  <c r="U187" i="40" s="1"/>
  <c r="O187" i="40"/>
  <c r="AA186" i="40"/>
  <c r="U186" i="40" s="1"/>
  <c r="O186" i="40"/>
  <c r="AA185" i="40"/>
  <c r="U185" i="40" s="1"/>
  <c r="O185" i="40"/>
  <c r="AA184" i="40"/>
  <c r="U184" i="40" s="1"/>
  <c r="O184" i="40"/>
  <c r="AA183" i="40"/>
  <c r="U183" i="40" s="1"/>
  <c r="O183" i="40"/>
  <c r="M180" i="40"/>
  <c r="K180" i="40"/>
  <c r="AA178" i="40"/>
  <c r="U178" i="40" s="1"/>
  <c r="O178" i="40"/>
  <c r="AA177" i="40"/>
  <c r="U177" i="40" s="1"/>
  <c r="O177" i="40"/>
  <c r="AA176" i="40"/>
  <c r="U176" i="40" s="1"/>
  <c r="O176" i="40"/>
  <c r="AA175" i="40"/>
  <c r="U175" i="40" s="1"/>
  <c r="O175" i="40"/>
  <c r="AA174" i="40"/>
  <c r="U174" i="40" s="1"/>
  <c r="O174" i="40"/>
  <c r="AA173" i="40"/>
  <c r="U173" i="40" s="1"/>
  <c r="O173" i="40"/>
  <c r="AA172" i="40"/>
  <c r="U172" i="40" s="1"/>
  <c r="O172" i="40"/>
  <c r="AA171" i="40"/>
  <c r="U171" i="40" s="1"/>
  <c r="O171" i="40"/>
  <c r="AA170" i="40"/>
  <c r="U170" i="40" s="1"/>
  <c r="O170" i="40"/>
  <c r="AA169" i="40"/>
  <c r="U169" i="40" s="1"/>
  <c r="O169" i="40"/>
  <c r="AA168" i="40"/>
  <c r="U168" i="40" s="1"/>
  <c r="O168" i="40"/>
  <c r="AA167" i="40"/>
  <c r="U167" i="40" s="1"/>
  <c r="O167" i="40"/>
  <c r="AA166" i="40"/>
  <c r="U166" i="40" s="1"/>
  <c r="O166" i="40"/>
  <c r="AA165" i="40"/>
  <c r="U165" i="40" s="1"/>
  <c r="O165" i="40"/>
  <c r="AA164" i="40"/>
  <c r="U164" i="40" s="1"/>
  <c r="O164" i="40"/>
  <c r="AA163" i="40"/>
  <c r="U163" i="40" s="1"/>
  <c r="O163" i="40"/>
  <c r="AA162" i="40"/>
  <c r="U162" i="40" s="1"/>
  <c r="O162" i="40"/>
  <c r="AA161" i="40"/>
  <c r="U161" i="40" s="1"/>
  <c r="O161" i="40"/>
  <c r="AA160" i="40"/>
  <c r="U160" i="40" s="1"/>
  <c r="O160" i="40"/>
  <c r="AA159" i="40"/>
  <c r="U159" i="40" s="1"/>
  <c r="O159" i="40"/>
  <c r="AA158" i="40"/>
  <c r="U158" i="40" s="1"/>
  <c r="O158" i="40"/>
  <c r="M155" i="40"/>
  <c r="K155" i="40"/>
  <c r="AA153" i="40"/>
  <c r="U153" i="40" s="1"/>
  <c r="O153" i="40"/>
  <c r="AA152" i="40"/>
  <c r="U152" i="40" s="1"/>
  <c r="O152" i="40"/>
  <c r="AA151" i="40"/>
  <c r="U151" i="40" s="1"/>
  <c r="O151" i="40"/>
  <c r="AA150" i="40"/>
  <c r="U150" i="40" s="1"/>
  <c r="O150" i="40"/>
  <c r="AA149" i="40"/>
  <c r="U149" i="40" s="1"/>
  <c r="O149" i="40"/>
  <c r="AA148" i="40"/>
  <c r="U148" i="40" s="1"/>
  <c r="O148" i="40"/>
  <c r="AA147" i="40"/>
  <c r="U147" i="40" s="1"/>
  <c r="O147" i="40"/>
  <c r="AA146" i="40"/>
  <c r="U146" i="40" s="1"/>
  <c r="O146" i="40"/>
  <c r="AA145" i="40"/>
  <c r="U145" i="40" s="1"/>
  <c r="O145" i="40"/>
  <c r="AA144" i="40"/>
  <c r="U144" i="40" s="1"/>
  <c r="O144" i="40"/>
  <c r="AA143" i="40"/>
  <c r="U143" i="40" s="1"/>
  <c r="O143" i="40"/>
  <c r="AA142" i="40"/>
  <c r="U142" i="40" s="1"/>
  <c r="O142" i="40"/>
  <c r="AA141" i="40"/>
  <c r="U141" i="40" s="1"/>
  <c r="O141" i="40"/>
  <c r="AA140" i="40"/>
  <c r="U140" i="40" s="1"/>
  <c r="O140" i="40"/>
  <c r="AA139" i="40"/>
  <c r="U139" i="40" s="1"/>
  <c r="O139" i="40"/>
  <c r="AA138" i="40"/>
  <c r="U138" i="40" s="1"/>
  <c r="O138" i="40"/>
  <c r="AA137" i="40"/>
  <c r="U137" i="40" s="1"/>
  <c r="O137" i="40"/>
  <c r="AA136" i="40"/>
  <c r="U136" i="40" s="1"/>
  <c r="O136" i="40"/>
  <c r="AA135" i="40"/>
  <c r="U135" i="40" s="1"/>
  <c r="O135" i="40"/>
  <c r="M132" i="40"/>
  <c r="K132" i="40"/>
  <c r="AA130" i="40"/>
  <c r="U130" i="40" s="1"/>
  <c r="O130" i="40"/>
  <c r="AA129" i="40"/>
  <c r="U129" i="40" s="1"/>
  <c r="O129" i="40"/>
  <c r="AA128" i="40"/>
  <c r="U128" i="40" s="1"/>
  <c r="O128" i="40"/>
  <c r="AA127" i="40"/>
  <c r="U127" i="40" s="1"/>
  <c r="O127" i="40"/>
  <c r="AA126" i="40"/>
  <c r="U126" i="40" s="1"/>
  <c r="O126" i="40"/>
  <c r="AA125" i="40"/>
  <c r="U125" i="40" s="1"/>
  <c r="O125" i="40"/>
  <c r="AA124" i="40"/>
  <c r="U124" i="40" s="1"/>
  <c r="O124" i="40"/>
  <c r="AA123" i="40"/>
  <c r="U123" i="40" s="1"/>
  <c r="O123" i="40"/>
  <c r="M120" i="40"/>
  <c r="K120" i="40"/>
  <c r="AA118" i="40"/>
  <c r="U118" i="40" s="1"/>
  <c r="O118" i="40"/>
  <c r="AA117" i="40"/>
  <c r="U117" i="40" s="1"/>
  <c r="O117" i="40"/>
  <c r="AA116" i="40"/>
  <c r="U116" i="40" s="1"/>
  <c r="O116" i="40"/>
  <c r="AA115" i="40"/>
  <c r="U115" i="40" s="1"/>
  <c r="O115" i="40"/>
  <c r="AA114" i="40"/>
  <c r="U114" i="40" s="1"/>
  <c r="O114" i="40"/>
  <c r="AA113" i="40"/>
  <c r="U113" i="40" s="1"/>
  <c r="O113" i="40"/>
  <c r="AA112" i="40"/>
  <c r="U112" i="40" s="1"/>
  <c r="O112" i="40"/>
  <c r="AA111" i="40"/>
  <c r="U111" i="40" s="1"/>
  <c r="O111" i="40"/>
  <c r="AA110" i="40"/>
  <c r="U110" i="40" s="1"/>
  <c r="O110" i="40"/>
  <c r="AA109" i="40"/>
  <c r="U109" i="40" s="1"/>
  <c r="O109" i="40"/>
  <c r="AA108" i="40"/>
  <c r="U108" i="40" s="1"/>
  <c r="O108" i="40"/>
  <c r="AA107" i="40"/>
  <c r="U107" i="40" s="1"/>
  <c r="O107" i="40"/>
  <c r="AA106" i="40"/>
  <c r="U106" i="40" s="1"/>
  <c r="O106" i="40"/>
  <c r="AA105" i="40"/>
  <c r="U105" i="40" s="1"/>
  <c r="O105" i="40"/>
  <c r="AA104" i="40"/>
  <c r="U104" i="40" s="1"/>
  <c r="O104" i="40"/>
  <c r="AA103" i="40"/>
  <c r="U103" i="40" s="1"/>
  <c r="O103" i="40"/>
  <c r="AA102" i="40"/>
  <c r="U102" i="40" s="1"/>
  <c r="O102" i="40"/>
  <c r="AA101" i="40"/>
  <c r="U101" i="40" s="1"/>
  <c r="O101" i="40"/>
  <c r="AA100" i="40"/>
  <c r="U100" i="40" s="1"/>
  <c r="O100" i="40"/>
  <c r="AA99" i="40"/>
  <c r="U99" i="40" s="1"/>
  <c r="O99" i="40"/>
  <c r="M92" i="40"/>
  <c r="K92" i="40"/>
  <c r="AA90" i="40"/>
  <c r="U90" i="40" s="1"/>
  <c r="O90" i="40"/>
  <c r="AA89" i="40"/>
  <c r="U89" i="40" s="1"/>
  <c r="O89" i="40"/>
  <c r="AA88" i="40"/>
  <c r="U88" i="40" s="1"/>
  <c r="O88" i="40"/>
  <c r="AA87" i="40"/>
  <c r="U87" i="40" s="1"/>
  <c r="O87" i="40"/>
  <c r="AA86" i="40"/>
  <c r="U86" i="40" s="1"/>
  <c r="O86" i="40"/>
  <c r="AA85" i="40"/>
  <c r="U85" i="40" s="1"/>
  <c r="O85" i="40"/>
  <c r="AA84" i="40"/>
  <c r="U84" i="40" s="1"/>
  <c r="O84" i="40"/>
  <c r="M81" i="40"/>
  <c r="K81" i="40"/>
  <c r="AA79" i="40"/>
  <c r="U79" i="40" s="1"/>
  <c r="O79" i="40"/>
  <c r="AA78" i="40"/>
  <c r="U78" i="40" s="1"/>
  <c r="O78" i="40"/>
  <c r="AA77" i="40"/>
  <c r="U77" i="40" s="1"/>
  <c r="O77" i="40"/>
  <c r="AA76" i="40"/>
  <c r="U76" i="40" s="1"/>
  <c r="O76" i="40"/>
  <c r="AA75" i="40"/>
  <c r="U75" i="40" s="1"/>
  <c r="O75" i="40"/>
  <c r="AA74" i="40"/>
  <c r="U74" i="40" s="1"/>
  <c r="O74" i="40"/>
  <c r="AA73" i="40"/>
  <c r="U73" i="40" s="1"/>
  <c r="O73" i="40"/>
  <c r="AA72" i="40"/>
  <c r="U72" i="40" s="1"/>
  <c r="O72" i="40"/>
  <c r="AA71" i="40"/>
  <c r="U71" i="40" s="1"/>
  <c r="O71" i="40"/>
  <c r="AA70" i="40"/>
  <c r="U70" i="40" s="1"/>
  <c r="O70" i="40"/>
  <c r="AA69" i="40"/>
  <c r="U69" i="40" s="1"/>
  <c r="O69" i="40"/>
  <c r="M66" i="40"/>
  <c r="K66" i="40"/>
  <c r="AA64" i="40"/>
  <c r="U64" i="40" s="1"/>
  <c r="O64" i="40"/>
  <c r="AA63" i="40"/>
  <c r="U63" i="40" s="1"/>
  <c r="O63" i="40"/>
  <c r="AA62" i="40"/>
  <c r="U62" i="40" s="1"/>
  <c r="O62" i="40"/>
  <c r="AA61" i="40"/>
  <c r="U61" i="40" s="1"/>
  <c r="O61" i="40"/>
  <c r="AA60" i="40"/>
  <c r="U60" i="40" s="1"/>
  <c r="O60" i="40"/>
  <c r="M57" i="40"/>
  <c r="K57" i="40"/>
  <c r="AA55" i="40"/>
  <c r="U55" i="40" s="1"/>
  <c r="O55" i="40"/>
  <c r="AA54" i="40"/>
  <c r="U54" i="40" s="1"/>
  <c r="O54" i="40"/>
  <c r="AA53" i="40"/>
  <c r="U53" i="40" s="1"/>
  <c r="O53" i="40"/>
  <c r="AA52" i="40"/>
  <c r="U52" i="40" s="1"/>
  <c r="O52" i="40"/>
  <c r="AA51" i="40"/>
  <c r="U51" i="40" s="1"/>
  <c r="O51" i="40"/>
  <c r="AA50" i="40"/>
  <c r="U50" i="40" s="1"/>
  <c r="O50" i="40"/>
  <c r="AA49" i="40"/>
  <c r="U49" i="40" s="1"/>
  <c r="O49" i="40"/>
  <c r="AA48" i="40"/>
  <c r="U48" i="40" s="1"/>
  <c r="O48" i="40"/>
  <c r="AA47" i="40"/>
  <c r="U47" i="40" s="1"/>
  <c r="O47" i="40"/>
  <c r="AA46" i="40"/>
  <c r="U46" i="40" s="1"/>
  <c r="O46" i="40"/>
  <c r="AA45" i="40"/>
  <c r="U45" i="40" s="1"/>
  <c r="O45" i="40"/>
  <c r="M42" i="40"/>
  <c r="K42" i="40"/>
  <c r="AA40" i="40"/>
  <c r="U40" i="40" s="1"/>
  <c r="O40" i="40"/>
  <c r="AA39" i="40"/>
  <c r="U39" i="40" s="1"/>
  <c r="O39" i="40"/>
  <c r="AA38" i="40"/>
  <c r="U38" i="40" s="1"/>
  <c r="O38" i="40"/>
  <c r="AA37" i="40"/>
  <c r="U37" i="40" s="1"/>
  <c r="O37" i="40"/>
  <c r="AA36" i="40"/>
  <c r="U36" i="40" s="1"/>
  <c r="O36" i="40"/>
  <c r="AA35" i="40"/>
  <c r="U35" i="40" s="1"/>
  <c r="O35" i="40"/>
  <c r="AA34" i="40"/>
  <c r="U34" i="40" s="1"/>
  <c r="O34" i="40"/>
  <c r="AA33" i="40"/>
  <c r="U33" i="40" s="1"/>
  <c r="O33" i="40"/>
  <c r="AA32" i="40"/>
  <c r="U32" i="40" s="1"/>
  <c r="O32" i="40"/>
  <c r="AA31" i="40"/>
  <c r="U31" i="40" s="1"/>
  <c r="O31" i="40"/>
  <c r="M28" i="40"/>
  <c r="M94" i="40" s="1"/>
  <c r="K28" i="40"/>
  <c r="K94" i="40" s="1"/>
  <c r="AA26" i="40"/>
  <c r="U26" i="40" s="1"/>
  <c r="O26" i="40"/>
  <c r="AA25" i="40"/>
  <c r="U25" i="40" s="1"/>
  <c r="O25" i="40"/>
  <c r="AA24" i="40"/>
  <c r="U24" i="40" s="1"/>
  <c r="O24" i="40"/>
  <c r="AA23" i="40"/>
  <c r="U23" i="40" s="1"/>
  <c r="O23" i="40"/>
  <c r="AA22" i="40"/>
  <c r="U22" i="40" s="1"/>
  <c r="O22" i="40"/>
  <c r="Q17" i="40"/>
  <c r="M17" i="40"/>
  <c r="K17" i="40"/>
  <c r="O15" i="40"/>
  <c r="C267" i="39"/>
  <c r="D252" i="39"/>
  <c r="H250" i="39"/>
  <c r="F250" i="39"/>
  <c r="E250" i="39"/>
  <c r="H249" i="39"/>
  <c r="E249" i="39"/>
  <c r="H248" i="39"/>
  <c r="E248" i="39"/>
  <c r="F248" i="39" s="1"/>
  <c r="H247" i="39"/>
  <c r="E247" i="39"/>
  <c r="F247" i="39" s="1"/>
  <c r="H246" i="39"/>
  <c r="E246" i="39"/>
  <c r="F246" i="39" s="1"/>
  <c r="H245" i="39"/>
  <c r="E245" i="39"/>
  <c r="I245" i="39" s="1"/>
  <c r="M245" i="39" s="1"/>
  <c r="H244" i="39"/>
  <c r="E244" i="39"/>
  <c r="F244" i="39" s="1"/>
  <c r="E237" i="39"/>
  <c r="G237" i="39" s="1"/>
  <c r="D237" i="39"/>
  <c r="C237" i="39"/>
  <c r="N236" i="39"/>
  <c r="H236" i="39"/>
  <c r="I236" i="39" s="1"/>
  <c r="M236" i="39" s="1"/>
  <c r="F236" i="39"/>
  <c r="N235" i="39"/>
  <c r="H235" i="39"/>
  <c r="I235" i="39" s="1"/>
  <c r="F235" i="39"/>
  <c r="I233" i="39"/>
  <c r="M233" i="39" s="1"/>
  <c r="N233" i="39" s="1"/>
  <c r="O233" i="39" s="1"/>
  <c r="H233" i="39"/>
  <c r="F233" i="39"/>
  <c r="E232" i="39"/>
  <c r="D232" i="39"/>
  <c r="C232" i="39"/>
  <c r="N231" i="39"/>
  <c r="H231" i="39"/>
  <c r="I231" i="39" s="1"/>
  <c r="M231" i="39" s="1"/>
  <c r="F231" i="39"/>
  <c r="N230" i="39"/>
  <c r="H230" i="39"/>
  <c r="I230" i="39" s="1"/>
  <c r="F230" i="39"/>
  <c r="F232" i="39" s="1"/>
  <c r="N228" i="39"/>
  <c r="I228" i="39"/>
  <c r="M228" i="39" s="1"/>
  <c r="H228" i="39"/>
  <c r="F228" i="39"/>
  <c r="E227" i="39"/>
  <c r="D227" i="39"/>
  <c r="C227" i="39"/>
  <c r="N226" i="39"/>
  <c r="H226" i="39"/>
  <c r="I226" i="39" s="1"/>
  <c r="M226" i="39" s="1"/>
  <c r="F226" i="39"/>
  <c r="N225" i="39"/>
  <c r="H225" i="39"/>
  <c r="I225" i="39" s="1"/>
  <c r="F225" i="39"/>
  <c r="F227" i="39" s="1"/>
  <c r="E223" i="39"/>
  <c r="D223" i="39"/>
  <c r="C223" i="39"/>
  <c r="N222" i="39"/>
  <c r="H222" i="39"/>
  <c r="I222" i="39" s="1"/>
  <c r="M222" i="39" s="1"/>
  <c r="F222" i="39"/>
  <c r="N221" i="39"/>
  <c r="N223" i="39" s="1"/>
  <c r="H221" i="39"/>
  <c r="I221" i="39" s="1"/>
  <c r="F221" i="39"/>
  <c r="N219" i="39"/>
  <c r="O219" i="39" s="1"/>
  <c r="H219" i="39"/>
  <c r="I219" i="39" s="1"/>
  <c r="M219" i="39" s="1"/>
  <c r="F219" i="39"/>
  <c r="N218" i="39"/>
  <c r="H218" i="39"/>
  <c r="I218" i="39" s="1"/>
  <c r="M218" i="39" s="1"/>
  <c r="F218" i="39"/>
  <c r="E217" i="39"/>
  <c r="D217" i="39"/>
  <c r="C217" i="39"/>
  <c r="N216" i="39"/>
  <c r="M216" i="39"/>
  <c r="H216" i="39"/>
  <c r="I216" i="39" s="1"/>
  <c r="F216" i="39"/>
  <c r="N215" i="39"/>
  <c r="M215" i="39"/>
  <c r="H215" i="39"/>
  <c r="I215" i="39" s="1"/>
  <c r="F215" i="39"/>
  <c r="E213" i="39"/>
  <c r="D213" i="39"/>
  <c r="C213" i="39"/>
  <c r="N212" i="39"/>
  <c r="M212" i="39"/>
  <c r="H212" i="39"/>
  <c r="I212" i="39" s="1"/>
  <c r="F212" i="39"/>
  <c r="N211" i="39"/>
  <c r="M211" i="39"/>
  <c r="H211" i="39"/>
  <c r="H213" i="39" s="1"/>
  <c r="F211" i="39"/>
  <c r="N209" i="39"/>
  <c r="M209" i="39"/>
  <c r="H209" i="39"/>
  <c r="I209" i="39" s="1"/>
  <c r="F209" i="39"/>
  <c r="E205" i="39"/>
  <c r="D205" i="39"/>
  <c r="C205" i="39"/>
  <c r="H203" i="39"/>
  <c r="I203" i="39" s="1"/>
  <c r="F203" i="39"/>
  <c r="H202" i="39"/>
  <c r="I202" i="39" s="1"/>
  <c r="F202" i="39"/>
  <c r="H201" i="39"/>
  <c r="F201" i="39"/>
  <c r="F205" i="39" s="1"/>
  <c r="E197" i="39"/>
  <c r="G197" i="39" s="1"/>
  <c r="D197" i="39"/>
  <c r="C197" i="39"/>
  <c r="H195" i="39"/>
  <c r="I195" i="39" s="1"/>
  <c r="F195" i="39"/>
  <c r="H194" i="39"/>
  <c r="I194" i="39" s="1"/>
  <c r="F194" i="39"/>
  <c r="H193" i="39"/>
  <c r="I193" i="39" s="1"/>
  <c r="F193" i="39"/>
  <c r="H192" i="39"/>
  <c r="I192" i="39" s="1"/>
  <c r="F192" i="39"/>
  <c r="H191" i="39"/>
  <c r="I191" i="39" s="1"/>
  <c r="F191" i="39"/>
  <c r="H190" i="39"/>
  <c r="I190" i="39" s="1"/>
  <c r="F190" i="39"/>
  <c r="E184" i="39"/>
  <c r="D184" i="39"/>
  <c r="C184" i="39"/>
  <c r="H183" i="39"/>
  <c r="I183" i="39" s="1"/>
  <c r="F183" i="39"/>
  <c r="H182" i="39"/>
  <c r="I182" i="39" s="1"/>
  <c r="F182" i="39"/>
  <c r="H181" i="39"/>
  <c r="I181" i="39" s="1"/>
  <c r="F181" i="39"/>
  <c r="H180" i="39"/>
  <c r="I180" i="39" s="1"/>
  <c r="F180" i="39"/>
  <c r="H179" i="39"/>
  <c r="I179" i="39" s="1"/>
  <c r="F179" i="39"/>
  <c r="H178" i="39"/>
  <c r="F178" i="39"/>
  <c r="E176" i="39"/>
  <c r="D176" i="39"/>
  <c r="C176" i="39"/>
  <c r="H175" i="39"/>
  <c r="I175" i="39" s="1"/>
  <c r="F175" i="39"/>
  <c r="H174" i="39"/>
  <c r="I174" i="39" s="1"/>
  <c r="F174" i="39"/>
  <c r="H173" i="39"/>
  <c r="I173" i="39" s="1"/>
  <c r="F173" i="39"/>
  <c r="H172" i="39"/>
  <c r="I172" i="39" s="1"/>
  <c r="F172" i="39"/>
  <c r="H171" i="39"/>
  <c r="I171" i="39" s="1"/>
  <c r="F171" i="39"/>
  <c r="H170" i="39"/>
  <c r="I170" i="39" s="1"/>
  <c r="F170" i="39"/>
  <c r="H169" i="39"/>
  <c r="I169" i="39" s="1"/>
  <c r="F169" i="39"/>
  <c r="H168" i="39"/>
  <c r="I168" i="39" s="1"/>
  <c r="F168" i="39"/>
  <c r="H167" i="39"/>
  <c r="I167" i="39" s="1"/>
  <c r="F167" i="39"/>
  <c r="H166" i="39"/>
  <c r="I166" i="39" s="1"/>
  <c r="F166" i="39"/>
  <c r="H165" i="39"/>
  <c r="I165" i="39" s="1"/>
  <c r="F165" i="39"/>
  <c r="H164" i="39"/>
  <c r="I164" i="39" s="1"/>
  <c r="F164" i="39"/>
  <c r="H163" i="39"/>
  <c r="I163" i="39" s="1"/>
  <c r="F163" i="39"/>
  <c r="H162" i="39"/>
  <c r="I162" i="39" s="1"/>
  <c r="F162" i="39"/>
  <c r="H161" i="39"/>
  <c r="I161" i="39" s="1"/>
  <c r="F161" i="39"/>
  <c r="H160" i="39"/>
  <c r="I160" i="39" s="1"/>
  <c r="F160" i="39"/>
  <c r="H159" i="39"/>
  <c r="I159" i="39" s="1"/>
  <c r="F159" i="39"/>
  <c r="I158" i="39"/>
  <c r="H158" i="39"/>
  <c r="F158" i="39"/>
  <c r="H157" i="39"/>
  <c r="I157" i="39" s="1"/>
  <c r="F157" i="39"/>
  <c r="H156" i="39"/>
  <c r="I156" i="39" s="1"/>
  <c r="F156" i="39"/>
  <c r="E154" i="39"/>
  <c r="G154" i="39" s="1"/>
  <c r="D154" i="39"/>
  <c r="C154" i="39"/>
  <c r="H153" i="39"/>
  <c r="I153" i="39" s="1"/>
  <c r="F153" i="39"/>
  <c r="H152" i="39"/>
  <c r="I152" i="39" s="1"/>
  <c r="F152" i="39"/>
  <c r="H151" i="39"/>
  <c r="I151" i="39" s="1"/>
  <c r="F151" i="39"/>
  <c r="H150" i="39"/>
  <c r="I150" i="39" s="1"/>
  <c r="F150" i="39"/>
  <c r="H149" i="39"/>
  <c r="I149" i="39" s="1"/>
  <c r="F149" i="39"/>
  <c r="H148" i="39"/>
  <c r="I148" i="39" s="1"/>
  <c r="F148" i="39"/>
  <c r="H147" i="39"/>
  <c r="I147" i="39" s="1"/>
  <c r="F147" i="39"/>
  <c r="H146" i="39"/>
  <c r="I146" i="39" s="1"/>
  <c r="F146" i="39"/>
  <c r="H145" i="39"/>
  <c r="I145" i="39" s="1"/>
  <c r="F145" i="39"/>
  <c r="H144" i="39"/>
  <c r="I144" i="39" s="1"/>
  <c r="F144" i="39"/>
  <c r="H143" i="39"/>
  <c r="I143" i="39" s="1"/>
  <c r="F143" i="39"/>
  <c r="H142" i="39"/>
  <c r="I142" i="39" s="1"/>
  <c r="F142" i="39"/>
  <c r="H141" i="39"/>
  <c r="I141" i="39" s="1"/>
  <c r="F141" i="39"/>
  <c r="H140" i="39"/>
  <c r="I140" i="39" s="1"/>
  <c r="F140" i="39"/>
  <c r="H139" i="39"/>
  <c r="I139" i="39" s="1"/>
  <c r="F139" i="39"/>
  <c r="H138" i="39"/>
  <c r="I138" i="39" s="1"/>
  <c r="F138" i="39"/>
  <c r="H137" i="39"/>
  <c r="I137" i="39" s="1"/>
  <c r="F137" i="39"/>
  <c r="H136" i="39"/>
  <c r="I136" i="39" s="1"/>
  <c r="F136" i="39"/>
  <c r="H135" i="39"/>
  <c r="I135" i="39" s="1"/>
  <c r="F135" i="39"/>
  <c r="H134" i="39"/>
  <c r="I134" i="39" s="1"/>
  <c r="F134" i="39"/>
  <c r="H133" i="39"/>
  <c r="I133" i="39" s="1"/>
  <c r="F133" i="39"/>
  <c r="E131" i="39"/>
  <c r="D131" i="39"/>
  <c r="C131" i="39"/>
  <c r="G131" i="39" s="1"/>
  <c r="H130" i="39"/>
  <c r="I130" i="39" s="1"/>
  <c r="F130" i="39"/>
  <c r="H129" i="39"/>
  <c r="I129" i="39" s="1"/>
  <c r="F129" i="39"/>
  <c r="H128" i="39"/>
  <c r="I128" i="39" s="1"/>
  <c r="F128" i="39"/>
  <c r="H127" i="39"/>
  <c r="I127" i="39" s="1"/>
  <c r="F127" i="39"/>
  <c r="H126" i="39"/>
  <c r="I126" i="39" s="1"/>
  <c r="F126" i="39"/>
  <c r="H125" i="39"/>
  <c r="I125" i="39" s="1"/>
  <c r="F125" i="39"/>
  <c r="H124" i="39"/>
  <c r="I124" i="39" s="1"/>
  <c r="F124" i="39"/>
  <c r="H123" i="39"/>
  <c r="I123" i="39" s="1"/>
  <c r="F123" i="39"/>
  <c r="H122" i="39"/>
  <c r="I122" i="39" s="1"/>
  <c r="F122" i="39"/>
  <c r="H121" i="39"/>
  <c r="I121" i="39" s="1"/>
  <c r="F121" i="39"/>
  <c r="H120" i="39"/>
  <c r="I120" i="39" s="1"/>
  <c r="F120" i="39"/>
  <c r="H119" i="39"/>
  <c r="I119" i="39" s="1"/>
  <c r="F119" i="39"/>
  <c r="H118" i="39"/>
  <c r="I118" i="39" s="1"/>
  <c r="F118" i="39"/>
  <c r="H117" i="39"/>
  <c r="I117" i="39" s="1"/>
  <c r="F117" i="39"/>
  <c r="I116" i="39"/>
  <c r="H116" i="39"/>
  <c r="F116" i="39"/>
  <c r="H115" i="39"/>
  <c r="I115" i="39" s="1"/>
  <c r="F115" i="39"/>
  <c r="H114" i="39"/>
  <c r="I114" i="39" s="1"/>
  <c r="F114" i="39"/>
  <c r="H113" i="39"/>
  <c r="I113" i="39" s="1"/>
  <c r="F113" i="39"/>
  <c r="H112" i="39"/>
  <c r="I112" i="39" s="1"/>
  <c r="F112" i="39"/>
  <c r="E110" i="39"/>
  <c r="D110" i="39"/>
  <c r="C110" i="39"/>
  <c r="G110" i="39" s="1"/>
  <c r="I109" i="39"/>
  <c r="H109" i="39"/>
  <c r="F109" i="39"/>
  <c r="H108" i="39"/>
  <c r="I108" i="39" s="1"/>
  <c r="F108" i="39"/>
  <c r="I107" i="39"/>
  <c r="H107" i="39"/>
  <c r="F107" i="39"/>
  <c r="H106" i="39"/>
  <c r="I106" i="39" s="1"/>
  <c r="F106" i="39"/>
  <c r="H105" i="39"/>
  <c r="I105" i="39" s="1"/>
  <c r="F105" i="39"/>
  <c r="I104" i="39"/>
  <c r="H104" i="39"/>
  <c r="F104" i="39"/>
  <c r="H103" i="39"/>
  <c r="I103" i="39" s="1"/>
  <c r="F103" i="39"/>
  <c r="H102" i="39"/>
  <c r="I102" i="39" s="1"/>
  <c r="F102" i="39"/>
  <c r="E100" i="39"/>
  <c r="D100" i="39"/>
  <c r="C100" i="39"/>
  <c r="H99" i="39"/>
  <c r="I99" i="39" s="1"/>
  <c r="F99" i="39"/>
  <c r="H98" i="39"/>
  <c r="I98" i="39" s="1"/>
  <c r="F98" i="39"/>
  <c r="I97" i="39"/>
  <c r="H97" i="39"/>
  <c r="F97" i="39"/>
  <c r="H96" i="39"/>
  <c r="I96" i="39" s="1"/>
  <c r="F96" i="39"/>
  <c r="H95" i="39"/>
  <c r="I95" i="39" s="1"/>
  <c r="F95" i="39"/>
  <c r="H94" i="39"/>
  <c r="I94" i="39" s="1"/>
  <c r="F94" i="39"/>
  <c r="H93" i="39"/>
  <c r="I93" i="39" s="1"/>
  <c r="F93" i="39"/>
  <c r="H92" i="39"/>
  <c r="I92" i="39" s="1"/>
  <c r="F92" i="39"/>
  <c r="H91" i="39"/>
  <c r="I91" i="39" s="1"/>
  <c r="F91" i="39"/>
  <c r="H90" i="39"/>
  <c r="I90" i="39" s="1"/>
  <c r="F90" i="39"/>
  <c r="H89" i="39"/>
  <c r="I89" i="39" s="1"/>
  <c r="F89" i="39"/>
  <c r="H88" i="39"/>
  <c r="I88" i="39" s="1"/>
  <c r="F88" i="39"/>
  <c r="I87" i="39"/>
  <c r="H87" i="39"/>
  <c r="F87" i="39"/>
  <c r="H86" i="39"/>
  <c r="I86" i="39" s="1"/>
  <c r="F86" i="39"/>
  <c r="H85" i="39"/>
  <c r="I85" i="39" s="1"/>
  <c r="F85" i="39"/>
  <c r="I84" i="39"/>
  <c r="H84" i="39"/>
  <c r="F84" i="39"/>
  <c r="H83" i="39"/>
  <c r="I83" i="39" s="1"/>
  <c r="F83" i="39"/>
  <c r="H82" i="39"/>
  <c r="I82" i="39" s="1"/>
  <c r="F82" i="39"/>
  <c r="H81" i="39"/>
  <c r="I81" i="39" s="1"/>
  <c r="F81" i="39"/>
  <c r="H80" i="39"/>
  <c r="F80" i="39"/>
  <c r="E73" i="39"/>
  <c r="D73" i="39"/>
  <c r="C73" i="39"/>
  <c r="Q72" i="39"/>
  <c r="H72" i="39"/>
  <c r="I72" i="39" s="1"/>
  <c r="F72" i="39"/>
  <c r="Q71" i="39"/>
  <c r="H71" i="39"/>
  <c r="I71" i="39" s="1"/>
  <c r="F71" i="39"/>
  <c r="Q70" i="39"/>
  <c r="H70" i="39"/>
  <c r="I70" i="39" s="1"/>
  <c r="F70" i="39"/>
  <c r="Q69" i="39"/>
  <c r="H69" i="39"/>
  <c r="I69" i="39" s="1"/>
  <c r="F69" i="39"/>
  <c r="Q68" i="39"/>
  <c r="H68" i="39"/>
  <c r="I68" i="39" s="1"/>
  <c r="F68" i="39"/>
  <c r="Q67" i="39"/>
  <c r="H67" i="39"/>
  <c r="I67" i="39" s="1"/>
  <c r="F67" i="39"/>
  <c r="Q66" i="39"/>
  <c r="I66" i="39"/>
  <c r="H66" i="39"/>
  <c r="F66" i="39"/>
  <c r="E64" i="39"/>
  <c r="D64" i="39"/>
  <c r="C64" i="39"/>
  <c r="Q63" i="39"/>
  <c r="H63" i="39"/>
  <c r="I63" i="39" s="1"/>
  <c r="F63" i="39"/>
  <c r="Q62" i="39"/>
  <c r="H62" i="39"/>
  <c r="I62" i="39" s="1"/>
  <c r="F62" i="39"/>
  <c r="Q61" i="39"/>
  <c r="H61" i="39"/>
  <c r="I61" i="39" s="1"/>
  <c r="F61" i="39"/>
  <c r="Q60" i="39"/>
  <c r="H60" i="39"/>
  <c r="I60" i="39" s="1"/>
  <c r="F60" i="39"/>
  <c r="Q59" i="39"/>
  <c r="H59" i="39"/>
  <c r="I59" i="39" s="1"/>
  <c r="F59" i="39"/>
  <c r="Q58" i="39"/>
  <c r="H58" i="39"/>
  <c r="I58" i="39" s="1"/>
  <c r="F58" i="39"/>
  <c r="Q57" i="39"/>
  <c r="H57" i="39"/>
  <c r="I57" i="39" s="1"/>
  <c r="F57" i="39"/>
  <c r="Q56" i="39"/>
  <c r="H56" i="39"/>
  <c r="I56" i="39" s="1"/>
  <c r="F56" i="39"/>
  <c r="Q55" i="39"/>
  <c r="H55" i="39"/>
  <c r="I55" i="39" s="1"/>
  <c r="F55" i="39"/>
  <c r="Q54" i="39"/>
  <c r="H54" i="39"/>
  <c r="I54" i="39" s="1"/>
  <c r="F54" i="39"/>
  <c r="Q53" i="39"/>
  <c r="H53" i="39"/>
  <c r="F53" i="39"/>
  <c r="E51" i="39"/>
  <c r="D51" i="39"/>
  <c r="C51" i="39"/>
  <c r="Q50" i="39"/>
  <c r="H50" i="39"/>
  <c r="I50" i="39" s="1"/>
  <c r="F50" i="39"/>
  <c r="Q49" i="39"/>
  <c r="H49" i="39"/>
  <c r="I49" i="39" s="1"/>
  <c r="F49" i="39"/>
  <c r="Q48" i="39"/>
  <c r="H48" i="39"/>
  <c r="I48" i="39" s="1"/>
  <c r="F48" i="39"/>
  <c r="Q47" i="39"/>
  <c r="H47" i="39"/>
  <c r="I47" i="39" s="1"/>
  <c r="F47" i="39"/>
  <c r="Q46" i="39"/>
  <c r="H46" i="39"/>
  <c r="F46" i="39"/>
  <c r="F51" i="39" s="1"/>
  <c r="E44" i="39"/>
  <c r="D44" i="39"/>
  <c r="C44" i="39"/>
  <c r="Q43" i="39"/>
  <c r="H43" i="39"/>
  <c r="I43" i="39" s="1"/>
  <c r="F43" i="39"/>
  <c r="Q42" i="39"/>
  <c r="H42" i="39"/>
  <c r="I42" i="39" s="1"/>
  <c r="F42" i="39"/>
  <c r="Q41" i="39"/>
  <c r="H41" i="39"/>
  <c r="I41" i="39" s="1"/>
  <c r="F41" i="39"/>
  <c r="Q40" i="39"/>
  <c r="H40" i="39"/>
  <c r="I40" i="39" s="1"/>
  <c r="F40" i="39"/>
  <c r="Q39" i="39"/>
  <c r="H39" i="39"/>
  <c r="I39" i="39" s="1"/>
  <c r="F39" i="39"/>
  <c r="Q38" i="39"/>
  <c r="H38" i="39"/>
  <c r="I38" i="39" s="1"/>
  <c r="F38" i="39"/>
  <c r="Q37" i="39"/>
  <c r="H37" i="39"/>
  <c r="I37" i="39" s="1"/>
  <c r="F37" i="39"/>
  <c r="Q36" i="39"/>
  <c r="H36" i="39"/>
  <c r="I36" i="39" s="1"/>
  <c r="F36" i="39"/>
  <c r="Q35" i="39"/>
  <c r="H35" i="39"/>
  <c r="I35" i="39" s="1"/>
  <c r="F35" i="39"/>
  <c r="Q34" i="39"/>
  <c r="H34" i="39"/>
  <c r="I34" i="39" s="1"/>
  <c r="F34" i="39"/>
  <c r="Q33" i="39"/>
  <c r="H33" i="39"/>
  <c r="I33" i="39" s="1"/>
  <c r="F33" i="39"/>
  <c r="C32" i="39"/>
  <c r="E31" i="39"/>
  <c r="D31" i="39"/>
  <c r="C31" i="39"/>
  <c r="Q30" i="39"/>
  <c r="H30" i="39"/>
  <c r="I30" i="39" s="1"/>
  <c r="F30" i="39"/>
  <c r="Q29" i="39"/>
  <c r="H29" i="39"/>
  <c r="I29" i="39" s="1"/>
  <c r="F29" i="39"/>
  <c r="Q28" i="39"/>
  <c r="H28" i="39"/>
  <c r="I28" i="39" s="1"/>
  <c r="F28" i="39"/>
  <c r="Q27" i="39"/>
  <c r="H27" i="39"/>
  <c r="I27" i="39" s="1"/>
  <c r="F27" i="39"/>
  <c r="Q26" i="39"/>
  <c r="H26" i="39"/>
  <c r="I26" i="39" s="1"/>
  <c r="F26" i="39"/>
  <c r="Q25" i="39"/>
  <c r="H25" i="39"/>
  <c r="I25" i="39" s="1"/>
  <c r="F25" i="39"/>
  <c r="Q24" i="39"/>
  <c r="H24" i="39"/>
  <c r="I24" i="39" s="1"/>
  <c r="F24" i="39"/>
  <c r="Q23" i="39"/>
  <c r="H23" i="39"/>
  <c r="I23" i="39" s="1"/>
  <c r="F23" i="39"/>
  <c r="Q22" i="39"/>
  <c r="I22" i="39"/>
  <c r="H22" i="39"/>
  <c r="F22" i="39"/>
  <c r="Q21" i="39"/>
  <c r="H21" i="39"/>
  <c r="I21" i="39" s="1"/>
  <c r="F21" i="39"/>
  <c r="E19" i="39"/>
  <c r="C19" i="39"/>
  <c r="Q18" i="39"/>
  <c r="H18" i="39"/>
  <c r="I18" i="39" s="1"/>
  <c r="F18" i="39"/>
  <c r="Q17" i="39"/>
  <c r="H17" i="39"/>
  <c r="I17" i="39" s="1"/>
  <c r="F17" i="39"/>
  <c r="F16" i="39"/>
  <c r="D16" i="39"/>
  <c r="Q16" i="39" s="1"/>
  <c r="Q15" i="39"/>
  <c r="H15" i="39"/>
  <c r="I15" i="39" s="1"/>
  <c r="F15" i="39"/>
  <c r="Q14" i="39"/>
  <c r="H14" i="39"/>
  <c r="F14" i="39"/>
  <c r="Q9" i="39"/>
  <c r="M9" i="39"/>
  <c r="H9" i="39"/>
  <c r="I10" i="26"/>
  <c r="I9" i="26"/>
  <c r="I8" i="26"/>
  <c r="G225" i="37"/>
  <c r="G222" i="37"/>
  <c r="G213" i="37"/>
  <c r="F213" i="37"/>
  <c r="H209" i="37"/>
  <c r="C209" i="37"/>
  <c r="G207" i="37"/>
  <c r="F207" i="37"/>
  <c r="G206" i="37"/>
  <c r="F206" i="37"/>
  <c r="G205" i="37"/>
  <c r="F205" i="37"/>
  <c r="G204" i="37"/>
  <c r="F204" i="37"/>
  <c r="G203" i="37"/>
  <c r="F203" i="37"/>
  <c r="G202" i="37"/>
  <c r="F202" i="37"/>
  <c r="G201" i="37"/>
  <c r="F201" i="37"/>
  <c r="G200" i="37"/>
  <c r="F200" i="37"/>
  <c r="G199" i="37"/>
  <c r="F199" i="37"/>
  <c r="G198" i="37"/>
  <c r="F198" i="37"/>
  <c r="G197" i="37"/>
  <c r="F197" i="37"/>
  <c r="G196" i="37"/>
  <c r="F196" i="37"/>
  <c r="G195" i="37"/>
  <c r="F195" i="37"/>
  <c r="G194" i="37"/>
  <c r="F194" i="37"/>
  <c r="G193" i="37"/>
  <c r="F193" i="37"/>
  <c r="G192" i="37"/>
  <c r="F192" i="37"/>
  <c r="G191" i="37"/>
  <c r="F191" i="37"/>
  <c r="G190" i="37"/>
  <c r="F190" i="37"/>
  <c r="G189" i="37"/>
  <c r="F189" i="37"/>
  <c r="G188" i="37"/>
  <c r="F188" i="37"/>
  <c r="G187" i="37"/>
  <c r="F187" i="37"/>
  <c r="G186" i="37"/>
  <c r="F186" i="37"/>
  <c r="G185" i="37"/>
  <c r="F185" i="37"/>
  <c r="G184" i="37"/>
  <c r="F184" i="37"/>
  <c r="G183" i="37"/>
  <c r="F183" i="37"/>
  <c r="G182" i="37"/>
  <c r="F182" i="37"/>
  <c r="G181" i="37"/>
  <c r="F181" i="37"/>
  <c r="G180" i="37"/>
  <c r="F180" i="37"/>
  <c r="G179" i="37"/>
  <c r="F179" i="37"/>
  <c r="G178" i="37"/>
  <c r="F178" i="37"/>
  <c r="G177" i="37"/>
  <c r="F177" i="37"/>
  <c r="G176" i="37"/>
  <c r="F176" i="37"/>
  <c r="G175" i="37"/>
  <c r="F175" i="37"/>
  <c r="G174" i="37"/>
  <c r="F174" i="37"/>
  <c r="G173" i="37"/>
  <c r="F173" i="37"/>
  <c r="G172" i="37"/>
  <c r="F172" i="37"/>
  <c r="G171" i="37"/>
  <c r="F171" i="37"/>
  <c r="G170" i="37"/>
  <c r="F170" i="37"/>
  <c r="G169" i="37"/>
  <c r="F169" i="37"/>
  <c r="G168" i="37"/>
  <c r="F168" i="37"/>
  <c r="G167" i="37"/>
  <c r="F167" i="37"/>
  <c r="G166" i="37"/>
  <c r="F166" i="37"/>
  <c r="G165" i="37"/>
  <c r="F165" i="37"/>
  <c r="G164" i="37"/>
  <c r="F164" i="37"/>
  <c r="G163" i="37"/>
  <c r="F163" i="37"/>
  <c r="G162" i="37"/>
  <c r="F162" i="37"/>
  <c r="G161" i="37"/>
  <c r="F161" i="37"/>
  <c r="G160" i="37"/>
  <c r="F160" i="37"/>
  <c r="G159" i="37"/>
  <c r="F159" i="37"/>
  <c r="G158" i="37"/>
  <c r="F158" i="37"/>
  <c r="G157" i="37"/>
  <c r="F157" i="37"/>
  <c r="G156" i="37"/>
  <c r="F156" i="37"/>
  <c r="G155" i="37"/>
  <c r="F155" i="37"/>
  <c r="G154" i="37"/>
  <c r="F154" i="37"/>
  <c r="G153" i="37"/>
  <c r="F153" i="37"/>
  <c r="G152" i="37"/>
  <c r="F152" i="37"/>
  <c r="G151" i="37"/>
  <c r="F151" i="37"/>
  <c r="G150" i="37"/>
  <c r="F150" i="37"/>
  <c r="G149" i="37"/>
  <c r="F149" i="37"/>
  <c r="G148" i="37"/>
  <c r="F148" i="37"/>
  <c r="G147" i="37"/>
  <c r="F147" i="37"/>
  <c r="G146" i="37"/>
  <c r="F146" i="37"/>
  <c r="G145" i="37"/>
  <c r="F145" i="37"/>
  <c r="G144" i="37"/>
  <c r="F144" i="37"/>
  <c r="G143" i="37"/>
  <c r="F143" i="37"/>
  <c r="G142" i="37"/>
  <c r="F142" i="37"/>
  <c r="G141" i="37"/>
  <c r="F141" i="37"/>
  <c r="G140" i="37"/>
  <c r="F140" i="37"/>
  <c r="G139" i="37"/>
  <c r="F139" i="37"/>
  <c r="G138" i="37"/>
  <c r="F138" i="37"/>
  <c r="G137" i="37"/>
  <c r="F137" i="37"/>
  <c r="G136" i="37"/>
  <c r="F136" i="37"/>
  <c r="G135" i="37"/>
  <c r="F135" i="37"/>
  <c r="G134" i="37"/>
  <c r="F134" i="37"/>
  <c r="G133" i="37"/>
  <c r="F133" i="37"/>
  <c r="G132" i="37"/>
  <c r="F132" i="37"/>
  <c r="G131" i="37"/>
  <c r="F131" i="37"/>
  <c r="G130" i="37"/>
  <c r="F130" i="37"/>
  <c r="G129" i="37"/>
  <c r="F129" i="37"/>
  <c r="G128" i="37"/>
  <c r="F128" i="37"/>
  <c r="G127" i="37"/>
  <c r="F127" i="37"/>
  <c r="G126" i="37"/>
  <c r="F126" i="37"/>
  <c r="G125" i="37"/>
  <c r="F125" i="37"/>
  <c r="G124" i="37"/>
  <c r="F124" i="37"/>
  <c r="G123" i="37"/>
  <c r="F123" i="37"/>
  <c r="G122" i="37"/>
  <c r="F122" i="37"/>
  <c r="G121" i="37"/>
  <c r="F121" i="37"/>
  <c r="G120" i="37"/>
  <c r="F120" i="37"/>
  <c r="G119" i="37"/>
  <c r="F119" i="37"/>
  <c r="G118" i="37"/>
  <c r="F118" i="37"/>
  <c r="G117" i="37"/>
  <c r="F117" i="37"/>
  <c r="G116" i="37"/>
  <c r="F116" i="37"/>
  <c r="G115" i="37"/>
  <c r="F115" i="37"/>
  <c r="G114" i="37"/>
  <c r="F114" i="37"/>
  <c r="G113" i="37"/>
  <c r="F113" i="37"/>
  <c r="G112" i="37"/>
  <c r="F112" i="37"/>
  <c r="G111" i="37"/>
  <c r="F111" i="37"/>
  <c r="G110" i="37"/>
  <c r="F110" i="37"/>
  <c r="G109" i="37"/>
  <c r="F109" i="37"/>
  <c r="G108" i="37"/>
  <c r="F108" i="37"/>
  <c r="G107" i="37"/>
  <c r="F107" i="37"/>
  <c r="G106" i="37"/>
  <c r="F106" i="37"/>
  <c r="G105" i="37"/>
  <c r="F105" i="37"/>
  <c r="G104" i="37"/>
  <c r="F104" i="37"/>
  <c r="G103" i="37"/>
  <c r="F103" i="37"/>
  <c r="G102" i="37"/>
  <c r="F102" i="37"/>
  <c r="G101" i="37"/>
  <c r="F101" i="37"/>
  <c r="G100" i="37"/>
  <c r="F100" i="37"/>
  <c r="G99" i="37"/>
  <c r="F99" i="37"/>
  <c r="G98" i="37"/>
  <c r="F98" i="37"/>
  <c r="G97" i="37"/>
  <c r="F97" i="37"/>
  <c r="G96" i="37"/>
  <c r="F96" i="37"/>
  <c r="G95" i="37"/>
  <c r="F95" i="37"/>
  <c r="G94" i="37"/>
  <c r="F94" i="37"/>
  <c r="G93" i="37"/>
  <c r="F93" i="37"/>
  <c r="G92" i="37"/>
  <c r="F92" i="37"/>
  <c r="G91" i="37"/>
  <c r="F91" i="37"/>
  <c r="G90" i="37"/>
  <c r="F90" i="37"/>
  <c r="G89" i="37"/>
  <c r="F89" i="37"/>
  <c r="G88" i="37"/>
  <c r="F88" i="37"/>
  <c r="G87" i="37"/>
  <c r="F87" i="37"/>
  <c r="G86" i="37"/>
  <c r="F86" i="37"/>
  <c r="G85" i="37"/>
  <c r="F85" i="37"/>
  <c r="G84" i="37"/>
  <c r="F84" i="37"/>
  <c r="G83" i="37"/>
  <c r="F83" i="37"/>
  <c r="G82" i="37"/>
  <c r="F82" i="37"/>
  <c r="G81" i="37"/>
  <c r="F81" i="37"/>
  <c r="G80" i="37"/>
  <c r="F80" i="37"/>
  <c r="G79" i="37"/>
  <c r="F79" i="37"/>
  <c r="G78" i="37"/>
  <c r="F78" i="37"/>
  <c r="G77" i="37"/>
  <c r="F77" i="37"/>
  <c r="G76" i="37"/>
  <c r="F76" i="37"/>
  <c r="G75" i="37"/>
  <c r="F75" i="37"/>
  <c r="G74" i="37"/>
  <c r="F74" i="37"/>
  <c r="G73" i="37"/>
  <c r="F73" i="37"/>
  <c r="G72" i="37"/>
  <c r="F72" i="37"/>
  <c r="G71" i="37"/>
  <c r="F71" i="37"/>
  <c r="G70" i="37"/>
  <c r="F70" i="37"/>
  <c r="G69" i="37"/>
  <c r="F69" i="37"/>
  <c r="G68" i="37"/>
  <c r="F68" i="37"/>
  <c r="G67" i="37"/>
  <c r="F67" i="37"/>
  <c r="G66" i="37"/>
  <c r="F66" i="37"/>
  <c r="G65" i="37"/>
  <c r="F65" i="37"/>
  <c r="G64" i="37"/>
  <c r="F64" i="37"/>
  <c r="G63" i="37"/>
  <c r="F63" i="37"/>
  <c r="G62" i="37"/>
  <c r="F62" i="37"/>
  <c r="G61" i="37"/>
  <c r="F61" i="37"/>
  <c r="G60" i="37"/>
  <c r="F60" i="37"/>
  <c r="G59" i="37"/>
  <c r="F59" i="37"/>
  <c r="G58" i="37"/>
  <c r="F58" i="37"/>
  <c r="G57" i="37"/>
  <c r="F57" i="37"/>
  <c r="G56" i="37"/>
  <c r="F56" i="37"/>
  <c r="G55" i="37"/>
  <c r="F55" i="37"/>
  <c r="G54" i="37"/>
  <c r="F54" i="37"/>
  <c r="G53" i="37"/>
  <c r="F53" i="37"/>
  <c r="G52" i="37"/>
  <c r="F52" i="37"/>
  <c r="G51" i="37"/>
  <c r="F51" i="37"/>
  <c r="G50" i="37"/>
  <c r="F50" i="37"/>
  <c r="G49" i="37"/>
  <c r="F49" i="37"/>
  <c r="G48" i="37"/>
  <c r="F48" i="37"/>
  <c r="G47" i="37"/>
  <c r="F47" i="37"/>
  <c r="G46" i="37"/>
  <c r="F46" i="37"/>
  <c r="G45" i="37"/>
  <c r="F45" i="37"/>
  <c r="G44" i="37"/>
  <c r="F44" i="37"/>
  <c r="G43" i="37"/>
  <c r="F43" i="37"/>
  <c r="G42" i="37"/>
  <c r="F42" i="37"/>
  <c r="G41" i="37"/>
  <c r="F41" i="37"/>
  <c r="G40" i="37"/>
  <c r="F40" i="37"/>
  <c r="G39" i="37"/>
  <c r="F39" i="37"/>
  <c r="H36" i="37"/>
  <c r="C36" i="37"/>
  <c r="G34" i="37"/>
  <c r="F34" i="37"/>
  <c r="G33" i="37"/>
  <c r="F33" i="37"/>
  <c r="H30" i="37"/>
  <c r="C30" i="37"/>
  <c r="G28" i="37"/>
  <c r="F28" i="37"/>
  <c r="G27" i="37"/>
  <c r="F27" i="37"/>
  <c r="G26" i="37"/>
  <c r="F26" i="37"/>
  <c r="G25" i="37"/>
  <c r="F25" i="37"/>
  <c r="G24" i="37"/>
  <c r="F24" i="37"/>
  <c r="G23" i="37"/>
  <c r="F23" i="37"/>
  <c r="G22" i="37"/>
  <c r="F22" i="37"/>
  <c r="G21" i="37"/>
  <c r="F21" i="37"/>
  <c r="G20" i="37"/>
  <c r="F20" i="37"/>
  <c r="H16" i="37"/>
  <c r="C16" i="37"/>
  <c r="C211" i="37" s="1"/>
  <c r="C215" i="37" s="1"/>
  <c r="G14" i="37"/>
  <c r="F14" i="37"/>
  <c r="G13" i="37"/>
  <c r="F13" i="37"/>
  <c r="G12" i="37"/>
  <c r="F12" i="37"/>
  <c r="A2" i="37"/>
  <c r="A3" i="37" s="1"/>
  <c r="A4" i="37" s="1"/>
  <c r="A5" i="37" s="1"/>
  <c r="A6" i="37" s="1"/>
  <c r="A7" i="37" s="1"/>
  <c r="A8" i="37" s="1"/>
  <c r="A9" i="37" s="1"/>
  <c r="A10" i="37" s="1"/>
  <c r="A11" i="37" s="1"/>
  <c r="A12" i="37" s="1"/>
  <c r="A13" i="37" s="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I223" i="39" l="1"/>
  <c r="M221" i="39"/>
  <c r="M223" i="39" s="1"/>
  <c r="G209" i="37"/>
  <c r="D186" i="39"/>
  <c r="G176" i="39"/>
  <c r="O132" i="40"/>
  <c r="F44" i="39"/>
  <c r="F184" i="39"/>
  <c r="O212" i="39"/>
  <c r="O215" i="39"/>
  <c r="F223" i="39"/>
  <c r="N237" i="39"/>
  <c r="Q221" i="40"/>
  <c r="S221" i="40" s="1"/>
  <c r="Q225" i="40"/>
  <c r="S225" i="40" s="1"/>
  <c r="S266" i="40"/>
  <c r="F73" i="39"/>
  <c r="H211" i="37"/>
  <c r="H215" i="37" s="1"/>
  <c r="G224" i="37" s="1"/>
  <c r="H226" i="37" s="1"/>
  <c r="G213" i="39"/>
  <c r="I249" i="39"/>
  <c r="M249" i="39" s="1"/>
  <c r="F217" i="39"/>
  <c r="F249" i="39"/>
  <c r="Q296" i="40"/>
  <c r="C75" i="39"/>
  <c r="E75" i="39"/>
  <c r="G75" i="39" s="1"/>
  <c r="F64" i="39"/>
  <c r="H100" i="39"/>
  <c r="F16" i="37"/>
  <c r="F209" i="37"/>
  <c r="F31" i="39"/>
  <c r="F237" i="39"/>
  <c r="I250" i="39"/>
  <c r="M250" i="39" s="1"/>
  <c r="O284" i="40"/>
  <c r="Q38" i="40"/>
  <c r="N28" i="50" s="1"/>
  <c r="Q45" i="40"/>
  <c r="N33" i="39" s="1"/>
  <c r="Q49" i="40"/>
  <c r="N37" i="50" s="1"/>
  <c r="Q53" i="40"/>
  <c r="N41" i="50" s="1"/>
  <c r="Q64" i="40"/>
  <c r="N50" i="50" s="1"/>
  <c r="Q75" i="40"/>
  <c r="N59" i="50" s="1"/>
  <c r="Q86" i="40"/>
  <c r="N68" i="50" s="1"/>
  <c r="Q101" i="40"/>
  <c r="Q105" i="40"/>
  <c r="Q109" i="40"/>
  <c r="N90" i="39" s="1"/>
  <c r="Q113" i="40"/>
  <c r="Q117" i="40"/>
  <c r="Q124" i="40"/>
  <c r="S124" i="40" s="1"/>
  <c r="Q128" i="40"/>
  <c r="S128" i="40" s="1"/>
  <c r="Q135" i="40"/>
  <c r="N112" i="39" s="1"/>
  <c r="Q139" i="40"/>
  <c r="Q143" i="40"/>
  <c r="Q147" i="40"/>
  <c r="S147" i="40" s="1"/>
  <c r="Q151" i="40"/>
  <c r="Q158" i="40"/>
  <c r="Q162" i="40"/>
  <c r="Q166" i="40"/>
  <c r="S166" i="40" s="1"/>
  <c r="Q170" i="40"/>
  <c r="N145" i="39" s="1"/>
  <c r="Q174" i="40"/>
  <c r="Q178" i="40"/>
  <c r="Q183" i="40"/>
  <c r="S183" i="40" s="1"/>
  <c r="Q185" i="40"/>
  <c r="Q187" i="40"/>
  <c r="Q189" i="40"/>
  <c r="Q191" i="40"/>
  <c r="S191" i="40" s="1"/>
  <c r="Q193" i="40"/>
  <c r="S193" i="40" s="1"/>
  <c r="Q195" i="40"/>
  <c r="Q197" i="40"/>
  <c r="Q199" i="40"/>
  <c r="Q201" i="40"/>
  <c r="Q208" i="40"/>
  <c r="S208" i="40" s="1"/>
  <c r="Q212" i="40"/>
  <c r="Q22" i="40"/>
  <c r="N14" i="50" s="1"/>
  <c r="Q26" i="40"/>
  <c r="N18" i="50" s="1"/>
  <c r="Q33" i="40"/>
  <c r="N23" i="50" s="1"/>
  <c r="Q37" i="40"/>
  <c r="N27" i="50" s="1"/>
  <c r="Q48" i="40"/>
  <c r="N36" i="50" s="1"/>
  <c r="Q52" i="40"/>
  <c r="N40" i="50" s="1"/>
  <c r="Q63" i="40"/>
  <c r="N49" i="50" s="1"/>
  <c r="Q70" i="40"/>
  <c r="N54" i="50" s="1"/>
  <c r="Q78" i="40"/>
  <c r="N62" i="50" s="1"/>
  <c r="Q104" i="40"/>
  <c r="N85" i="39" s="1"/>
  <c r="Q108" i="40"/>
  <c r="Q112" i="40"/>
  <c r="Q116" i="40"/>
  <c r="Q123" i="40"/>
  <c r="Q127" i="40"/>
  <c r="O66" i="40"/>
  <c r="Q76" i="40"/>
  <c r="N60" i="50" s="1"/>
  <c r="Q39" i="40"/>
  <c r="N29" i="50" s="1"/>
  <c r="Q196" i="40"/>
  <c r="S196" i="40" s="1"/>
  <c r="Q200" i="40"/>
  <c r="S200" i="40" s="1"/>
  <c r="Q136" i="40"/>
  <c r="S178" i="40"/>
  <c r="K173" i="39"/>
  <c r="M173" i="39" s="1"/>
  <c r="N14" i="39"/>
  <c r="Q31" i="40"/>
  <c r="S31" i="40" s="1"/>
  <c r="N33" i="50"/>
  <c r="Q90" i="40"/>
  <c r="N72" i="50" s="1"/>
  <c r="S151" i="40"/>
  <c r="N133" i="39"/>
  <c r="Q211" i="40"/>
  <c r="N182" i="39" s="1"/>
  <c r="S101" i="40"/>
  <c r="S105" i="40"/>
  <c r="S109" i="40"/>
  <c r="S127" i="40"/>
  <c r="Q152" i="40"/>
  <c r="N129" i="39" s="1"/>
  <c r="Q175" i="40"/>
  <c r="N150" i="39" s="1"/>
  <c r="Q87" i="40"/>
  <c r="N69" i="50" s="1"/>
  <c r="S113" i="40"/>
  <c r="S185" i="40"/>
  <c r="S187" i="40"/>
  <c r="S189" i="40"/>
  <c r="S104" i="40"/>
  <c r="S139" i="40"/>
  <c r="S143" i="40"/>
  <c r="N173" i="39"/>
  <c r="O173" i="39" s="1"/>
  <c r="N93" i="39"/>
  <c r="S112" i="40"/>
  <c r="F30" i="37"/>
  <c r="F211" i="37" s="1"/>
  <c r="F215" i="37" s="1"/>
  <c r="F36" i="37"/>
  <c r="H31" i="39"/>
  <c r="G31" i="39"/>
  <c r="H51" i="39"/>
  <c r="G73" i="39"/>
  <c r="I80" i="39"/>
  <c r="I100" i="39" s="1"/>
  <c r="S33" i="40"/>
  <c r="N23" i="39"/>
  <c r="G16" i="37"/>
  <c r="G30" i="37"/>
  <c r="G36" i="37"/>
  <c r="I31" i="39"/>
  <c r="G44" i="39"/>
  <c r="G51" i="39"/>
  <c r="H64" i="39"/>
  <c r="G64" i="39"/>
  <c r="H73" i="39"/>
  <c r="F100" i="39"/>
  <c r="F110" i="39"/>
  <c r="S170" i="40"/>
  <c r="S195" i="40"/>
  <c r="N168" i="39"/>
  <c r="S197" i="40"/>
  <c r="N170" i="39"/>
  <c r="F19" i="39"/>
  <c r="F75" i="39" s="1"/>
  <c r="I73" i="39"/>
  <c r="S52" i="40"/>
  <c r="N40" i="39"/>
  <c r="N179" i="39"/>
  <c r="S212" i="40"/>
  <c r="N183" i="39"/>
  <c r="F176" i="39"/>
  <c r="H184" i="39"/>
  <c r="F197" i="39"/>
  <c r="H205" i="39"/>
  <c r="G205" i="39"/>
  <c r="I211" i="39"/>
  <c r="I213" i="39" s="1"/>
  <c r="C239" i="39"/>
  <c r="H217" i="39"/>
  <c r="O216" i="39"/>
  <c r="O217" i="39" s="1"/>
  <c r="H223" i="39"/>
  <c r="N227" i="39"/>
  <c r="G227" i="39"/>
  <c r="N232" i="39"/>
  <c r="G232" i="39"/>
  <c r="O236" i="39"/>
  <c r="F245" i="39"/>
  <c r="F252" i="39" s="1"/>
  <c r="Q23" i="40"/>
  <c r="N15" i="50" s="1"/>
  <c r="Q34" i="40"/>
  <c r="N24" i="50" s="1"/>
  <c r="Q46" i="40"/>
  <c r="N34" i="50" s="1"/>
  <c r="Q51" i="40"/>
  <c r="N39" i="50" s="1"/>
  <c r="Q54" i="40"/>
  <c r="N42" i="50" s="1"/>
  <c r="Q60" i="40"/>
  <c r="Q71" i="40"/>
  <c r="N55" i="50" s="1"/>
  <c r="Q79" i="40"/>
  <c r="N63" i="50" s="1"/>
  <c r="Q100" i="40"/>
  <c r="N81" i="39" s="1"/>
  <c r="Q110" i="40"/>
  <c r="K216" i="40"/>
  <c r="Q144" i="40"/>
  <c r="O204" i="40"/>
  <c r="Q210" i="40"/>
  <c r="Q233" i="40"/>
  <c r="S233" i="40" s="1"/>
  <c r="M284" i="40"/>
  <c r="M298" i="40" s="1"/>
  <c r="N94" i="39"/>
  <c r="N158" i="39"/>
  <c r="G184" i="39"/>
  <c r="M213" i="39"/>
  <c r="D239" i="39"/>
  <c r="I217" i="39"/>
  <c r="G217" i="39"/>
  <c r="O222" i="39"/>
  <c r="G223" i="39"/>
  <c r="O226" i="39"/>
  <c r="O228" i="39"/>
  <c r="O231" i="39"/>
  <c r="I246" i="39"/>
  <c r="M246" i="39" s="1"/>
  <c r="I247" i="39"/>
  <c r="M247" i="39" s="1"/>
  <c r="O28" i="40"/>
  <c r="Q32" i="40"/>
  <c r="N22" i="50" s="1"/>
  <c r="Q40" i="40"/>
  <c r="N30" i="50" s="1"/>
  <c r="S49" i="40"/>
  <c r="N37" i="39"/>
  <c r="O81" i="40"/>
  <c r="Q77" i="40"/>
  <c r="N61" i="50" s="1"/>
  <c r="M216" i="40"/>
  <c r="Q146" i="40"/>
  <c r="O180" i="40"/>
  <c r="Q169" i="40"/>
  <c r="N120" i="39"/>
  <c r="N162" i="39"/>
  <c r="F213" i="39"/>
  <c r="F239" i="39" s="1"/>
  <c r="N213" i="39"/>
  <c r="N239" i="39" s="1"/>
  <c r="M217" i="39"/>
  <c r="S38" i="40"/>
  <c r="N28" i="39"/>
  <c r="Q47" i="40"/>
  <c r="N35" i="50" s="1"/>
  <c r="Q50" i="40"/>
  <c r="N38" i="50" s="1"/>
  <c r="Q55" i="40"/>
  <c r="N43" i="50" s="1"/>
  <c r="S64" i="40"/>
  <c r="N50" i="39"/>
  <c r="S75" i="40"/>
  <c r="N59" i="39"/>
  <c r="Q129" i="40"/>
  <c r="Q148" i="40"/>
  <c r="Q168" i="40"/>
  <c r="Q173" i="40"/>
  <c r="O235" i="40"/>
  <c r="Q232" i="40"/>
  <c r="S232" i="40" s="1"/>
  <c r="S251" i="40"/>
  <c r="S260" i="40"/>
  <c r="S274" i="40"/>
  <c r="S282" i="40"/>
  <c r="N107" i="39"/>
  <c r="Q25" i="40"/>
  <c r="N17" i="50" s="1"/>
  <c r="Q36" i="40"/>
  <c r="N26" i="50" s="1"/>
  <c r="S37" i="40"/>
  <c r="N27" i="39"/>
  <c r="S53" i="40"/>
  <c r="N41" i="39"/>
  <c r="Q62" i="40"/>
  <c r="N48" i="50" s="1"/>
  <c r="S63" i="40"/>
  <c r="N49" i="39"/>
  <c r="Q73" i="40"/>
  <c r="N57" i="50" s="1"/>
  <c r="Q74" i="40"/>
  <c r="N58" i="50" s="1"/>
  <c r="Q89" i="40"/>
  <c r="N71" i="50" s="1"/>
  <c r="Q172" i="40"/>
  <c r="N86" i="39"/>
  <c r="N128" i="39"/>
  <c r="N153" i="39"/>
  <c r="N174" i="39"/>
  <c r="S199" i="40"/>
  <c r="N172" i="39"/>
  <c r="N164" i="39"/>
  <c r="N160" i="39"/>
  <c r="N156" i="39"/>
  <c r="Q177" i="40"/>
  <c r="S174" i="40"/>
  <c r="N149" i="39"/>
  <c r="S162" i="40"/>
  <c r="N137" i="39"/>
  <c r="Q150" i="40"/>
  <c r="N121" i="39"/>
  <c r="N116" i="39"/>
  <c r="N106" i="39"/>
  <c r="N103" i="39"/>
  <c r="S123" i="40"/>
  <c r="N102" i="39"/>
  <c r="S117" i="40"/>
  <c r="N98" i="39"/>
  <c r="N97" i="39"/>
  <c r="Q115" i="40"/>
  <c r="S108" i="40"/>
  <c r="N89" i="39"/>
  <c r="Q106" i="40"/>
  <c r="N82" i="39"/>
  <c r="Q207" i="40"/>
  <c r="Q184" i="40"/>
  <c r="Q188" i="40"/>
  <c r="Q192" i="40"/>
  <c r="Q161" i="40"/>
  <c r="Q159" i="40"/>
  <c r="Q163" i="40"/>
  <c r="Q165" i="40"/>
  <c r="Q142" i="40"/>
  <c r="Q138" i="40"/>
  <c r="Q140" i="40"/>
  <c r="Q125" i="40"/>
  <c r="Q103" i="40"/>
  <c r="S45" i="40"/>
  <c r="S22" i="40"/>
  <c r="Q35" i="40"/>
  <c r="N25" i="50" s="1"/>
  <c r="Q61" i="40"/>
  <c r="N47" i="50" s="1"/>
  <c r="Q72" i="40"/>
  <c r="N56" i="50" s="1"/>
  <c r="S231" i="40"/>
  <c r="O42" i="40"/>
  <c r="O57" i="40"/>
  <c r="K313" i="40"/>
  <c r="K298" i="40"/>
  <c r="S17" i="40"/>
  <c r="Q24" i="40"/>
  <c r="N16" i="50" s="1"/>
  <c r="S158" i="40"/>
  <c r="O92" i="40"/>
  <c r="Q84" i="40"/>
  <c r="Q69" i="40"/>
  <c r="Q88" i="40"/>
  <c r="N70" i="50" s="1"/>
  <c r="Q107" i="40"/>
  <c r="Q114" i="40"/>
  <c r="Q126" i="40"/>
  <c r="Q137" i="40"/>
  <c r="Q141" i="40"/>
  <c r="Q145" i="40"/>
  <c r="Q149" i="40"/>
  <c r="Q153" i="40"/>
  <c r="Q160" i="40"/>
  <c r="Q167" i="40"/>
  <c r="Q176" i="40"/>
  <c r="Q186" i="40"/>
  <c r="Q190" i="40"/>
  <c r="Q194" i="40"/>
  <c r="Q198" i="40"/>
  <c r="Q202" i="40"/>
  <c r="Q224" i="40"/>
  <c r="S224" i="40" s="1"/>
  <c r="Q284" i="40"/>
  <c r="S284" i="40" s="1"/>
  <c r="S245" i="40"/>
  <c r="O17" i="40"/>
  <c r="Q85" i="40"/>
  <c r="N67" i="50" s="1"/>
  <c r="Q102" i="40"/>
  <c r="Q111" i="40"/>
  <c r="Q118" i="40"/>
  <c r="Q130" i="40"/>
  <c r="O155" i="40"/>
  <c r="Q164" i="40"/>
  <c r="Q171" i="40"/>
  <c r="Q209" i="40"/>
  <c r="Q220" i="40"/>
  <c r="Q223" i="40"/>
  <c r="S223" i="40" s="1"/>
  <c r="Q99" i="40"/>
  <c r="O214" i="40"/>
  <c r="O227" i="40"/>
  <c r="O120" i="40"/>
  <c r="I44" i="39"/>
  <c r="O9" i="39"/>
  <c r="I9" i="39"/>
  <c r="I14" i="39"/>
  <c r="I19" i="39" s="1"/>
  <c r="H16" i="39"/>
  <c r="I16" i="39" s="1"/>
  <c r="D19" i="39"/>
  <c r="D75" i="39" s="1"/>
  <c r="I46" i="39"/>
  <c r="I51" i="39" s="1"/>
  <c r="H110" i="39"/>
  <c r="F131" i="39"/>
  <c r="H44" i="39"/>
  <c r="H131" i="39"/>
  <c r="I53" i="39"/>
  <c r="I64" i="39" s="1"/>
  <c r="I110" i="39"/>
  <c r="I131" i="39"/>
  <c r="G19" i="39"/>
  <c r="E186" i="39"/>
  <c r="G100" i="39"/>
  <c r="I154" i="39"/>
  <c r="I176" i="39"/>
  <c r="F154" i="39"/>
  <c r="I197" i="39"/>
  <c r="I237" i="39"/>
  <c r="M235" i="39"/>
  <c r="C186" i="39"/>
  <c r="C254" i="39" s="1"/>
  <c r="C269" i="39" s="1"/>
  <c r="H154" i="39"/>
  <c r="O218" i="39"/>
  <c r="I227" i="39"/>
  <c r="M225" i="39"/>
  <c r="I232" i="39"/>
  <c r="M230" i="39"/>
  <c r="I201" i="39"/>
  <c r="I205" i="39" s="1"/>
  <c r="O211" i="39"/>
  <c r="O213" i="39" s="1"/>
  <c r="O221" i="39"/>
  <c r="E252" i="39"/>
  <c r="I178" i="39"/>
  <c r="I184" i="39" s="1"/>
  <c r="H197" i="39"/>
  <c r="N217" i="39"/>
  <c r="E239" i="39"/>
  <c r="I244" i="39"/>
  <c r="I248" i="39"/>
  <c r="M248" i="39" s="1"/>
  <c r="H176" i="39"/>
  <c r="O209" i="39"/>
  <c r="H227" i="39"/>
  <c r="H232" i="39"/>
  <c r="H237" i="39"/>
  <c r="H252" i="39"/>
  <c r="I11" i="26"/>
  <c r="J115" i="36"/>
  <c r="H113" i="36"/>
  <c r="G113" i="36"/>
  <c r="I112" i="36"/>
  <c r="H112" i="36"/>
  <c r="G112" i="36"/>
  <c r="I111" i="36"/>
  <c r="H111" i="36"/>
  <c r="G111" i="36"/>
  <c r="E111" i="36"/>
  <c r="I110" i="36"/>
  <c r="H110" i="36"/>
  <c r="G110" i="36"/>
  <c r="I109" i="36"/>
  <c r="H109" i="36"/>
  <c r="G109" i="36"/>
  <c r="I108" i="36"/>
  <c r="G108" i="36"/>
  <c r="E108" i="36"/>
  <c r="I105" i="36"/>
  <c r="G105" i="36"/>
  <c r="E105" i="36"/>
  <c r="K105" i="36" s="1"/>
  <c r="H103" i="36"/>
  <c r="H102" i="36"/>
  <c r="H101" i="36"/>
  <c r="H100" i="36"/>
  <c r="H99" i="36"/>
  <c r="H98" i="36"/>
  <c r="H97" i="36"/>
  <c r="H96" i="36"/>
  <c r="H95" i="36"/>
  <c r="I92" i="36"/>
  <c r="G92" i="36"/>
  <c r="L92" i="36" s="1"/>
  <c r="E92" i="36"/>
  <c r="K92" i="36" s="1"/>
  <c r="H90" i="36"/>
  <c r="H89" i="36"/>
  <c r="H88" i="36"/>
  <c r="H87" i="36"/>
  <c r="H86" i="36"/>
  <c r="H85" i="36"/>
  <c r="H84" i="36"/>
  <c r="H83" i="36"/>
  <c r="H82" i="36"/>
  <c r="H81" i="36"/>
  <c r="H80" i="36"/>
  <c r="H79" i="36"/>
  <c r="H78" i="36"/>
  <c r="H77" i="36"/>
  <c r="H76" i="36"/>
  <c r="H75" i="36"/>
  <c r="H74" i="36"/>
  <c r="H73" i="36"/>
  <c r="H72" i="36"/>
  <c r="H71" i="36"/>
  <c r="J68" i="36"/>
  <c r="I66" i="36"/>
  <c r="G66" i="36"/>
  <c r="E66" i="36"/>
  <c r="H66" i="36" s="1"/>
  <c r="I65" i="36"/>
  <c r="G65" i="36"/>
  <c r="E65" i="36"/>
  <c r="H65" i="36" s="1"/>
  <c r="H64" i="36"/>
  <c r="I63" i="36"/>
  <c r="G63" i="36"/>
  <c r="E63" i="36"/>
  <c r="H63" i="36" s="1"/>
  <c r="H62" i="36"/>
  <c r="E61" i="36"/>
  <c r="H61" i="36" s="1"/>
  <c r="I60" i="36"/>
  <c r="H60" i="36"/>
  <c r="G60" i="36"/>
  <c r="I59" i="36"/>
  <c r="H59" i="36"/>
  <c r="G59" i="36"/>
  <c r="H58" i="36"/>
  <c r="H57" i="36"/>
  <c r="H56" i="36"/>
  <c r="H55" i="36"/>
  <c r="E54" i="36"/>
  <c r="H53" i="36"/>
  <c r="H52" i="36"/>
  <c r="H51" i="36"/>
  <c r="H50" i="36"/>
  <c r="H49" i="36"/>
  <c r="H48" i="36"/>
  <c r="J45" i="36"/>
  <c r="E45" i="36"/>
  <c r="K45" i="36" s="1"/>
  <c r="I43" i="36"/>
  <c r="H43" i="36"/>
  <c r="G43" i="36"/>
  <c r="I42" i="36"/>
  <c r="H42" i="36"/>
  <c r="G42" i="36"/>
  <c r="H41" i="36"/>
  <c r="H40" i="36"/>
  <c r="H39" i="36"/>
  <c r="H38" i="36"/>
  <c r="H37" i="36"/>
  <c r="J34" i="36"/>
  <c r="I34" i="36"/>
  <c r="N34" i="36" s="1"/>
  <c r="G34" i="36"/>
  <c r="L34" i="36" s="1"/>
  <c r="E34" i="36"/>
  <c r="H32" i="36"/>
  <c r="H31" i="36"/>
  <c r="H30" i="36"/>
  <c r="H29" i="36"/>
  <c r="H28" i="36"/>
  <c r="H27" i="36"/>
  <c r="I24" i="36"/>
  <c r="G24" i="36"/>
  <c r="E24" i="36"/>
  <c r="K24" i="36" s="1"/>
  <c r="H22" i="36"/>
  <c r="H21" i="36"/>
  <c r="H20" i="36"/>
  <c r="H19" i="36"/>
  <c r="H18" i="36"/>
  <c r="H17" i="36"/>
  <c r="H16" i="36"/>
  <c r="H15" i="36"/>
  <c r="H14" i="36"/>
  <c r="H13" i="36"/>
  <c r="H12" i="36"/>
  <c r="H11" i="36"/>
  <c r="H10" i="36"/>
  <c r="H9" i="36"/>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M65" i="35"/>
  <c r="L65" i="35"/>
  <c r="K65" i="35"/>
  <c r="J65" i="35"/>
  <c r="I65" i="35"/>
  <c r="H65" i="35"/>
  <c r="G65" i="35"/>
  <c r="F65" i="35"/>
  <c r="E65" i="35"/>
  <c r="N63" i="35"/>
  <c r="N61" i="35"/>
  <c r="N59" i="35"/>
  <c r="N57" i="35"/>
  <c r="N55" i="35"/>
  <c r="N53" i="35"/>
  <c r="N51" i="35"/>
  <c r="N49" i="35"/>
  <c r="N47" i="35"/>
  <c r="N45" i="35"/>
  <c r="N43" i="35"/>
  <c r="N41" i="35"/>
  <c r="N39" i="35"/>
  <c r="N37" i="35"/>
  <c r="N35" i="35"/>
  <c r="N33" i="35"/>
  <c r="N31" i="35"/>
  <c r="N29" i="35"/>
  <c r="D29" i="35"/>
  <c r="D65" i="35" s="1"/>
  <c r="N27" i="35"/>
  <c r="N25" i="35"/>
  <c r="N23" i="35"/>
  <c r="N21" i="35"/>
  <c r="N19" i="35"/>
  <c r="N17" i="35"/>
  <c r="N15" i="35"/>
  <c r="N13" i="35"/>
  <c r="N11" i="35"/>
  <c r="N9" i="35"/>
  <c r="A2" i="35"/>
  <c r="A3" i="35" s="1"/>
  <c r="A4" i="35" s="1"/>
  <c r="A5" i="35" s="1"/>
  <c r="A6" i="35" s="1"/>
  <c r="A7" i="35" s="1"/>
  <c r="A8" i="35" s="1"/>
  <c r="A9" i="35" s="1"/>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53" i="35" s="1"/>
  <c r="A54" i="35" s="1"/>
  <c r="A55" i="35" s="1"/>
  <c r="A56" i="35" s="1"/>
  <c r="A57" i="35" s="1"/>
  <c r="A58" i="35" s="1"/>
  <c r="A59" i="35" s="1"/>
  <c r="A60" i="35" s="1"/>
  <c r="A61" i="35" s="1"/>
  <c r="A62" i="35" s="1"/>
  <c r="A63" i="35" s="1"/>
  <c r="A64" i="35" s="1"/>
  <c r="A65" i="35" s="1"/>
  <c r="A66" i="35" s="1"/>
  <c r="A67" i="35" s="1"/>
  <c r="A68" i="35" s="1"/>
  <c r="A69" i="35" s="1"/>
  <c r="A70" i="35" s="1"/>
  <c r="A71" i="35" s="1"/>
  <c r="A72" i="35" s="1"/>
  <c r="A73" i="35" s="1"/>
  <c r="H45" i="36" l="1"/>
  <c r="O94" i="40"/>
  <c r="I68" i="36"/>
  <c r="H105" i="36"/>
  <c r="F106" i="36" s="1"/>
  <c r="S135" i="40"/>
  <c r="E68" i="36"/>
  <c r="I239" i="39"/>
  <c r="N18" i="39"/>
  <c r="H92" i="36"/>
  <c r="L105" i="36"/>
  <c r="Q235" i="40"/>
  <c r="S235" i="40" s="1"/>
  <c r="S26" i="40"/>
  <c r="S86" i="40"/>
  <c r="N166" i="39"/>
  <c r="N68" i="39"/>
  <c r="G45" i="36"/>
  <c r="G118" i="36" s="1"/>
  <c r="E115" i="36"/>
  <c r="K115" i="36" s="1"/>
  <c r="N54" i="39"/>
  <c r="N65" i="35"/>
  <c r="H34" i="36"/>
  <c r="J118" i="36"/>
  <c r="I45" i="36"/>
  <c r="G115" i="36"/>
  <c r="L115" i="36" s="1"/>
  <c r="O223" i="39"/>
  <c r="I75" i="39"/>
  <c r="N29" i="39"/>
  <c r="S70" i="40"/>
  <c r="S201" i="40"/>
  <c r="K174" i="39" s="1"/>
  <c r="M174" i="39" s="1"/>
  <c r="O174" i="39" s="1"/>
  <c r="S116" i="40"/>
  <c r="O97" i="50" s="1"/>
  <c r="S76" i="40"/>
  <c r="N141" i="39"/>
  <c r="S48" i="40"/>
  <c r="K36" i="39" s="1"/>
  <c r="M36" i="39" s="1"/>
  <c r="S78" i="40"/>
  <c r="S136" i="40"/>
  <c r="N124" i="39"/>
  <c r="N60" i="39"/>
  <c r="N36" i="39"/>
  <c r="N62" i="39"/>
  <c r="N69" i="39"/>
  <c r="S39" i="40"/>
  <c r="K29" i="39" s="1"/>
  <c r="M29" i="39" s="1"/>
  <c r="S87" i="40"/>
  <c r="N169" i="39"/>
  <c r="N113" i="39"/>
  <c r="N110" i="50"/>
  <c r="Q57" i="40"/>
  <c r="S57" i="40" s="1"/>
  <c r="N72" i="39"/>
  <c r="O173" i="50"/>
  <c r="K21" i="39"/>
  <c r="M21" i="39" s="1"/>
  <c r="K21" i="50"/>
  <c r="M21" i="50" s="1"/>
  <c r="K149" i="39"/>
  <c r="M149" i="39" s="1"/>
  <c r="O149" i="39" s="1"/>
  <c r="O149" i="50"/>
  <c r="K18" i="39"/>
  <c r="M18" i="39" s="1"/>
  <c r="K18" i="50"/>
  <c r="S144" i="40"/>
  <c r="N53" i="39"/>
  <c r="N53" i="50"/>
  <c r="K102" i="39"/>
  <c r="M102" i="39" s="1"/>
  <c r="O102" i="39" s="1"/>
  <c r="K41" i="39"/>
  <c r="M41" i="39" s="1"/>
  <c r="K41" i="50"/>
  <c r="K27" i="39"/>
  <c r="M27" i="39" s="1"/>
  <c r="K27" i="50"/>
  <c r="K28" i="39"/>
  <c r="M28" i="39" s="1"/>
  <c r="K28" i="50"/>
  <c r="K54" i="39"/>
  <c r="M54" i="39" s="1"/>
  <c r="K54" i="50"/>
  <c r="S90" i="40"/>
  <c r="K120" i="39"/>
  <c r="M120" i="39" s="1"/>
  <c r="O120" i="50"/>
  <c r="K103" i="39"/>
  <c r="M103" i="39" s="1"/>
  <c r="O103" i="39" s="1"/>
  <c r="O103" i="50"/>
  <c r="K85" i="39"/>
  <c r="M85" i="39" s="1"/>
  <c r="O85" i="39" s="1"/>
  <c r="K162" i="39"/>
  <c r="M162" i="39" s="1"/>
  <c r="O162" i="39" s="1"/>
  <c r="O162" i="50"/>
  <c r="K158" i="39"/>
  <c r="M158" i="39" s="1"/>
  <c r="O158" i="39" s="1"/>
  <c r="O158" i="50"/>
  <c r="S175" i="40"/>
  <c r="N154" i="50"/>
  <c r="K90" i="39"/>
  <c r="M90" i="39" s="1"/>
  <c r="O90" i="39" s="1"/>
  <c r="K82" i="39"/>
  <c r="M82" i="39" s="1"/>
  <c r="O82" i="39" s="1"/>
  <c r="O82" i="50"/>
  <c r="S211" i="40"/>
  <c r="K128" i="39"/>
  <c r="M128" i="39" s="1"/>
  <c r="O128" i="39" s="1"/>
  <c r="O128" i="50"/>
  <c r="K113" i="39"/>
  <c r="M113" i="39" s="1"/>
  <c r="O113" i="39" s="1"/>
  <c r="N44" i="50"/>
  <c r="N19" i="50"/>
  <c r="K133" i="39"/>
  <c r="M133" i="39" s="1"/>
  <c r="O133" i="39" s="1"/>
  <c r="M133" i="50"/>
  <c r="K14" i="39"/>
  <c r="M14" i="39" s="1"/>
  <c r="K14" i="50"/>
  <c r="M14" i="50" s="1"/>
  <c r="K112" i="39"/>
  <c r="M112" i="39" s="1"/>
  <c r="O112" i="39" s="1"/>
  <c r="M112" i="50"/>
  <c r="O112" i="50" s="1"/>
  <c r="K89" i="39"/>
  <c r="M89" i="39" s="1"/>
  <c r="O89" i="39" s="1"/>
  <c r="O89" i="50"/>
  <c r="K137" i="39"/>
  <c r="M137" i="39" s="1"/>
  <c r="O137" i="39" s="1"/>
  <c r="O137" i="50"/>
  <c r="K60" i="39"/>
  <c r="M60" i="39" s="1"/>
  <c r="K60" i="50"/>
  <c r="K49" i="39"/>
  <c r="M49" i="39" s="1"/>
  <c r="K49" i="50"/>
  <c r="K59" i="39"/>
  <c r="M59" i="39" s="1"/>
  <c r="K59" i="50"/>
  <c r="O120" i="39"/>
  <c r="K37" i="39"/>
  <c r="M37" i="39" s="1"/>
  <c r="K37" i="50"/>
  <c r="K169" i="39"/>
  <c r="M169" i="39" s="1"/>
  <c r="O169" i="50"/>
  <c r="N46" i="39"/>
  <c r="N46" i="50"/>
  <c r="K183" i="39"/>
  <c r="M183" i="39" s="1"/>
  <c r="O183" i="50"/>
  <c r="K40" i="39"/>
  <c r="M40" i="39" s="1"/>
  <c r="K40" i="50"/>
  <c r="K168" i="39"/>
  <c r="M168" i="39" s="1"/>
  <c r="O168" i="50"/>
  <c r="K145" i="39"/>
  <c r="M145" i="39" s="1"/>
  <c r="O145" i="39" s="1"/>
  <c r="O145" i="50"/>
  <c r="K62" i="39"/>
  <c r="M62" i="39" s="1"/>
  <c r="K62" i="50"/>
  <c r="K68" i="39"/>
  <c r="M68" i="39" s="1"/>
  <c r="K68" i="50"/>
  <c r="K94" i="39"/>
  <c r="M94" i="39" s="1"/>
  <c r="O94" i="39" s="1"/>
  <c r="O94" i="50"/>
  <c r="S152" i="40"/>
  <c r="O133" i="50"/>
  <c r="K33" i="39"/>
  <c r="M33" i="39" s="1"/>
  <c r="K33" i="50"/>
  <c r="M33" i="50" s="1"/>
  <c r="N184" i="50"/>
  <c r="K98" i="39"/>
  <c r="M98" i="39" s="1"/>
  <c r="O98" i="39" s="1"/>
  <c r="O98" i="50"/>
  <c r="S100" i="40"/>
  <c r="K23" i="39"/>
  <c r="M23" i="39" s="1"/>
  <c r="K23" i="50"/>
  <c r="K93" i="39"/>
  <c r="M93" i="39" s="1"/>
  <c r="O93" i="50"/>
  <c r="K116" i="39"/>
  <c r="M116" i="39" s="1"/>
  <c r="O116" i="39" s="1"/>
  <c r="O116" i="50"/>
  <c r="K107" i="39"/>
  <c r="M107" i="39" s="1"/>
  <c r="O107" i="39" s="1"/>
  <c r="O107" i="50"/>
  <c r="K164" i="39"/>
  <c r="M164" i="39" s="1"/>
  <c r="O164" i="39" s="1"/>
  <c r="O164" i="50"/>
  <c r="K160" i="39"/>
  <c r="M160" i="39" s="1"/>
  <c r="O160" i="39" s="1"/>
  <c r="O160" i="50"/>
  <c r="K156" i="39"/>
  <c r="M156" i="39" s="1"/>
  <c r="O156" i="39" s="1"/>
  <c r="M156" i="50"/>
  <c r="K86" i="39"/>
  <c r="M86" i="39" s="1"/>
  <c r="O86" i="39" s="1"/>
  <c r="O86" i="50"/>
  <c r="K124" i="39"/>
  <c r="M124" i="39" s="1"/>
  <c r="O124" i="39" s="1"/>
  <c r="O124" i="50"/>
  <c r="K153" i="39"/>
  <c r="M153" i="39" s="1"/>
  <c r="O153" i="39" s="1"/>
  <c r="O153" i="50"/>
  <c r="N80" i="39"/>
  <c r="N66" i="39"/>
  <c r="N66" i="50"/>
  <c r="K172" i="39"/>
  <c r="M172" i="39" s="1"/>
  <c r="O172" i="39" s="1"/>
  <c r="O172" i="50"/>
  <c r="K50" i="39"/>
  <c r="M50" i="39" s="1"/>
  <c r="K50" i="50"/>
  <c r="K179" i="39"/>
  <c r="M179" i="39" s="1"/>
  <c r="O179" i="39" s="1"/>
  <c r="O179" i="50"/>
  <c r="K170" i="39"/>
  <c r="M170" i="39" s="1"/>
  <c r="O170" i="39" s="1"/>
  <c r="O170" i="50"/>
  <c r="K166" i="39"/>
  <c r="M166" i="39" s="1"/>
  <c r="O166" i="39" s="1"/>
  <c r="O166" i="50"/>
  <c r="K69" i="39"/>
  <c r="M69" i="39" s="1"/>
  <c r="K69" i="50"/>
  <c r="N131" i="50"/>
  <c r="O85" i="50"/>
  <c r="K106" i="39"/>
  <c r="M106" i="39" s="1"/>
  <c r="O106" i="39" s="1"/>
  <c r="O106" i="50"/>
  <c r="O90" i="50"/>
  <c r="K141" i="39"/>
  <c r="M141" i="39" s="1"/>
  <c r="O141" i="50"/>
  <c r="O113" i="50"/>
  <c r="N21" i="39"/>
  <c r="N21" i="50"/>
  <c r="M45" i="36"/>
  <c r="L45" i="36"/>
  <c r="N144" i="39"/>
  <c r="S169" i="40"/>
  <c r="S40" i="40"/>
  <c r="N30" i="39"/>
  <c r="S110" i="40"/>
  <c r="N91" i="39"/>
  <c r="S34" i="40"/>
  <c r="N24" i="39"/>
  <c r="N45" i="36"/>
  <c r="S209" i="40"/>
  <c r="N180" i="39"/>
  <c r="S36" i="40"/>
  <c r="N26" i="39"/>
  <c r="S173" i="40"/>
  <c r="N148" i="39"/>
  <c r="H54" i="36"/>
  <c r="H68" i="36" s="1"/>
  <c r="N92" i="36"/>
  <c r="H108" i="36"/>
  <c r="H115" i="36" s="1"/>
  <c r="H239" i="39"/>
  <c r="Q214" i="40"/>
  <c r="S214" i="40" s="1"/>
  <c r="S85" i="40"/>
  <c r="N67" i="39"/>
  <c r="S24" i="40"/>
  <c r="N16" i="39"/>
  <c r="S72" i="40"/>
  <c r="N56" i="39"/>
  <c r="S60" i="40"/>
  <c r="S172" i="40"/>
  <c r="N147" i="39"/>
  <c r="S74" i="40"/>
  <c r="N58" i="39"/>
  <c r="S62" i="40"/>
  <c r="N48" i="39"/>
  <c r="S168" i="40"/>
  <c r="N143" i="39"/>
  <c r="S55" i="40"/>
  <c r="N43" i="39"/>
  <c r="S32" i="40"/>
  <c r="N22" i="39"/>
  <c r="S54" i="40"/>
  <c r="N42" i="39"/>
  <c r="S23" i="40"/>
  <c r="N15" i="39"/>
  <c r="O183" i="39"/>
  <c r="O298" i="40"/>
  <c r="S194" i="40"/>
  <c r="N167" i="39"/>
  <c r="S145" i="40"/>
  <c r="N122" i="39"/>
  <c r="S129" i="40"/>
  <c r="N108" i="39"/>
  <c r="S77" i="40"/>
  <c r="N61" i="39"/>
  <c r="G68" i="36"/>
  <c r="N105" i="36"/>
  <c r="I115" i="36"/>
  <c r="N115" i="36" s="1"/>
  <c r="G239" i="39"/>
  <c r="I186" i="39"/>
  <c r="F186" i="39"/>
  <c r="D240" i="39"/>
  <c r="O216" i="40"/>
  <c r="S171" i="40"/>
  <c r="N146" i="39"/>
  <c r="S118" i="40"/>
  <c r="N99" i="39"/>
  <c r="S202" i="40"/>
  <c r="N175" i="39"/>
  <c r="S88" i="40"/>
  <c r="N70" i="39"/>
  <c r="S61" i="40"/>
  <c r="N47" i="39"/>
  <c r="Q66" i="40"/>
  <c r="S66" i="40" s="1"/>
  <c r="S89" i="40"/>
  <c r="N71" i="39"/>
  <c r="S73" i="40"/>
  <c r="N57" i="39"/>
  <c r="S50" i="40"/>
  <c r="N38" i="39"/>
  <c r="S146" i="40"/>
  <c r="N123" i="39"/>
  <c r="S79" i="40"/>
  <c r="N63" i="39"/>
  <c r="S51" i="40"/>
  <c r="N39" i="39"/>
  <c r="O168" i="39"/>
  <c r="G211" i="37"/>
  <c r="G215" i="37" s="1"/>
  <c r="G221" i="37" s="1"/>
  <c r="H24" i="36"/>
  <c r="F25" i="36" s="1"/>
  <c r="H186" i="39"/>
  <c r="H19" i="39"/>
  <c r="S111" i="40"/>
  <c r="N92" i="39"/>
  <c r="S149" i="40"/>
  <c r="N126" i="39"/>
  <c r="S35" i="40"/>
  <c r="N25" i="39"/>
  <c r="S25" i="40"/>
  <c r="N17" i="39"/>
  <c r="S148" i="40"/>
  <c r="N125" i="39"/>
  <c r="S47" i="40"/>
  <c r="N35" i="39"/>
  <c r="S210" i="40"/>
  <c r="N181" i="39"/>
  <c r="S71" i="40"/>
  <c r="N55" i="39"/>
  <c r="S46" i="40"/>
  <c r="N34" i="39"/>
  <c r="O93" i="39"/>
  <c r="S207" i="40"/>
  <c r="N178" i="39"/>
  <c r="S198" i="40"/>
  <c r="N171" i="39"/>
  <c r="S192" i="40"/>
  <c r="N165" i="39"/>
  <c r="S190" i="40"/>
  <c r="N163" i="39"/>
  <c r="S188" i="40"/>
  <c r="N161" i="39"/>
  <c r="S186" i="40"/>
  <c r="N159" i="39"/>
  <c r="S184" i="40"/>
  <c r="N157" i="39"/>
  <c r="S177" i="40"/>
  <c r="N152" i="39"/>
  <c r="S176" i="40"/>
  <c r="N151" i="39"/>
  <c r="S167" i="40"/>
  <c r="N142" i="39"/>
  <c r="S165" i="40"/>
  <c r="N140" i="39"/>
  <c r="S164" i="40"/>
  <c r="N139" i="39"/>
  <c r="S163" i="40"/>
  <c r="N138" i="39"/>
  <c r="S161" i="40"/>
  <c r="N136" i="39"/>
  <c r="S160" i="40"/>
  <c r="N135" i="39"/>
  <c r="S159" i="40"/>
  <c r="N134" i="39"/>
  <c r="S153" i="40"/>
  <c r="N130" i="39"/>
  <c r="S150" i="40"/>
  <c r="N127" i="39"/>
  <c r="S142" i="40"/>
  <c r="N119" i="39"/>
  <c r="S141" i="40"/>
  <c r="N118" i="39"/>
  <c r="S140" i="40"/>
  <c r="N117" i="39"/>
  <c r="S138" i="40"/>
  <c r="N115" i="39"/>
  <c r="S137" i="40"/>
  <c r="N114" i="39"/>
  <c r="S130" i="40"/>
  <c r="N109" i="39"/>
  <c r="S126" i="40"/>
  <c r="N105" i="39"/>
  <c r="S125" i="40"/>
  <c r="N104" i="39"/>
  <c r="S115" i="40"/>
  <c r="N96" i="39"/>
  <c r="S114" i="40"/>
  <c r="N95" i="39"/>
  <c r="S107" i="40"/>
  <c r="N88" i="39"/>
  <c r="S106" i="40"/>
  <c r="N87" i="39"/>
  <c r="S103" i="40"/>
  <c r="N84" i="39"/>
  <c r="S102" i="40"/>
  <c r="N83" i="39"/>
  <c r="S99" i="40"/>
  <c r="Q120" i="40"/>
  <c r="S120" i="40" s="1"/>
  <c r="Q92" i="40"/>
  <c r="S92" i="40" s="1"/>
  <c r="S84" i="40"/>
  <c r="Q132" i="40"/>
  <c r="S132" i="40" s="1"/>
  <c r="Q81" i="40"/>
  <c r="S81" i="40" s="1"/>
  <c r="S69" i="40"/>
  <c r="Q28" i="40"/>
  <c r="S28" i="40" s="1"/>
  <c r="Q227" i="40"/>
  <c r="S227" i="40" s="1"/>
  <c r="S220" i="40"/>
  <c r="Q204" i="40"/>
  <c r="S204" i="40" s="1"/>
  <c r="Q180" i="40"/>
  <c r="S180" i="40" s="1"/>
  <c r="Q42" i="40"/>
  <c r="S42" i="40" s="1"/>
  <c r="Q155" i="40"/>
  <c r="S155" i="40" s="1"/>
  <c r="I252" i="39"/>
  <c r="I254" i="39" s="1"/>
  <c r="M244" i="39"/>
  <c r="F254" i="39"/>
  <c r="O230" i="39"/>
  <c r="O232" i="39" s="1"/>
  <c r="M232" i="39"/>
  <c r="E254" i="39"/>
  <c r="G254" i="39" s="1"/>
  <c r="H75" i="39"/>
  <c r="H254" i="39" s="1"/>
  <c r="O235" i="39"/>
  <c r="O237" i="39" s="1"/>
  <c r="M237" i="39"/>
  <c r="O225" i="39"/>
  <c r="O227" i="39" s="1"/>
  <c r="M227" i="39"/>
  <c r="G186" i="39"/>
  <c r="F35" i="36"/>
  <c r="M34" i="36"/>
  <c r="M92" i="36"/>
  <c r="F93" i="36"/>
  <c r="L24" i="36"/>
  <c r="M115" i="36"/>
  <c r="F116" i="36"/>
  <c r="I118" i="36"/>
  <c r="K68" i="36"/>
  <c r="L68" i="36" s="1"/>
  <c r="F46" i="36"/>
  <c r="M105" i="36"/>
  <c r="N24" i="36"/>
  <c r="E118" i="36"/>
  <c r="F69" i="36" l="1"/>
  <c r="M68" i="36"/>
  <c r="M28" i="50"/>
  <c r="O28" i="50" s="1"/>
  <c r="O59" i="50"/>
  <c r="M59" i="50"/>
  <c r="O62" i="50"/>
  <c r="M62" i="50"/>
  <c r="M24" i="36"/>
  <c r="K36" i="50"/>
  <c r="K29" i="50"/>
  <c r="M27" i="50"/>
  <c r="O27" i="50" s="1"/>
  <c r="M49" i="50"/>
  <c r="O49" i="50" s="1"/>
  <c r="O18" i="50"/>
  <c r="M18" i="50"/>
  <c r="H118" i="36"/>
  <c r="M69" i="50"/>
  <c r="O69" i="50" s="1"/>
  <c r="O41" i="50"/>
  <c r="M41" i="50"/>
  <c r="O239" i="39"/>
  <c r="O60" i="50"/>
  <c r="M60" i="50"/>
  <c r="M50" i="50"/>
  <c r="O50" i="50" s="1"/>
  <c r="O68" i="50"/>
  <c r="M68" i="50"/>
  <c r="O40" i="50"/>
  <c r="M40" i="50"/>
  <c r="M37" i="50"/>
  <c r="O37" i="50" s="1"/>
  <c r="M54" i="50"/>
  <c r="N68" i="36"/>
  <c r="M23" i="50"/>
  <c r="K97" i="39"/>
  <c r="M97" i="39" s="1"/>
  <c r="O97" i="39" s="1"/>
  <c r="O174" i="50"/>
  <c r="N176" i="50"/>
  <c r="O141" i="39"/>
  <c r="O169" i="39"/>
  <c r="N110" i="39"/>
  <c r="K53" i="39"/>
  <c r="M53" i="39" s="1"/>
  <c r="K53" i="50"/>
  <c r="M53" i="50" s="1"/>
  <c r="K95" i="39"/>
  <c r="M95" i="39" s="1"/>
  <c r="O95" i="39" s="1"/>
  <c r="O95" i="50"/>
  <c r="K118" i="39"/>
  <c r="M118" i="39" s="1"/>
  <c r="O118" i="50"/>
  <c r="K136" i="39"/>
  <c r="M136" i="39" s="1"/>
  <c r="O136" i="50"/>
  <c r="K84" i="39"/>
  <c r="M84" i="39" s="1"/>
  <c r="O84" i="50"/>
  <c r="K96" i="39"/>
  <c r="M96" i="39" s="1"/>
  <c r="O96" i="39" s="1"/>
  <c r="O96" i="50"/>
  <c r="K105" i="39"/>
  <c r="M105" i="39" s="1"/>
  <c r="O105" i="39" s="1"/>
  <c r="O105" i="50"/>
  <c r="K117" i="39"/>
  <c r="M117" i="39" s="1"/>
  <c r="O117" i="39" s="1"/>
  <c r="O117" i="50"/>
  <c r="K119" i="39"/>
  <c r="M119" i="39" s="1"/>
  <c r="O119" i="39" s="1"/>
  <c r="O119" i="50"/>
  <c r="K135" i="39"/>
  <c r="M135" i="39" s="1"/>
  <c r="O135" i="50"/>
  <c r="K140" i="39"/>
  <c r="M140" i="39" s="1"/>
  <c r="O140" i="39" s="1"/>
  <c r="O140" i="50"/>
  <c r="K157" i="39"/>
  <c r="M157" i="39" s="1"/>
  <c r="O157" i="50"/>
  <c r="K165" i="39"/>
  <c r="M165" i="39" s="1"/>
  <c r="O165" i="50"/>
  <c r="K34" i="39"/>
  <c r="M34" i="39" s="1"/>
  <c r="K34" i="50"/>
  <c r="K66" i="39"/>
  <c r="M66" i="39" s="1"/>
  <c r="K66" i="50"/>
  <c r="M66" i="50" s="1"/>
  <c r="O136" i="39"/>
  <c r="K63" i="39"/>
  <c r="M63" i="39" s="1"/>
  <c r="K63" i="50"/>
  <c r="K38" i="39"/>
  <c r="M38" i="39" s="1"/>
  <c r="K38" i="50"/>
  <c r="K71" i="39"/>
  <c r="M71" i="39" s="1"/>
  <c r="K71" i="50"/>
  <c r="K47" i="39"/>
  <c r="M47" i="39" s="1"/>
  <c r="K47" i="50"/>
  <c r="K175" i="39"/>
  <c r="M175" i="39" s="1"/>
  <c r="O175" i="39" s="1"/>
  <c r="O175" i="50"/>
  <c r="K146" i="39"/>
  <c r="M146" i="39" s="1"/>
  <c r="O146" i="39" s="1"/>
  <c r="O146" i="50"/>
  <c r="K26" i="39"/>
  <c r="M26" i="39" s="1"/>
  <c r="K26" i="50"/>
  <c r="N73" i="50"/>
  <c r="K182" i="39"/>
  <c r="M182" i="39" s="1"/>
  <c r="O182" i="39" s="1"/>
  <c r="O182" i="50"/>
  <c r="N64" i="50"/>
  <c r="K83" i="39"/>
  <c r="M83" i="39" s="1"/>
  <c r="O83" i="39" s="1"/>
  <c r="O83" i="50"/>
  <c r="K104" i="39"/>
  <c r="M104" i="39" s="1"/>
  <c r="O104" i="39" s="1"/>
  <c r="O104" i="50"/>
  <c r="K127" i="39"/>
  <c r="M127" i="39" s="1"/>
  <c r="O127" i="50"/>
  <c r="K139" i="39"/>
  <c r="M139" i="39" s="1"/>
  <c r="O139" i="39" s="1"/>
  <c r="O139" i="50"/>
  <c r="K142" i="39"/>
  <c r="M142" i="39" s="1"/>
  <c r="O142" i="39" s="1"/>
  <c r="O142" i="50"/>
  <c r="K152" i="39"/>
  <c r="M152" i="39" s="1"/>
  <c r="O152" i="39" s="1"/>
  <c r="O152" i="50"/>
  <c r="K159" i="39"/>
  <c r="M159" i="39" s="1"/>
  <c r="O159" i="50"/>
  <c r="K163" i="39"/>
  <c r="M163" i="39" s="1"/>
  <c r="O163" i="39" s="1"/>
  <c r="O163" i="50"/>
  <c r="K171" i="39"/>
  <c r="M171" i="39" s="1"/>
  <c r="O171" i="39" s="1"/>
  <c r="O171" i="50"/>
  <c r="K55" i="39"/>
  <c r="M55" i="39" s="1"/>
  <c r="K55" i="50"/>
  <c r="K35" i="39"/>
  <c r="M35" i="39" s="1"/>
  <c r="K35" i="50"/>
  <c r="K17" i="39"/>
  <c r="M17" i="39" s="1"/>
  <c r="K17" i="50"/>
  <c r="K126" i="39"/>
  <c r="M126" i="39" s="1"/>
  <c r="O126" i="39" s="1"/>
  <c r="O126" i="50"/>
  <c r="K108" i="39"/>
  <c r="M108" i="39" s="1"/>
  <c r="O108" i="39" s="1"/>
  <c r="O108" i="50"/>
  <c r="K167" i="39"/>
  <c r="M167" i="39" s="1"/>
  <c r="O167" i="39" s="1"/>
  <c r="O167" i="50"/>
  <c r="K15" i="39"/>
  <c r="M15" i="39" s="1"/>
  <c r="K15" i="50"/>
  <c r="K22" i="39"/>
  <c r="M22" i="39" s="1"/>
  <c r="M31" i="39" s="1"/>
  <c r="K22" i="50"/>
  <c r="K143" i="39"/>
  <c r="M143" i="39" s="1"/>
  <c r="O143" i="39" s="1"/>
  <c r="O143" i="50"/>
  <c r="K58" i="39"/>
  <c r="M58" i="39" s="1"/>
  <c r="K58" i="50"/>
  <c r="K46" i="39"/>
  <c r="M46" i="39" s="1"/>
  <c r="K46" i="50"/>
  <c r="M46" i="50" s="1"/>
  <c r="K16" i="39"/>
  <c r="M16" i="39" s="1"/>
  <c r="K16" i="50"/>
  <c r="K24" i="39"/>
  <c r="M24" i="39" s="1"/>
  <c r="K24" i="50"/>
  <c r="K30" i="39"/>
  <c r="M30" i="39" s="1"/>
  <c r="K30" i="50"/>
  <c r="N100" i="50"/>
  <c r="O33" i="50"/>
  <c r="O102" i="50"/>
  <c r="K115" i="39"/>
  <c r="M115" i="39" s="1"/>
  <c r="O115" i="50"/>
  <c r="K39" i="39"/>
  <c r="M39" i="39" s="1"/>
  <c r="K39" i="50"/>
  <c r="K123" i="39"/>
  <c r="M123" i="39" s="1"/>
  <c r="O123" i="39" s="1"/>
  <c r="O123" i="50"/>
  <c r="K57" i="39"/>
  <c r="M57" i="39" s="1"/>
  <c r="K57" i="50"/>
  <c r="K70" i="39"/>
  <c r="M70" i="39" s="1"/>
  <c r="K70" i="50"/>
  <c r="K99" i="39"/>
  <c r="M99" i="39" s="1"/>
  <c r="O99" i="50"/>
  <c r="K148" i="39"/>
  <c r="M148" i="39" s="1"/>
  <c r="O148" i="39" s="1"/>
  <c r="O148" i="50"/>
  <c r="K180" i="39"/>
  <c r="M180" i="39" s="1"/>
  <c r="O180" i="39" s="1"/>
  <c r="O180" i="50"/>
  <c r="K144" i="39"/>
  <c r="M144" i="39" s="1"/>
  <c r="O144" i="50"/>
  <c r="N31" i="50"/>
  <c r="O21" i="50"/>
  <c r="K81" i="39"/>
  <c r="M81" i="39" s="1"/>
  <c r="O81" i="39" s="1"/>
  <c r="O81" i="50"/>
  <c r="K87" i="39"/>
  <c r="M87" i="39" s="1"/>
  <c r="O87" i="39" s="1"/>
  <c r="O87" i="50"/>
  <c r="K109" i="39"/>
  <c r="M109" i="39" s="1"/>
  <c r="O109" i="39" s="1"/>
  <c r="O109" i="50"/>
  <c r="K134" i="39"/>
  <c r="M134" i="39" s="1"/>
  <c r="O134" i="39" s="1"/>
  <c r="O134" i="50"/>
  <c r="K80" i="39"/>
  <c r="M80" i="39" s="1"/>
  <c r="O80" i="39" s="1"/>
  <c r="M80" i="50"/>
  <c r="K88" i="39"/>
  <c r="M88" i="39" s="1"/>
  <c r="O88" i="39" s="1"/>
  <c r="O88" i="50"/>
  <c r="K114" i="39"/>
  <c r="M114" i="39" s="1"/>
  <c r="O114" i="39" s="1"/>
  <c r="O114" i="50"/>
  <c r="K130" i="39"/>
  <c r="M130" i="39" s="1"/>
  <c r="O130" i="39" s="1"/>
  <c r="O130" i="50"/>
  <c r="K138" i="39"/>
  <c r="M138" i="39" s="1"/>
  <c r="O138" i="50"/>
  <c r="K151" i="39"/>
  <c r="M151" i="39" s="1"/>
  <c r="O151" i="39" s="1"/>
  <c r="O151" i="50"/>
  <c r="K161" i="39"/>
  <c r="M161" i="39" s="1"/>
  <c r="O161" i="39" s="1"/>
  <c r="O161" i="50"/>
  <c r="K178" i="39"/>
  <c r="M178" i="39" s="1"/>
  <c r="M178" i="50"/>
  <c r="K181" i="39"/>
  <c r="M181" i="39" s="1"/>
  <c r="O181" i="39" s="1"/>
  <c r="O181" i="50"/>
  <c r="K125" i="39"/>
  <c r="M125" i="39" s="1"/>
  <c r="O125" i="39" s="1"/>
  <c r="O125" i="50"/>
  <c r="K25" i="39"/>
  <c r="M25" i="39" s="1"/>
  <c r="K25" i="50"/>
  <c r="K92" i="39"/>
  <c r="M92" i="39" s="1"/>
  <c r="O92" i="39" s="1"/>
  <c r="O92" i="50"/>
  <c r="K61" i="39"/>
  <c r="M61" i="39" s="1"/>
  <c r="K61" i="50"/>
  <c r="K122" i="39"/>
  <c r="M122" i="39" s="1"/>
  <c r="O122" i="39" s="1"/>
  <c r="O122" i="50"/>
  <c r="K42" i="39"/>
  <c r="M42" i="39" s="1"/>
  <c r="K42" i="50"/>
  <c r="K43" i="39"/>
  <c r="M43" i="39" s="1"/>
  <c r="K43" i="50"/>
  <c r="K48" i="39"/>
  <c r="M48" i="39" s="1"/>
  <c r="K48" i="50"/>
  <c r="K147" i="39"/>
  <c r="M147" i="39" s="1"/>
  <c r="O147" i="39" s="1"/>
  <c r="O147" i="50"/>
  <c r="K56" i="39"/>
  <c r="M56" i="39" s="1"/>
  <c r="K56" i="50"/>
  <c r="K67" i="39"/>
  <c r="M67" i="39" s="1"/>
  <c r="K67" i="50"/>
  <c r="K91" i="39"/>
  <c r="M91" i="39" s="1"/>
  <c r="O91" i="39" s="1"/>
  <c r="O91" i="50"/>
  <c r="K129" i="39"/>
  <c r="M129" i="39" s="1"/>
  <c r="O129" i="39" s="1"/>
  <c r="O129" i="50"/>
  <c r="O156" i="50"/>
  <c r="N51" i="50"/>
  <c r="O14" i="50"/>
  <c r="K150" i="39"/>
  <c r="M150" i="39" s="1"/>
  <c r="O150" i="39" s="1"/>
  <c r="O150" i="50"/>
  <c r="K72" i="39"/>
  <c r="M72" i="39" s="1"/>
  <c r="K72" i="50"/>
  <c r="K121" i="39"/>
  <c r="M121" i="39" s="1"/>
  <c r="O121" i="39" s="1"/>
  <c r="O121" i="50"/>
  <c r="O159" i="39"/>
  <c r="J221" i="37"/>
  <c r="H223" i="37"/>
  <c r="H227" i="37" s="1"/>
  <c r="N118" i="36"/>
  <c r="G121" i="36"/>
  <c r="I13" i="26" s="1"/>
  <c r="I17" i="26" s="1"/>
  <c r="O84" i="39"/>
  <c r="O135" i="39"/>
  <c r="O99" i="39"/>
  <c r="O144" i="39"/>
  <c r="N184" i="39"/>
  <c r="O165" i="39"/>
  <c r="O157" i="39"/>
  <c r="N176" i="39"/>
  <c r="O138" i="39"/>
  <c r="N154" i="39"/>
  <c r="O127" i="39"/>
  <c r="O118" i="39"/>
  <c r="O115" i="39"/>
  <c r="N131" i="39"/>
  <c r="N100" i="39"/>
  <c r="Q216" i="40"/>
  <c r="S216" i="40" s="1"/>
  <c r="Q94" i="40"/>
  <c r="S94" i="40" s="1"/>
  <c r="M239" i="39"/>
  <c r="M252" i="39"/>
  <c r="L118" i="36"/>
  <c r="M118" i="36"/>
  <c r="M72" i="50" l="1"/>
  <c r="O72" i="50" s="1"/>
  <c r="M15" i="50"/>
  <c r="M17" i="50"/>
  <c r="O17" i="50" s="1"/>
  <c r="M63" i="50"/>
  <c r="O63" i="50" s="1"/>
  <c r="O23" i="50"/>
  <c r="O48" i="50"/>
  <c r="M48" i="50"/>
  <c r="M51" i="50" s="1"/>
  <c r="M67" i="50"/>
  <c r="O43" i="50"/>
  <c r="M43" i="50"/>
  <c r="M30" i="50"/>
  <c r="O30" i="50" s="1"/>
  <c r="M58" i="50"/>
  <c r="O58" i="50" s="1"/>
  <c r="M35" i="50"/>
  <c r="O35" i="50" s="1"/>
  <c r="O47" i="50"/>
  <c r="M47" i="50"/>
  <c r="M39" i="50"/>
  <c r="O39" i="50" s="1"/>
  <c r="O54" i="50"/>
  <c r="M29" i="50"/>
  <c r="O29" i="50" s="1"/>
  <c r="O61" i="50"/>
  <c r="M61" i="50"/>
  <c r="M56" i="50"/>
  <c r="O56" i="50" s="1"/>
  <c r="O24" i="50"/>
  <c r="M24" i="50"/>
  <c r="M55" i="50"/>
  <c r="M64" i="50" s="1"/>
  <c r="O26" i="50"/>
  <c r="M26" i="50"/>
  <c r="M71" i="50"/>
  <c r="O71" i="50" s="1"/>
  <c r="M73" i="39"/>
  <c r="M36" i="50"/>
  <c r="O36" i="50" s="1"/>
  <c r="O42" i="50"/>
  <c r="M42" i="50"/>
  <c r="M25" i="50"/>
  <c r="O25" i="50" s="1"/>
  <c r="O31" i="50" s="1"/>
  <c r="O70" i="50"/>
  <c r="M70" i="50"/>
  <c r="M34" i="50"/>
  <c r="O57" i="50"/>
  <c r="M57" i="50"/>
  <c r="M16" i="50"/>
  <c r="O16" i="50" s="1"/>
  <c r="O22" i="50"/>
  <c r="M22" i="50"/>
  <c r="M31" i="50" s="1"/>
  <c r="M38" i="50"/>
  <c r="O38" i="50" s="1"/>
  <c r="M44" i="39"/>
  <c r="N186" i="50"/>
  <c r="M19" i="39"/>
  <c r="M64" i="39"/>
  <c r="M176" i="39"/>
  <c r="M51" i="39"/>
  <c r="M184" i="39"/>
  <c r="O176" i="50"/>
  <c r="O131" i="50"/>
  <c r="O131" i="39"/>
  <c r="M110" i="39"/>
  <c r="M100" i="50"/>
  <c r="O154" i="50"/>
  <c r="M100" i="39"/>
  <c r="M154" i="39"/>
  <c r="O110" i="50"/>
  <c r="O110" i="39"/>
  <c r="M131" i="50"/>
  <c r="O154" i="39"/>
  <c r="M110" i="50"/>
  <c r="M176" i="50"/>
  <c r="M131" i="39"/>
  <c r="M154" i="50"/>
  <c r="O46" i="50"/>
  <c r="O66" i="50"/>
  <c r="O178" i="39"/>
  <c r="O184" i="39" s="1"/>
  <c r="M184" i="50"/>
  <c r="O178" i="50"/>
  <c r="O184" i="50" s="1"/>
  <c r="O80" i="50"/>
  <c r="O100" i="50" s="1"/>
  <c r="N75" i="50"/>
  <c r="O53" i="50"/>
  <c r="I21" i="26"/>
  <c r="D31" i="6" s="1"/>
  <c r="O100" i="39"/>
  <c r="I10" i="38"/>
  <c r="L10" i="38" s="1"/>
  <c r="L13" i="38" s="1"/>
  <c r="O176" i="39"/>
  <c r="N186" i="39"/>
  <c r="Q298" i="40"/>
  <c r="S298" i="40" s="1"/>
  <c r="Q190" i="32"/>
  <c r="Q72" i="32"/>
  <c r="Q71" i="32"/>
  <c r="Q70" i="32"/>
  <c r="Q69" i="32"/>
  <c r="Q68" i="32"/>
  <c r="Q67" i="32"/>
  <c r="Q66" i="32"/>
  <c r="Q63" i="32"/>
  <c r="Q62" i="32"/>
  <c r="Q61" i="32"/>
  <c r="Q60" i="32"/>
  <c r="Q59" i="32"/>
  <c r="Q58" i="32"/>
  <c r="Q57" i="32"/>
  <c r="Q56" i="32"/>
  <c r="Q55" i="32"/>
  <c r="Q54" i="32"/>
  <c r="Q53" i="32"/>
  <c r="Q50" i="32"/>
  <c r="Q49" i="32"/>
  <c r="Q48" i="32"/>
  <c r="Q47" i="32"/>
  <c r="Q46" i="32"/>
  <c r="Q43" i="32"/>
  <c r="Q42" i="32"/>
  <c r="Q41" i="32"/>
  <c r="Q40" i="32"/>
  <c r="Q39" i="32"/>
  <c r="Q38" i="32"/>
  <c r="Q37" i="32"/>
  <c r="Q36" i="32"/>
  <c r="Q35" i="32"/>
  <c r="Q34" i="32"/>
  <c r="Q33" i="32"/>
  <c r="Q30" i="32"/>
  <c r="Q29" i="32"/>
  <c r="Q28" i="32"/>
  <c r="Q27" i="32"/>
  <c r="Q26" i="32"/>
  <c r="Q25" i="32"/>
  <c r="Q24" i="32"/>
  <c r="Q23" i="32"/>
  <c r="Q22" i="32"/>
  <c r="Q21" i="32"/>
  <c r="Q9" i="32"/>
  <c r="Q18" i="32"/>
  <c r="Q17" i="32"/>
  <c r="Q15" i="32"/>
  <c r="Q14" i="32"/>
  <c r="N236" i="32"/>
  <c r="N235" i="32"/>
  <c r="N231" i="32"/>
  <c r="N232" i="32" s="1"/>
  <c r="N230" i="32"/>
  <c r="N228" i="32"/>
  <c r="N226" i="32"/>
  <c r="N225" i="32"/>
  <c r="N222" i="32"/>
  <c r="N221" i="32"/>
  <c r="N219" i="32"/>
  <c r="N218" i="32"/>
  <c r="N216" i="32"/>
  <c r="N212" i="32"/>
  <c r="N211" i="32"/>
  <c r="N209" i="32"/>
  <c r="N9" i="32"/>
  <c r="N223" i="32"/>
  <c r="N215" i="32"/>
  <c r="M44" i="50" l="1"/>
  <c r="M73" i="50"/>
  <c r="O34" i="50"/>
  <c r="O44" i="50" s="1"/>
  <c r="O55" i="50"/>
  <c r="O64" i="50" s="1"/>
  <c r="O67" i="50"/>
  <c r="M19" i="50"/>
  <c r="N217" i="32"/>
  <c r="O15" i="50"/>
  <c r="O19" i="50" s="1"/>
  <c r="O75" i="50" s="1"/>
  <c r="O73" i="50"/>
  <c r="N237" i="32"/>
  <c r="O51" i="50"/>
  <c r="M186" i="50"/>
  <c r="M186" i="39"/>
  <c r="M75" i="50"/>
  <c r="O186" i="39"/>
  <c r="O186" i="50"/>
  <c r="I13" i="38"/>
  <c r="I10" i="31" s="1"/>
  <c r="N227" i="32"/>
  <c r="N213" i="32"/>
  <c r="C32" i="32"/>
  <c r="J10" i="31" l="1"/>
  <c r="I17" i="38"/>
  <c r="D32" i="6" s="1"/>
  <c r="F236" i="32"/>
  <c r="F237" i="32" s="1"/>
  <c r="F235" i="32"/>
  <c r="F233" i="32"/>
  <c r="F231" i="32"/>
  <c r="F230" i="32"/>
  <c r="F228" i="32"/>
  <c r="F226" i="32"/>
  <c r="F225" i="32"/>
  <c r="F222" i="32"/>
  <c r="F221" i="32"/>
  <c r="F219" i="32"/>
  <c r="F218" i="32"/>
  <c r="F216" i="32"/>
  <c r="F217" i="32" s="1"/>
  <c r="F215" i="32"/>
  <c r="F212" i="32"/>
  <c r="F211" i="32"/>
  <c r="F213" i="32" s="1"/>
  <c r="F209" i="32"/>
  <c r="F203" i="32"/>
  <c r="F202" i="32"/>
  <c r="F201" i="32"/>
  <c r="F205" i="32" s="1"/>
  <c r="F195" i="32"/>
  <c r="F194" i="32"/>
  <c r="F193" i="32"/>
  <c r="F192" i="32"/>
  <c r="F191" i="32"/>
  <c r="F190" i="32"/>
  <c r="F183" i="32"/>
  <c r="F182" i="32"/>
  <c r="F181" i="32"/>
  <c r="F180" i="32"/>
  <c r="F179" i="32"/>
  <c r="F178" i="32"/>
  <c r="F175" i="32"/>
  <c r="F174" i="32"/>
  <c r="F173" i="32"/>
  <c r="F172" i="32"/>
  <c r="F171" i="32"/>
  <c r="F170" i="32"/>
  <c r="F169" i="32"/>
  <c r="F168" i="32"/>
  <c r="F167" i="32"/>
  <c r="F166" i="32"/>
  <c r="F165" i="32"/>
  <c r="F164" i="32"/>
  <c r="F163" i="32"/>
  <c r="F162" i="32"/>
  <c r="F161" i="32"/>
  <c r="F160" i="32"/>
  <c r="F159" i="32"/>
  <c r="F158" i="32"/>
  <c r="F157" i="32"/>
  <c r="F156" i="32"/>
  <c r="F153" i="32"/>
  <c r="F152" i="32"/>
  <c r="F151" i="32"/>
  <c r="F150" i="32"/>
  <c r="F149" i="32"/>
  <c r="F148" i="32"/>
  <c r="F147" i="32"/>
  <c r="F146" i="32"/>
  <c r="F145" i="32"/>
  <c r="F144" i="32"/>
  <c r="F143" i="32"/>
  <c r="F142" i="32"/>
  <c r="F141" i="32"/>
  <c r="F140" i="32"/>
  <c r="F139" i="32"/>
  <c r="F138" i="32"/>
  <c r="F137" i="32"/>
  <c r="F136" i="32"/>
  <c r="F135" i="32"/>
  <c r="F134" i="32"/>
  <c r="F133" i="32"/>
  <c r="F130" i="32"/>
  <c r="F129" i="32"/>
  <c r="F128" i="32"/>
  <c r="F127" i="32"/>
  <c r="F126" i="32"/>
  <c r="F125" i="32"/>
  <c r="F124" i="32"/>
  <c r="F123" i="32"/>
  <c r="F122" i="32"/>
  <c r="F121" i="32"/>
  <c r="F120" i="32"/>
  <c r="F119" i="32"/>
  <c r="F118" i="32"/>
  <c r="F117" i="32"/>
  <c r="F116" i="32"/>
  <c r="F115" i="32"/>
  <c r="F114" i="32"/>
  <c r="F113" i="32"/>
  <c r="F112" i="32"/>
  <c r="F109" i="32"/>
  <c r="F108" i="32"/>
  <c r="F107" i="32"/>
  <c r="F106" i="32"/>
  <c r="F105" i="32"/>
  <c r="F104" i="32"/>
  <c r="F103" i="32"/>
  <c r="F102" i="32"/>
  <c r="F99" i="32"/>
  <c r="F98" i="32"/>
  <c r="F97" i="32"/>
  <c r="F96" i="32"/>
  <c r="F95" i="32"/>
  <c r="F94" i="32"/>
  <c r="F93" i="32"/>
  <c r="F92" i="32"/>
  <c r="F91" i="32"/>
  <c r="F90" i="32"/>
  <c r="F89" i="32"/>
  <c r="F88" i="32"/>
  <c r="F87" i="32"/>
  <c r="F86" i="32"/>
  <c r="F85" i="32"/>
  <c r="F84" i="32"/>
  <c r="F83" i="32"/>
  <c r="F82" i="32"/>
  <c r="F81" i="32"/>
  <c r="F80" i="32"/>
  <c r="F72" i="32"/>
  <c r="F71" i="32"/>
  <c r="F70" i="32"/>
  <c r="F69" i="32"/>
  <c r="F68" i="32"/>
  <c r="F67" i="32"/>
  <c r="F66" i="32"/>
  <c r="F63" i="32"/>
  <c r="F62" i="32"/>
  <c r="F61" i="32"/>
  <c r="F60" i="32"/>
  <c r="F59" i="32"/>
  <c r="F58" i="32"/>
  <c r="F57" i="32"/>
  <c r="F56" i="32"/>
  <c r="F55" i="32"/>
  <c r="F54" i="32"/>
  <c r="F53" i="32"/>
  <c r="F50" i="32"/>
  <c r="F49" i="32"/>
  <c r="F48" i="32"/>
  <c r="F47" i="32"/>
  <c r="F46" i="32"/>
  <c r="F43" i="32"/>
  <c r="F42" i="32"/>
  <c r="F41" i="32"/>
  <c r="F40" i="32"/>
  <c r="F39" i="32"/>
  <c r="F38" i="32"/>
  <c r="F37" i="32"/>
  <c r="F36" i="32"/>
  <c r="F35" i="32"/>
  <c r="F34" i="32"/>
  <c r="F33" i="32"/>
  <c r="F30" i="32"/>
  <c r="F29" i="32"/>
  <c r="F28" i="32"/>
  <c r="F27" i="32"/>
  <c r="F26" i="32"/>
  <c r="F25" i="32"/>
  <c r="F24" i="32"/>
  <c r="F23" i="32"/>
  <c r="F22" i="32"/>
  <c r="F21" i="32"/>
  <c r="F18" i="32"/>
  <c r="F17" i="32"/>
  <c r="F16" i="32"/>
  <c r="F15" i="32"/>
  <c r="F14" i="32"/>
  <c r="F227" i="32"/>
  <c r="F51" i="32"/>
  <c r="M216" i="32"/>
  <c r="O216" i="32" s="1"/>
  <c r="M215" i="32"/>
  <c r="O215" i="32" s="1"/>
  <c r="M212" i="32"/>
  <c r="O212" i="32" s="1"/>
  <c r="M211" i="32"/>
  <c r="O211" i="32" s="1"/>
  <c r="M209" i="32"/>
  <c r="O209" i="32" s="1"/>
  <c r="F64" i="32" l="1"/>
  <c r="F131" i="32"/>
  <c r="F197" i="32"/>
  <c r="F73" i="32"/>
  <c r="F184" i="32"/>
  <c r="F232" i="32"/>
  <c r="D33" i="6"/>
  <c r="L10" i="31"/>
  <c r="M10" i="31" s="1"/>
  <c r="F44" i="32"/>
  <c r="F154" i="32"/>
  <c r="F31" i="32"/>
  <c r="F100" i="32"/>
  <c r="F110" i="32"/>
  <c r="F176" i="32"/>
  <c r="F223" i="32"/>
  <c r="F239" i="32" s="1"/>
  <c r="F186" i="32"/>
  <c r="F19" i="32"/>
  <c r="K9" i="32"/>
  <c r="M9" i="32" s="1"/>
  <c r="O9" i="32" s="1"/>
  <c r="AA90" i="34"/>
  <c r="AA89" i="34"/>
  <c r="AA88" i="34"/>
  <c r="AA87" i="34"/>
  <c r="AA86" i="34"/>
  <c r="AA85" i="34"/>
  <c r="AA84" i="34"/>
  <c r="AA79" i="34"/>
  <c r="AA78" i="34"/>
  <c r="AA77" i="34"/>
  <c r="AA76" i="34"/>
  <c r="AA75" i="34"/>
  <c r="AA74" i="34"/>
  <c r="AA73" i="34"/>
  <c r="AA72" i="34"/>
  <c r="AA71" i="34"/>
  <c r="AA70" i="34"/>
  <c r="AA69" i="34"/>
  <c r="AA64" i="34"/>
  <c r="AA63" i="34"/>
  <c r="AA62" i="34"/>
  <c r="AA61" i="34"/>
  <c r="AA60" i="34"/>
  <c r="AA55" i="34"/>
  <c r="AA54" i="34"/>
  <c r="AA53" i="34"/>
  <c r="AA52" i="34"/>
  <c r="AA51" i="34"/>
  <c r="AA50" i="34"/>
  <c r="AA49" i="34"/>
  <c r="AA48" i="34"/>
  <c r="AA47" i="34"/>
  <c r="AA46" i="34"/>
  <c r="AA45" i="34"/>
  <c r="AA40" i="34"/>
  <c r="AA39" i="34"/>
  <c r="AA38" i="34"/>
  <c r="AA37" i="34"/>
  <c r="AA36" i="34"/>
  <c r="AA35" i="34"/>
  <c r="AA34" i="34"/>
  <c r="AA33" i="34"/>
  <c r="AA32" i="34"/>
  <c r="AA31" i="34"/>
  <c r="AA26" i="34"/>
  <c r="AA25" i="34"/>
  <c r="AA24" i="34"/>
  <c r="AA23" i="34"/>
  <c r="AA22" i="34"/>
  <c r="K311" i="34"/>
  <c r="M296" i="34"/>
  <c r="Q294" i="34"/>
  <c r="N250" i="50" s="1"/>
  <c r="O250" i="50" s="1"/>
  <c r="Q293" i="34"/>
  <c r="N249" i="50" s="1"/>
  <c r="O249" i="50" s="1"/>
  <c r="Q292" i="34"/>
  <c r="N248" i="50" s="1"/>
  <c r="O248" i="50" s="1"/>
  <c r="Q291" i="34"/>
  <c r="N247" i="50" s="1"/>
  <c r="O247" i="50" s="1"/>
  <c r="Q290" i="34"/>
  <c r="N246" i="50" s="1"/>
  <c r="O246" i="50" s="1"/>
  <c r="Q289" i="34"/>
  <c r="N245" i="50" s="1"/>
  <c r="O245" i="50" s="1"/>
  <c r="Q288" i="34"/>
  <c r="N244" i="50" s="1"/>
  <c r="Q282" i="34"/>
  <c r="O282" i="34"/>
  <c r="M282" i="34"/>
  <c r="K282" i="34"/>
  <c r="Q274" i="34"/>
  <c r="O274" i="34"/>
  <c r="M274" i="34"/>
  <c r="K274" i="34"/>
  <c r="Q266" i="34"/>
  <c r="O266" i="34"/>
  <c r="M266" i="34"/>
  <c r="K266" i="34"/>
  <c r="Q260" i="34"/>
  <c r="O260" i="34"/>
  <c r="M260" i="34"/>
  <c r="K260" i="34"/>
  <c r="Q251" i="34"/>
  <c r="O251" i="34"/>
  <c r="M251" i="34"/>
  <c r="K251" i="34"/>
  <c r="Q245" i="34"/>
  <c r="O245" i="34"/>
  <c r="O284" i="34" s="1"/>
  <c r="M245" i="34"/>
  <c r="K245" i="34"/>
  <c r="M235" i="34"/>
  <c r="K235" i="34"/>
  <c r="O233" i="34"/>
  <c r="Q233" i="34" s="1"/>
  <c r="N203" i="50" s="1"/>
  <c r="O232" i="34"/>
  <c r="Q232" i="34" s="1"/>
  <c r="N202" i="50" s="1"/>
  <c r="O231" i="34"/>
  <c r="M227" i="34"/>
  <c r="K227" i="34"/>
  <c r="O225" i="34"/>
  <c r="Q225" i="34" s="1"/>
  <c r="N195" i="50" s="1"/>
  <c r="O224" i="34"/>
  <c r="Q224" i="34" s="1"/>
  <c r="N194" i="50" s="1"/>
  <c r="O223" i="34"/>
  <c r="Q223" i="34" s="1"/>
  <c r="N193" i="50" s="1"/>
  <c r="O222" i="34"/>
  <c r="Q222" i="34" s="1"/>
  <c r="N192" i="50" s="1"/>
  <c r="O221" i="34"/>
  <c r="Q221" i="34" s="1"/>
  <c r="N191" i="50" s="1"/>
  <c r="O220" i="34"/>
  <c r="M214" i="34"/>
  <c r="K214" i="34"/>
  <c r="O212" i="34"/>
  <c r="Q212" i="34" s="1"/>
  <c r="O211" i="34"/>
  <c r="Q211" i="34" s="1"/>
  <c r="O210" i="34"/>
  <c r="Q210" i="34" s="1"/>
  <c r="O209" i="34"/>
  <c r="Q209" i="34" s="1"/>
  <c r="O208" i="34"/>
  <c r="Q208" i="34" s="1"/>
  <c r="O207" i="34"/>
  <c r="Q207" i="34" s="1"/>
  <c r="M204" i="34"/>
  <c r="K204" i="34"/>
  <c r="O202" i="34"/>
  <c r="Q202" i="34" s="1"/>
  <c r="O201" i="34"/>
  <c r="Q201" i="34" s="1"/>
  <c r="O200" i="34"/>
  <c r="Q200" i="34" s="1"/>
  <c r="O199" i="34"/>
  <c r="Q199" i="34" s="1"/>
  <c r="O198" i="34"/>
  <c r="Q198" i="34" s="1"/>
  <c r="O197" i="34"/>
  <c r="Q197" i="34" s="1"/>
  <c r="O196" i="34"/>
  <c r="Q196" i="34" s="1"/>
  <c r="O195" i="34"/>
  <c r="Q195" i="34" s="1"/>
  <c r="O194" i="34"/>
  <c r="Q194" i="34" s="1"/>
  <c r="O193" i="34"/>
  <c r="Q193" i="34" s="1"/>
  <c r="O192" i="34"/>
  <c r="Q192" i="34" s="1"/>
  <c r="O191" i="34"/>
  <c r="Q191" i="34" s="1"/>
  <c r="O190" i="34"/>
  <c r="Q190" i="34" s="1"/>
  <c r="O189" i="34"/>
  <c r="Q189" i="34" s="1"/>
  <c r="O188" i="34"/>
  <c r="Q188" i="34" s="1"/>
  <c r="O187" i="34"/>
  <c r="Q187" i="34" s="1"/>
  <c r="O186" i="34"/>
  <c r="Q186" i="34" s="1"/>
  <c r="O185" i="34"/>
  <c r="Q185" i="34" s="1"/>
  <c r="O184" i="34"/>
  <c r="Q184" i="34" s="1"/>
  <c r="O183" i="34"/>
  <c r="Q183" i="34" s="1"/>
  <c r="M180" i="34"/>
  <c r="K180" i="34"/>
  <c r="O178" i="34"/>
  <c r="Q178" i="34" s="1"/>
  <c r="O177" i="34"/>
  <c r="Q177" i="34" s="1"/>
  <c r="O176" i="34"/>
  <c r="Q176" i="34" s="1"/>
  <c r="O175" i="34"/>
  <c r="Q175" i="34" s="1"/>
  <c r="O174" i="34"/>
  <c r="Q174" i="34" s="1"/>
  <c r="O173" i="34"/>
  <c r="Q173" i="34" s="1"/>
  <c r="O172" i="34"/>
  <c r="Q172" i="34" s="1"/>
  <c r="O171" i="34"/>
  <c r="Q171" i="34" s="1"/>
  <c r="O170" i="34"/>
  <c r="Q170" i="34" s="1"/>
  <c r="O169" i="34"/>
  <c r="Q169" i="34" s="1"/>
  <c r="O168" i="34"/>
  <c r="Q168" i="34" s="1"/>
  <c r="O167" i="34"/>
  <c r="Q167" i="34" s="1"/>
  <c r="O166" i="34"/>
  <c r="Q166" i="34" s="1"/>
  <c r="O165" i="34"/>
  <c r="Q165" i="34" s="1"/>
  <c r="O164" i="34"/>
  <c r="Q164" i="34" s="1"/>
  <c r="O163" i="34"/>
  <c r="Q163" i="34" s="1"/>
  <c r="O162" i="34"/>
  <c r="Q162" i="34" s="1"/>
  <c r="O161" i="34"/>
  <c r="Q161" i="34" s="1"/>
  <c r="O160" i="34"/>
  <c r="Q160" i="34" s="1"/>
  <c r="O159" i="34"/>
  <c r="Q159" i="34" s="1"/>
  <c r="O158" i="34"/>
  <c r="M155" i="34"/>
  <c r="K155" i="34"/>
  <c r="O153" i="34"/>
  <c r="Q153" i="34" s="1"/>
  <c r="O152" i="34"/>
  <c r="Q152" i="34" s="1"/>
  <c r="O151" i="34"/>
  <c r="Q151" i="34" s="1"/>
  <c r="O150" i="34"/>
  <c r="Q150" i="34" s="1"/>
  <c r="O149" i="34"/>
  <c r="Q149" i="34" s="1"/>
  <c r="O148" i="34"/>
  <c r="Q148" i="34" s="1"/>
  <c r="O147" i="34"/>
  <c r="Q147" i="34" s="1"/>
  <c r="O146" i="34"/>
  <c r="Q146" i="34" s="1"/>
  <c r="O145" i="34"/>
  <c r="Q145" i="34" s="1"/>
  <c r="O144" i="34"/>
  <c r="Q144" i="34" s="1"/>
  <c r="O143" i="34"/>
  <c r="Q143" i="34" s="1"/>
  <c r="O142" i="34"/>
  <c r="Q142" i="34" s="1"/>
  <c r="O141" i="34"/>
  <c r="Q141" i="34" s="1"/>
  <c r="O140" i="34"/>
  <c r="Q140" i="34" s="1"/>
  <c r="O139" i="34"/>
  <c r="Q139" i="34" s="1"/>
  <c r="O138" i="34"/>
  <c r="Q138" i="34" s="1"/>
  <c r="O137" i="34"/>
  <c r="Q137" i="34" s="1"/>
  <c r="O136" i="34"/>
  <c r="Q136" i="34" s="1"/>
  <c r="O135" i="34"/>
  <c r="Q135" i="34" s="1"/>
  <c r="M132" i="34"/>
  <c r="K132" i="34"/>
  <c r="O130" i="34"/>
  <c r="Q130" i="34" s="1"/>
  <c r="O129" i="34"/>
  <c r="Q129" i="34" s="1"/>
  <c r="O128" i="34"/>
  <c r="Q128" i="34" s="1"/>
  <c r="O127" i="34"/>
  <c r="Q127" i="34" s="1"/>
  <c r="O126" i="34"/>
  <c r="Q126" i="34" s="1"/>
  <c r="O125" i="34"/>
  <c r="Q125" i="34" s="1"/>
  <c r="O124" i="34"/>
  <c r="O123" i="34"/>
  <c r="Q123" i="34" s="1"/>
  <c r="M120" i="34"/>
  <c r="K120" i="34"/>
  <c r="O118" i="34"/>
  <c r="Q118" i="34" s="1"/>
  <c r="O117" i="34"/>
  <c r="Q117" i="34" s="1"/>
  <c r="O116" i="34"/>
  <c r="Q116" i="34" s="1"/>
  <c r="O115" i="34"/>
  <c r="Q115" i="34" s="1"/>
  <c r="O114" i="34"/>
  <c r="Q114" i="34" s="1"/>
  <c r="O113" i="34"/>
  <c r="Q113" i="34" s="1"/>
  <c r="O112" i="34"/>
  <c r="Q112" i="34" s="1"/>
  <c r="O111" i="34"/>
  <c r="Q111" i="34" s="1"/>
  <c r="O110" i="34"/>
  <c r="Q110" i="34" s="1"/>
  <c r="O109" i="34"/>
  <c r="Q109" i="34" s="1"/>
  <c r="O108" i="34"/>
  <c r="Q108" i="34" s="1"/>
  <c r="O107" i="34"/>
  <c r="Q107" i="34" s="1"/>
  <c r="O106" i="34"/>
  <c r="Q106" i="34" s="1"/>
  <c r="O105" i="34"/>
  <c r="Q105" i="34" s="1"/>
  <c r="O104" i="34"/>
  <c r="Q104" i="34" s="1"/>
  <c r="O103" i="34"/>
  <c r="Q103" i="34" s="1"/>
  <c r="O102" i="34"/>
  <c r="Q102" i="34" s="1"/>
  <c r="O101" i="34"/>
  <c r="Q101" i="34" s="1"/>
  <c r="O100" i="34"/>
  <c r="Q100" i="34" s="1"/>
  <c r="O99" i="34"/>
  <c r="Q99" i="34" s="1"/>
  <c r="M92" i="34"/>
  <c r="K92" i="34"/>
  <c r="O90" i="34"/>
  <c r="O89" i="34"/>
  <c r="O88" i="34"/>
  <c r="O87" i="34"/>
  <c r="O86" i="34"/>
  <c r="O85" i="34"/>
  <c r="O84" i="34"/>
  <c r="M81" i="34"/>
  <c r="K81" i="34"/>
  <c r="O79" i="34"/>
  <c r="O78" i="34"/>
  <c r="O77" i="34"/>
  <c r="O76" i="34"/>
  <c r="O75" i="34"/>
  <c r="O74" i="34"/>
  <c r="O73" i="34"/>
  <c r="O72" i="34"/>
  <c r="O71" i="34"/>
  <c r="O70" i="34"/>
  <c r="O69" i="34"/>
  <c r="M66" i="34"/>
  <c r="K66" i="34"/>
  <c r="O64" i="34"/>
  <c r="O63" i="34"/>
  <c r="O62" i="34"/>
  <c r="O61" i="34"/>
  <c r="O60" i="34"/>
  <c r="M57" i="34"/>
  <c r="K57" i="34"/>
  <c r="O55" i="34"/>
  <c r="O54" i="34"/>
  <c r="O53" i="34"/>
  <c r="O52" i="34"/>
  <c r="O51" i="34"/>
  <c r="O50" i="34"/>
  <c r="O49" i="34"/>
  <c r="O48" i="34"/>
  <c r="O47" i="34"/>
  <c r="O46" i="34"/>
  <c r="O45" i="34"/>
  <c r="M42" i="34"/>
  <c r="K42" i="34"/>
  <c r="O40" i="34"/>
  <c r="O39" i="34"/>
  <c r="O38" i="34"/>
  <c r="O37" i="34"/>
  <c r="O36" i="34"/>
  <c r="O35" i="34"/>
  <c r="O34" i="34"/>
  <c r="O33" i="34"/>
  <c r="O32" i="34"/>
  <c r="O31" i="34"/>
  <c r="M28" i="34"/>
  <c r="K28" i="34"/>
  <c r="O26" i="34"/>
  <c r="O25" i="34"/>
  <c r="O24" i="34"/>
  <c r="O23" i="34"/>
  <c r="O22" i="34"/>
  <c r="Q17" i="34"/>
  <c r="M17" i="34"/>
  <c r="K17" i="34"/>
  <c r="O15" i="34"/>
  <c r="O17" i="34" s="1"/>
  <c r="O233" i="33"/>
  <c r="Q233" i="33" s="1"/>
  <c r="S233" i="33" s="1"/>
  <c r="O232" i="33"/>
  <c r="Q232" i="33" s="1"/>
  <c r="S232" i="33" s="1"/>
  <c r="O231" i="33"/>
  <c r="Q231" i="33" s="1"/>
  <c r="S231" i="33" s="1"/>
  <c r="O225" i="33"/>
  <c r="Q225" i="33" s="1"/>
  <c r="S225" i="33" s="1"/>
  <c r="O224" i="33"/>
  <c r="Q224" i="33" s="1"/>
  <c r="S224" i="33" s="1"/>
  <c r="O223" i="33"/>
  <c r="Q223" i="33" s="1"/>
  <c r="S223" i="33" s="1"/>
  <c r="O222" i="33"/>
  <c r="Q222" i="33" s="1"/>
  <c r="S222" i="33" s="1"/>
  <c r="O221" i="33"/>
  <c r="Q221" i="33" s="1"/>
  <c r="S221" i="33" s="1"/>
  <c r="O220" i="33"/>
  <c r="Q220" i="33" s="1"/>
  <c r="S220" i="33" s="1"/>
  <c r="O212" i="33"/>
  <c r="Q212" i="33" s="1"/>
  <c r="S212" i="33" s="1"/>
  <c r="O211" i="33"/>
  <c r="Q211" i="33" s="1"/>
  <c r="S211" i="33" s="1"/>
  <c r="O210" i="33"/>
  <c r="Q210" i="33" s="1"/>
  <c r="S210" i="33" s="1"/>
  <c r="O209" i="33"/>
  <c r="Q209" i="33" s="1"/>
  <c r="S209" i="33" s="1"/>
  <c r="O208" i="33"/>
  <c r="Q208" i="33" s="1"/>
  <c r="S208" i="33" s="1"/>
  <c r="O207" i="33"/>
  <c r="Q207" i="33" s="1"/>
  <c r="S207" i="33" s="1"/>
  <c r="O202" i="33"/>
  <c r="Q202" i="33" s="1"/>
  <c r="S202" i="33" s="1"/>
  <c r="O201" i="33"/>
  <c r="Q201" i="33" s="1"/>
  <c r="S201" i="33" s="1"/>
  <c r="O200" i="33"/>
  <c r="Q200" i="33" s="1"/>
  <c r="S200" i="33" s="1"/>
  <c r="O199" i="33"/>
  <c r="Q199" i="33" s="1"/>
  <c r="S199" i="33" s="1"/>
  <c r="O198" i="33"/>
  <c r="Q198" i="33" s="1"/>
  <c r="S198" i="33" s="1"/>
  <c r="O197" i="33"/>
  <c r="Q197" i="33" s="1"/>
  <c r="S197" i="33" s="1"/>
  <c r="O196" i="33"/>
  <c r="Q196" i="33" s="1"/>
  <c r="S196" i="33" s="1"/>
  <c r="O195" i="33"/>
  <c r="Q195" i="33" s="1"/>
  <c r="S195" i="33" s="1"/>
  <c r="O194" i="33"/>
  <c r="Q194" i="33" s="1"/>
  <c r="S194" i="33" s="1"/>
  <c r="O193" i="33"/>
  <c r="Q193" i="33" s="1"/>
  <c r="S193" i="33" s="1"/>
  <c r="O192" i="33"/>
  <c r="Q192" i="33" s="1"/>
  <c r="S192" i="33" s="1"/>
  <c r="O191" i="33"/>
  <c r="Q191" i="33" s="1"/>
  <c r="S191" i="33" s="1"/>
  <c r="O190" i="33"/>
  <c r="Q190" i="33" s="1"/>
  <c r="S190" i="33" s="1"/>
  <c r="O189" i="33"/>
  <c r="Q189" i="33" s="1"/>
  <c r="S189" i="33" s="1"/>
  <c r="O188" i="33"/>
  <c r="Q188" i="33" s="1"/>
  <c r="S188" i="33" s="1"/>
  <c r="O187" i="33"/>
  <c r="Q187" i="33" s="1"/>
  <c r="S187" i="33" s="1"/>
  <c r="O186" i="33"/>
  <c r="Q186" i="33" s="1"/>
  <c r="S186" i="33" s="1"/>
  <c r="O185" i="33"/>
  <c r="Q185" i="33" s="1"/>
  <c r="S185" i="33" s="1"/>
  <c r="O184" i="33"/>
  <c r="Q184" i="33" s="1"/>
  <c r="S184" i="33" s="1"/>
  <c r="O183" i="33"/>
  <c r="Q183" i="33" s="1"/>
  <c r="S183" i="33" s="1"/>
  <c r="O178" i="33"/>
  <c r="Q178" i="33" s="1"/>
  <c r="S178" i="33" s="1"/>
  <c r="O177" i="33"/>
  <c r="Q177" i="33" s="1"/>
  <c r="S177" i="33" s="1"/>
  <c r="O176" i="33"/>
  <c r="Q176" i="33" s="1"/>
  <c r="S176" i="33" s="1"/>
  <c r="O175" i="33"/>
  <c r="Q175" i="33" s="1"/>
  <c r="S175" i="33" s="1"/>
  <c r="O174" i="33"/>
  <c r="Q174" i="33" s="1"/>
  <c r="S174" i="33" s="1"/>
  <c r="O173" i="33"/>
  <c r="Q173" i="33" s="1"/>
  <c r="S173" i="33" s="1"/>
  <c r="O172" i="33"/>
  <c r="Q172" i="33" s="1"/>
  <c r="S172" i="33" s="1"/>
  <c r="O171" i="33"/>
  <c r="Q171" i="33" s="1"/>
  <c r="S171" i="33" s="1"/>
  <c r="O170" i="33"/>
  <c r="Q170" i="33" s="1"/>
  <c r="S170" i="33" s="1"/>
  <c r="O169" i="33"/>
  <c r="Q169" i="33" s="1"/>
  <c r="S169" i="33" s="1"/>
  <c r="O168" i="33"/>
  <c r="Q168" i="33" s="1"/>
  <c r="S168" i="33" s="1"/>
  <c r="O167" i="33"/>
  <c r="Q167" i="33" s="1"/>
  <c r="S167" i="33" s="1"/>
  <c r="O166" i="33"/>
  <c r="Q166" i="33" s="1"/>
  <c r="S166" i="33" s="1"/>
  <c r="O165" i="33"/>
  <c r="Q165" i="33" s="1"/>
  <c r="S165" i="33" s="1"/>
  <c r="O164" i="33"/>
  <c r="Q164" i="33" s="1"/>
  <c r="S164" i="33" s="1"/>
  <c r="O163" i="33"/>
  <c r="Q163" i="33" s="1"/>
  <c r="S163" i="33" s="1"/>
  <c r="O162" i="33"/>
  <c r="Q162" i="33" s="1"/>
  <c r="S162" i="33" s="1"/>
  <c r="O161" i="33"/>
  <c r="Q161" i="33" s="1"/>
  <c r="S161" i="33" s="1"/>
  <c r="O160" i="33"/>
  <c r="Q160" i="33" s="1"/>
  <c r="S160" i="33" s="1"/>
  <c r="O159" i="33"/>
  <c r="Q159" i="33" s="1"/>
  <c r="S159" i="33" s="1"/>
  <c r="O158" i="33"/>
  <c r="Q158" i="33" s="1"/>
  <c r="S158" i="33" s="1"/>
  <c r="O153" i="33"/>
  <c r="Q153" i="33" s="1"/>
  <c r="S153" i="33" s="1"/>
  <c r="O152" i="33"/>
  <c r="Q152" i="33" s="1"/>
  <c r="S152" i="33" s="1"/>
  <c r="O151" i="33"/>
  <c r="Q151" i="33" s="1"/>
  <c r="S151" i="33" s="1"/>
  <c r="O150" i="33"/>
  <c r="Q150" i="33" s="1"/>
  <c r="S150" i="33" s="1"/>
  <c r="O149" i="33"/>
  <c r="Q149" i="33" s="1"/>
  <c r="S149" i="33" s="1"/>
  <c r="O148" i="33"/>
  <c r="Q148" i="33" s="1"/>
  <c r="S148" i="33" s="1"/>
  <c r="O147" i="33"/>
  <c r="Q147" i="33" s="1"/>
  <c r="S147" i="33" s="1"/>
  <c r="O146" i="33"/>
  <c r="Q146" i="33" s="1"/>
  <c r="S146" i="33" s="1"/>
  <c r="O145" i="33"/>
  <c r="Q145" i="33" s="1"/>
  <c r="S145" i="33" s="1"/>
  <c r="O144" i="33"/>
  <c r="Q144" i="33" s="1"/>
  <c r="S144" i="33" s="1"/>
  <c r="O143" i="33"/>
  <c r="Q143" i="33" s="1"/>
  <c r="S143" i="33" s="1"/>
  <c r="O142" i="33"/>
  <c r="Q142" i="33" s="1"/>
  <c r="S142" i="33" s="1"/>
  <c r="O141" i="33"/>
  <c r="Q141" i="33" s="1"/>
  <c r="S141" i="33" s="1"/>
  <c r="O140" i="33"/>
  <c r="Q140" i="33" s="1"/>
  <c r="S140" i="33" s="1"/>
  <c r="O139" i="33"/>
  <c r="Q139" i="33" s="1"/>
  <c r="S139" i="33" s="1"/>
  <c r="O138" i="33"/>
  <c r="Q138" i="33" s="1"/>
  <c r="S138" i="33" s="1"/>
  <c r="O137" i="33"/>
  <c r="Q137" i="33" s="1"/>
  <c r="S137" i="33" s="1"/>
  <c r="O136" i="33"/>
  <c r="Q136" i="33" s="1"/>
  <c r="S136" i="33" s="1"/>
  <c r="O135" i="33"/>
  <c r="Q135" i="33" s="1"/>
  <c r="S135" i="33" s="1"/>
  <c r="O130" i="33"/>
  <c r="Q130" i="33" s="1"/>
  <c r="S130" i="33" s="1"/>
  <c r="O129" i="33"/>
  <c r="Q129" i="33" s="1"/>
  <c r="S129" i="33" s="1"/>
  <c r="O128" i="33"/>
  <c r="Q128" i="33" s="1"/>
  <c r="S128" i="33" s="1"/>
  <c r="O127" i="33"/>
  <c r="Q127" i="33" s="1"/>
  <c r="S127" i="33" s="1"/>
  <c r="O126" i="33"/>
  <c r="Q126" i="33" s="1"/>
  <c r="S126" i="33" s="1"/>
  <c r="O125" i="33"/>
  <c r="Q125" i="33" s="1"/>
  <c r="S125" i="33" s="1"/>
  <c r="O124" i="33"/>
  <c r="Q124" i="33" s="1"/>
  <c r="S124" i="33" s="1"/>
  <c r="O123" i="33"/>
  <c r="Q123" i="33" s="1"/>
  <c r="S123" i="33" s="1"/>
  <c r="O118" i="33"/>
  <c r="Q118" i="33" s="1"/>
  <c r="S118" i="33" s="1"/>
  <c r="O117" i="33"/>
  <c r="Q117" i="33" s="1"/>
  <c r="S117" i="33" s="1"/>
  <c r="O116" i="33"/>
  <c r="Q116" i="33" s="1"/>
  <c r="S116" i="33" s="1"/>
  <c r="O115" i="33"/>
  <c r="Q115" i="33" s="1"/>
  <c r="S115" i="33" s="1"/>
  <c r="O114" i="33"/>
  <c r="Q114" i="33" s="1"/>
  <c r="S114" i="33" s="1"/>
  <c r="O113" i="33"/>
  <c r="Q113" i="33" s="1"/>
  <c r="S113" i="33" s="1"/>
  <c r="O112" i="33"/>
  <c r="Q112" i="33" s="1"/>
  <c r="S112" i="33" s="1"/>
  <c r="O111" i="33"/>
  <c r="Q111" i="33" s="1"/>
  <c r="S111" i="33" s="1"/>
  <c r="O110" i="33"/>
  <c r="Q110" i="33" s="1"/>
  <c r="S110" i="33" s="1"/>
  <c r="O109" i="33"/>
  <c r="Q109" i="33" s="1"/>
  <c r="S109" i="33" s="1"/>
  <c r="O108" i="33"/>
  <c r="Q108" i="33" s="1"/>
  <c r="S108" i="33" s="1"/>
  <c r="O107" i="33"/>
  <c r="Q107" i="33" s="1"/>
  <c r="S107" i="33" s="1"/>
  <c r="O106" i="33"/>
  <c r="Q106" i="33" s="1"/>
  <c r="S106" i="33" s="1"/>
  <c r="O105" i="33"/>
  <c r="Q105" i="33" s="1"/>
  <c r="S105" i="33" s="1"/>
  <c r="O104" i="33"/>
  <c r="Q104" i="33" s="1"/>
  <c r="S104" i="33" s="1"/>
  <c r="O103" i="33"/>
  <c r="Q103" i="33" s="1"/>
  <c r="S103" i="33" s="1"/>
  <c r="O102" i="33"/>
  <c r="Q102" i="33" s="1"/>
  <c r="S102" i="33" s="1"/>
  <c r="O101" i="33"/>
  <c r="Q101" i="33" s="1"/>
  <c r="S101" i="33" s="1"/>
  <c r="O100" i="33"/>
  <c r="Q100" i="33" s="1"/>
  <c r="S100" i="33" s="1"/>
  <c r="O99" i="33"/>
  <c r="Q99" i="33" s="1"/>
  <c r="S99" i="33" s="1"/>
  <c r="O90" i="33"/>
  <c r="Q90" i="33" s="1"/>
  <c r="S90" i="33" s="1"/>
  <c r="O89" i="33"/>
  <c r="Q89" i="33" s="1"/>
  <c r="S89" i="33" s="1"/>
  <c r="O88" i="33"/>
  <c r="Q88" i="33" s="1"/>
  <c r="S88" i="33" s="1"/>
  <c r="O87" i="33"/>
  <c r="Q87" i="33" s="1"/>
  <c r="S87" i="33" s="1"/>
  <c r="O86" i="33"/>
  <c r="Q86" i="33" s="1"/>
  <c r="S86" i="33" s="1"/>
  <c r="O85" i="33"/>
  <c r="Q85" i="33" s="1"/>
  <c r="S85" i="33" s="1"/>
  <c r="O84" i="33"/>
  <c r="Q84" i="33" s="1"/>
  <c r="S84" i="33" s="1"/>
  <c r="O79" i="33"/>
  <c r="Q79" i="33" s="1"/>
  <c r="S79" i="33" s="1"/>
  <c r="O78" i="33"/>
  <c r="Q78" i="33" s="1"/>
  <c r="S78" i="33" s="1"/>
  <c r="O77" i="33"/>
  <c r="Q77" i="33" s="1"/>
  <c r="S77" i="33" s="1"/>
  <c r="O76" i="33"/>
  <c r="Q76" i="33" s="1"/>
  <c r="S76" i="33" s="1"/>
  <c r="O75" i="33"/>
  <c r="Q75" i="33" s="1"/>
  <c r="S75" i="33" s="1"/>
  <c r="O74" i="33"/>
  <c r="Q74" i="33" s="1"/>
  <c r="S74" i="33" s="1"/>
  <c r="O73" i="33"/>
  <c r="Q73" i="33" s="1"/>
  <c r="S73" i="33" s="1"/>
  <c r="O72" i="33"/>
  <c r="Q72" i="33" s="1"/>
  <c r="S72" i="33" s="1"/>
  <c r="O71" i="33"/>
  <c r="Q71" i="33" s="1"/>
  <c r="S71" i="33" s="1"/>
  <c r="O70" i="33"/>
  <c r="Q70" i="33" s="1"/>
  <c r="S70" i="33" s="1"/>
  <c r="O69" i="33"/>
  <c r="Q69" i="33" s="1"/>
  <c r="S69" i="33" s="1"/>
  <c r="O64" i="33"/>
  <c r="Q64" i="33" s="1"/>
  <c r="S64" i="33" s="1"/>
  <c r="O63" i="33"/>
  <c r="Q63" i="33" s="1"/>
  <c r="S63" i="33" s="1"/>
  <c r="O62" i="33"/>
  <c r="Q62" i="33" s="1"/>
  <c r="S62" i="33" s="1"/>
  <c r="O61" i="33"/>
  <c r="Q61" i="33" s="1"/>
  <c r="S61" i="33" s="1"/>
  <c r="O60" i="33"/>
  <c r="Q60" i="33" s="1"/>
  <c r="S60" i="33" s="1"/>
  <c r="O55" i="33"/>
  <c r="Q55" i="33" s="1"/>
  <c r="S55" i="33" s="1"/>
  <c r="O54" i="33"/>
  <c r="Q54" i="33" s="1"/>
  <c r="S54" i="33" s="1"/>
  <c r="O53" i="33"/>
  <c r="Q53" i="33" s="1"/>
  <c r="S53" i="33" s="1"/>
  <c r="O52" i="33"/>
  <c r="Q52" i="33" s="1"/>
  <c r="S52" i="33" s="1"/>
  <c r="O51" i="33"/>
  <c r="Q51" i="33" s="1"/>
  <c r="S51" i="33" s="1"/>
  <c r="O50" i="33"/>
  <c r="Q50" i="33" s="1"/>
  <c r="S50" i="33" s="1"/>
  <c r="O49" i="33"/>
  <c r="Q49" i="33" s="1"/>
  <c r="S49" i="33" s="1"/>
  <c r="O48" i="33"/>
  <c r="Q48" i="33" s="1"/>
  <c r="S48" i="33" s="1"/>
  <c r="O47" i="33"/>
  <c r="Q47" i="33" s="1"/>
  <c r="S47" i="33" s="1"/>
  <c r="O46" i="33"/>
  <c r="Q46" i="33" s="1"/>
  <c r="S46" i="33" s="1"/>
  <c r="O45" i="33"/>
  <c r="Q45" i="33" s="1"/>
  <c r="S45" i="33" s="1"/>
  <c r="O40" i="33"/>
  <c r="Q40" i="33" s="1"/>
  <c r="S40" i="33" s="1"/>
  <c r="O39" i="33"/>
  <c r="Q39" i="33" s="1"/>
  <c r="S39" i="33" s="1"/>
  <c r="O38" i="33"/>
  <c r="Q38" i="33" s="1"/>
  <c r="S38" i="33" s="1"/>
  <c r="O37" i="33"/>
  <c r="Q37" i="33" s="1"/>
  <c r="S37" i="33" s="1"/>
  <c r="O36" i="33"/>
  <c r="Q36" i="33" s="1"/>
  <c r="S36" i="33" s="1"/>
  <c r="O35" i="33"/>
  <c r="Q35" i="33" s="1"/>
  <c r="S35" i="33" s="1"/>
  <c r="O34" i="33"/>
  <c r="Q34" i="33" s="1"/>
  <c r="S34" i="33" s="1"/>
  <c r="O33" i="33"/>
  <c r="Q33" i="33" s="1"/>
  <c r="S33" i="33" s="1"/>
  <c r="O31" i="33"/>
  <c r="Q31" i="33" s="1"/>
  <c r="S31" i="33" s="1"/>
  <c r="O26" i="33"/>
  <c r="Q26" i="33" s="1"/>
  <c r="S26" i="33" s="1"/>
  <c r="O25" i="33"/>
  <c r="Q25" i="33" s="1"/>
  <c r="S25" i="33" s="1"/>
  <c r="O24" i="33"/>
  <c r="Q24" i="33" s="1"/>
  <c r="S24" i="33" s="1"/>
  <c r="O23" i="33"/>
  <c r="Q23" i="33" s="1"/>
  <c r="S23" i="33" s="1"/>
  <c r="O22" i="33"/>
  <c r="Q22" i="33" s="1"/>
  <c r="S22" i="33" s="1"/>
  <c r="O15" i="33"/>
  <c r="O32" i="33"/>
  <c r="Q32" i="33" s="1"/>
  <c r="S32" i="33" s="1"/>
  <c r="M216" i="34" l="1"/>
  <c r="S251" i="34"/>
  <c r="S266" i="34"/>
  <c r="S282" i="34"/>
  <c r="O195" i="50"/>
  <c r="N252" i="50"/>
  <c r="O244" i="50"/>
  <c r="O252" i="50" s="1"/>
  <c r="M284" i="34"/>
  <c r="M94" i="34"/>
  <c r="O227" i="34"/>
  <c r="O235" i="34"/>
  <c r="S245" i="34"/>
  <c r="S274" i="34"/>
  <c r="F75" i="32"/>
  <c r="Q284" i="34"/>
  <c r="S260" i="34"/>
  <c r="N247" i="39"/>
  <c r="O247" i="39" s="1"/>
  <c r="N247" i="32"/>
  <c r="Q24" i="34"/>
  <c r="N16" i="32" s="1"/>
  <c r="Q32" i="34"/>
  <c r="Q36" i="34"/>
  <c r="S36" i="34" s="1"/>
  <c r="K26" i="32" s="1"/>
  <c r="M26" i="32" s="1"/>
  <c r="Q40" i="34"/>
  <c r="S40" i="34" s="1"/>
  <c r="K30" i="32" s="1"/>
  <c r="M30" i="32" s="1"/>
  <c r="Q48" i="34"/>
  <c r="Q52" i="34"/>
  <c r="Q60" i="34"/>
  <c r="Q64" i="34"/>
  <c r="N50" i="32" s="1"/>
  <c r="Q72" i="34"/>
  <c r="N56" i="32" s="1"/>
  <c r="Q76" i="34"/>
  <c r="Q84" i="34"/>
  <c r="Q92" i="34" s="1"/>
  <c r="S92" i="34" s="1"/>
  <c r="Q88" i="34"/>
  <c r="N70" i="32" s="1"/>
  <c r="K94" i="34"/>
  <c r="O132" i="34"/>
  <c r="K284" i="34"/>
  <c r="Q296" i="34"/>
  <c r="N244" i="39"/>
  <c r="N244" i="32"/>
  <c r="N248" i="39"/>
  <c r="O248" i="39" s="1"/>
  <c r="N248" i="32"/>
  <c r="Q25" i="34"/>
  <c r="Q33" i="34"/>
  <c r="Q37" i="34"/>
  <c r="Q45" i="34"/>
  <c r="N33" i="32" s="1"/>
  <c r="Q49" i="34"/>
  <c r="S49" i="34" s="1"/>
  <c r="Q53" i="34"/>
  <c r="Q61" i="34"/>
  <c r="S61" i="34" s="1"/>
  <c r="K47" i="32" s="1"/>
  <c r="M47" i="32" s="1"/>
  <c r="Q69" i="34"/>
  <c r="N53" i="32" s="1"/>
  <c r="Q73" i="34"/>
  <c r="N57" i="32" s="1"/>
  <c r="Q77" i="34"/>
  <c r="Q85" i="34"/>
  <c r="N67" i="32" s="1"/>
  <c r="Q89" i="34"/>
  <c r="S89" i="34" s="1"/>
  <c r="Q124" i="34"/>
  <c r="S124" i="34" s="1"/>
  <c r="K103" i="32" s="1"/>
  <c r="M103" i="32" s="1"/>
  <c r="O92" i="34"/>
  <c r="K216" i="34"/>
  <c r="K298" i="34" s="1"/>
  <c r="K313" i="34" s="1"/>
  <c r="O155" i="34"/>
  <c r="O204" i="34"/>
  <c r="N245" i="39"/>
  <c r="O245" i="39" s="1"/>
  <c r="N245" i="32"/>
  <c r="N249" i="39"/>
  <c r="O249" i="39" s="1"/>
  <c r="N249" i="32"/>
  <c r="Q22" i="34"/>
  <c r="Q26" i="34"/>
  <c r="N18" i="32" s="1"/>
  <c r="Q34" i="34"/>
  <c r="N24" i="32" s="1"/>
  <c r="Q38" i="34"/>
  <c r="Q46" i="34"/>
  <c r="Q50" i="34"/>
  <c r="N38" i="32" s="1"/>
  <c r="Q54" i="34"/>
  <c r="S54" i="34" s="1"/>
  <c r="K42" i="32" s="1"/>
  <c r="M42" i="32" s="1"/>
  <c r="Q62" i="34"/>
  <c r="S62" i="34" s="1"/>
  <c r="K48" i="32" s="1"/>
  <c r="M48" i="32" s="1"/>
  <c r="Q70" i="34"/>
  <c r="Q74" i="34"/>
  <c r="S74" i="34" s="1"/>
  <c r="K58" i="32" s="1"/>
  <c r="M58" i="32" s="1"/>
  <c r="Q78" i="34"/>
  <c r="N62" i="32" s="1"/>
  <c r="Q86" i="34"/>
  <c r="Q90" i="34"/>
  <c r="S17" i="34"/>
  <c r="O28" i="34"/>
  <c r="O42" i="34"/>
  <c r="O180" i="34"/>
  <c r="N246" i="39"/>
  <c r="O246" i="39" s="1"/>
  <c r="N246" i="32"/>
  <c r="N250" i="39"/>
  <c r="O250" i="39" s="1"/>
  <c r="N250" i="32"/>
  <c r="Q23" i="34"/>
  <c r="S23" i="34" s="1"/>
  <c r="K15" i="32" s="1"/>
  <c r="M15" i="32" s="1"/>
  <c r="Q31" i="34"/>
  <c r="S31" i="34" s="1"/>
  <c r="K21" i="32" s="1"/>
  <c r="M21" i="32" s="1"/>
  <c r="Q35" i="34"/>
  <c r="S35" i="34" s="1"/>
  <c r="K25" i="32" s="1"/>
  <c r="M25" i="32" s="1"/>
  <c r="Q39" i="34"/>
  <c r="Q47" i="34"/>
  <c r="S47" i="34" s="1"/>
  <c r="K35" i="32" s="1"/>
  <c r="M35" i="32" s="1"/>
  <c r="Q51" i="34"/>
  <c r="S51" i="34" s="1"/>
  <c r="K39" i="32" s="1"/>
  <c r="M39" i="32" s="1"/>
  <c r="Q55" i="34"/>
  <c r="Q63" i="34"/>
  <c r="Q71" i="34"/>
  <c r="N55" i="32" s="1"/>
  <c r="Q75" i="34"/>
  <c r="N59" i="32" s="1"/>
  <c r="Q79" i="34"/>
  <c r="S79" i="34" s="1"/>
  <c r="K63" i="32" s="1"/>
  <c r="M63" i="32" s="1"/>
  <c r="Q87" i="34"/>
  <c r="Q158" i="34"/>
  <c r="S158" i="34" s="1"/>
  <c r="K133" i="32" s="1"/>
  <c r="M133" i="32" s="1"/>
  <c r="Q220" i="34"/>
  <c r="Q231" i="34"/>
  <c r="N201" i="50" s="1"/>
  <c r="O15" i="39"/>
  <c r="N15" i="32"/>
  <c r="O35" i="39"/>
  <c r="O55" i="39"/>
  <c r="S32" i="34"/>
  <c r="K22" i="32" s="1"/>
  <c r="M22" i="32" s="1"/>
  <c r="O22" i="39"/>
  <c r="N22" i="32"/>
  <c r="O23" i="39"/>
  <c r="N23" i="32"/>
  <c r="O47" i="39"/>
  <c r="O67" i="39"/>
  <c r="O14" i="39"/>
  <c r="N14" i="32"/>
  <c r="O18" i="39"/>
  <c r="O34" i="39"/>
  <c r="N34" i="32"/>
  <c r="O38" i="39"/>
  <c r="O42" i="39"/>
  <c r="O48" i="39"/>
  <c r="S70" i="34"/>
  <c r="K54" i="32" s="1"/>
  <c r="M54" i="32" s="1"/>
  <c r="O54" i="39"/>
  <c r="N54" i="32"/>
  <c r="O58" i="39"/>
  <c r="N58" i="32"/>
  <c r="O62" i="39"/>
  <c r="S86" i="34"/>
  <c r="K68" i="32" s="1"/>
  <c r="M68" i="32" s="1"/>
  <c r="O68" i="39"/>
  <c r="N68" i="32"/>
  <c r="O21" i="39"/>
  <c r="O25" i="39"/>
  <c r="S39" i="34"/>
  <c r="K29" i="32" s="1"/>
  <c r="M29" i="32" s="1"/>
  <c r="O29" i="39"/>
  <c r="N29" i="32"/>
  <c r="O39" i="39"/>
  <c r="S55" i="34"/>
  <c r="K43" i="32" s="1"/>
  <c r="M43" i="32" s="1"/>
  <c r="O43" i="39"/>
  <c r="N43" i="32"/>
  <c r="S75" i="34"/>
  <c r="K59" i="32" s="1"/>
  <c r="M59" i="32" s="1"/>
  <c r="O59" i="39"/>
  <c r="O63" i="39"/>
  <c r="O26" i="39"/>
  <c r="O30" i="39"/>
  <c r="S48" i="34"/>
  <c r="K36" i="32" s="1"/>
  <c r="M36" i="32" s="1"/>
  <c r="O36" i="39"/>
  <c r="N36" i="32"/>
  <c r="O46" i="39"/>
  <c r="N46" i="32"/>
  <c r="O56" i="39"/>
  <c r="O66" i="39"/>
  <c r="O70" i="39"/>
  <c r="O33" i="39"/>
  <c r="O53" i="39"/>
  <c r="S106" i="34"/>
  <c r="K87" i="32" s="1"/>
  <c r="M87" i="32" s="1"/>
  <c r="N87" i="32"/>
  <c r="S111" i="34"/>
  <c r="K92" i="32" s="1"/>
  <c r="M92" i="32" s="1"/>
  <c r="N92" i="32"/>
  <c r="S116" i="34"/>
  <c r="K97" i="32" s="1"/>
  <c r="M97" i="32" s="1"/>
  <c r="N97" i="32"/>
  <c r="S127" i="34"/>
  <c r="K106" i="32" s="1"/>
  <c r="M106" i="32" s="1"/>
  <c r="N106" i="32"/>
  <c r="S136" i="34"/>
  <c r="K113" i="32" s="1"/>
  <c r="M113" i="32" s="1"/>
  <c r="N113" i="32"/>
  <c r="S142" i="34"/>
  <c r="K119" i="32" s="1"/>
  <c r="M119" i="32" s="1"/>
  <c r="N119" i="32"/>
  <c r="S148" i="34"/>
  <c r="K125" i="32" s="1"/>
  <c r="M125" i="32" s="1"/>
  <c r="N125" i="32"/>
  <c r="S153" i="34"/>
  <c r="K130" i="32" s="1"/>
  <c r="M130" i="32" s="1"/>
  <c r="N130" i="32"/>
  <c r="S163" i="34"/>
  <c r="K138" i="32" s="1"/>
  <c r="M138" i="32" s="1"/>
  <c r="N138" i="32"/>
  <c r="S170" i="34"/>
  <c r="K145" i="32" s="1"/>
  <c r="M145" i="32" s="1"/>
  <c r="N145" i="32"/>
  <c r="S174" i="34"/>
  <c r="K149" i="32" s="1"/>
  <c r="M149" i="32" s="1"/>
  <c r="N149" i="32"/>
  <c r="S186" i="34"/>
  <c r="K159" i="32" s="1"/>
  <c r="M159" i="32" s="1"/>
  <c r="N159" i="32"/>
  <c r="S191" i="34"/>
  <c r="K164" i="32" s="1"/>
  <c r="M164" i="32" s="1"/>
  <c r="N164" i="32"/>
  <c r="S196" i="34"/>
  <c r="K169" i="32" s="1"/>
  <c r="M169" i="32" s="1"/>
  <c r="N169" i="32"/>
  <c r="S207" i="34"/>
  <c r="K178" i="32" s="1"/>
  <c r="M178" i="32" s="1"/>
  <c r="N178" i="32"/>
  <c r="S212" i="34"/>
  <c r="K183" i="32" s="1"/>
  <c r="M183" i="32" s="1"/>
  <c r="N183" i="32"/>
  <c r="S225" i="34"/>
  <c r="K195" i="50" s="1"/>
  <c r="M195" i="50" s="1"/>
  <c r="N195" i="39"/>
  <c r="N195" i="32"/>
  <c r="S99" i="34"/>
  <c r="K80" i="32" s="1"/>
  <c r="M80" i="32" s="1"/>
  <c r="N80" i="32"/>
  <c r="S115" i="34"/>
  <c r="K96" i="32" s="1"/>
  <c r="M96" i="32" s="1"/>
  <c r="N96" i="32"/>
  <c r="S139" i="34"/>
  <c r="K116" i="32" s="1"/>
  <c r="M116" i="32" s="1"/>
  <c r="N116" i="32"/>
  <c r="S149" i="34"/>
  <c r="K126" i="32" s="1"/>
  <c r="M126" i="32" s="1"/>
  <c r="N126" i="32"/>
  <c r="S165" i="34"/>
  <c r="K140" i="32" s="1"/>
  <c r="M140" i="32" s="1"/>
  <c r="N140" i="32"/>
  <c r="O140" i="32" s="1"/>
  <c r="S184" i="34"/>
  <c r="K157" i="32" s="1"/>
  <c r="M157" i="32" s="1"/>
  <c r="N157" i="32"/>
  <c r="S197" i="34"/>
  <c r="K170" i="32" s="1"/>
  <c r="M170" i="32" s="1"/>
  <c r="N170" i="32"/>
  <c r="S222" i="34"/>
  <c r="K192" i="50" s="1"/>
  <c r="M192" i="50" s="1"/>
  <c r="O192" i="50" s="1"/>
  <c r="N192" i="39"/>
  <c r="N192" i="32"/>
  <c r="S101" i="34"/>
  <c r="K82" i="32" s="1"/>
  <c r="M82" i="32" s="1"/>
  <c r="N82" i="32"/>
  <c r="S100" i="34"/>
  <c r="K81" i="32" s="1"/>
  <c r="M81" i="32" s="1"/>
  <c r="N81" i="32"/>
  <c r="S107" i="34"/>
  <c r="K88" i="32" s="1"/>
  <c r="M88" i="32" s="1"/>
  <c r="N88" i="32"/>
  <c r="S112" i="34"/>
  <c r="K93" i="32" s="1"/>
  <c r="M93" i="32" s="1"/>
  <c r="N93" i="32"/>
  <c r="S118" i="34"/>
  <c r="K99" i="32" s="1"/>
  <c r="M99" i="32" s="1"/>
  <c r="N99" i="32"/>
  <c r="S128" i="34"/>
  <c r="K107" i="32" s="1"/>
  <c r="M107" i="32" s="1"/>
  <c r="N107" i="32"/>
  <c r="S137" i="34"/>
  <c r="K114" i="32" s="1"/>
  <c r="M114" i="32" s="1"/>
  <c r="N114" i="32"/>
  <c r="S143" i="34"/>
  <c r="K120" i="32" s="1"/>
  <c r="M120" i="32" s="1"/>
  <c r="N120" i="32"/>
  <c r="S150" i="34"/>
  <c r="K127" i="32" s="1"/>
  <c r="M127" i="32" s="1"/>
  <c r="N127" i="32"/>
  <c r="N133" i="32"/>
  <c r="S166" i="34"/>
  <c r="K141" i="32" s="1"/>
  <c r="M141" i="32" s="1"/>
  <c r="N141" i="32"/>
  <c r="S171" i="34"/>
  <c r="K146" i="32" s="1"/>
  <c r="M146" i="32" s="1"/>
  <c r="N146" i="32"/>
  <c r="S176" i="34"/>
  <c r="K151" i="32" s="1"/>
  <c r="M151" i="32" s="1"/>
  <c r="N151" i="32"/>
  <c r="S187" i="34"/>
  <c r="K160" i="32" s="1"/>
  <c r="M160" i="32" s="1"/>
  <c r="N160" i="32"/>
  <c r="S192" i="34"/>
  <c r="K165" i="32" s="1"/>
  <c r="M165" i="32" s="1"/>
  <c r="N165" i="32"/>
  <c r="S198" i="34"/>
  <c r="K171" i="32" s="1"/>
  <c r="M171" i="32" s="1"/>
  <c r="N171" i="32"/>
  <c r="S208" i="34"/>
  <c r="K179" i="32" s="1"/>
  <c r="M179" i="32" s="1"/>
  <c r="N179" i="32"/>
  <c r="N190" i="32"/>
  <c r="S231" i="34"/>
  <c r="K201" i="50" s="1"/>
  <c r="M201" i="50" s="1"/>
  <c r="M205" i="50" s="1"/>
  <c r="N201" i="39"/>
  <c r="N201" i="32"/>
  <c r="S104" i="34"/>
  <c r="K85" i="32" s="1"/>
  <c r="M85" i="32" s="1"/>
  <c r="N85" i="32"/>
  <c r="N103" i="32"/>
  <c r="S141" i="34"/>
  <c r="K118" i="32" s="1"/>
  <c r="M118" i="32" s="1"/>
  <c r="N118" i="32"/>
  <c r="S159" i="34"/>
  <c r="K134" i="32" s="1"/>
  <c r="M134" i="32" s="1"/>
  <c r="N134" i="32"/>
  <c r="S169" i="34"/>
  <c r="K144" i="32" s="1"/>
  <c r="M144" i="32" s="1"/>
  <c r="N144" i="32"/>
  <c r="S185" i="34"/>
  <c r="K158" i="32" s="1"/>
  <c r="M158" i="32" s="1"/>
  <c r="N158" i="32"/>
  <c r="S200" i="34"/>
  <c r="K173" i="32" s="1"/>
  <c r="M173" i="32" s="1"/>
  <c r="N173" i="32"/>
  <c r="S224" i="34"/>
  <c r="K194" i="50" s="1"/>
  <c r="M194" i="50" s="1"/>
  <c r="O194" i="50" s="1"/>
  <c r="N194" i="39"/>
  <c r="N194" i="32"/>
  <c r="S117" i="34"/>
  <c r="K98" i="32" s="1"/>
  <c r="M98" i="32" s="1"/>
  <c r="N98" i="32"/>
  <c r="O98" i="32" s="1"/>
  <c r="S102" i="34"/>
  <c r="K83" i="32" s="1"/>
  <c r="M83" i="32" s="1"/>
  <c r="N83" i="32"/>
  <c r="S108" i="34"/>
  <c r="K89" i="32" s="1"/>
  <c r="M89" i="32" s="1"/>
  <c r="N89" i="32"/>
  <c r="S113" i="34"/>
  <c r="K94" i="32" s="1"/>
  <c r="M94" i="32" s="1"/>
  <c r="N94" i="32"/>
  <c r="O94" i="32" s="1"/>
  <c r="S123" i="34"/>
  <c r="K102" i="32" s="1"/>
  <c r="M102" i="32" s="1"/>
  <c r="N102" i="32"/>
  <c r="O102" i="32" s="1"/>
  <c r="S130" i="34"/>
  <c r="K109" i="32" s="1"/>
  <c r="M109" i="32" s="1"/>
  <c r="N109" i="32"/>
  <c r="S138" i="34"/>
  <c r="K115" i="32" s="1"/>
  <c r="M115" i="32" s="1"/>
  <c r="N115" i="32"/>
  <c r="S146" i="34"/>
  <c r="K123" i="32" s="1"/>
  <c r="M123" i="32" s="1"/>
  <c r="N123" i="32"/>
  <c r="S151" i="34"/>
  <c r="K128" i="32" s="1"/>
  <c r="M128" i="32" s="1"/>
  <c r="N128" i="32"/>
  <c r="O128" i="32" s="1"/>
  <c r="S160" i="34"/>
  <c r="K135" i="32" s="1"/>
  <c r="M135" i="32" s="1"/>
  <c r="N135" i="32"/>
  <c r="S167" i="34"/>
  <c r="K142" i="32" s="1"/>
  <c r="M142" i="32" s="1"/>
  <c r="N142" i="32"/>
  <c r="S172" i="34"/>
  <c r="K147" i="32" s="1"/>
  <c r="M147" i="32" s="1"/>
  <c r="N147" i="32"/>
  <c r="O147" i="32" s="1"/>
  <c r="S178" i="34"/>
  <c r="K153" i="32" s="1"/>
  <c r="M153" i="32" s="1"/>
  <c r="N153" i="32"/>
  <c r="O153" i="32" s="1"/>
  <c r="S188" i="34"/>
  <c r="K161" i="32" s="1"/>
  <c r="M161" i="32" s="1"/>
  <c r="N161" i="32"/>
  <c r="S193" i="34"/>
  <c r="K166" i="32" s="1"/>
  <c r="M166" i="32" s="1"/>
  <c r="N166" i="32"/>
  <c r="S199" i="34"/>
  <c r="K172" i="32" s="1"/>
  <c r="M172" i="32" s="1"/>
  <c r="N172" i="32"/>
  <c r="S210" i="34"/>
  <c r="K181" i="32" s="1"/>
  <c r="M181" i="32" s="1"/>
  <c r="N181" i="32"/>
  <c r="O181" i="32" s="1"/>
  <c r="S221" i="34"/>
  <c r="K191" i="50" s="1"/>
  <c r="M191" i="50" s="1"/>
  <c r="O191" i="50" s="1"/>
  <c r="N191" i="39"/>
  <c r="N191" i="32"/>
  <c r="S105" i="34"/>
  <c r="K86" i="32" s="1"/>
  <c r="M86" i="32" s="1"/>
  <c r="N86" i="32"/>
  <c r="S125" i="34"/>
  <c r="K104" i="32" s="1"/>
  <c r="M104" i="32" s="1"/>
  <c r="N104" i="32"/>
  <c r="S144" i="34"/>
  <c r="K121" i="32" s="1"/>
  <c r="M121" i="32" s="1"/>
  <c r="N121" i="32"/>
  <c r="S161" i="34"/>
  <c r="K136" i="32" s="1"/>
  <c r="M136" i="32" s="1"/>
  <c r="N136" i="32"/>
  <c r="S175" i="34"/>
  <c r="K150" i="32" s="1"/>
  <c r="M150" i="32" s="1"/>
  <c r="N150" i="32"/>
  <c r="S189" i="34"/>
  <c r="K162" i="32" s="1"/>
  <c r="M162" i="32" s="1"/>
  <c r="N162" i="32"/>
  <c r="S201" i="34"/>
  <c r="K174" i="32" s="1"/>
  <c r="M174" i="32" s="1"/>
  <c r="N174" i="32"/>
  <c r="S232" i="34"/>
  <c r="K202" i="50" s="1"/>
  <c r="M202" i="50" s="1"/>
  <c r="O202" i="50" s="1"/>
  <c r="N202" i="39"/>
  <c r="N202" i="32"/>
  <c r="S103" i="34"/>
  <c r="K84" i="32" s="1"/>
  <c r="M84" i="32" s="1"/>
  <c r="N84" i="32"/>
  <c r="S110" i="34"/>
  <c r="K91" i="32" s="1"/>
  <c r="M91" i="32" s="1"/>
  <c r="N91" i="32"/>
  <c r="O91" i="32" s="1"/>
  <c r="S114" i="34"/>
  <c r="K95" i="32" s="1"/>
  <c r="M95" i="32" s="1"/>
  <c r="N95" i="32"/>
  <c r="S126" i="34"/>
  <c r="K105" i="32" s="1"/>
  <c r="M105" i="32" s="1"/>
  <c r="N105" i="32"/>
  <c r="S135" i="34"/>
  <c r="K112" i="32" s="1"/>
  <c r="M112" i="32" s="1"/>
  <c r="N112" i="32"/>
  <c r="S140" i="34"/>
  <c r="K117" i="32" s="1"/>
  <c r="M117" i="32" s="1"/>
  <c r="N117" i="32"/>
  <c r="O117" i="32" s="1"/>
  <c r="S147" i="34"/>
  <c r="K124" i="32" s="1"/>
  <c r="M124" i="32" s="1"/>
  <c r="N124" i="32"/>
  <c r="S152" i="34"/>
  <c r="K129" i="32" s="1"/>
  <c r="M129" i="32" s="1"/>
  <c r="N129" i="32"/>
  <c r="S162" i="34"/>
  <c r="K137" i="32" s="1"/>
  <c r="M137" i="32" s="1"/>
  <c r="N137" i="32"/>
  <c r="O137" i="32" s="1"/>
  <c r="S168" i="34"/>
  <c r="K143" i="32" s="1"/>
  <c r="M143" i="32" s="1"/>
  <c r="N143" i="32"/>
  <c r="O143" i="32" s="1"/>
  <c r="S173" i="34"/>
  <c r="K148" i="32" s="1"/>
  <c r="M148" i="32" s="1"/>
  <c r="N148" i="32"/>
  <c r="S183" i="34"/>
  <c r="K156" i="32" s="1"/>
  <c r="M156" i="32" s="1"/>
  <c r="N156" i="32"/>
  <c r="S190" i="34"/>
  <c r="K163" i="32" s="1"/>
  <c r="M163" i="32" s="1"/>
  <c r="N163" i="32"/>
  <c r="S194" i="34"/>
  <c r="K167" i="32" s="1"/>
  <c r="M167" i="32" s="1"/>
  <c r="N167" i="32"/>
  <c r="S202" i="34"/>
  <c r="K175" i="32" s="1"/>
  <c r="M175" i="32" s="1"/>
  <c r="N175" i="32"/>
  <c r="S211" i="34"/>
  <c r="K182" i="32" s="1"/>
  <c r="M182" i="32" s="1"/>
  <c r="N182" i="32"/>
  <c r="S223" i="34"/>
  <c r="K193" i="50" s="1"/>
  <c r="M193" i="50" s="1"/>
  <c r="O193" i="50" s="1"/>
  <c r="N193" i="39"/>
  <c r="N193" i="32"/>
  <c r="S109" i="34"/>
  <c r="K90" i="32" s="1"/>
  <c r="M90" i="32" s="1"/>
  <c r="N90" i="32"/>
  <c r="S129" i="34"/>
  <c r="K108" i="32" s="1"/>
  <c r="M108" i="32" s="1"/>
  <c r="N108" i="32"/>
  <c r="S145" i="34"/>
  <c r="K122" i="32" s="1"/>
  <c r="M122" i="32" s="1"/>
  <c r="N122" i="32"/>
  <c r="S164" i="34"/>
  <c r="K139" i="32" s="1"/>
  <c r="M139" i="32" s="1"/>
  <c r="N139" i="32"/>
  <c r="S177" i="34"/>
  <c r="K152" i="32" s="1"/>
  <c r="M152" i="32" s="1"/>
  <c r="N152" i="32"/>
  <c r="S195" i="34"/>
  <c r="K168" i="32" s="1"/>
  <c r="M168" i="32" s="1"/>
  <c r="N168" i="32"/>
  <c r="S209" i="34"/>
  <c r="K180" i="32" s="1"/>
  <c r="M180" i="32" s="1"/>
  <c r="N180" i="32"/>
  <c r="S233" i="34"/>
  <c r="K203" i="50" s="1"/>
  <c r="M203" i="50" s="1"/>
  <c r="O203" i="50" s="1"/>
  <c r="N203" i="39"/>
  <c r="N203" i="32"/>
  <c r="N37" i="32"/>
  <c r="S87" i="34"/>
  <c r="N69" i="32"/>
  <c r="S90" i="34"/>
  <c r="N72" i="32"/>
  <c r="N61" i="32"/>
  <c r="N60" i="32"/>
  <c r="N49" i="32"/>
  <c r="N41" i="32"/>
  <c r="S52" i="34"/>
  <c r="N40" i="32"/>
  <c r="N28" i="32"/>
  <c r="N17" i="32"/>
  <c r="N19" i="39"/>
  <c r="N27" i="32"/>
  <c r="Q42" i="34"/>
  <c r="S42" i="34" s="1"/>
  <c r="S76" i="34"/>
  <c r="S50" i="34"/>
  <c r="K38" i="32" s="1"/>
  <c r="M38" i="32" s="1"/>
  <c r="S77" i="34"/>
  <c r="S53" i="34"/>
  <c r="S38" i="34"/>
  <c r="S63" i="34"/>
  <c r="S24" i="34"/>
  <c r="S33" i="34"/>
  <c r="K23" i="32" s="1"/>
  <c r="M23" i="32" s="1"/>
  <c r="S37" i="34"/>
  <c r="S85" i="34"/>
  <c r="K67" i="32" s="1"/>
  <c r="M67" i="32" s="1"/>
  <c r="S46" i="34"/>
  <c r="K34" i="32" s="1"/>
  <c r="M34" i="32" s="1"/>
  <c r="S60" i="34"/>
  <c r="K46" i="32" s="1"/>
  <c r="M46" i="32" s="1"/>
  <c r="S25" i="34"/>
  <c r="O81" i="34"/>
  <c r="O66" i="34"/>
  <c r="S22" i="34"/>
  <c r="K14" i="32" s="1"/>
  <c r="M14" i="32" s="1"/>
  <c r="M298" i="34"/>
  <c r="O57" i="34"/>
  <c r="O120" i="34"/>
  <c r="O216" i="34" s="1"/>
  <c r="Q155" i="34"/>
  <c r="S155" i="34" s="1"/>
  <c r="Q214" i="34"/>
  <c r="S214" i="34" s="1"/>
  <c r="S84" i="34"/>
  <c r="K66" i="32" s="1"/>
  <c r="M66" i="32" s="1"/>
  <c r="O214" i="34"/>
  <c r="O148" i="32" l="1"/>
  <c r="O135" i="32"/>
  <c r="O83" i="32"/>
  <c r="N35" i="32"/>
  <c r="N66" i="32"/>
  <c r="N26" i="32"/>
  <c r="N48" i="32"/>
  <c r="O48" i="32" s="1"/>
  <c r="S26" i="34"/>
  <c r="K18" i="32" s="1"/>
  <c r="M18" i="32" s="1"/>
  <c r="O18" i="32" s="1"/>
  <c r="N205" i="50"/>
  <c r="O201" i="50"/>
  <c r="O205" i="50" s="1"/>
  <c r="O182" i="32"/>
  <c r="O129" i="32"/>
  <c r="O166" i="32"/>
  <c r="O142" i="32"/>
  <c r="O115" i="32"/>
  <c r="O89" i="32"/>
  <c r="O116" i="32"/>
  <c r="N63" i="32"/>
  <c r="S220" i="34"/>
  <c r="K190" i="50" s="1"/>
  <c r="M190" i="50" s="1"/>
  <c r="M197" i="50" s="1"/>
  <c r="M254" i="50" s="1"/>
  <c r="N190" i="50"/>
  <c r="O167" i="32"/>
  <c r="O156" i="32"/>
  <c r="O175" i="32"/>
  <c r="O163" i="32"/>
  <c r="O172" i="32"/>
  <c r="O161" i="32"/>
  <c r="O105" i="32"/>
  <c r="O96" i="32"/>
  <c r="S73" i="34"/>
  <c r="N47" i="32"/>
  <c r="N39" i="32"/>
  <c r="O39" i="32" s="1"/>
  <c r="O43" i="32"/>
  <c r="N25" i="32"/>
  <c r="O25" i="32" s="1"/>
  <c r="O94" i="34"/>
  <c r="O298" i="34" s="1"/>
  <c r="O124" i="32"/>
  <c r="O112" i="32"/>
  <c r="O123" i="32"/>
  <c r="O126" i="32"/>
  <c r="O109" i="32"/>
  <c r="O95" i="32"/>
  <c r="O84" i="32"/>
  <c r="O67" i="32"/>
  <c r="O58" i="32"/>
  <c r="S72" i="34"/>
  <c r="K56" i="32" s="1"/>
  <c r="S78" i="34"/>
  <c r="K62" i="32" s="1"/>
  <c r="S71" i="34"/>
  <c r="K55" i="32" s="1"/>
  <c r="M55" i="32" s="1"/>
  <c r="O55" i="32" s="1"/>
  <c r="O26" i="32"/>
  <c r="S34" i="34"/>
  <c r="K24" i="32" s="1"/>
  <c r="M24" i="32" s="1"/>
  <c r="O24" i="32" s="1"/>
  <c r="S64" i="34"/>
  <c r="N71" i="32"/>
  <c r="N73" i="32" s="1"/>
  <c r="N190" i="39"/>
  <c r="S45" i="34"/>
  <c r="K33" i="32" s="1"/>
  <c r="M33" i="32" s="1"/>
  <c r="O33" i="32" s="1"/>
  <c r="N30" i="32"/>
  <c r="O30" i="32" s="1"/>
  <c r="N21" i="32"/>
  <c r="O21" i="32" s="1"/>
  <c r="N42" i="32"/>
  <c r="O42" i="32" s="1"/>
  <c r="O35" i="32"/>
  <c r="Q66" i="34"/>
  <c r="S66" i="34" s="1"/>
  <c r="Q57" i="34"/>
  <c r="S57" i="34" s="1"/>
  <c r="S88" i="34"/>
  <c r="K70" i="32" s="1"/>
  <c r="M70" i="32" s="1"/>
  <c r="O70" i="32" s="1"/>
  <c r="Q227" i="34"/>
  <c r="S227" i="34" s="1"/>
  <c r="N252" i="32"/>
  <c r="N252" i="39"/>
  <c r="O244" i="39"/>
  <c r="O252" i="39" s="1"/>
  <c r="S284" i="34"/>
  <c r="O36" i="32"/>
  <c r="O63" i="32"/>
  <c r="O29" i="32"/>
  <c r="O68" i="32"/>
  <c r="O38" i="32"/>
  <c r="O22" i="32"/>
  <c r="O66" i="32"/>
  <c r="O46" i="32"/>
  <c r="O54" i="32"/>
  <c r="O15" i="32"/>
  <c r="O34" i="32"/>
  <c r="O23" i="32"/>
  <c r="O59" i="32"/>
  <c r="O14" i="32"/>
  <c r="O180" i="32"/>
  <c r="O152" i="32"/>
  <c r="O122" i="32"/>
  <c r="O90" i="32"/>
  <c r="K193" i="39"/>
  <c r="M193" i="39" s="1"/>
  <c r="O193" i="39" s="1"/>
  <c r="K193" i="32"/>
  <c r="M193" i="32" s="1"/>
  <c r="O193" i="32" s="1"/>
  <c r="O174" i="32"/>
  <c r="O150" i="32"/>
  <c r="O121" i="32"/>
  <c r="O86" i="32"/>
  <c r="K191" i="39"/>
  <c r="M191" i="39" s="1"/>
  <c r="O191" i="39" s="1"/>
  <c r="K191" i="32"/>
  <c r="M191" i="32" s="1"/>
  <c r="O191" i="32" s="1"/>
  <c r="O158" i="32"/>
  <c r="O134" i="32"/>
  <c r="N110" i="32"/>
  <c r="O103" i="32"/>
  <c r="N205" i="32"/>
  <c r="N197" i="39"/>
  <c r="O171" i="32"/>
  <c r="O160" i="32"/>
  <c r="O146" i="32"/>
  <c r="N154" i="32"/>
  <c r="O133" i="32"/>
  <c r="O120" i="32"/>
  <c r="O107" i="32"/>
  <c r="O93" i="32"/>
  <c r="O81" i="32"/>
  <c r="O183" i="32"/>
  <c r="O169" i="32"/>
  <c r="O159" i="32"/>
  <c r="O145" i="32"/>
  <c r="O130" i="32"/>
  <c r="O119" i="32"/>
  <c r="O106" i="32"/>
  <c r="O92" i="32"/>
  <c r="K194" i="39"/>
  <c r="M194" i="39" s="1"/>
  <c r="O194" i="39" s="1"/>
  <c r="K194" i="32"/>
  <c r="M194" i="32" s="1"/>
  <c r="O194" i="32" s="1"/>
  <c r="N205" i="39"/>
  <c r="K190" i="39"/>
  <c r="M190" i="39" s="1"/>
  <c r="K190" i="32"/>
  <c r="M190" i="32" s="1"/>
  <c r="O190" i="32" s="1"/>
  <c r="N176" i="32"/>
  <c r="O157" i="32"/>
  <c r="O168" i="32"/>
  <c r="O139" i="32"/>
  <c r="O108" i="32"/>
  <c r="O162" i="32"/>
  <c r="O136" i="32"/>
  <c r="O104" i="32"/>
  <c r="O173" i="32"/>
  <c r="O144" i="32"/>
  <c r="O118" i="32"/>
  <c r="O85" i="32"/>
  <c r="K201" i="39"/>
  <c r="M201" i="39" s="1"/>
  <c r="K201" i="32"/>
  <c r="M201" i="32" s="1"/>
  <c r="O201" i="32" s="1"/>
  <c r="O179" i="32"/>
  <c r="O165" i="32"/>
  <c r="O151" i="32"/>
  <c r="O141" i="32"/>
  <c r="O127" i="32"/>
  <c r="O114" i="32"/>
  <c r="O99" i="32"/>
  <c r="O88" i="32"/>
  <c r="O82" i="32"/>
  <c r="K192" i="39"/>
  <c r="M192" i="39" s="1"/>
  <c r="O192" i="39" s="1"/>
  <c r="K192" i="32"/>
  <c r="M192" i="32" s="1"/>
  <c r="O192" i="32" s="1"/>
  <c r="O178" i="32"/>
  <c r="N184" i="32"/>
  <c r="O164" i="32"/>
  <c r="O149" i="32"/>
  <c r="O138" i="32"/>
  <c r="O125" i="32"/>
  <c r="N131" i="32"/>
  <c r="O113" i="32"/>
  <c r="O97" i="32"/>
  <c r="O87" i="32"/>
  <c r="K203" i="39"/>
  <c r="M203" i="39" s="1"/>
  <c r="O203" i="39" s="1"/>
  <c r="K203" i="32"/>
  <c r="M203" i="32" s="1"/>
  <c r="O203" i="32" s="1"/>
  <c r="K202" i="39"/>
  <c r="M202" i="39" s="1"/>
  <c r="O202" i="39" s="1"/>
  <c r="K202" i="32"/>
  <c r="M202" i="32" s="1"/>
  <c r="O202" i="32" s="1"/>
  <c r="N197" i="32"/>
  <c r="O170" i="32"/>
  <c r="N100" i="32"/>
  <c r="O80" i="32"/>
  <c r="K195" i="39"/>
  <c r="M195" i="39" s="1"/>
  <c r="O195" i="39" s="1"/>
  <c r="K195" i="32"/>
  <c r="M195" i="32" s="1"/>
  <c r="O195" i="32" s="1"/>
  <c r="O24" i="39"/>
  <c r="O37" i="39"/>
  <c r="K37" i="32"/>
  <c r="M37" i="32" s="1"/>
  <c r="O37" i="32" s="1"/>
  <c r="O57" i="39"/>
  <c r="K57" i="32"/>
  <c r="M57" i="32" s="1"/>
  <c r="O57" i="32" s="1"/>
  <c r="O69" i="39"/>
  <c r="K69" i="32"/>
  <c r="M69" i="32" s="1"/>
  <c r="O69" i="32" s="1"/>
  <c r="O72" i="39"/>
  <c r="K72" i="32"/>
  <c r="M72" i="32" s="1"/>
  <c r="O72" i="32" s="1"/>
  <c r="K71" i="32"/>
  <c r="M71" i="32" s="1"/>
  <c r="N73" i="39"/>
  <c r="O61" i="39"/>
  <c r="K61" i="32"/>
  <c r="M61" i="32" s="1"/>
  <c r="O61" i="32" s="1"/>
  <c r="N64" i="32"/>
  <c r="K60" i="32"/>
  <c r="M60" i="32" s="1"/>
  <c r="O60" i="32" s="1"/>
  <c r="N64" i="39"/>
  <c r="O50" i="39"/>
  <c r="K50" i="32"/>
  <c r="M50" i="32" s="1"/>
  <c r="O50" i="32" s="1"/>
  <c r="K49" i="32"/>
  <c r="M49" i="32" s="1"/>
  <c r="O49" i="32" s="1"/>
  <c r="N51" i="39"/>
  <c r="O41" i="39"/>
  <c r="K41" i="32"/>
  <c r="M41" i="32" s="1"/>
  <c r="O41" i="32" s="1"/>
  <c r="K40" i="32"/>
  <c r="M40" i="32" s="1"/>
  <c r="O40" i="32" s="1"/>
  <c r="N44" i="39"/>
  <c r="O28" i="39"/>
  <c r="K28" i="32"/>
  <c r="M28" i="32" s="1"/>
  <c r="O28" i="32" s="1"/>
  <c r="O17" i="39"/>
  <c r="K17" i="32"/>
  <c r="K16" i="32"/>
  <c r="N19" i="32"/>
  <c r="K27" i="32"/>
  <c r="M27" i="32" s="1"/>
  <c r="O27" i="32" s="1"/>
  <c r="N31" i="39"/>
  <c r="Q180" i="34"/>
  <c r="S180" i="34" s="1"/>
  <c r="Q132" i="34"/>
  <c r="S132" i="34" s="1"/>
  <c r="Q204" i="34"/>
  <c r="S204" i="34" s="1"/>
  <c r="Q235" i="34"/>
  <c r="S235" i="34" s="1"/>
  <c r="Q120" i="34"/>
  <c r="S120" i="34" s="1"/>
  <c r="S69" i="34"/>
  <c r="K53" i="32" s="1"/>
  <c r="M53" i="32" s="1"/>
  <c r="O53" i="32" s="1"/>
  <c r="Q81" i="34"/>
  <c r="S81" i="34" s="1"/>
  <c r="Q28" i="34"/>
  <c r="O71" i="32" l="1"/>
  <c r="M62" i="32"/>
  <c r="O62" i="32" s="1"/>
  <c r="M56" i="32"/>
  <c r="O56" i="32" s="1"/>
  <c r="O190" i="50"/>
  <c r="O197" i="50" s="1"/>
  <c r="O254" i="50" s="1"/>
  <c r="N197" i="50"/>
  <c r="N254" i="50" s="1"/>
  <c r="O17" i="32"/>
  <c r="M17" i="32"/>
  <c r="N51" i="32"/>
  <c r="O47" i="32"/>
  <c r="N44" i="32"/>
  <c r="N31" i="32"/>
  <c r="N75" i="32" s="1"/>
  <c r="M197" i="39"/>
  <c r="M205" i="39"/>
  <c r="O201" i="39"/>
  <c r="O205" i="39" s="1"/>
  <c r="N186" i="32"/>
  <c r="O190" i="39"/>
  <c r="O197" i="39" s="1"/>
  <c r="O49" i="39"/>
  <c r="O51" i="39" s="1"/>
  <c r="O71" i="39"/>
  <c r="O73" i="39" s="1"/>
  <c r="O60" i="39"/>
  <c r="O64" i="39" s="1"/>
  <c r="N75" i="39"/>
  <c r="N254" i="39" s="1"/>
  <c r="O40" i="39"/>
  <c r="O44" i="39" s="1"/>
  <c r="O16" i="39"/>
  <c r="O19" i="39" s="1"/>
  <c r="O27" i="39"/>
  <c r="O31" i="39" s="1"/>
  <c r="Q216" i="34"/>
  <c r="S216" i="34" s="1"/>
  <c r="S28" i="34"/>
  <c r="Q94" i="34"/>
  <c r="S94" i="34" s="1"/>
  <c r="M75" i="39" l="1"/>
  <c r="M254" i="39" s="1"/>
  <c r="O75" i="39"/>
  <c r="O254" i="39" s="1"/>
  <c r="O257" i="50" s="1"/>
  <c r="Q298" i="34"/>
  <c r="S298" i="34" s="1"/>
  <c r="K311" i="33" l="1"/>
  <c r="M296" i="33"/>
  <c r="Q294" i="33"/>
  <c r="Q293" i="33"/>
  <c r="Q292" i="33"/>
  <c r="Q291" i="33"/>
  <c r="Q290" i="33"/>
  <c r="Q289" i="33"/>
  <c r="Q288" i="33"/>
  <c r="Q282" i="33"/>
  <c r="O282" i="33"/>
  <c r="M282" i="33"/>
  <c r="K282" i="33"/>
  <c r="Q274" i="33"/>
  <c r="O274" i="33"/>
  <c r="M274" i="33"/>
  <c r="K274" i="33"/>
  <c r="Q266" i="33"/>
  <c r="O266" i="33"/>
  <c r="M266" i="33"/>
  <c r="K266" i="33"/>
  <c r="Q260" i="33"/>
  <c r="O260" i="33"/>
  <c r="M260" i="33"/>
  <c r="K260" i="33"/>
  <c r="Q251" i="33"/>
  <c r="O251" i="33"/>
  <c r="M251" i="33"/>
  <c r="K251" i="33"/>
  <c r="S251" i="33" s="1"/>
  <c r="Q245" i="33"/>
  <c r="Q284" i="33" s="1"/>
  <c r="O245" i="33"/>
  <c r="O284" i="33" s="1"/>
  <c r="M245" i="33"/>
  <c r="M284" i="33" s="1"/>
  <c r="K245" i="33"/>
  <c r="Q235" i="33"/>
  <c r="O235" i="33"/>
  <c r="M235" i="33"/>
  <c r="K235" i="33"/>
  <c r="Q227" i="33"/>
  <c r="O227" i="33"/>
  <c r="M227" i="33"/>
  <c r="K227" i="33"/>
  <c r="Q214" i="33"/>
  <c r="O214" i="33"/>
  <c r="M214" i="33"/>
  <c r="K214" i="33"/>
  <c r="Q204" i="33"/>
  <c r="O204" i="33"/>
  <c r="M204" i="33"/>
  <c r="K204" i="33"/>
  <c r="Q180" i="33"/>
  <c r="O180" i="33"/>
  <c r="M180" i="33"/>
  <c r="K180" i="33"/>
  <c r="Q155" i="33"/>
  <c r="S155" i="33" s="1"/>
  <c r="O155" i="33"/>
  <c r="M155" i="33"/>
  <c r="K155" i="33"/>
  <c r="Q132" i="33"/>
  <c r="S132" i="33" s="1"/>
  <c r="O132" i="33"/>
  <c r="M132" i="33"/>
  <c r="K132" i="33"/>
  <c r="Q120" i="33"/>
  <c r="Q216" i="33" s="1"/>
  <c r="O120" i="33"/>
  <c r="O216" i="33" s="1"/>
  <c r="M120" i="33"/>
  <c r="M216" i="33" s="1"/>
  <c r="K120" i="33"/>
  <c r="Q92" i="33"/>
  <c r="S92" i="33" s="1"/>
  <c r="O92" i="33"/>
  <c r="M92" i="33"/>
  <c r="K92" i="33"/>
  <c r="Q81" i="33"/>
  <c r="S81" i="33" s="1"/>
  <c r="O81" i="33"/>
  <c r="M81" i="33"/>
  <c r="K81" i="33"/>
  <c r="Q66" i="33"/>
  <c r="S66" i="33" s="1"/>
  <c r="O66" i="33"/>
  <c r="M66" i="33"/>
  <c r="K66" i="33"/>
  <c r="Q57" i="33"/>
  <c r="S57" i="33" s="1"/>
  <c r="O57" i="33"/>
  <c r="M57" i="33"/>
  <c r="K57" i="33"/>
  <c r="Q42" i="33"/>
  <c r="S42" i="33" s="1"/>
  <c r="O42" i="33"/>
  <c r="M42" i="33"/>
  <c r="K42" i="33"/>
  <c r="Q28" i="33"/>
  <c r="O28" i="33"/>
  <c r="M28" i="33"/>
  <c r="M94" i="33" s="1"/>
  <c r="K28" i="33"/>
  <c r="K94" i="33" s="1"/>
  <c r="Q17" i="33"/>
  <c r="O17" i="33"/>
  <c r="M17" i="33"/>
  <c r="K17" i="33"/>
  <c r="S282" i="33" l="1"/>
  <c r="M298" i="33"/>
  <c r="K216" i="33"/>
  <c r="S216" i="33" s="1"/>
  <c r="K284" i="33"/>
  <c r="S284" i="33" s="1"/>
  <c r="S180" i="33"/>
  <c r="S204" i="33"/>
  <c r="S214" i="33"/>
  <c r="S227" i="33"/>
  <c r="S235" i="33"/>
  <c r="S260" i="33"/>
  <c r="S266" i="33"/>
  <c r="S274" i="33"/>
  <c r="Q296" i="33"/>
  <c r="Q94" i="33"/>
  <c r="S94" i="33" s="1"/>
  <c r="O94" i="33"/>
  <c r="O298" i="33" s="1"/>
  <c r="S17" i="33"/>
  <c r="S120" i="33"/>
  <c r="S28" i="33"/>
  <c r="S245" i="33"/>
  <c r="K298" i="33"/>
  <c r="Q298" i="33" l="1"/>
  <c r="S298" i="33" s="1"/>
  <c r="K313" i="33"/>
  <c r="M217" i="32" l="1"/>
  <c r="M213" i="32"/>
  <c r="M205" i="32"/>
  <c r="M197" i="32"/>
  <c r="M31" i="32"/>
  <c r="C267" i="32"/>
  <c r="D252" i="32"/>
  <c r="H250" i="32"/>
  <c r="E250" i="32"/>
  <c r="H249" i="32"/>
  <c r="E249" i="32"/>
  <c r="F249" i="32" s="1"/>
  <c r="H248" i="32"/>
  <c r="E248" i="32"/>
  <c r="F248" i="32" s="1"/>
  <c r="H247" i="32"/>
  <c r="E247" i="32"/>
  <c r="H246" i="32"/>
  <c r="E246" i="32"/>
  <c r="H245" i="32"/>
  <c r="E245" i="32"/>
  <c r="F245" i="32" s="1"/>
  <c r="H244" i="32"/>
  <c r="E244" i="32"/>
  <c r="E237" i="32"/>
  <c r="D237" i="32"/>
  <c r="C237" i="32"/>
  <c r="H236" i="32"/>
  <c r="I236" i="32" s="1"/>
  <c r="M236" i="32" s="1"/>
  <c r="O236" i="32" s="1"/>
  <c r="H235" i="32"/>
  <c r="I235" i="32" s="1"/>
  <c r="H233" i="32"/>
  <c r="I233" i="32" s="1"/>
  <c r="M233" i="32" s="1"/>
  <c r="N233" i="32" s="1"/>
  <c r="E232" i="32"/>
  <c r="G232" i="32" s="1"/>
  <c r="D232" i="32"/>
  <c r="C232" i="32"/>
  <c r="H231" i="32"/>
  <c r="I231" i="32" s="1"/>
  <c r="M231" i="32" s="1"/>
  <c r="O231" i="32" s="1"/>
  <c r="H230" i="32"/>
  <c r="H232" i="32" s="1"/>
  <c r="I228" i="32"/>
  <c r="M228" i="32" s="1"/>
  <c r="O228" i="32" s="1"/>
  <c r="H228" i="32"/>
  <c r="E227" i="32"/>
  <c r="D227" i="32"/>
  <c r="C227" i="32"/>
  <c r="H226" i="32"/>
  <c r="I226" i="32" s="1"/>
  <c r="M226" i="32" s="1"/>
  <c r="O226" i="32" s="1"/>
  <c r="H225" i="32"/>
  <c r="H227" i="32" s="1"/>
  <c r="E223" i="32"/>
  <c r="D223" i="32"/>
  <c r="C223" i="32"/>
  <c r="G223" i="32" s="1"/>
  <c r="H222" i="32"/>
  <c r="I222" i="32" s="1"/>
  <c r="M222" i="32" s="1"/>
  <c r="O222" i="32" s="1"/>
  <c r="H221" i="32"/>
  <c r="H219" i="32"/>
  <c r="I219" i="32" s="1"/>
  <c r="M219" i="32" s="1"/>
  <c r="O219" i="32" s="1"/>
  <c r="H218" i="32"/>
  <c r="I218" i="32" s="1"/>
  <c r="M218" i="32" s="1"/>
  <c r="O218" i="32" s="1"/>
  <c r="E217" i="32"/>
  <c r="D217" i="32"/>
  <c r="C217" i="32"/>
  <c r="G217" i="32" s="1"/>
  <c r="I216" i="32"/>
  <c r="H216" i="32"/>
  <c r="H215" i="32"/>
  <c r="E213" i="32"/>
  <c r="D213" i="32"/>
  <c r="C213" i="32"/>
  <c r="I212" i="32"/>
  <c r="H212" i="32"/>
  <c r="H211" i="32"/>
  <c r="I209" i="32"/>
  <c r="H209" i="32"/>
  <c r="E205" i="32"/>
  <c r="D205" i="32"/>
  <c r="C205" i="32"/>
  <c r="I203" i="32"/>
  <c r="H203" i="32"/>
  <c r="H202" i="32"/>
  <c r="H205" i="32" s="1"/>
  <c r="I201" i="32"/>
  <c r="H201" i="32"/>
  <c r="E197" i="32"/>
  <c r="D197" i="32"/>
  <c r="C197" i="32"/>
  <c r="H195" i="32"/>
  <c r="I195" i="32" s="1"/>
  <c r="H194" i="32"/>
  <c r="I194" i="32" s="1"/>
  <c r="H193" i="32"/>
  <c r="I193" i="32" s="1"/>
  <c r="H192" i="32"/>
  <c r="I192" i="32" s="1"/>
  <c r="H191" i="32"/>
  <c r="I191" i="32" s="1"/>
  <c r="H190" i="32"/>
  <c r="E184" i="32"/>
  <c r="D184" i="32"/>
  <c r="C184" i="32"/>
  <c r="G184" i="32" s="1"/>
  <c r="I183" i="32"/>
  <c r="H183" i="32"/>
  <c r="H182" i="32"/>
  <c r="I182" i="32" s="1"/>
  <c r="I181" i="32"/>
  <c r="H181" i="32"/>
  <c r="H180" i="32"/>
  <c r="I180" i="32" s="1"/>
  <c r="H179" i="32"/>
  <c r="I179" i="32" s="1"/>
  <c r="H178" i="32"/>
  <c r="E176" i="32"/>
  <c r="G176" i="32" s="1"/>
  <c r="D176" i="32"/>
  <c r="C176" i="32"/>
  <c r="I175" i="32"/>
  <c r="H175" i="32"/>
  <c r="H174" i="32"/>
  <c r="I174" i="32" s="1"/>
  <c r="I173" i="32"/>
  <c r="H173" i="32"/>
  <c r="H172" i="32"/>
  <c r="I172" i="32" s="1"/>
  <c r="I171" i="32"/>
  <c r="H171" i="32"/>
  <c r="H170" i="32"/>
  <c r="I170" i="32" s="1"/>
  <c r="H169" i="32"/>
  <c r="I169" i="32" s="1"/>
  <c r="H168" i="32"/>
  <c r="I168" i="32" s="1"/>
  <c r="H167" i="32"/>
  <c r="I167" i="32" s="1"/>
  <c r="H166" i="32"/>
  <c r="I166" i="32" s="1"/>
  <c r="H165" i="32"/>
  <c r="I165" i="32" s="1"/>
  <c r="H164" i="32"/>
  <c r="I164" i="32" s="1"/>
  <c r="I163" i="32"/>
  <c r="H163" i="32"/>
  <c r="H162" i="32"/>
  <c r="I162" i="32" s="1"/>
  <c r="H161" i="32"/>
  <c r="I161" i="32" s="1"/>
  <c r="H160" i="32"/>
  <c r="I160" i="32" s="1"/>
  <c r="I159" i="32"/>
  <c r="H159" i="32"/>
  <c r="H158" i="32"/>
  <c r="I158" i="32" s="1"/>
  <c r="I157" i="32"/>
  <c r="H157" i="32"/>
  <c r="H156" i="32"/>
  <c r="E154" i="32"/>
  <c r="D154" i="32"/>
  <c r="C154" i="32"/>
  <c r="H153" i="32"/>
  <c r="I153" i="32" s="1"/>
  <c r="H152" i="32"/>
  <c r="I152" i="32" s="1"/>
  <c r="H151" i="32"/>
  <c r="I151" i="32" s="1"/>
  <c r="H150" i="32"/>
  <c r="I150" i="32" s="1"/>
  <c r="H149" i="32"/>
  <c r="I149" i="32" s="1"/>
  <c r="H148" i="32"/>
  <c r="I148" i="32" s="1"/>
  <c r="H147" i="32"/>
  <c r="I147" i="32" s="1"/>
  <c r="H146" i="32"/>
  <c r="I146" i="32" s="1"/>
  <c r="H145" i="32"/>
  <c r="I145" i="32" s="1"/>
  <c r="H144" i="32"/>
  <c r="I144" i="32" s="1"/>
  <c r="H143" i="32"/>
  <c r="I143" i="32" s="1"/>
  <c r="H142" i="32"/>
  <c r="I142" i="32" s="1"/>
  <c r="H141" i="32"/>
  <c r="I141" i="32" s="1"/>
  <c r="H140" i="32"/>
  <c r="I140" i="32" s="1"/>
  <c r="H139" i="32"/>
  <c r="I139" i="32" s="1"/>
  <c r="H138" i="32"/>
  <c r="I138" i="32" s="1"/>
  <c r="H137" i="32"/>
  <c r="I137" i="32" s="1"/>
  <c r="H136" i="32"/>
  <c r="I136" i="32" s="1"/>
  <c r="H135" i="32"/>
  <c r="I135" i="32" s="1"/>
  <c r="H134" i="32"/>
  <c r="I134" i="32" s="1"/>
  <c r="H133" i="32"/>
  <c r="I133" i="32" s="1"/>
  <c r="E131" i="32"/>
  <c r="D131" i="32"/>
  <c r="C131" i="32"/>
  <c r="H130" i="32"/>
  <c r="I130" i="32" s="1"/>
  <c r="H129" i="32"/>
  <c r="I129" i="32" s="1"/>
  <c r="H128" i="32"/>
  <c r="I128" i="32" s="1"/>
  <c r="H127" i="32"/>
  <c r="I127" i="32" s="1"/>
  <c r="H126" i="32"/>
  <c r="I126" i="32" s="1"/>
  <c r="H125" i="32"/>
  <c r="I125" i="32" s="1"/>
  <c r="H124" i="32"/>
  <c r="I124" i="32" s="1"/>
  <c r="H123" i="32"/>
  <c r="I123" i="32" s="1"/>
  <c r="H122" i="32"/>
  <c r="I122" i="32" s="1"/>
  <c r="H121" i="32"/>
  <c r="I121" i="32" s="1"/>
  <c r="H120" i="32"/>
  <c r="I120" i="32" s="1"/>
  <c r="H119" i="32"/>
  <c r="I119" i="32" s="1"/>
  <c r="I118" i="32"/>
  <c r="H118" i="32"/>
  <c r="H117" i="32"/>
  <c r="I117" i="32" s="1"/>
  <c r="H116" i="32"/>
  <c r="I116" i="32" s="1"/>
  <c r="H115" i="32"/>
  <c r="I115" i="32" s="1"/>
  <c r="H114" i="32"/>
  <c r="I114" i="32" s="1"/>
  <c r="H113" i="32"/>
  <c r="I113" i="32" s="1"/>
  <c r="H112" i="32"/>
  <c r="I112" i="32" s="1"/>
  <c r="E110" i="32"/>
  <c r="D110" i="32"/>
  <c r="C110" i="32"/>
  <c r="H109" i="32"/>
  <c r="I109" i="32" s="1"/>
  <c r="H108" i="32"/>
  <c r="I108" i="32" s="1"/>
  <c r="H107" i="32"/>
  <c r="I107" i="32" s="1"/>
  <c r="H106" i="32"/>
  <c r="I106" i="32" s="1"/>
  <c r="H105" i="32"/>
  <c r="I105" i="32" s="1"/>
  <c r="H104" i="32"/>
  <c r="I104" i="32" s="1"/>
  <c r="H103" i="32"/>
  <c r="I103" i="32" s="1"/>
  <c r="H102" i="32"/>
  <c r="I102" i="32" s="1"/>
  <c r="E100" i="32"/>
  <c r="D100" i="32"/>
  <c r="C100" i="32"/>
  <c r="H99" i="32"/>
  <c r="I99" i="32" s="1"/>
  <c r="H98" i="32"/>
  <c r="I98" i="32" s="1"/>
  <c r="H97" i="32"/>
  <c r="I97" i="32" s="1"/>
  <c r="H96" i="32"/>
  <c r="I96" i="32" s="1"/>
  <c r="H95" i="32"/>
  <c r="I95" i="32" s="1"/>
  <c r="I94" i="32"/>
  <c r="H94" i="32"/>
  <c r="H93" i="32"/>
  <c r="I93" i="32" s="1"/>
  <c r="H92" i="32"/>
  <c r="I92" i="32" s="1"/>
  <c r="H91" i="32"/>
  <c r="I91" i="32" s="1"/>
  <c r="H90" i="32"/>
  <c r="I90" i="32" s="1"/>
  <c r="H89" i="32"/>
  <c r="I89" i="32" s="1"/>
  <c r="H88" i="32"/>
  <c r="I88" i="32" s="1"/>
  <c r="H87" i="32"/>
  <c r="I87" i="32" s="1"/>
  <c r="I86" i="32"/>
  <c r="H86" i="32"/>
  <c r="H85" i="32"/>
  <c r="I85" i="32" s="1"/>
  <c r="H84" i="32"/>
  <c r="I84" i="32" s="1"/>
  <c r="H83" i="32"/>
  <c r="I83" i="32" s="1"/>
  <c r="H82" i="32"/>
  <c r="I82" i="32" s="1"/>
  <c r="H81" i="32"/>
  <c r="I81" i="32" s="1"/>
  <c r="H80" i="32"/>
  <c r="E73" i="32"/>
  <c r="D73" i="32"/>
  <c r="C73" i="32"/>
  <c r="H72" i="32"/>
  <c r="I72" i="32" s="1"/>
  <c r="H71" i="32"/>
  <c r="I71" i="32" s="1"/>
  <c r="H70" i="32"/>
  <c r="I70" i="32" s="1"/>
  <c r="H69" i="32"/>
  <c r="I69" i="32" s="1"/>
  <c r="H68" i="32"/>
  <c r="I68" i="32" s="1"/>
  <c r="H67" i="32"/>
  <c r="I67" i="32" s="1"/>
  <c r="H66" i="32"/>
  <c r="E64" i="32"/>
  <c r="G64" i="32" s="1"/>
  <c r="D64" i="32"/>
  <c r="C64" i="32"/>
  <c r="H63" i="32"/>
  <c r="I63" i="32" s="1"/>
  <c r="H62" i="32"/>
  <c r="I62" i="32" s="1"/>
  <c r="H61" i="32"/>
  <c r="I61" i="32" s="1"/>
  <c r="H60" i="32"/>
  <c r="I60" i="32" s="1"/>
  <c r="H59" i="32"/>
  <c r="I59" i="32" s="1"/>
  <c r="H58" i="32"/>
  <c r="I58" i="32" s="1"/>
  <c r="H57" i="32"/>
  <c r="I57" i="32" s="1"/>
  <c r="H56" i="32"/>
  <c r="I56" i="32" s="1"/>
  <c r="H55" i="32"/>
  <c r="I55" i="32" s="1"/>
  <c r="I54" i="32"/>
  <c r="H54" i="32"/>
  <c r="H53" i="32"/>
  <c r="E51" i="32"/>
  <c r="G51" i="32" s="1"/>
  <c r="D51" i="32"/>
  <c r="C51" i="32"/>
  <c r="H50" i="32"/>
  <c r="I50" i="32" s="1"/>
  <c r="H49" i="32"/>
  <c r="I49" i="32" s="1"/>
  <c r="H48" i="32"/>
  <c r="I48" i="32" s="1"/>
  <c r="H47" i="32"/>
  <c r="I47" i="32" s="1"/>
  <c r="H46" i="32"/>
  <c r="E44" i="32"/>
  <c r="D44" i="32"/>
  <c r="C44" i="32"/>
  <c r="H43" i="32"/>
  <c r="I43" i="32" s="1"/>
  <c r="H42" i="32"/>
  <c r="I42" i="32" s="1"/>
  <c r="H41" i="32"/>
  <c r="I41" i="32" s="1"/>
  <c r="H40" i="32"/>
  <c r="I40" i="32" s="1"/>
  <c r="H39" i="32"/>
  <c r="I39" i="32" s="1"/>
  <c r="H38" i="32"/>
  <c r="I38" i="32" s="1"/>
  <c r="H37" i="32"/>
  <c r="I37" i="32" s="1"/>
  <c r="H36" i="32"/>
  <c r="I36" i="32" s="1"/>
  <c r="H35" i="32"/>
  <c r="I35" i="32" s="1"/>
  <c r="H34" i="32"/>
  <c r="I34" i="32" s="1"/>
  <c r="H33" i="32"/>
  <c r="E31" i="32"/>
  <c r="D31" i="32"/>
  <c r="C31" i="32"/>
  <c r="H30" i="32"/>
  <c r="I30" i="32" s="1"/>
  <c r="H29" i="32"/>
  <c r="I29" i="32" s="1"/>
  <c r="H28" i="32"/>
  <c r="I28" i="32" s="1"/>
  <c r="H27" i="32"/>
  <c r="I27" i="32" s="1"/>
  <c r="H26" i="32"/>
  <c r="I26" i="32" s="1"/>
  <c r="H25" i="32"/>
  <c r="I25" i="32" s="1"/>
  <c r="H24" i="32"/>
  <c r="I24" i="32" s="1"/>
  <c r="H23" i="32"/>
  <c r="I23" i="32" s="1"/>
  <c r="H22" i="32"/>
  <c r="I22" i="32" s="1"/>
  <c r="H21" i="32"/>
  <c r="E19" i="32"/>
  <c r="C19" i="32"/>
  <c r="C75" i="32" s="1"/>
  <c r="H18" i="32"/>
  <c r="I18" i="32" s="1"/>
  <c r="H17" i="32"/>
  <c r="I17" i="32" s="1"/>
  <c r="D16" i="32"/>
  <c r="I15" i="32"/>
  <c r="H15" i="32"/>
  <c r="H14" i="32"/>
  <c r="I14" i="32" s="1"/>
  <c r="H9" i="32"/>
  <c r="I9" i="32" s="1"/>
  <c r="G227" i="32" l="1"/>
  <c r="G237" i="32"/>
  <c r="H197" i="32"/>
  <c r="G197" i="32"/>
  <c r="G205" i="32"/>
  <c r="H252" i="32"/>
  <c r="H176" i="32"/>
  <c r="E239" i="32"/>
  <c r="G239" i="32" s="1"/>
  <c r="H51" i="32"/>
  <c r="C186" i="32"/>
  <c r="H217" i="32"/>
  <c r="I225" i="32"/>
  <c r="I249" i="32"/>
  <c r="M249" i="32" s="1"/>
  <c r="O249" i="32" s="1"/>
  <c r="G73" i="32"/>
  <c r="H184" i="32"/>
  <c r="H223" i="32"/>
  <c r="H239" i="32" s="1"/>
  <c r="O233" i="32"/>
  <c r="N239" i="32"/>
  <c r="N254" i="32" s="1"/>
  <c r="E75" i="32"/>
  <c r="H73" i="32"/>
  <c r="I246" i="32"/>
  <c r="M246" i="32" s="1"/>
  <c r="O246" i="32" s="1"/>
  <c r="F246" i="32"/>
  <c r="H64" i="32"/>
  <c r="H100" i="32"/>
  <c r="G100" i="32"/>
  <c r="G154" i="32"/>
  <c r="I156" i="32"/>
  <c r="I176" i="32" s="1"/>
  <c r="I178" i="32"/>
  <c r="I184" i="32" s="1"/>
  <c r="I202" i="32"/>
  <c r="I205" i="32" s="1"/>
  <c r="H213" i="32"/>
  <c r="C239" i="32"/>
  <c r="C254" i="32" s="1"/>
  <c r="C269" i="32" s="1"/>
  <c r="I215" i="32"/>
  <c r="I217" i="32" s="1"/>
  <c r="I221" i="32"/>
  <c r="I244" i="32"/>
  <c r="M244" i="32" s="1"/>
  <c r="O244" i="32" s="1"/>
  <c r="I250" i="32"/>
  <c r="M250" i="32" s="1"/>
  <c r="O250" i="32" s="1"/>
  <c r="F250" i="32"/>
  <c r="D19" i="32"/>
  <c r="D75" i="32" s="1"/>
  <c r="Q16" i="32"/>
  <c r="M16" i="32"/>
  <c r="O16" i="32" s="1"/>
  <c r="O19" i="32" s="1"/>
  <c r="D186" i="32"/>
  <c r="I190" i="32"/>
  <c r="I197" i="32" s="1"/>
  <c r="I227" i="32"/>
  <c r="I237" i="32"/>
  <c r="H31" i="32"/>
  <c r="G31" i="32"/>
  <c r="H44" i="32"/>
  <c r="G44" i="32"/>
  <c r="I80" i="32"/>
  <c r="I100" i="32" s="1"/>
  <c r="G110" i="32"/>
  <c r="G131" i="32"/>
  <c r="I211" i="32"/>
  <c r="I213" i="32" s="1"/>
  <c r="D239" i="32"/>
  <c r="I230" i="32"/>
  <c r="I247" i="32"/>
  <c r="M247" i="32" s="1"/>
  <c r="O247" i="32" s="1"/>
  <c r="F247" i="32"/>
  <c r="I248" i="32"/>
  <c r="M248" i="32" s="1"/>
  <c r="O248" i="32" s="1"/>
  <c r="M225" i="32"/>
  <c r="M235" i="32"/>
  <c r="I131" i="32"/>
  <c r="I154" i="32"/>
  <c r="H237" i="32"/>
  <c r="E252" i="32"/>
  <c r="F244" i="32"/>
  <c r="I245" i="32"/>
  <c r="M245" i="32" s="1"/>
  <c r="O154" i="32"/>
  <c r="O131" i="32"/>
  <c r="M64" i="32"/>
  <c r="O64" i="32"/>
  <c r="O73" i="32"/>
  <c r="M73" i="32"/>
  <c r="O176" i="32"/>
  <c r="M44" i="32"/>
  <c r="O44" i="32"/>
  <c r="M51" i="32"/>
  <c r="O51" i="32"/>
  <c r="O110" i="32"/>
  <c r="M110" i="32"/>
  <c r="M131" i="32"/>
  <c r="O184" i="32"/>
  <c r="M184" i="32"/>
  <c r="O31" i="32"/>
  <c r="M100" i="32"/>
  <c r="M154" i="32"/>
  <c r="O217" i="32"/>
  <c r="O100" i="32"/>
  <c r="O197" i="32"/>
  <c r="O205" i="32"/>
  <c r="O213" i="32"/>
  <c r="M176" i="32"/>
  <c r="G75" i="32"/>
  <c r="I110" i="32"/>
  <c r="H16" i="32"/>
  <c r="G19" i="32"/>
  <c r="I21" i="32"/>
  <c r="I31" i="32" s="1"/>
  <c r="G213" i="32"/>
  <c r="H110" i="32"/>
  <c r="H131" i="32"/>
  <c r="H154" i="32"/>
  <c r="E186" i="32"/>
  <c r="G186" i="32" s="1"/>
  <c r="I33" i="32"/>
  <c r="I44" i="32" s="1"/>
  <c r="I46" i="32"/>
  <c r="I51" i="32" s="1"/>
  <c r="I53" i="32"/>
  <c r="I64" i="32" s="1"/>
  <c r="I66" i="32"/>
  <c r="I73" i="32" s="1"/>
  <c r="D240" i="32" l="1"/>
  <c r="I252" i="32"/>
  <c r="M252" i="32"/>
  <c r="M19" i="32"/>
  <c r="M75" i="32" s="1"/>
  <c r="M237" i="32"/>
  <c r="O235" i="32"/>
  <c r="O237" i="32" s="1"/>
  <c r="H186" i="32"/>
  <c r="O245" i="32"/>
  <c r="O252" i="32" s="1"/>
  <c r="M227" i="32"/>
  <c r="O225" i="32"/>
  <c r="O227" i="32" s="1"/>
  <c r="I232" i="32"/>
  <c r="M230" i="32"/>
  <c r="F252" i="32"/>
  <c r="F254" i="32" s="1"/>
  <c r="I223" i="32"/>
  <c r="M221" i="32"/>
  <c r="O186" i="32"/>
  <c r="O75" i="32"/>
  <c r="M186" i="32"/>
  <c r="H19" i="32"/>
  <c r="H75" i="32" s="1"/>
  <c r="I16" i="32"/>
  <c r="I19" i="32" s="1"/>
  <c r="I75" i="32" s="1"/>
  <c r="I186" i="32"/>
  <c r="E254" i="32"/>
  <c r="G254" i="32" s="1"/>
  <c r="H254" i="32" l="1"/>
  <c r="I239" i="32"/>
  <c r="O221" i="32"/>
  <c r="O223" i="32" s="1"/>
  <c r="M223" i="32"/>
  <c r="M232" i="32"/>
  <c r="O230" i="32"/>
  <c r="O232" i="32" s="1"/>
  <c r="I254" i="32"/>
  <c r="O257" i="32" s="1"/>
  <c r="M239" i="32" l="1"/>
  <c r="M254" i="32" s="1"/>
  <c r="O263" i="32" s="1"/>
  <c r="O239" i="32"/>
  <c r="O254" i="32" s="1"/>
  <c r="O259" i="50" s="1"/>
  <c r="D28" i="6" s="1"/>
  <c r="O257" i="39"/>
  <c r="O259" i="39" s="1"/>
  <c r="D27" i="6" s="1"/>
  <c r="J14" i="31"/>
  <c r="F23" i="31"/>
  <c r="H23" i="31" s="1"/>
  <c r="F14" i="31"/>
  <c r="F18" i="31" s="1"/>
  <c r="O259" i="32" l="1"/>
  <c r="D26" i="6" s="1"/>
  <c r="I36" i="31" s="1"/>
  <c r="I16" i="31" s="1"/>
  <c r="J23" i="31"/>
  <c r="F25" i="31"/>
  <c r="F27" i="31" s="1"/>
  <c r="H11" i="6" s="1"/>
  <c r="H13" i="6" s="1"/>
  <c r="F25" i="6" l="1"/>
  <c r="H25" i="6" s="1"/>
  <c r="F20" i="6"/>
  <c r="H20" i="6" s="1"/>
  <c r="F30" i="6"/>
  <c r="H30" i="6" s="1"/>
  <c r="F29" i="6"/>
  <c r="H29" i="6" s="1"/>
  <c r="F22" i="6"/>
  <c r="H22" i="6" s="1"/>
  <c r="F26" i="6"/>
  <c r="H26" i="6" s="1"/>
  <c r="F23" i="6"/>
  <c r="H23" i="6" s="1"/>
  <c r="F27" i="6"/>
  <c r="H27" i="6" s="1"/>
  <c r="F28" i="6"/>
  <c r="H28" i="6" s="1"/>
  <c r="F21" i="6"/>
  <c r="H21" i="6" s="1"/>
  <c r="F24" i="6"/>
  <c r="H24" i="6" s="1"/>
  <c r="F19" i="6"/>
  <c r="F33" i="6"/>
  <c r="H33" i="6" s="1"/>
  <c r="F32" i="6"/>
  <c r="H32" i="6" s="1"/>
  <c r="F31" i="6"/>
  <c r="H19" i="6" l="1"/>
  <c r="G16" i="31"/>
  <c r="H16" i="31" s="1"/>
  <c r="I19" i="38"/>
  <c r="I21" i="38" s="1"/>
  <c r="H31" i="6"/>
  <c r="I23" i="26"/>
  <c r="I25" i="26" s="1"/>
  <c r="H35" i="6" l="1"/>
  <c r="H37" i="6" s="1"/>
  <c r="H18" i="31"/>
  <c r="H25" i="31" s="1"/>
  <c r="H27" i="31" s="1"/>
  <c r="J16" i="31"/>
  <c r="J18" i="31" s="1"/>
  <c r="J25" i="31" s="1"/>
  <c r="J27" i="31" s="1"/>
  <c r="L27" i="31" l="1"/>
  <c r="L28" i="31" s="1"/>
</calcChain>
</file>

<file path=xl/sharedStrings.xml><?xml version="1.0" encoding="utf-8"?>
<sst xmlns="http://schemas.openxmlformats.org/spreadsheetml/2006/main" count="4087" uniqueCount="800">
  <si>
    <t>East Kentucky Power Cooperative, Inc.</t>
  </si>
  <si>
    <t>Amount</t>
  </si>
  <si>
    <t>See Separate Worksheet Tab</t>
  </si>
  <si>
    <t>($ Millions)</t>
  </si>
  <si>
    <t>Schedule 1.30</t>
  </si>
  <si>
    <t>Proposed Revenue Increase</t>
  </si>
  <si>
    <t>Revenue Increase based on TIER:</t>
  </si>
  <si>
    <t>Proforma Interest on Long Term Debt</t>
  </si>
  <si>
    <t>Proposed TIER</t>
  </si>
  <si>
    <t>Authorized Margins</t>
  </si>
  <si>
    <t>Proforma Net Margins</t>
  </si>
  <si>
    <t>Required Increase in Revenues</t>
  </si>
  <si>
    <t>Impact on PSC Assessment -</t>
  </si>
  <si>
    <t xml:space="preserve">  2020 Assessment</t>
  </si>
  <si>
    <t xml:space="preserve">  2019 Gross Operating Revenues</t>
  </si>
  <si>
    <t xml:space="preserve">  Assessment Rate</t>
  </si>
  <si>
    <t>Additional Assessment due to Required Increase in Revenues</t>
  </si>
  <si>
    <t>Total Proposed Revenue Increase</t>
  </si>
  <si>
    <t>As Filed</t>
  </si>
  <si>
    <t>Adjustments</t>
  </si>
  <si>
    <t>Amount of Increase Requested by EKPC</t>
  </si>
  <si>
    <t>Calculated Net Margin Revenue Requirement as Filed by EKPC</t>
  </si>
  <si>
    <t>Case Number 2021-00103</t>
  </si>
  <si>
    <t>Before</t>
  </si>
  <si>
    <t xml:space="preserve">Adjustment </t>
  </si>
  <si>
    <t>Gross-Up</t>
  </si>
  <si>
    <t>Factor</t>
  </si>
  <si>
    <t>After</t>
  </si>
  <si>
    <t>Workpaper 1.19 Depreciation ES FINAL.xlsx</t>
  </si>
  <si>
    <t>Original Cost</t>
  </si>
  <si>
    <t>Excluded</t>
  </si>
  <si>
    <t>Calculated</t>
  </si>
  <si>
    <t>as of</t>
  </si>
  <si>
    <t>Surcharge</t>
  </si>
  <si>
    <t>Annual Accrual</t>
  </si>
  <si>
    <t>Depreciation</t>
  </si>
  <si>
    <t>ACCOUNT</t>
  </si>
  <si>
    <t>December 31, 2019</t>
  </si>
  <si>
    <t>Plant in Service</t>
  </si>
  <si>
    <t>Amount - Total</t>
  </si>
  <si>
    <t>Rate</t>
  </si>
  <si>
    <t>Amount - Surcharge</t>
  </si>
  <si>
    <t>Amount - Net</t>
  </si>
  <si>
    <t>INTANGIBLE PLANT</t>
  </si>
  <si>
    <t>MISCELLANEOUS INTANGIBLE PLANT</t>
  </si>
  <si>
    <t xml:space="preserve">STEAM PRODUCTION PLANT </t>
  </si>
  <si>
    <t>LAND AND LAND RIGHTS</t>
  </si>
  <si>
    <t>COOPER COMMON - LANDFILL</t>
  </si>
  <si>
    <t>COOPER COMMON - ACCESS ROAD</t>
  </si>
  <si>
    <t>SPURLOCK COMMON - LANDFILL</t>
  </si>
  <si>
    <t>SPURLOCK COMMON - AMMONIA CONTAINMENT</t>
  </si>
  <si>
    <t>SMITH COMMON - LANDFILL</t>
  </si>
  <si>
    <t>TOTAL LAND AND LAND RIGHTS</t>
  </si>
  <si>
    <t>STRUCTURES AND IMPROVEMENTS</t>
  </si>
  <si>
    <t>CENTRAL LAB</t>
  </si>
  <si>
    <t>COOPER COMMON</t>
  </si>
  <si>
    <t>COOPER UNIT 2 SCRUBBER</t>
  </si>
  <si>
    <t>SPURLOCK COMMON</t>
  </si>
  <si>
    <t>SPURLOCK UNIT 1</t>
  </si>
  <si>
    <t>SPURLOCK UNIT 2</t>
  </si>
  <si>
    <t>SPURLOCK UNIT 3</t>
  </si>
  <si>
    <t>SPURLOCK UNIT 4</t>
  </si>
  <si>
    <t>SPURLOCK UNIT 1 SCRUBBER</t>
  </si>
  <si>
    <t>SPURLOCK UNIT 2 SCRUBBER</t>
  </si>
  <si>
    <t>TOTAL STRUCTURES AND IMPROVEMENTS</t>
  </si>
  <si>
    <t>BOILER PLANT EQUIPMENT</t>
  </si>
  <si>
    <t>COOPER UNIT 1</t>
  </si>
  <si>
    <t>COOPER UNIT 2</t>
  </si>
  <si>
    <t>TOTAL BOILER PLANT EQUIPMENT</t>
  </si>
  <si>
    <t>TURBOGENERATOR UNITS</t>
  </si>
  <si>
    <t>TOTAL TURBOGENERATOR UNITS</t>
  </si>
  <si>
    <t>ACCESSORY ELECTRIC EQUIPMENT</t>
  </si>
  <si>
    <t>TOTAL ACCESSORY ELECTRIC EQUIPMENT</t>
  </si>
  <si>
    <t>MISCELLANEOUS POWER PLANT EQUIPMENT</t>
  </si>
  <si>
    <t>TOTAL MISCELLANEOUS POWER PLANT EQUIPMENT</t>
  </si>
  <si>
    <t xml:space="preserve">TOTAL STEAM PRODUCTION PLANT </t>
  </si>
  <si>
    <t xml:space="preserve">OTHER PRODUCTION PLANT </t>
  </si>
  <si>
    <t>SMITH CT COMMON</t>
  </si>
  <si>
    <t>SMITH CT UNIT 1</t>
  </si>
  <si>
    <t>SMITH CT UNIT 2</t>
  </si>
  <si>
    <t>SMITH CT UNIT 3</t>
  </si>
  <si>
    <t>SMITH CT UNIT 4</t>
  </si>
  <si>
    <t>SMITH CT UNIT 5</t>
  </si>
  <si>
    <t>SMITH CT UNIT 6</t>
  </si>
  <si>
    <t>SMITH CT UNIT 7</t>
  </si>
  <si>
    <t>SMITH CT UNIT 9</t>
  </si>
  <si>
    <t>SMITH CT UNIT 10</t>
  </si>
  <si>
    <t>GREEN VALLEY LANDFILL</t>
  </si>
  <si>
    <t>LAUREL RIDGE LANDFILL</t>
  </si>
  <si>
    <t>BAVARIAN LANDFILL</t>
  </si>
  <si>
    <t>PEARL HOLLOW LANDFILL</t>
  </si>
  <si>
    <t>PENDLETON COUNTY LANDFILL</t>
  </si>
  <si>
    <t>BLUEGRASS OLDHAM COMMON</t>
  </si>
  <si>
    <t>BLUEGRASS OLDHAM UNIT 1</t>
  </si>
  <si>
    <t>BLUEGRASS OLDHAM UNIT 2</t>
  </si>
  <si>
    <t>BLUEGRASS OLDHAM UNIT 3</t>
  </si>
  <si>
    <t>COOPERATIVE SOLAR</t>
  </si>
  <si>
    <t>FUEL HOLDERS AND ACCESSORIES</t>
  </si>
  <si>
    <t>TOTAL FUEL HOLDERS AND ACCESSORIES</t>
  </si>
  <si>
    <t>PRIME MOVERS</t>
  </si>
  <si>
    <t>TOTAL PRIME MOVERS</t>
  </si>
  <si>
    <t>GENERATORS</t>
  </si>
  <si>
    <t>GLASGOW LANDFILL</t>
  </si>
  <si>
    <t>TOTAL GENERATORS</t>
  </si>
  <si>
    <t xml:space="preserve">TOTAL OTHER PRODUCTION PLANT </t>
  </si>
  <si>
    <t xml:space="preserve">TRANSMISSION PLANT </t>
  </si>
  <si>
    <t xml:space="preserve">STATION EQUIPMENT                   </t>
  </si>
  <si>
    <t xml:space="preserve">STATION EQUIPMENT - ECS                   </t>
  </si>
  <si>
    <t xml:space="preserve">TOWERS AND FIXTURES                 </t>
  </si>
  <si>
    <t xml:space="preserve">POLES AND FIXTURES                  </t>
  </si>
  <si>
    <t xml:space="preserve">OVERHEAD CONDUCTORS AND DEVICES     </t>
  </si>
  <si>
    <t>ROADS AND TRAILS</t>
  </si>
  <si>
    <t xml:space="preserve">TOTAL TRANSMISSION PLANT </t>
  </si>
  <si>
    <t xml:space="preserve">DISTRIBUTION PLANT </t>
  </si>
  <si>
    <t>STATION EQUIPMENT - SCADA</t>
  </si>
  <si>
    <t>LINE TRANSFORMERS</t>
  </si>
  <si>
    <t xml:space="preserve">TOTAL DISTRIBUTION PLANT </t>
  </si>
  <si>
    <t xml:space="preserve">GENERAL PLANT </t>
  </si>
  <si>
    <t>OFFICE STRUCTURES AND IMPROVEMENTS</t>
  </si>
  <si>
    <t xml:space="preserve">OFFICE FURNITURE AND EQUIPMENT             </t>
  </si>
  <si>
    <t>FULLY ACCRUED</t>
  </si>
  <si>
    <t>AMORTIZED</t>
  </si>
  <si>
    <t>TOTAL OFFICE FURNITURE AND EQUIPMENT</t>
  </si>
  <si>
    <t>OFFICE FURNITURE AND EQUIPMENT - PEOPLESOFT</t>
  </si>
  <si>
    <t>TOTAL OFFICE FURNITURE AND EQUIPMENT - PEOPLESOFT</t>
  </si>
  <si>
    <t xml:space="preserve">TRANSPORTATION EQUIPMENT                   </t>
  </si>
  <si>
    <t xml:space="preserve">STORES EQUIPMENT                           </t>
  </si>
  <si>
    <t xml:space="preserve">TOOLS, SHOP, AND GARAGE EQUIPMENT          </t>
  </si>
  <si>
    <t>TOTAL TOOLS, SHOP AND GARAGE EQUIPMENT</t>
  </si>
  <si>
    <t xml:space="preserve">LABORATORY EQUIPMENT                       </t>
  </si>
  <si>
    <t>TOTAL LABORATORY EQUIPMENT</t>
  </si>
  <si>
    <t xml:space="preserve">POWER OPERATED EQUIPMENT                   </t>
  </si>
  <si>
    <t xml:space="preserve">COMMUNICATION EQUIPMENT                    </t>
  </si>
  <si>
    <t>TOTAL COMMUNICATION EQUIPMENT</t>
  </si>
  <si>
    <t xml:space="preserve">COMMUNICATION EQUIPMENT - ECS              </t>
  </si>
  <si>
    <t xml:space="preserve">MISCELLANEOUS EQUIPMENT                    </t>
  </si>
  <si>
    <t>TOTAL MISCELLANEOUS EQUIPMENT</t>
  </si>
  <si>
    <t xml:space="preserve">TOTAL GENERAL PLANT </t>
  </si>
  <si>
    <t>Total Excluded Surcharge Plant in Service</t>
  </si>
  <si>
    <t>RESERVE ADJUSTMENT FOR AMORTIZATION - Not Surcharge Related</t>
  </si>
  <si>
    <t>TOTAL RESERVE ADJUSTMENT FOR AMORTIZATION</t>
  </si>
  <si>
    <t xml:space="preserve">TOTAL DEPRECIABLE PLANT </t>
  </si>
  <si>
    <t>NONDEPRECIABLE PLANT AND ACCOUNTS NOT STUDIED</t>
  </si>
  <si>
    <t>ORGANIZATION</t>
  </si>
  <si>
    <t>LAND</t>
  </si>
  <si>
    <t>TOTAL NONDEPRECIABLE PLANT AND ACCOUNTS NOT STUDIED</t>
  </si>
  <si>
    <t xml:space="preserve">TOTAL ELECTRIC PLANT </t>
  </si>
  <si>
    <t>EKPC</t>
  </si>
  <si>
    <t>EAST KENTUCKY POWER COOPERATIVE, INC.</t>
  </si>
  <si>
    <t>TABLE 1.  SUMMARY OF ESTIMATED SURVIVOR CURVE, NET SALVAGE PERCENT, ORIGINAL COST, BOOK DEPRECIATION RESERVE</t>
  </si>
  <si>
    <t>AND CALCULATED ANNUAL DEPRECIATION ACCRUALS RELATED TO ELECTRIC PLANT AS OF DECEMBER 31, 2019</t>
  </si>
  <si>
    <t>PROBABLE</t>
  </si>
  <si>
    <t>NET</t>
  </si>
  <si>
    <t>ORIGINAL COST</t>
  </si>
  <si>
    <t>BOOK</t>
  </si>
  <si>
    <t>CALCULATED</t>
  </si>
  <si>
    <t>COMPOSITE</t>
  </si>
  <si>
    <t>RETIREMENT</t>
  </si>
  <si>
    <t>SURVIVOR</t>
  </si>
  <si>
    <t>SALVAGE</t>
  </si>
  <si>
    <t xml:space="preserve">AS OF </t>
  </si>
  <si>
    <t>DEPRECIATION</t>
  </si>
  <si>
    <t>FUTURE</t>
  </si>
  <si>
    <t>ANNUAL ACCRUAL</t>
  </si>
  <si>
    <t>REMAINING</t>
  </si>
  <si>
    <t>DATE</t>
  </si>
  <si>
    <t>CURVE</t>
  </si>
  <si>
    <t>PERCENT</t>
  </si>
  <si>
    <t>DECEMBER 31, 2019</t>
  </si>
  <si>
    <t>RESERVE</t>
  </si>
  <si>
    <t>ACCRUALS</t>
  </si>
  <si>
    <t>AMOUNT</t>
  </si>
  <si>
    <t>RATE</t>
  </si>
  <si>
    <t>LIFE</t>
  </si>
  <si>
    <t>(9)=(8)/(5)</t>
  </si>
  <si>
    <t>(10)=(7)/(8)</t>
  </si>
  <si>
    <t>ELECTRIC PLANT</t>
  </si>
  <si>
    <t>10-SQ</t>
  </si>
  <si>
    <t/>
  </si>
  <si>
    <t>TOTAL INTANGIBLE PLANT</t>
  </si>
  <si>
    <t>SQUARE</t>
  </si>
  <si>
    <t>*</t>
  </si>
  <si>
    <t>85-S1.5</t>
  </si>
  <si>
    <t>55-S0.5</t>
  </si>
  <si>
    <t>50-R2</t>
  </si>
  <si>
    <t>60-R4</t>
  </si>
  <si>
    <t>30-L1</t>
  </si>
  <si>
    <t>55-S1</t>
  </si>
  <si>
    <t>FUEL HOLDERS, PRODUCERS AND ACCESSORIES</t>
  </si>
  <si>
    <t>50-S2.5</t>
  </si>
  <si>
    <t>TOTAL FUEL HOLDERS, PRODUCERS AND ACCESSORIES</t>
  </si>
  <si>
    <t>50-R3</t>
  </si>
  <si>
    <t>50-R2.5</t>
  </si>
  <si>
    <t>40-S2.5</t>
  </si>
  <si>
    <t>60-R2</t>
  </si>
  <si>
    <t xml:space="preserve">STATION EQUIPMENT - ENERGY CONTROL SYSTEM       </t>
  </si>
  <si>
    <t>25-S1.5</t>
  </si>
  <si>
    <t>70-R4</t>
  </si>
  <si>
    <t>60-S2</t>
  </si>
  <si>
    <t>35-R0.5</t>
  </si>
  <si>
    <t>35-R2.5</t>
  </si>
  <si>
    <t>65-R4</t>
  </si>
  <si>
    <t>20-SQ</t>
  </si>
  <si>
    <t>15-SQ</t>
  </si>
  <si>
    <t>11-L1.5</t>
  </si>
  <si>
    <t>25-SQ</t>
  </si>
  <si>
    <t xml:space="preserve">TOOLS, SHOP AND GARAGE EQUIPMENT          </t>
  </si>
  <si>
    <t>20-R1.5</t>
  </si>
  <si>
    <t>COMMUNICATION EQUIPMENT - ENERGY CONTROL SYSTEM</t>
  </si>
  <si>
    <t>**</t>
  </si>
  <si>
    <t>RESERVE ADJUSTMENT FOR AMORTIZATION</t>
  </si>
  <si>
    <t>***</t>
  </si>
  <si>
    <t>LIFE SPAN PROCEDURE USED.  CURVE SHOWN IS INTERIM SURVIVOR CURVE.</t>
  </si>
  <si>
    <t>NEW ADDITIONS WILL UTILIZE A 10% DEPRECIATION RATE BASED ON A 10-SQ SURVIVOR CURVE AND 0% NET SALVAGE.</t>
  </si>
  <si>
    <t>10-YEAR AMORTIZATION OF RESERVE ADJUSTMENT RELATED TO IMPLEMENTATION OF AMORTIZATION ACCOUNTING.</t>
  </si>
  <si>
    <t>NOT</t>
  </si>
  <si>
    <t>ROUNDED</t>
  </si>
  <si>
    <t>AS-FILED</t>
  </si>
  <si>
    <t>YEARS</t>
  </si>
  <si>
    <t>ADDED</t>
  </si>
  <si>
    <t xml:space="preserve">Rounded </t>
  </si>
  <si>
    <t>Not Rounded</t>
  </si>
  <si>
    <t>Rounded</t>
  </si>
  <si>
    <t>As Filed Base Rate Depreciation Expense</t>
  </si>
  <si>
    <t xml:space="preserve">If then </t>
  </si>
  <si>
    <t>Check</t>
  </si>
  <si>
    <t>Adjustment by RUS Account Number</t>
  </si>
  <si>
    <t>Plant in Service and ARO</t>
  </si>
  <si>
    <t>Project</t>
  </si>
  <si>
    <t>Balance as of</t>
  </si>
  <si>
    <t>RUS Account Numbers</t>
  </si>
  <si>
    <t>Number</t>
  </si>
  <si>
    <t>Description</t>
  </si>
  <si>
    <t>106</t>
  </si>
  <si>
    <t>107</t>
  </si>
  <si>
    <t>182.330</t>
  </si>
  <si>
    <t>Totals</t>
  </si>
  <si>
    <t>Gilbert</t>
  </si>
  <si>
    <t>Spurlock 1 - Precipitator</t>
  </si>
  <si>
    <t>Spurlock 1 - SCR</t>
  </si>
  <si>
    <t>Spurlock 2 - SCR</t>
  </si>
  <si>
    <t>Spurlock 1 - Low Nox Burners</t>
  </si>
  <si>
    <t>Spurlock 2 - Scrubber</t>
  </si>
  <si>
    <t>Spurlock 1 - Scrubber</t>
  </si>
  <si>
    <t>Spurlock 4</t>
  </si>
  <si>
    <t>Spurlock &amp; Cooper - CEMs</t>
  </si>
  <si>
    <t>Cooper 2 - AQCS</t>
  </si>
  <si>
    <t>Spurlock - Landfill Area C</t>
  </si>
  <si>
    <t>Spurlock Amended Project ARO</t>
  </si>
  <si>
    <t>Spurlock 2 - Ductwork</t>
  </si>
  <si>
    <t>Cooper 1 - Ductwork</t>
  </si>
  <si>
    <t>Smith Special Waste Landfill</t>
  </si>
  <si>
    <t>Dale Ash Pond Reclamation ARO</t>
  </si>
  <si>
    <t>CCR / ELG</t>
  </si>
  <si>
    <t>Cooper Landfill Cap ARO</t>
  </si>
  <si>
    <t>Cooper Landfill Phases 1A &amp; 1B</t>
  </si>
  <si>
    <t>Cooper Sediment Pond</t>
  </si>
  <si>
    <t>Cooper Ash Mixer Unloader</t>
  </si>
  <si>
    <t>Cooper Ditch Sediment Trap</t>
  </si>
  <si>
    <t>Spurlock Site Drainage Improve.</t>
  </si>
  <si>
    <t>Spurlock HG (Mercury) Compliance</t>
  </si>
  <si>
    <t>Spurlock Ammonia 2nd Containmt</t>
  </si>
  <si>
    <t>Spurlock Vacuum Ash</t>
  </si>
  <si>
    <t>Spurlock DSI System</t>
  </si>
  <si>
    <t>Spurlock Coal Pile Retention Pond</t>
  </si>
  <si>
    <t xml:space="preserve">Note:  </t>
  </si>
  <si>
    <t>EKPC was permitted by the Commission to accumulate the Dale Ash Pond Reclamation costs (Project 15) and will be recovering those over a 10-year amortization period.  The amortization expenses were reported during</t>
  </si>
  <si>
    <t>all of calendar year 2019.  These Reclamation costs will be part of the settlement of the ARO associated with the Dale Ash Ponds as well as associated with regulatory assets EKPC was allowed to establish</t>
  </si>
  <si>
    <t>in conjunction with the accretion and depreciation expense arising from the ARO.  EKPC is allowed to earn a return in the rate base calculation on the unamortized balance of the Reclamation costs.</t>
  </si>
  <si>
    <t xml:space="preserve">EKPC was permitted by the Commission to accumulate costs associated with landfill caps at Spurlock (Project 12 Amended) and Cooper (Project 17) and will be recovering those over a 2-year amortization period. </t>
  </si>
  <si>
    <t>Amortization began in April 2019.  These costs will be part of the settlement of the ARO associated with the Spurlock and Cooper landfill caps as well as associated with regulatory assets EKPC was allowed to</t>
  </si>
  <si>
    <t>establish in conjunction with the accretion and depreciation expense arising from the ARO.  EKPC did not seek nor was authorized to earn a return on the unamortized balance of these landfill cap costs.</t>
  </si>
  <si>
    <t>Adjustment to Interest Expense and Principal Payments</t>
  </si>
  <si>
    <t>Total Note Information</t>
  </si>
  <si>
    <t>Interest &amp; Principal Associated with Compliance Project</t>
  </si>
  <si>
    <t>Outstanding Bal.</t>
  </si>
  <si>
    <t>Interest Rate</t>
  </si>
  <si>
    <t>2019 Actual</t>
  </si>
  <si>
    <t>Normalized</t>
  </si>
  <si>
    <t>2019 Principal</t>
  </si>
  <si>
    <t>Net Book Value</t>
  </si>
  <si>
    <t>%age NBV to</t>
  </si>
  <si>
    <t>Compliance Project</t>
  </si>
  <si>
    <t>Loan Source</t>
  </si>
  <si>
    <t>Note Number</t>
  </si>
  <si>
    <t>at 12/31/2019</t>
  </si>
  <si>
    <t>Interest Expense</t>
  </si>
  <si>
    <t>Payment</t>
  </si>
  <si>
    <t>1 - Gilbert</t>
  </si>
  <si>
    <t>Z-8</t>
  </si>
  <si>
    <t>H0810</t>
  </si>
  <si>
    <t>H0815</t>
  </si>
  <si>
    <t>H0820</t>
  </si>
  <si>
    <t>H0825</t>
  </si>
  <si>
    <t>H0830</t>
  </si>
  <si>
    <t>H0835</t>
  </si>
  <si>
    <t>H0840</t>
  </si>
  <si>
    <t>H0845</t>
  </si>
  <si>
    <t>H0855</t>
  </si>
  <si>
    <t>H0860</t>
  </si>
  <si>
    <t>H0870</t>
  </si>
  <si>
    <t>H0915</t>
  </si>
  <si>
    <t>H0920</t>
  </si>
  <si>
    <t>H1025</t>
  </si>
  <si>
    <t>Totals Z-8</t>
  </si>
  <si>
    <t>Average Cost of Debt</t>
  </si>
  <si>
    <t>2 - Spurlock 1 - Precipitator</t>
  </si>
  <si>
    <t>Y-8</t>
  </si>
  <si>
    <t>H0720</t>
  </si>
  <si>
    <t>3 - Spurlock 1 - SCR</t>
  </si>
  <si>
    <t>H0725</t>
  </si>
  <si>
    <t>Several of the notes which financed these projects were paid off</t>
  </si>
  <si>
    <t>4 - Spurlock 2 - SCR</t>
  </si>
  <si>
    <t>H0730</t>
  </si>
  <si>
    <t xml:space="preserve">  early utilizing the Cushion of Credit; allocation percentage will be</t>
  </si>
  <si>
    <t>H0885</t>
  </si>
  <si>
    <t xml:space="preserve">  limited to 100%.</t>
  </si>
  <si>
    <t>H0960</t>
  </si>
  <si>
    <t>H1005</t>
  </si>
  <si>
    <t>Totals Y-8</t>
  </si>
  <si>
    <t>6 - Spurlock 1 - Low Nox Burners</t>
  </si>
  <si>
    <t>AH-8</t>
  </si>
  <si>
    <t>H1200</t>
  </si>
  <si>
    <t>9 - Spurlock 4 - Ash Silo</t>
  </si>
  <si>
    <t>(outstanding</t>
  </si>
  <si>
    <t>H1280</t>
  </si>
  <si>
    <t>10 - Spurlock &amp; Cooper CEM Equip</t>
  </si>
  <si>
    <t>balance</t>
  </si>
  <si>
    <t>H1285</t>
  </si>
  <si>
    <t>12 - Spurlock Landfill Expansion</t>
  </si>
  <si>
    <t>associated</t>
  </si>
  <si>
    <t>H1305</t>
  </si>
  <si>
    <t>with surcharge)</t>
  </si>
  <si>
    <t>H1310</t>
  </si>
  <si>
    <t>(proportional</t>
  </si>
  <si>
    <t>H1325</t>
  </si>
  <si>
    <t>allocation)</t>
  </si>
  <si>
    <t>H1345</t>
  </si>
  <si>
    <t>Totals AH-8</t>
  </si>
  <si>
    <t>7 - Spurlock 2 - Scrubber</t>
  </si>
  <si>
    <t>AG-8</t>
  </si>
  <si>
    <t>H1035</t>
  </si>
  <si>
    <t>8 - Spurlock 1 - Scrubber</t>
  </si>
  <si>
    <t>H1040</t>
  </si>
  <si>
    <t>H1045</t>
  </si>
  <si>
    <t>H1050</t>
  </si>
  <si>
    <t>H1055</t>
  </si>
  <si>
    <t>H1060</t>
  </si>
  <si>
    <t>H1070</t>
  </si>
  <si>
    <t>H1075</t>
  </si>
  <si>
    <t>H1085</t>
  </si>
  <si>
    <t>H1095</t>
  </si>
  <si>
    <t>H1100</t>
  </si>
  <si>
    <t>H1105</t>
  </si>
  <si>
    <t>H1110</t>
  </si>
  <si>
    <t>H1115</t>
  </si>
  <si>
    <t>H1130</t>
  </si>
  <si>
    <t>H1170</t>
  </si>
  <si>
    <t>H1190</t>
  </si>
  <si>
    <t>H1220</t>
  </si>
  <si>
    <t>H1320</t>
  </si>
  <si>
    <t>Totals AG-8</t>
  </si>
  <si>
    <t>9 - Spurlock 4 - Environmental</t>
  </si>
  <si>
    <t>AD-8</t>
  </si>
  <si>
    <t>H0925</t>
  </si>
  <si>
    <t>H0930</t>
  </si>
  <si>
    <t>H0935</t>
  </si>
  <si>
    <t>H0940</t>
  </si>
  <si>
    <t>H0945</t>
  </si>
  <si>
    <t>H0955</t>
  </si>
  <si>
    <t>H0965</t>
  </si>
  <si>
    <t>H0975</t>
  </si>
  <si>
    <t>H0980</t>
  </si>
  <si>
    <t>H0985</t>
  </si>
  <si>
    <t>H0990</t>
  </si>
  <si>
    <t>H0995</t>
  </si>
  <si>
    <t>H1000</t>
  </si>
  <si>
    <t>H1010</t>
  </si>
  <si>
    <t>H1015</t>
  </si>
  <si>
    <t>H1020</t>
  </si>
  <si>
    <t>H1030</t>
  </si>
  <si>
    <t>H1065</t>
  </si>
  <si>
    <t>H1215</t>
  </si>
  <si>
    <t>H1275</t>
  </si>
  <si>
    <t>Totals AD-8</t>
  </si>
  <si>
    <t>11 - Cooper - Air Quality Control</t>
  </si>
  <si>
    <t>AL-8</t>
  </si>
  <si>
    <t>H1210</t>
  </si>
  <si>
    <t>H1245</t>
  </si>
  <si>
    <t>H1250</t>
  </si>
  <si>
    <t>H1255</t>
  </si>
  <si>
    <t>H1265</t>
  </si>
  <si>
    <t>H1270</t>
  </si>
  <si>
    <t>H1290</t>
  </si>
  <si>
    <t>H1315</t>
  </si>
  <si>
    <t>H1355</t>
  </si>
  <si>
    <t>Totals AL-8</t>
  </si>
  <si>
    <t>AN-8</t>
  </si>
  <si>
    <t>F1395 FFB 25-3</t>
  </si>
  <si>
    <t>14 - Cooper 1 Tie to Cooper AQCS</t>
  </si>
  <si>
    <t>#1 FFB 25-1</t>
  </si>
  <si>
    <t>15 - Smith Special Waste Landfill</t>
  </si>
  <si>
    <t>#5 FFB 25-5</t>
  </si>
  <si>
    <t>17 - Cooper Landfill - Phase 1A&amp;1B</t>
  </si>
  <si>
    <t>#7 FFB 25-7</t>
  </si>
  <si>
    <t>21 - Spurlock Drainage Improve.</t>
  </si>
  <si>
    <t>#9 FFB 25-9</t>
  </si>
  <si>
    <t>22 - Spurlock HG Compliance</t>
  </si>
  <si>
    <t>#10 FFB 25-10</t>
  </si>
  <si>
    <t>23 - Spurlock Anhydrous Ammonia</t>
  </si>
  <si>
    <t>24 - Spurlock Vacuum Truck Ash</t>
  </si>
  <si>
    <t>Totals AN-8</t>
  </si>
  <si>
    <t>25 - Spurlock 1&amp;2 Dry Sorbent Inj.</t>
  </si>
  <si>
    <t>Totals, All Categories</t>
  </si>
  <si>
    <t>Summary AG-Nucor Revenue Requirement Recommendations</t>
  </si>
  <si>
    <t>AG-Nucor Adjustments to EKPC's Calculated Revenue Requirement:</t>
  </si>
  <si>
    <t>Schedule 1.04</t>
  </si>
  <si>
    <t>Adjustment to Normalize Interest Expense on Long-Term Debt</t>
  </si>
  <si>
    <t>Normalized Interest Expense</t>
  </si>
  <si>
    <t>Actual</t>
  </si>
  <si>
    <t>Outstanding</t>
  </si>
  <si>
    <t xml:space="preserve">as of  </t>
  </si>
  <si>
    <t>Test Year</t>
  </si>
  <si>
    <t>Type of Debt Issue</t>
  </si>
  <si>
    <t>as of 12/31/2019</t>
  </si>
  <si>
    <t>Bonds:</t>
  </si>
  <si>
    <t xml:space="preserve">  Private Placement Bonds</t>
  </si>
  <si>
    <t xml:space="preserve">  Private Placement Bonds - 2019</t>
  </si>
  <si>
    <t xml:space="preserve">  Cooper Solid Waste Disposal Bonds</t>
  </si>
  <si>
    <t xml:space="preserve">  Total Bonds</t>
  </si>
  <si>
    <t>Notes:</t>
  </si>
  <si>
    <t xml:space="preserve">  National Rural Utilities Cooperative Finance Corporation ("CFC") -</t>
  </si>
  <si>
    <t xml:space="preserve">    CFC - Term Loan</t>
  </si>
  <si>
    <t xml:space="preserve">    Clean Renewable Energy Bonds</t>
  </si>
  <si>
    <t xml:space="preserve">    New Clean Renewable Energy Bonds</t>
  </si>
  <si>
    <t xml:space="preserve">    NCSC Unsecured #9061009</t>
  </si>
  <si>
    <t xml:space="preserve">    NCSC Unsecured #9061010</t>
  </si>
  <si>
    <t xml:space="preserve">    NCSC Unsecured #9061011</t>
  </si>
  <si>
    <t xml:space="preserve">    NCSC Unsecured #9061012</t>
  </si>
  <si>
    <t xml:space="preserve">    NCSC Unsecured #9061013</t>
  </si>
  <si>
    <t xml:space="preserve">    NCSC Unsecured #9061014</t>
  </si>
  <si>
    <t xml:space="preserve">  Total CFC</t>
  </si>
  <si>
    <t xml:space="preserve">  Rural Utilities Service ("RUS") Notes -</t>
  </si>
  <si>
    <t xml:space="preserve">    T62-1-B650</t>
  </si>
  <si>
    <t xml:space="preserve">    T62-1-B655</t>
  </si>
  <si>
    <t xml:space="preserve">  Total RUS</t>
  </si>
  <si>
    <t xml:space="preserve">  Federal Financing Bank ("FFB") Notes -</t>
  </si>
  <si>
    <t xml:space="preserve">    H0615</t>
  </si>
  <si>
    <t xml:space="preserve">    H0635</t>
  </si>
  <si>
    <t xml:space="preserve">    H0640</t>
  </si>
  <si>
    <t xml:space="preserve">    H0645</t>
  </si>
  <si>
    <t xml:space="preserve">    H0655</t>
  </si>
  <si>
    <t xml:space="preserve">    H0660</t>
  </si>
  <si>
    <t xml:space="preserve">    H0665</t>
  </si>
  <si>
    <t xml:space="preserve">    H0670</t>
  </si>
  <si>
    <t xml:space="preserve">    H0675</t>
  </si>
  <si>
    <t xml:space="preserve">    H0680</t>
  </si>
  <si>
    <t xml:space="preserve">    H0685</t>
  </si>
  <si>
    <t xml:space="preserve">    H0690</t>
  </si>
  <si>
    <t xml:space="preserve">    H0695</t>
  </si>
  <si>
    <t xml:space="preserve">    H0700</t>
  </si>
  <si>
    <t xml:space="preserve">    H0705</t>
  </si>
  <si>
    <t xml:space="preserve">    H0710</t>
  </si>
  <si>
    <t xml:space="preserve">    H0715</t>
  </si>
  <si>
    <t xml:space="preserve">    H0720</t>
  </si>
  <si>
    <t xml:space="preserve">    H0725</t>
  </si>
  <si>
    <t xml:space="preserve">    H0730</t>
  </si>
  <si>
    <t xml:space="preserve">    H0735</t>
  </si>
  <si>
    <t xml:space="preserve">    H0740</t>
  </si>
  <si>
    <t xml:space="preserve">    H0745</t>
  </si>
  <si>
    <t xml:space="preserve">    H0750</t>
  </si>
  <si>
    <t xml:space="preserve">    H0755</t>
  </si>
  <si>
    <t xml:space="preserve">    H0760</t>
  </si>
  <si>
    <t xml:space="preserve">    H0765</t>
  </si>
  <si>
    <t xml:space="preserve">    H0770</t>
  </si>
  <si>
    <t xml:space="preserve">    H0775</t>
  </si>
  <si>
    <t xml:space="preserve">    H0780</t>
  </si>
  <si>
    <t xml:space="preserve">    H0785</t>
  </si>
  <si>
    <t xml:space="preserve">    H0790</t>
  </si>
  <si>
    <t xml:space="preserve">    H0795</t>
  </si>
  <si>
    <t xml:space="preserve">    H0800</t>
  </si>
  <si>
    <t xml:space="preserve">    H0805</t>
  </si>
  <si>
    <t xml:space="preserve">    H0810</t>
  </si>
  <si>
    <t xml:space="preserve">    H0815</t>
  </si>
  <si>
    <t xml:space="preserve">    H0820</t>
  </si>
  <si>
    <t xml:space="preserve">    H0825</t>
  </si>
  <si>
    <t xml:space="preserve">    H0830</t>
  </si>
  <si>
    <t xml:space="preserve">    H0835</t>
  </si>
  <si>
    <t xml:space="preserve">    H0840</t>
  </si>
  <si>
    <t xml:space="preserve">    H0845</t>
  </si>
  <si>
    <t xml:space="preserve">    H0850</t>
  </si>
  <si>
    <t xml:space="preserve">    H0855</t>
  </si>
  <si>
    <t xml:space="preserve">    H0860</t>
  </si>
  <si>
    <t xml:space="preserve">    H0865</t>
  </si>
  <si>
    <t xml:space="preserve">    H0870</t>
  </si>
  <si>
    <t xml:space="preserve">    H0875</t>
  </si>
  <si>
    <t xml:space="preserve">    H0880</t>
  </si>
  <si>
    <t xml:space="preserve">    H0885</t>
  </si>
  <si>
    <t xml:space="preserve">    H0890</t>
  </si>
  <si>
    <t xml:space="preserve">    H0895</t>
  </si>
  <si>
    <t xml:space="preserve">    H0900</t>
  </si>
  <si>
    <t xml:space="preserve">    H0905</t>
  </si>
  <si>
    <t xml:space="preserve">    H0910</t>
  </si>
  <si>
    <t xml:space="preserve">    H0915</t>
  </si>
  <si>
    <t xml:space="preserve">    H0920</t>
  </si>
  <si>
    <t xml:space="preserve">    H0925</t>
  </si>
  <si>
    <t xml:space="preserve">    H0930</t>
  </si>
  <si>
    <t xml:space="preserve">    H0935</t>
  </si>
  <si>
    <t xml:space="preserve">    H0940</t>
  </si>
  <si>
    <t xml:space="preserve">    H0945</t>
  </si>
  <si>
    <t xml:space="preserve">    H0950</t>
  </si>
  <si>
    <t xml:space="preserve">    H0955</t>
  </si>
  <si>
    <t xml:space="preserve">    H0960</t>
  </si>
  <si>
    <t xml:space="preserve">    H0965</t>
  </si>
  <si>
    <t xml:space="preserve">    H0970</t>
  </si>
  <si>
    <t xml:space="preserve">    H0975</t>
  </si>
  <si>
    <t xml:space="preserve">    H0980</t>
  </si>
  <si>
    <t xml:space="preserve">    H0985</t>
  </si>
  <si>
    <t xml:space="preserve">    H0990</t>
  </si>
  <si>
    <t xml:space="preserve">    H0995</t>
  </si>
  <si>
    <t xml:space="preserve">    H1000</t>
  </si>
  <si>
    <t xml:space="preserve">    H1005</t>
  </si>
  <si>
    <t xml:space="preserve">    H1010</t>
  </si>
  <si>
    <t xml:space="preserve">    H1015</t>
  </si>
  <si>
    <t xml:space="preserve">    H1020</t>
  </si>
  <si>
    <t xml:space="preserve">    H1025</t>
  </si>
  <si>
    <t xml:space="preserve">    H1030</t>
  </si>
  <si>
    <t xml:space="preserve">    H1035</t>
  </si>
  <si>
    <t xml:space="preserve">    H1040</t>
  </si>
  <si>
    <t xml:space="preserve">    H1045</t>
  </si>
  <si>
    <t xml:space="preserve">    H1050</t>
  </si>
  <si>
    <t xml:space="preserve">    H1055</t>
  </si>
  <si>
    <t xml:space="preserve">    H1060</t>
  </si>
  <si>
    <t xml:space="preserve">    H1065</t>
  </si>
  <si>
    <t xml:space="preserve">    H1070</t>
  </si>
  <si>
    <t xml:space="preserve">    H1075</t>
  </si>
  <si>
    <t xml:space="preserve">    H1080</t>
  </si>
  <si>
    <t xml:space="preserve">    H1085</t>
  </si>
  <si>
    <t xml:space="preserve">    H1090</t>
  </si>
  <si>
    <t xml:space="preserve">    H1095</t>
  </si>
  <si>
    <t xml:space="preserve">    H1100</t>
  </si>
  <si>
    <t xml:space="preserve">    H1105</t>
  </si>
  <si>
    <t xml:space="preserve">    H1110</t>
  </si>
  <si>
    <t xml:space="preserve">    H1115</t>
  </si>
  <si>
    <t xml:space="preserve">    H1120</t>
  </si>
  <si>
    <t xml:space="preserve">    H1125</t>
  </si>
  <si>
    <t xml:space="preserve">    H1130</t>
  </si>
  <si>
    <t xml:space="preserve">    H1135</t>
  </si>
  <si>
    <t xml:space="preserve">    H1140</t>
  </si>
  <si>
    <t xml:space="preserve">    H1145</t>
  </si>
  <si>
    <t xml:space="preserve">    H1150</t>
  </si>
  <si>
    <t xml:space="preserve">    H1155</t>
  </si>
  <si>
    <t xml:space="preserve">    H1160</t>
  </si>
  <si>
    <t xml:space="preserve">    H1165</t>
  </si>
  <si>
    <t xml:space="preserve">    H1170</t>
  </si>
  <si>
    <t xml:space="preserve">    H1175</t>
  </si>
  <si>
    <t xml:space="preserve">    H1180</t>
  </si>
  <si>
    <t xml:space="preserve">    H1185</t>
  </si>
  <si>
    <t xml:space="preserve">    H1190</t>
  </si>
  <si>
    <t xml:space="preserve">    H1195</t>
  </si>
  <si>
    <t xml:space="preserve">    H1200</t>
  </si>
  <si>
    <t xml:space="preserve">    H1205</t>
  </si>
  <si>
    <t xml:space="preserve">    H1210</t>
  </si>
  <si>
    <t xml:space="preserve">    H1215</t>
  </si>
  <si>
    <t xml:space="preserve">    H1220</t>
  </si>
  <si>
    <t xml:space="preserve">    H1225</t>
  </si>
  <si>
    <t xml:space="preserve">    H1230</t>
  </si>
  <si>
    <t xml:space="preserve">    H1235</t>
  </si>
  <si>
    <t xml:space="preserve">    H1240</t>
  </si>
  <si>
    <t xml:space="preserve">    H1245</t>
  </si>
  <si>
    <t xml:space="preserve">    H1250</t>
  </si>
  <si>
    <t xml:space="preserve">    H1255</t>
  </si>
  <si>
    <t xml:space="preserve">    H1260</t>
  </si>
  <si>
    <t xml:space="preserve">    H1265</t>
  </si>
  <si>
    <t xml:space="preserve">    H1270</t>
  </si>
  <si>
    <t xml:space="preserve">    H1275</t>
  </si>
  <si>
    <t xml:space="preserve">    H1280</t>
  </si>
  <si>
    <t xml:space="preserve">    H1285</t>
  </si>
  <si>
    <t xml:space="preserve">    H1290</t>
  </si>
  <si>
    <t xml:space="preserve">    H1295</t>
  </si>
  <si>
    <t xml:space="preserve">    H1300</t>
  </si>
  <si>
    <t xml:space="preserve">    H1305</t>
  </si>
  <si>
    <t xml:space="preserve">    H1310</t>
  </si>
  <si>
    <t xml:space="preserve">    H1315</t>
  </si>
  <si>
    <t xml:space="preserve">    H1320</t>
  </si>
  <si>
    <t xml:space="preserve">    H1325</t>
  </si>
  <si>
    <t xml:space="preserve">    H1330</t>
  </si>
  <si>
    <t xml:space="preserve">    H1335</t>
  </si>
  <si>
    <t xml:space="preserve">    H1340</t>
  </si>
  <si>
    <t xml:space="preserve">    H1345</t>
  </si>
  <si>
    <t xml:space="preserve">    H1350</t>
  </si>
  <si>
    <t xml:space="preserve">    H1355</t>
  </si>
  <si>
    <t xml:space="preserve">    H1360</t>
  </si>
  <si>
    <t xml:space="preserve">    H1365</t>
  </si>
  <si>
    <t xml:space="preserve">    FFB-25-1</t>
  </si>
  <si>
    <t xml:space="preserve">    FFB-26-1</t>
  </si>
  <si>
    <t xml:space="preserve">    F1380</t>
  </si>
  <si>
    <t xml:space="preserve">    FFB-25-2</t>
  </si>
  <si>
    <t xml:space="preserve">    F1390</t>
  </si>
  <si>
    <t xml:space="preserve">    FFB-25-3</t>
  </si>
  <si>
    <t xml:space="preserve">    F1400</t>
  </si>
  <si>
    <t xml:space="preserve">    FFB-25-4</t>
  </si>
  <si>
    <t xml:space="preserve">    FFB-24-5</t>
  </si>
  <si>
    <t xml:space="preserve">    FFB-25-5</t>
  </si>
  <si>
    <t xml:space="preserve">    FFB-24-6</t>
  </si>
  <si>
    <t xml:space="preserve">    FFB-25-6</t>
  </si>
  <si>
    <t xml:space="preserve">    FFB-25-7</t>
  </si>
  <si>
    <t xml:space="preserve">    FFB-26-2</t>
  </si>
  <si>
    <t xml:space="preserve">    FFB-27-1</t>
  </si>
  <si>
    <t xml:space="preserve">    FFB-28-1</t>
  </si>
  <si>
    <t xml:space="preserve">    FFB-24-7</t>
  </si>
  <si>
    <t xml:space="preserve">    FFB-25-8</t>
  </si>
  <si>
    <t xml:space="preserve">    FFB-24-8</t>
  </si>
  <si>
    <t xml:space="preserve">    FFB-25-9</t>
  </si>
  <si>
    <t xml:space="preserve">    FFB-24-9</t>
  </si>
  <si>
    <t xml:space="preserve">    FFB-25-10</t>
  </si>
  <si>
    <t xml:space="preserve">  Total FFB</t>
  </si>
  <si>
    <t xml:space="preserve">  Total Long-Term Debt and Interest Expense</t>
  </si>
  <si>
    <t>Unsecured Credit Facility</t>
  </si>
  <si>
    <t>Interest Expense associated with Environmental Surcharge</t>
  </si>
  <si>
    <t>Proposed Adjustment to Interest Expense, exclusive of Interest Expense associated</t>
  </si>
  <si>
    <t xml:space="preserve">    with Environmental Surcharge:</t>
  </si>
  <si>
    <t xml:space="preserve">  Total Normalized Interest Expense, based on 6/30/2020 rates</t>
  </si>
  <si>
    <t xml:space="preserve">  Less:  Normalized Interest Expense associated with Environmental Surcharge</t>
  </si>
  <si>
    <t xml:space="preserve">  Net Normalized Interest Expense, based on 6/30/2020 rates</t>
  </si>
  <si>
    <t xml:space="preserve">  Total Test Year Actual Interest Expense</t>
  </si>
  <si>
    <t xml:space="preserve">  Less:  Test Year Interest Expense associated with Environmental Surcharge</t>
  </si>
  <si>
    <t xml:space="preserve">  Net Test Year Actual Interest Expense</t>
  </si>
  <si>
    <t xml:space="preserve">  Proposed Adjustment to Interest Expense</t>
  </si>
  <si>
    <t>Avg Interest Rate</t>
  </si>
  <si>
    <t>AG-Nucor Adjustment to Environmental Surcharge Interest Expense Removal</t>
  </si>
  <si>
    <t xml:space="preserve"> Project 16 CCR/ELG CWIP</t>
  </si>
  <si>
    <t xml:space="preserve"> Project 12 Spurlock Landfill CWIP</t>
  </si>
  <si>
    <t xml:space="preserve"> Project 26 Spurlock Coal Pile Retention Pond CWIP</t>
  </si>
  <si>
    <t>Total</t>
  </si>
  <si>
    <t>Average Interest Rate on Company's ES Projects Removal WP</t>
  </si>
  <si>
    <t>Avg Int Rate</t>
  </si>
  <si>
    <t>Additional Interest Exp Removal Needed for ES Projects</t>
  </si>
  <si>
    <t>($)</t>
  </si>
  <si>
    <t>TIER Requested by EKPC</t>
  </si>
  <si>
    <t>Average Interest Rate on all of Company's Debt</t>
  </si>
  <si>
    <t>Revenue Requirement Effect Assuming 1.50 TIER Ask Before Gross Up</t>
  </si>
  <si>
    <t>Revenue Requirement Effect Assuming 1.50 TIER Ask After Gross Up</t>
  </si>
  <si>
    <t>Gross Up for PSC Assessment</t>
  </si>
  <si>
    <t>AG-Nucor</t>
  </si>
  <si>
    <t>Recommended</t>
  </si>
  <si>
    <t>AG-Nucor Adjustment 1 to Depr Expense</t>
  </si>
  <si>
    <t>AG-Nucor Adjustment 2 to Depr Expense</t>
  </si>
  <si>
    <t>AG-Nucor Recommendation to Reduce OPEB Expense</t>
  </si>
  <si>
    <t>Source AG-Nucor 1-57</t>
  </si>
  <si>
    <t>Increase Capacity Revenues</t>
  </si>
  <si>
    <t>AG-Nucor Recommendation to Increase Miscellaneous Capacity Revenues</t>
  </si>
  <si>
    <t>Source AG-Nucor 1-20 Trial Balance</t>
  </si>
  <si>
    <t>Misc Capacity Revenues Acct 477251</t>
  </si>
  <si>
    <t>AG-Nucor Recommended Increase in Misc Capacity Revenues</t>
  </si>
  <si>
    <t>Total AG-Nucor Adjustments to EKPC's Requested Increase</t>
  </si>
  <si>
    <t>Updated</t>
  </si>
  <si>
    <t>Adj Staff 2-12</t>
  </si>
  <si>
    <t>Adjustment for Forced Outage and Highest Purchased Power Costs not Recovered through FAC</t>
  </si>
  <si>
    <t>Highest Cost</t>
  </si>
  <si>
    <t>Disallowed</t>
  </si>
  <si>
    <t>Calendar Year</t>
  </si>
  <si>
    <t>Exclusion</t>
  </si>
  <si>
    <t>Forced Outages</t>
  </si>
  <si>
    <t>2015</t>
  </si>
  <si>
    <t>2016</t>
  </si>
  <si>
    <t>2017</t>
  </si>
  <si>
    <t>2018</t>
  </si>
  <si>
    <t>2019</t>
  </si>
  <si>
    <t>Five-Year Totals</t>
  </si>
  <si>
    <t>Average Annual Amounts</t>
  </si>
  <si>
    <t>Expense for 2019</t>
  </si>
  <si>
    <t>Differences</t>
  </si>
  <si>
    <t>Adjustment for Forced Outage &amp; Highest Cost Exclusion</t>
  </si>
  <si>
    <t>KIUC Recommendation to Reduce Purchased Power Expense</t>
  </si>
  <si>
    <t>As Filed - Schedule 1.23</t>
  </si>
  <si>
    <t>As Adjusted - Schedule 1.23</t>
  </si>
  <si>
    <t>AG-Nucor Recommended Reduction in Purchased Power Expense</t>
  </si>
  <si>
    <t>2020</t>
  </si>
  <si>
    <t>ISS Exhibit 1 - Schedules 1.00-1.30 FINAL REV 03-08.xlsx</t>
  </si>
  <si>
    <t>Workpaper 1.02 Surcharge Adjustment FINAL.xlsx</t>
  </si>
  <si>
    <t>Reduce OPEB Expense to 2020 Actual Level</t>
  </si>
  <si>
    <t>AG-Nucor Adjustment to Reduce Amortization Period for General Plant Reserve Surplus</t>
  </si>
  <si>
    <t>Reserve</t>
  </si>
  <si>
    <t>Surplus</t>
  </si>
  <si>
    <t>Amortization</t>
  </si>
  <si>
    <t>10-Yr</t>
  </si>
  <si>
    <t>5-Yr</t>
  </si>
  <si>
    <t>AG-Nucor Recommended Increase in Amortization of General Plant Reserve Surplus</t>
  </si>
  <si>
    <t>Reduce Amortization Period for General Plant Reserve Surplus to 5 Years</t>
  </si>
  <si>
    <t>Total AG-Nucor Recommended Changes in Revenues and Expenses Other than LTD Interest Expense</t>
  </si>
  <si>
    <t>Variance - Rounding</t>
  </si>
  <si>
    <t>Adjust Forced Outage and Highest Purchased Power Expense Annualization</t>
  </si>
  <si>
    <t xml:space="preserve"> Forced Outage and Highest Purchased Power Costs not Recovered through FAC</t>
  </si>
  <si>
    <t>AG-Nucor Recommendation to Reduce Smith 1 Amortization Expense</t>
  </si>
  <si>
    <t>Regulatory Asset Balance to be Amortized in Base Rates</t>
  </si>
  <si>
    <t>Determination of Amortization Expense Adjustment</t>
  </si>
  <si>
    <t xml:space="preserve">Total Amortization Period </t>
  </si>
  <si>
    <t>months</t>
  </si>
  <si>
    <t>Less Months of Amortization through 2019</t>
  </si>
  <si>
    <t>Less Months of additional Amortization through</t>
  </si>
  <si>
    <t xml:space="preserve">  anticipated effective date of new rates, 10/01/2021</t>
  </si>
  <si>
    <t>Remaining Months to Amortize</t>
  </si>
  <si>
    <t>Monthly Amortization Expense in 2019 for Accounting Purposes</t>
  </si>
  <si>
    <t>Adjustment to Monthly Amortization Expense</t>
  </si>
  <si>
    <t>Annualized adjustment to Amortization Expense</t>
  </si>
  <si>
    <t>Sch 1.20</t>
  </si>
  <si>
    <t>As Adjusted Annualized Expense</t>
  </si>
  <si>
    <t>AG-Nucor Recommended Reduction in Smith 1 Reg Asset Amortization Expense</t>
  </si>
  <si>
    <t>Regulatory Asset Balance to be Amortized in Base Rates - As Filed</t>
  </si>
  <si>
    <t>Amort</t>
  </si>
  <si>
    <t>AG-Nucor Recommendation to Decrease Leased Property Income</t>
  </si>
  <si>
    <t>Leased Property Income - Gross (Response to AG-Nucor 1-72)</t>
  </si>
  <si>
    <t>Leased Property Income - Net (Tab Exh 1 - Adjust Rev-Inc</t>
  </si>
  <si>
    <t>Schedules_1.00-1.30_FINAL_REV_03-08)</t>
  </si>
  <si>
    <t>Computed Net Margin Percentage</t>
  </si>
  <si>
    <t>Computed Net Margin for 2020</t>
  </si>
  <si>
    <t>AG-Nucor Recommended Decrease in Net Leased Property Income</t>
  </si>
  <si>
    <t>Staff 2-12</t>
  </si>
  <si>
    <t xml:space="preserve">         Consulting/Contracting Services Costs</t>
  </si>
  <si>
    <t>Less: EKPC Cost Containment Measures To Reduce Travel and Training Costs</t>
  </si>
  <si>
    <t>Less: EKPC Cost Containment Measures To Reduce Outside</t>
  </si>
  <si>
    <t>Net Periodic Benefit Expense</t>
  </si>
  <si>
    <t>Reduction in Expense During 2020</t>
  </si>
  <si>
    <t>AG-Nucor Recommended Additional Reduction in OPEB Expense</t>
  </si>
  <si>
    <t>Reduction in Retiree Medical Insurance  - EKPC Proforma Adj (Schedule 1.11)</t>
  </si>
  <si>
    <t>ES Projects Not Factored Into ES Interest Expense Removal (12/31/2019 Balances)</t>
  </si>
  <si>
    <t>Note:  Normalization of Expense for ES Removal was based on 12/31/19 Balances and not 6/30/2020.</t>
  </si>
  <si>
    <t xml:space="preserve">          See WP 1.02 Plant.</t>
  </si>
  <si>
    <t>Application_Exhibit_13_-_Exhibit_ISS-1_-_Workpaper_1.07_Wages-Salaries_FINAL.</t>
  </si>
  <si>
    <t>Application_Exhibit_13_-_Exhibit_ISS-1_-_Workpaper_1.08_Payroll_Tax_FINAL</t>
  </si>
  <si>
    <t>Company's</t>
  </si>
  <si>
    <t>Annualization</t>
  </si>
  <si>
    <t>Payroll Annualization for O&amp;M Accounts</t>
  </si>
  <si>
    <t>Increase</t>
  </si>
  <si>
    <t>%</t>
  </si>
  <si>
    <t>AG-Nucor Recommended Increase Percentage</t>
  </si>
  <si>
    <t>AG-Nucor Recommended Reduction in Increase Percentage</t>
  </si>
  <si>
    <t>AG-Nucor Recommended Reduction in Payroll Expense</t>
  </si>
  <si>
    <t>Payroll Expense</t>
  </si>
  <si>
    <t>Payroll Tax Expense</t>
  </si>
  <si>
    <t>Payroll Taxes Annualization for O&amp;M Accounts</t>
  </si>
  <si>
    <t>AG-Nucor Recommended Reduction in Payroll Tax Expense</t>
  </si>
  <si>
    <t>AG-Nucor Recommendation to Reduce Payroll and Payroll Tax Expense</t>
  </si>
  <si>
    <t>Adjust Annualization of Payroll Expense</t>
  </si>
  <si>
    <t>Adjust Annualization of Payroll  Tax Expense</t>
  </si>
  <si>
    <t>AG-NUCOR</t>
  </si>
  <si>
    <t>ADJ #1</t>
  </si>
  <si>
    <t>Base Rates</t>
  </si>
  <si>
    <t>ES Change</t>
  </si>
  <si>
    <t>AG-Nucor Adjustment 3 to Depr Expense</t>
  </si>
  <si>
    <t>Reduce Depreciation Expense to Reflect 45 Yr Lifespans for Smith CT Units</t>
  </si>
  <si>
    <t>Reduce Depreciation Expense to Remove Change in Methodology - Production</t>
  </si>
  <si>
    <t>Reduce Depreciation Expense to Reflect 45 Yr Lifespans for Bluegrass Oldham CT Units</t>
  </si>
  <si>
    <t>Reflect TIER of 1.30</t>
  </si>
  <si>
    <t>Months</t>
  </si>
  <si>
    <t xml:space="preserve">Monthly Amortization Expense </t>
  </si>
  <si>
    <t>Extend Amortization Period of Smith 1 Regulatory Asset to 84 Months</t>
  </si>
  <si>
    <t>Reflect Normalization of Generation Maintenance Expense</t>
  </si>
  <si>
    <t>Decrease Leased Property Income Net</t>
  </si>
  <si>
    <t>AG-Nucor Adjustment to Remove Interest Expense Associated With Non-Utility Investments</t>
  </si>
  <si>
    <t>Remove Interest Exp Associated with Non-Utility Temporary Cash Investments</t>
  </si>
  <si>
    <t>Non-Utility Temporary Cash Investments as of 06/30/2020 (AG-Nucor 2-21)</t>
  </si>
  <si>
    <t>$ Millions</t>
  </si>
  <si>
    <t>Case No. 2021-00103</t>
  </si>
  <si>
    <t>AG-Nucor Adjustment to Normalize Generation Maintenance Expense</t>
  </si>
  <si>
    <t>Source:  Response to AG-Nucor 2-17</t>
  </si>
  <si>
    <t>Total Company Generation Maintenance Expense Included in Test Year</t>
  </si>
  <si>
    <t>2016 Generation Maintenance Expense</t>
  </si>
  <si>
    <t>2017 Generation Maintenance Expense</t>
  </si>
  <si>
    <t>2018 Generation Maintenance Expense</t>
  </si>
  <si>
    <t>2019 Generation Maintenance Expense</t>
  </si>
  <si>
    <t>2020 Generation Maintenance Expense</t>
  </si>
  <si>
    <t>Less:</t>
  </si>
  <si>
    <t>Dale Station</t>
  </si>
  <si>
    <t>Common</t>
  </si>
  <si>
    <t xml:space="preserve">All </t>
  </si>
  <si>
    <t>Units</t>
  </si>
  <si>
    <t>Remaining</t>
  </si>
  <si>
    <t>5 Yr Average Generation Maintenance Expense</t>
  </si>
  <si>
    <t>AG-Nucor Adjustment to Reflect 5-Year Average of Generation Maintenance Expense</t>
  </si>
  <si>
    <t>Alternative As Adjusted - Schedule 1.23</t>
  </si>
  <si>
    <t>All Less $2.8 million (AG-Nucor 1-63)</t>
  </si>
  <si>
    <t>50% Reduction</t>
  </si>
  <si>
    <t>Reduce Interest Expense Related to Short-Term Investments</t>
  </si>
  <si>
    <t>AG-Nucor Recommended Minimum Rate Decrease for EKPC</t>
  </si>
  <si>
    <t>Adjustment</t>
  </si>
  <si>
    <t>Reduce Interest Expense Related to Additional ES Projects Not Removed</t>
  </si>
  <si>
    <t>Reduction in Interest Expense</t>
  </si>
  <si>
    <t>Reduction in OPEB</t>
  </si>
  <si>
    <t xml:space="preserve">With 1.5 </t>
  </si>
  <si>
    <t>Tier</t>
  </si>
  <si>
    <t xml:space="preserve">With </t>
  </si>
  <si>
    <t>1.002 Gross Up</t>
  </si>
  <si>
    <t>Reduction in Interest Income</t>
  </si>
  <si>
    <t>Increase in Payroll and PR Taxes</t>
  </si>
  <si>
    <t>Increase in RTEP</t>
  </si>
  <si>
    <t>Net Increase</t>
  </si>
  <si>
    <t>Property Insurance Exp</t>
  </si>
  <si>
    <t>Employee Medical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</si>
</sst>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_(* #,##0.000_);_(* \(#,##0.000\);_(* &quot;-&quot;??_);_(@_)"/>
    <numFmt numFmtId="166" formatCode="#,##0.000000_);[Red]\(#,##0.000000\)"/>
    <numFmt numFmtId="167" formatCode="0.0"/>
    <numFmt numFmtId="168" formatCode="0_);\(0\)"/>
    <numFmt numFmtId="169" formatCode="_(* #,##0.0_);_(* \(#,##0.0\);_(* &quot;-&quot;?_);_(@_)"/>
    <numFmt numFmtId="170" formatCode="_(* #,##0.0000_);_(* \(#,##0.0000\);_(* &quot;-&quot;??_);_(@_)"/>
    <numFmt numFmtId="171" formatCode="#,##0.0_);[Red]\(#,##0.0\)"/>
    <numFmt numFmtId="172" formatCode="0.000%"/>
    <numFmt numFmtId="173" formatCode="_(* #,##0.0_);_(* \(#,##0.0\);&quot;&quot;;_(@_)"/>
    <numFmt numFmtId="174" formatCode="[Blue]#,##0,_);[Red]\(#,##0,\)"/>
    <numFmt numFmtId="175" formatCode="0\ 00\ 000\ 000"/>
    <numFmt numFmtId="176" formatCode="&quot;$&quot;#,##0\ ;\(&quot;$&quot;#,##0\)"/>
    <numFmt numFmtId="177" formatCode="_([$€-2]* #,##0.00_);_([$€-2]* \(#,##0.00\);_([$€-2]* &quot;-&quot;??_)"/>
    <numFmt numFmtId="178" formatCode="_-* #,##0.00\ [$€]_-;\-* #,##0.00\ [$€]_-;_-* &quot;-&quot;??\ [$€]_-;_-@_-"/>
    <numFmt numFmtId="179" formatCode="#,##0,;[Red]\(#,##0,\)"/>
    <numFmt numFmtId="180" formatCode="#,##0.00;[Red]\(#,##0.00\)"/>
    <numFmt numFmtId="181" formatCode="#,##0.00\ &quot;DM&quot;;[Red]\-#,##0.00\ &quot;DM&quot;"/>
  </numFmts>
  <fonts count="111">
    <font>
      <sz val="10"/>
      <name val="Arial"/>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Arial"/>
      <family val="2"/>
    </font>
    <font>
      <b/>
      <sz val="11"/>
      <color theme="1"/>
      <name val="Arial"/>
      <family val="2"/>
    </font>
    <font>
      <b/>
      <sz val="12"/>
      <name val="Times New Roman"/>
      <family val="1"/>
    </font>
    <font>
      <sz val="12"/>
      <name val="Times New Roman"/>
      <family val="1"/>
    </font>
    <font>
      <sz val="12"/>
      <name val="Arial"/>
      <family val="2"/>
    </font>
    <font>
      <sz val="12"/>
      <name val="Arial"/>
      <family val="2"/>
    </font>
    <font>
      <b/>
      <sz val="12"/>
      <name val="Arial"/>
      <family val="2"/>
    </font>
    <font>
      <sz val="10"/>
      <name val="Arial"/>
      <family val="2"/>
    </font>
    <font>
      <sz val="10"/>
      <name val="MS Sans Serif"/>
      <family val="2"/>
    </font>
    <font>
      <sz val="11"/>
      <color theme="1"/>
      <name val="Calibri"/>
      <family val="2"/>
      <scheme val="minor"/>
    </font>
    <font>
      <sz val="10"/>
      <color indexed="8"/>
      <name val="Arial"/>
      <family val="2"/>
    </font>
    <font>
      <sz val="10"/>
      <color indexed="8"/>
      <name val="Tahoma"/>
      <family val="2"/>
    </font>
    <font>
      <sz val="10"/>
      <color indexed="9"/>
      <name val="Arial"/>
      <family val="2"/>
    </font>
    <font>
      <sz val="10"/>
      <color indexed="9"/>
      <name val="Tahoma"/>
      <family val="2"/>
    </font>
    <font>
      <sz val="10"/>
      <color indexed="20"/>
      <name val="Arial"/>
      <family val="2"/>
    </font>
    <font>
      <sz val="10"/>
      <color indexed="20"/>
      <name val="Tahoma"/>
      <family val="2"/>
    </font>
    <font>
      <b/>
      <sz val="10"/>
      <color indexed="52"/>
      <name val="Arial"/>
      <family val="2"/>
    </font>
    <font>
      <b/>
      <sz val="10"/>
      <color indexed="52"/>
      <name val="Tahoma"/>
      <family val="2"/>
    </font>
    <font>
      <b/>
      <sz val="10"/>
      <color indexed="9"/>
      <name val="Arial"/>
      <family val="2"/>
    </font>
    <font>
      <b/>
      <sz val="10"/>
      <color indexed="9"/>
      <name val="Tahoma"/>
      <family val="2"/>
    </font>
    <font>
      <b/>
      <sz val="10"/>
      <name val="Arial Unicode MS"/>
      <family val="2"/>
    </font>
    <font>
      <sz val="10"/>
      <name val="MS Sans Serif"/>
      <family val="2"/>
    </font>
    <font>
      <sz val="10"/>
      <name val="Arial Unicode MS"/>
      <family val="2"/>
    </font>
    <font>
      <i/>
      <sz val="10"/>
      <color indexed="23"/>
      <name val="Arial"/>
      <family val="2"/>
    </font>
    <font>
      <i/>
      <sz val="10"/>
      <color indexed="23"/>
      <name val="Tahoma"/>
      <family val="2"/>
    </font>
    <font>
      <sz val="10"/>
      <color indexed="17"/>
      <name val="Arial"/>
      <family val="2"/>
    </font>
    <font>
      <sz val="10"/>
      <color indexed="17"/>
      <name val="Tahoma"/>
      <family val="2"/>
    </font>
    <font>
      <b/>
      <sz val="15"/>
      <color indexed="62"/>
      <name val="Calibri"/>
      <family val="2"/>
    </font>
    <font>
      <b/>
      <sz val="15"/>
      <color indexed="62"/>
      <name val="Arial"/>
      <family val="2"/>
    </font>
    <font>
      <b/>
      <sz val="15"/>
      <color indexed="56"/>
      <name val="Tahoma"/>
      <family val="2"/>
    </font>
    <font>
      <b/>
      <sz val="15"/>
      <color indexed="56"/>
      <name val="Arial"/>
      <family val="2"/>
    </font>
    <font>
      <b/>
      <sz val="13"/>
      <color indexed="62"/>
      <name val="Calibri"/>
      <family val="2"/>
    </font>
    <font>
      <b/>
      <sz val="13"/>
      <color indexed="62"/>
      <name val="Arial"/>
      <family val="2"/>
    </font>
    <font>
      <b/>
      <sz val="13"/>
      <color indexed="56"/>
      <name val="Tahoma"/>
      <family val="2"/>
    </font>
    <font>
      <b/>
      <sz val="13"/>
      <color indexed="56"/>
      <name val="Arial"/>
      <family val="2"/>
    </font>
    <font>
      <b/>
      <sz val="11"/>
      <color indexed="62"/>
      <name val="Calibri"/>
      <family val="2"/>
    </font>
    <font>
      <b/>
      <sz val="11"/>
      <color indexed="62"/>
      <name val="Arial"/>
      <family val="2"/>
    </font>
    <font>
      <b/>
      <sz val="11"/>
      <color indexed="56"/>
      <name val="Tahoma"/>
      <family val="2"/>
    </font>
    <font>
      <b/>
      <sz val="11"/>
      <color indexed="56"/>
      <name val="Arial"/>
      <family val="2"/>
    </font>
    <font>
      <sz val="10"/>
      <color indexed="62"/>
      <name val="Arial"/>
      <family val="2"/>
    </font>
    <font>
      <sz val="10"/>
      <color indexed="62"/>
      <name val="Tahoma"/>
      <family val="2"/>
    </font>
    <font>
      <b/>
      <sz val="12"/>
      <color indexed="12"/>
      <name val="Arial"/>
      <family val="2"/>
    </font>
    <font>
      <sz val="10"/>
      <color indexed="52"/>
      <name val="Arial"/>
      <family val="2"/>
    </font>
    <font>
      <sz val="10"/>
      <color indexed="52"/>
      <name val="Tahoma"/>
      <family val="2"/>
    </font>
    <font>
      <sz val="10"/>
      <color indexed="60"/>
      <name val="Arial"/>
      <family val="2"/>
    </font>
    <font>
      <sz val="10"/>
      <color indexed="60"/>
      <name val="Tahoma"/>
      <family val="2"/>
    </font>
    <font>
      <sz val="12"/>
      <name val="Arial MT"/>
    </font>
    <font>
      <sz val="10"/>
      <color indexed="64"/>
      <name val="Arial"/>
      <family val="2"/>
    </font>
    <font>
      <sz val="11"/>
      <color theme="1"/>
      <name val="Calibri"/>
      <family val="2"/>
    </font>
    <font>
      <sz val="8"/>
      <color indexed="48"/>
      <name val="Arial"/>
      <family val="2"/>
    </font>
    <font>
      <b/>
      <sz val="10"/>
      <color indexed="63"/>
      <name val="Arial"/>
      <family val="2"/>
    </font>
    <font>
      <b/>
      <sz val="10"/>
      <color indexed="63"/>
      <name val="Tahoma"/>
      <family val="2"/>
    </font>
    <font>
      <b/>
      <sz val="10"/>
      <name val="MS Sans Serif"/>
      <family val="2"/>
    </font>
    <font>
      <b/>
      <sz val="18"/>
      <color indexed="62"/>
      <name val="Cambria"/>
      <family val="2"/>
    </font>
    <font>
      <b/>
      <sz val="10"/>
      <color indexed="8"/>
      <name val="Arial"/>
      <family val="2"/>
    </font>
    <font>
      <b/>
      <sz val="10"/>
      <color indexed="8"/>
      <name val="Tahoma"/>
      <family val="2"/>
    </font>
    <font>
      <sz val="10"/>
      <color indexed="10"/>
      <name val="Arial"/>
      <family val="2"/>
    </font>
    <font>
      <sz val="10"/>
      <color indexed="10"/>
      <name val="Tahoma"/>
      <family val="2"/>
    </font>
    <font>
      <b/>
      <sz val="10"/>
      <color theme="1"/>
      <name val="Arial"/>
      <family val="2"/>
    </font>
    <font>
      <u/>
      <sz val="11"/>
      <color theme="1"/>
      <name val="Arial"/>
      <family val="2"/>
    </font>
    <font>
      <b/>
      <sz val="8"/>
      <color indexed="9"/>
      <name val="Arial"/>
      <family val="2"/>
    </font>
    <font>
      <b/>
      <sz val="8"/>
      <color indexed="8"/>
      <name val="Arial"/>
      <family val="2"/>
    </font>
    <font>
      <b/>
      <sz val="8"/>
      <color indexed="8"/>
      <name val="Courier New"/>
      <family val="3"/>
    </font>
    <font>
      <sz val="10"/>
      <name val="Times New Roman"/>
      <family val="1"/>
    </font>
    <font>
      <sz val="10"/>
      <color rgb="FF000000"/>
      <name val="Times New Roman"/>
      <family val="1"/>
    </font>
    <font>
      <sz val="12"/>
      <name val="Tms Rmn"/>
    </font>
    <font>
      <b/>
      <sz val="14"/>
      <name val="Arial"/>
      <family val="2"/>
    </font>
    <font>
      <sz val="6"/>
      <name val="Arial"/>
      <family val="2"/>
    </font>
    <font>
      <b/>
      <sz val="12"/>
      <name val="Tms Rmn"/>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0"/>
      <color indexed="17"/>
      <name val="Arial"/>
      <family val="2"/>
    </font>
    <font>
      <b/>
      <i/>
      <sz val="22"/>
      <color indexed="8"/>
      <name val="Times New Roman"/>
      <family val="1"/>
    </font>
    <font>
      <b/>
      <sz val="22"/>
      <color indexed="8"/>
      <name val="Times New Roman"/>
      <family val="1"/>
    </font>
    <font>
      <b/>
      <sz val="10"/>
      <color indexed="13"/>
      <name val="Arial"/>
      <family val="2"/>
    </font>
    <font>
      <b/>
      <sz val="12"/>
      <color indexed="8"/>
      <name val="Arial"/>
      <family val="2"/>
    </font>
    <font>
      <sz val="8"/>
      <color indexed="8"/>
      <name val="Arial"/>
      <family val="2"/>
    </font>
    <font>
      <sz val="8"/>
      <color indexed="12"/>
      <name val="Arial"/>
      <family val="2"/>
    </font>
    <font>
      <b/>
      <u/>
      <sz val="10"/>
      <name val="Arial"/>
      <family val="2"/>
    </font>
    <font>
      <sz val="10"/>
      <color indexed="16"/>
      <name val="Arial"/>
      <family val="2"/>
    </font>
    <font>
      <sz val="10"/>
      <color indexed="39"/>
      <name val="Arial"/>
      <family val="2"/>
    </font>
    <font>
      <sz val="19"/>
      <name val="Arial"/>
      <family val="2"/>
    </font>
    <font>
      <sz val="12"/>
      <color indexed="13"/>
      <name val="Tms Rmn"/>
    </font>
    <font>
      <sz val="10"/>
      <name val="Courier"/>
      <family val="3"/>
    </font>
    <font>
      <sz val="8"/>
      <color indexed="8"/>
      <name val="Wingdings"/>
      <charset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indexed="23"/>
      </patternFill>
    </fill>
    <fill>
      <patternFill patternType="solid">
        <fgColor indexed="54"/>
      </patternFill>
    </fill>
    <fill>
      <patternFill patternType="solid">
        <fgColor indexed="14"/>
      </patternFill>
    </fill>
    <fill>
      <patternFill patternType="mediumGray">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12"/>
      </patternFill>
    </fill>
    <fill>
      <patternFill patternType="solid">
        <fgColor indexed="9"/>
      </patternFill>
    </fill>
    <fill>
      <patternFill patternType="solid">
        <fgColor indexed="13"/>
      </patternFill>
    </fill>
    <fill>
      <patternFill patternType="solid">
        <fgColor rgb="FFFFFFCC"/>
      </patternFill>
    </fill>
    <fill>
      <patternFill patternType="solid">
        <fgColor indexed="9"/>
        <bgColor indexed="64"/>
      </patternFill>
    </fill>
    <fill>
      <patternFill patternType="solid">
        <fgColor indexed="17"/>
      </patternFill>
    </fill>
    <fill>
      <patternFill patternType="solid">
        <fgColor indexed="8"/>
      </patternFill>
    </fill>
    <fill>
      <patternFill patternType="solid">
        <fgColor indexed="19"/>
      </patternFill>
    </fill>
    <fill>
      <patternFill patternType="solid">
        <fgColor indexed="59"/>
      </patternFill>
    </fill>
    <fill>
      <patternFill patternType="solid">
        <fgColor indexed="18"/>
      </patternFill>
    </fill>
    <fill>
      <patternFill patternType="lightUp">
        <fgColor indexed="48"/>
        <bgColor indexed="19"/>
      </patternFill>
    </fill>
    <fill>
      <patternFill patternType="solid">
        <fgColor indexed="54"/>
        <bgColor indexed="64"/>
      </patternFill>
    </fill>
    <fill>
      <patternFill patternType="solid">
        <fgColor indexed="26"/>
        <bgColor indexed="64"/>
      </patternFill>
    </fill>
    <fill>
      <patternFill patternType="solid">
        <fgColor indexed="16"/>
      </patternFill>
    </fill>
    <fill>
      <patternFill patternType="gray0625"/>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double">
        <color indexed="64"/>
      </bottom>
      <diagonal/>
    </border>
    <border>
      <left/>
      <right/>
      <top style="thin">
        <color indexed="8"/>
      </top>
      <bottom/>
      <diagonal/>
    </border>
    <border>
      <left/>
      <right/>
      <top style="thin">
        <color indexed="64"/>
      </top>
      <bottom/>
      <diagonal/>
    </border>
    <border>
      <left/>
      <right/>
      <top style="thin">
        <color indexed="64"/>
      </top>
      <bottom style="double">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49"/>
      </bottom>
      <diagonal/>
    </border>
    <border>
      <left/>
      <right/>
      <top/>
      <bottom style="thick">
        <color indexed="23"/>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style="thin">
        <color rgb="FFB2B2B2"/>
      </left>
      <right style="thin">
        <color rgb="FFB2B2B2"/>
      </right>
      <top style="thin">
        <color rgb="FFB2B2B2"/>
      </top>
      <bottom style="thin">
        <color rgb="FFB2B2B2"/>
      </bottom>
      <diagonal/>
    </border>
    <border>
      <left style="thin">
        <color indexed="58"/>
      </left>
      <right style="thin">
        <color indexed="58"/>
      </right>
      <top style="thin">
        <color indexed="58"/>
      </top>
      <bottom style="thin">
        <color indexed="5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double">
        <color indexed="8"/>
      </top>
      <bottom style="thin">
        <color indexed="8"/>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11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3" fontId="4"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4" fillId="23" borderId="7" applyNumberFormat="0" applyFont="0" applyAlignment="0" applyProtection="0"/>
    <xf numFmtId="0" fontId="20" fillId="20" borderId="8" applyNumberFormat="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24" fillId="0" borderId="0"/>
    <xf numFmtId="0" fontId="28" fillId="0" borderId="0"/>
    <xf numFmtId="0" fontId="31" fillId="0" borderId="0"/>
    <xf numFmtId="0" fontId="32" fillId="0" borderId="0" applyNumberFormat="0" applyFont="0" applyFill="0" applyBorder="0" applyAlignment="0" applyProtection="0">
      <alignment horizontal="left"/>
    </xf>
    <xf numFmtId="4" fontId="32" fillId="0" borderId="0" applyFont="0" applyFill="0" applyBorder="0" applyAlignment="0" applyProtection="0"/>
    <xf numFmtId="0" fontId="33" fillId="0" borderId="0"/>
    <xf numFmtId="9"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33" fillId="0" borderId="0" applyFont="0" applyFill="0" applyBorder="0" applyAlignment="0" applyProtection="0"/>
    <xf numFmtId="0" fontId="7" fillId="20" borderId="0" applyNumberFormat="0" applyBorder="0" applyAlignment="0" applyProtection="0"/>
    <xf numFmtId="0" fontId="7"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5" fillId="2" borderId="0" applyNumberFormat="0" applyBorder="0" applyAlignment="0" applyProtection="0"/>
    <xf numFmtId="0" fontId="34"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5" fillId="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4" borderId="0" applyNumberFormat="0" applyBorder="0" applyAlignment="0" applyProtection="0"/>
    <xf numFmtId="0" fontId="34" fillId="4" borderId="0" applyNumberFormat="0" applyBorder="0" applyAlignment="0" applyProtection="0"/>
    <xf numFmtId="0" fontId="7" fillId="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5" fillId="5" borderId="0" applyNumberFormat="0" applyBorder="0" applyAlignment="0" applyProtection="0"/>
    <xf numFmtId="0" fontId="34"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5" fillId="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8" borderId="0" applyNumberFormat="0" applyBorder="0" applyAlignment="0" applyProtection="0"/>
    <xf numFmtId="0" fontId="34"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5" fillId="9"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10" borderId="0" applyNumberFormat="0" applyBorder="0" applyAlignment="0" applyProtection="0"/>
    <xf numFmtId="0" fontId="34"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5" borderId="0" applyNumberFormat="0" applyBorder="0" applyAlignment="0" applyProtection="0"/>
    <xf numFmtId="0" fontId="34"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5" fillId="8"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5" fillId="11" borderId="0" applyNumberFormat="0" applyBorder="0" applyAlignment="0" applyProtection="0"/>
    <xf numFmtId="0" fontId="34" fillId="11" borderId="0" applyNumberFormat="0" applyBorder="0" applyAlignment="0" applyProtection="0"/>
    <xf numFmtId="0" fontId="7" fillId="11" borderId="0" applyNumberFormat="0" applyBorder="0" applyAlignment="0" applyProtection="0"/>
    <xf numFmtId="0" fontId="8"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7" fillId="12" borderId="0" applyNumberFormat="0" applyBorder="0" applyAlignment="0" applyProtection="0"/>
    <xf numFmtId="0" fontId="36"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7" fillId="9" borderId="0" applyNumberFormat="0" applyBorder="0" applyAlignment="0" applyProtection="0"/>
    <xf numFmtId="0" fontId="8"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10" borderId="0" applyNumberFormat="0" applyBorder="0" applyAlignment="0" applyProtection="0"/>
    <xf numFmtId="0" fontId="36" fillId="10" borderId="0" applyNumberFormat="0" applyBorder="0" applyAlignment="0" applyProtection="0"/>
    <xf numFmtId="0" fontId="8" fillId="10" borderId="0" applyNumberFormat="0" applyBorder="0" applyAlignment="0" applyProtection="0"/>
    <xf numFmtId="0" fontId="8"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7" fillId="13" borderId="0" applyNumberFormat="0" applyBorder="0" applyAlignment="0" applyProtection="0"/>
    <xf numFmtId="0" fontId="36"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7" fillId="14" borderId="0" applyNumberFormat="0" applyBorder="0" applyAlignment="0" applyProtection="0"/>
    <xf numFmtId="0" fontId="8"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7" fillId="15" borderId="0" applyNumberFormat="0" applyBorder="0" applyAlignment="0" applyProtection="0"/>
    <xf numFmtId="0" fontId="36" fillId="15"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7" fillId="16" borderId="0" applyNumberFormat="0" applyBorder="0" applyAlignment="0" applyProtection="0"/>
    <xf numFmtId="0" fontId="36"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8"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7" fillId="18" borderId="0" applyNumberFormat="0" applyBorder="0" applyAlignment="0" applyProtection="0"/>
    <xf numFmtId="0" fontId="8"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7" fillId="13" borderId="0" applyNumberFormat="0" applyBorder="0" applyAlignment="0" applyProtection="0"/>
    <xf numFmtId="0" fontId="36"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7" fillId="14" borderId="0" applyNumberFormat="0" applyBorder="0" applyAlignment="0" applyProtection="0"/>
    <xf numFmtId="0" fontId="8"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19" borderId="0" applyNumberFormat="0" applyBorder="0" applyAlignment="0" applyProtection="0"/>
    <xf numFmtId="0" fontId="9"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9" fillId="3" borderId="0" applyNumberFormat="0" applyBorder="0" applyAlignment="0" applyProtection="0"/>
    <xf numFmtId="0" fontId="38"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1" fillId="20" borderId="1" applyNumberFormat="0" applyAlignment="0" applyProtection="0"/>
    <xf numFmtId="0" fontId="11" fillId="27" borderId="2" applyNumberFormat="0" applyAlignment="0" applyProtection="0"/>
    <xf numFmtId="0" fontId="42" fillId="27" borderId="2" applyNumberFormat="0" applyAlignment="0" applyProtection="0"/>
    <xf numFmtId="0" fontId="42" fillId="27" borderId="2" applyNumberFormat="0" applyAlignment="0" applyProtection="0"/>
    <xf numFmtId="0" fontId="42" fillId="27" borderId="2" applyNumberFormat="0" applyAlignment="0" applyProtection="0"/>
    <xf numFmtId="0" fontId="43" fillId="21" borderId="2" applyNumberFormat="0" applyAlignment="0" applyProtection="0"/>
    <xf numFmtId="0" fontId="42" fillId="21" borderId="2" applyNumberFormat="0" applyAlignment="0" applyProtection="0"/>
    <xf numFmtId="0" fontId="11" fillId="21" borderId="2" applyNumberFormat="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4" fillId="0" borderId="0" applyFont="0" applyFill="0" applyBorder="0" applyAlignment="0" applyProtection="0"/>
    <xf numFmtId="40" fontId="45" fillId="0" borderId="0" applyFont="0" applyFill="0" applyBorder="0" applyAlignment="0" applyProtection="0"/>
    <xf numFmtId="43" fontId="3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0" fontId="45" fillId="0" borderId="0" applyFont="0" applyFill="0" applyBorder="0" applyAlignment="0" applyProtection="0"/>
    <xf numFmtId="43" fontId="31" fillId="0" borderId="0" applyFont="0" applyFill="0" applyBorder="0" applyAlignment="0" applyProtection="0"/>
    <xf numFmtId="40" fontId="45" fillId="0" borderId="0" applyFont="0" applyFill="0" applyBorder="0" applyAlignment="0" applyProtection="0"/>
    <xf numFmtId="40" fontId="45" fillId="0" borderId="0" applyFont="0" applyFill="0" applyBorder="0" applyAlignment="0" applyProtection="0"/>
    <xf numFmtId="43" fontId="3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45"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4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8" fontId="45" fillId="0" borderId="0" applyFont="0" applyFill="0" applyBorder="0" applyAlignment="0" applyProtection="0"/>
    <xf numFmtId="8" fontId="45" fillId="0" borderId="0" applyFont="0" applyFill="0" applyBorder="0" applyAlignment="0" applyProtection="0"/>
    <xf numFmtId="44" fontId="31" fillId="0" borderId="0" applyFont="0" applyFill="0" applyBorder="0" applyAlignment="0" applyProtection="0"/>
    <xf numFmtId="0" fontId="1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3"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50" fillId="4" borderId="0" applyNumberFormat="0" applyBorder="0" applyAlignment="0" applyProtection="0"/>
    <xf numFmtId="0" fontId="51"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14" fillId="0" borderId="3" applyNumberFormat="0" applyFill="0" applyAlignment="0" applyProtection="0"/>
    <xf numFmtId="0" fontId="55" fillId="0" borderId="20"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57" fillId="0" borderId="4" applyNumberFormat="0" applyFill="0" applyAlignment="0" applyProtection="0"/>
    <xf numFmtId="0" fontId="58" fillId="0" borderId="4" applyNumberFormat="0" applyFill="0" applyAlignment="0" applyProtection="0"/>
    <xf numFmtId="0" fontId="15" fillId="0" borderId="4" applyNumberFormat="0" applyFill="0" applyAlignment="0" applyProtection="0"/>
    <xf numFmtId="0" fontId="59"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1" fillId="0" borderId="5" applyNumberFormat="0" applyFill="0" applyAlignment="0" applyProtection="0"/>
    <xf numFmtId="0" fontId="62" fillId="0" borderId="5" applyNumberFormat="0" applyFill="0" applyAlignment="0" applyProtection="0"/>
    <xf numFmtId="0" fontId="16" fillId="0" borderId="5"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63" fillId="7" borderId="1" applyNumberFormat="0" applyAlignment="0" applyProtection="0"/>
    <xf numFmtId="0" fontId="63" fillId="7" borderId="1" applyNumberFormat="0" applyAlignment="0" applyProtection="0"/>
    <xf numFmtId="0" fontId="63" fillId="7" borderId="1" applyNumberFormat="0" applyAlignment="0" applyProtection="0"/>
    <xf numFmtId="0" fontId="64" fillId="7" borderId="1" applyNumberFormat="0" applyAlignment="0" applyProtection="0"/>
    <xf numFmtId="41" fontId="65" fillId="0" borderId="0">
      <alignment horizontal="left"/>
    </xf>
    <xf numFmtId="0" fontId="18" fillId="0" borderId="6"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67" fillId="0" borderId="6" applyNumberFormat="0" applyFill="0" applyAlignment="0" applyProtection="0"/>
    <xf numFmtId="0" fontId="19"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9" fillId="22" borderId="0" applyNumberFormat="0" applyBorder="0" applyAlignment="0" applyProtection="0"/>
    <xf numFmtId="0" fontId="3" fillId="0" borderId="0"/>
    <xf numFmtId="0" fontId="46" fillId="0" borderId="0"/>
    <xf numFmtId="37" fontId="70" fillId="0" borderId="0"/>
    <xf numFmtId="0" fontId="70" fillId="0" borderId="0"/>
    <xf numFmtId="0" fontId="4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38" fontId="31" fillId="0" borderId="0"/>
    <xf numFmtId="38" fontId="31" fillId="0" borderId="0"/>
    <xf numFmtId="38" fontId="31" fillId="0" borderId="0"/>
    <xf numFmtId="38" fontId="31" fillId="0" borderId="0"/>
    <xf numFmtId="0" fontId="45" fillId="0" borderId="0"/>
    <xf numFmtId="0" fontId="31" fillId="0" borderId="0"/>
    <xf numFmtId="0" fontId="45" fillId="0" borderId="0"/>
    <xf numFmtId="0" fontId="45" fillId="0" borderId="0"/>
    <xf numFmtId="0" fontId="45" fillId="0" borderId="0"/>
    <xf numFmtId="38" fontId="31" fillId="0" borderId="0"/>
    <xf numFmtId="38" fontId="31" fillId="0" borderId="0"/>
    <xf numFmtId="38" fontId="31" fillId="0" borderId="0"/>
    <xf numFmtId="38" fontId="31" fillId="0" borderId="0"/>
    <xf numFmtId="38" fontId="31" fillId="0" borderId="0"/>
    <xf numFmtId="38" fontId="31" fillId="0" borderId="0"/>
    <xf numFmtId="38" fontId="31" fillId="0" borderId="0"/>
    <xf numFmtId="38" fontId="31" fillId="0" borderId="0"/>
    <xf numFmtId="38" fontId="31" fillId="0" borderId="0"/>
    <xf numFmtId="38" fontId="31" fillId="0" borderId="0"/>
    <xf numFmtId="0" fontId="71" fillId="0" borderId="0"/>
    <xf numFmtId="0" fontId="71" fillId="0" borderId="0"/>
    <xf numFmtId="0" fontId="46" fillId="0" borderId="0"/>
    <xf numFmtId="0" fontId="45" fillId="0" borderId="0"/>
    <xf numFmtId="0" fontId="46" fillId="0" borderId="0"/>
    <xf numFmtId="0" fontId="46" fillId="0" borderId="0"/>
    <xf numFmtId="0" fontId="31" fillId="0" borderId="0"/>
    <xf numFmtId="0" fontId="71" fillId="0" borderId="0"/>
    <xf numFmtId="38" fontId="31" fillId="0" borderId="0"/>
    <xf numFmtId="38" fontId="31" fillId="0" borderId="0"/>
    <xf numFmtId="38" fontId="31" fillId="0" borderId="0"/>
    <xf numFmtId="38" fontId="31" fillId="0" borderId="0"/>
    <xf numFmtId="38" fontId="3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1" fillId="0" borderId="0"/>
    <xf numFmtId="0" fontId="31" fillId="0" borderId="0"/>
    <xf numFmtId="0" fontId="3" fillId="0" borderId="0"/>
    <xf numFmtId="0" fontId="45" fillId="0" borderId="0"/>
    <xf numFmtId="0" fontId="46" fillId="0" borderId="0"/>
    <xf numFmtId="0" fontId="46" fillId="0" borderId="0"/>
    <xf numFmtId="0" fontId="31" fillId="0" borderId="0"/>
    <xf numFmtId="0" fontId="72" fillId="0" borderId="0"/>
    <xf numFmtId="0" fontId="45" fillId="0" borderId="0"/>
    <xf numFmtId="0" fontId="31" fillId="0" borderId="0"/>
    <xf numFmtId="0" fontId="3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1" fillId="0" borderId="0"/>
    <xf numFmtId="0" fontId="3" fillId="0" borderId="0"/>
    <xf numFmtId="0" fontId="3" fillId="0" borderId="0"/>
    <xf numFmtId="0" fontId="3" fillId="0" borderId="0"/>
    <xf numFmtId="0" fontId="31" fillId="23" borderId="7"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0" fontId="31" fillId="23" borderId="1" applyNumberFormat="0" applyFont="0" applyAlignment="0" applyProtection="0"/>
    <xf numFmtId="43" fontId="63" fillId="0" borderId="0"/>
    <xf numFmtId="174" fontId="73" fillId="0" borderId="0"/>
    <xf numFmtId="0" fontId="20" fillId="20" borderId="8" applyNumberFormat="0" applyAlignment="0" applyProtection="0"/>
    <xf numFmtId="0" fontId="74" fillId="20" borderId="8" applyNumberFormat="0" applyAlignment="0" applyProtection="0"/>
    <xf numFmtId="0" fontId="74" fillId="20" borderId="8" applyNumberFormat="0" applyAlignment="0" applyProtection="0"/>
    <xf numFmtId="0" fontId="74" fillId="20" borderId="8" applyNumberFormat="0" applyAlignment="0" applyProtection="0"/>
    <xf numFmtId="0" fontId="75" fillId="20" borderId="8" applyNumberFormat="0" applyAlignment="0" applyProtection="0"/>
    <xf numFmtId="9" fontId="4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0" fontId="76" fillId="0" borderId="15">
      <alignment horizontal="center"/>
    </xf>
    <xf numFmtId="0" fontId="76" fillId="0" borderId="15">
      <alignment horizontal="center"/>
    </xf>
    <xf numFmtId="0" fontId="76" fillId="0" borderId="15">
      <alignment horizontal="center"/>
    </xf>
    <xf numFmtId="0" fontId="76" fillId="0" borderId="15">
      <alignment horizontal="center"/>
    </xf>
    <xf numFmtId="0" fontId="76" fillId="0" borderId="15">
      <alignment horizontal="center"/>
    </xf>
    <xf numFmtId="0" fontId="76" fillId="0" borderId="15">
      <alignment horizontal="center"/>
    </xf>
    <xf numFmtId="0" fontId="76" fillId="0" borderId="15">
      <alignment horizontal="center"/>
    </xf>
    <xf numFmtId="0" fontId="76" fillId="0" borderId="15">
      <alignment horizontal="center"/>
    </xf>
    <xf numFmtId="0" fontId="76" fillId="0" borderId="15">
      <alignment horizontal="center"/>
    </xf>
    <xf numFmtId="0" fontId="76" fillId="0" borderId="15">
      <alignment horizontal="center"/>
    </xf>
    <xf numFmtId="0" fontId="76" fillId="0" borderId="15">
      <alignment horizontal="center"/>
    </xf>
    <xf numFmtId="0" fontId="76" fillId="0" borderId="15">
      <alignment horizontal="center"/>
    </xf>
    <xf numFmtId="0" fontId="76" fillId="0" borderId="15">
      <alignment horizontal="center"/>
    </xf>
    <xf numFmtId="0" fontId="76" fillId="0" borderId="15">
      <alignment horizontal="center"/>
    </xf>
    <xf numFmtId="0" fontId="76" fillId="0" borderId="15">
      <alignment horizontal="center"/>
    </xf>
    <xf numFmtId="0" fontId="76" fillId="0" borderId="15">
      <alignment horizontal="center"/>
    </xf>
    <xf numFmtId="0" fontId="76" fillId="0" borderId="15">
      <alignment horizontal="center"/>
    </xf>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5" fillId="30" borderId="0" applyNumberFormat="0" applyFont="0" applyBorder="0" applyAlignment="0" applyProtection="0"/>
    <xf numFmtId="0" fontId="45" fillId="30" borderId="0" applyNumberFormat="0" applyFont="0" applyBorder="0" applyAlignment="0" applyProtection="0"/>
    <xf numFmtId="0" fontId="45" fillId="30" borderId="0" applyNumberFormat="0" applyFont="0" applyBorder="0" applyAlignment="0" applyProtection="0"/>
    <xf numFmtId="0" fontId="45" fillId="30" borderId="0" applyNumberFormat="0" applyFont="0" applyBorder="0" applyAlignment="0" applyProtection="0"/>
    <xf numFmtId="0" fontId="45" fillId="30" borderId="0" applyNumberFormat="0" applyFont="0" applyBorder="0" applyAlignment="0" applyProtection="0"/>
    <xf numFmtId="0" fontId="45" fillId="30" borderId="0" applyNumberFormat="0" applyFont="0" applyBorder="0" applyAlignment="0" applyProtection="0"/>
    <xf numFmtId="0" fontId="45" fillId="30" borderId="0" applyNumberFormat="0" applyFont="0" applyBorder="0" applyAlignment="0" applyProtection="0"/>
    <xf numFmtId="0" fontId="45" fillId="30" borderId="0" applyNumberFormat="0" applyFont="0" applyBorder="0" applyAlignment="0" applyProtection="0"/>
    <xf numFmtId="0" fontId="45" fillId="30" borderId="0" applyNumberFormat="0" applyFont="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1" fillId="0" borderId="0" applyNumberFormat="0" applyFill="0" applyBorder="0" applyAlignment="0" applyProtection="0"/>
    <xf numFmtId="0" fontId="22"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9" fillId="0" borderId="9" applyNumberFormat="0" applyFill="0" applyAlignment="0" applyProtection="0"/>
    <xf numFmtId="0" fontId="78"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9" fontId="2" fillId="0" borderId="0" applyFont="0" applyFill="0" applyBorder="0" applyAlignment="0" applyProtection="0"/>
    <xf numFmtId="0" fontId="4" fillId="0" borderId="0"/>
    <xf numFmtId="0" fontId="4" fillId="31" borderId="0"/>
    <xf numFmtId="0" fontId="4" fillId="31" borderId="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175" fontId="49" fillId="0" borderId="24" applyBorder="0">
      <alignment horizontal="center" vertical="center"/>
    </xf>
    <xf numFmtId="0" fontId="42" fillId="44" borderId="0">
      <alignment horizontal="left"/>
    </xf>
    <xf numFmtId="0" fontId="84" fillId="44" borderId="0">
      <alignment horizontal="right"/>
    </xf>
    <xf numFmtId="0" fontId="85" fillId="45" borderId="0">
      <alignment horizontal="center"/>
    </xf>
    <xf numFmtId="0" fontId="84" fillId="44" borderId="0">
      <alignment horizontal="right"/>
    </xf>
    <xf numFmtId="0" fontId="86" fillId="45" borderId="0">
      <alignment horizontal="left"/>
    </xf>
    <xf numFmtId="41" fontId="72"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8" fillId="0" borderId="0" applyFont="0" applyFill="0" applyBorder="0" applyAlignment="0" applyProtection="0"/>
    <xf numFmtId="3" fontId="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4" fillId="0" borderId="0" applyFont="0" applyFill="0" applyBorder="0" applyAlignment="0" applyProtection="0"/>
    <xf numFmtId="176" fontId="4" fillId="0" borderId="0" applyFont="0" applyFill="0" applyBorder="0" applyAlignment="0" applyProtection="0"/>
    <xf numFmtId="0" fontId="89" fillId="0" borderId="0"/>
    <xf numFmtId="0" fontId="89" fillId="0" borderId="25"/>
    <xf numFmtId="0" fontId="4" fillId="0" borderId="0" applyFont="0" applyFill="0" applyBorder="0" applyAlignment="0" applyProtection="0"/>
    <xf numFmtId="0" fontId="4" fillId="10" borderId="26" applyNumberFormat="0" applyFont="0" applyAlignment="0">
      <protection locked="0"/>
    </xf>
    <xf numFmtId="0" fontId="4" fillId="10" borderId="26" applyNumberFormat="0" applyFont="0" applyAlignment="0">
      <protection locked="0"/>
    </xf>
    <xf numFmtId="177" fontId="4" fillId="0" borderId="0" applyFont="0" applyFill="0" applyBorder="0" applyAlignment="0" applyProtection="0"/>
    <xf numFmtId="178" fontId="4" fillId="0" borderId="0" applyFont="0" applyFill="0" applyBorder="0" applyAlignment="0" applyProtection="0"/>
    <xf numFmtId="0" fontId="6" fillId="0" borderId="0" applyProtection="0"/>
    <xf numFmtId="0" fontId="87" fillId="0" borderId="0" applyProtection="0"/>
    <xf numFmtId="0" fontId="90" fillId="0" borderId="0" applyProtection="0"/>
    <xf numFmtId="0" fontId="5" fillId="0" borderId="0" applyProtection="0"/>
    <xf numFmtId="0" fontId="4" fillId="0" borderId="0" applyProtection="0"/>
    <xf numFmtId="0" fontId="4" fillId="0" borderId="0" applyProtection="0"/>
    <xf numFmtId="0" fontId="6" fillId="0" borderId="0" applyProtection="0"/>
    <xf numFmtId="0" fontId="91" fillId="0" borderId="0" applyProtection="0"/>
    <xf numFmtId="2" fontId="4" fillId="0" borderId="0" applyFont="0" applyFill="0" applyBorder="0" applyAlignment="0" applyProtection="0"/>
    <xf numFmtId="0" fontId="92" fillId="46" borderId="25"/>
    <xf numFmtId="0" fontId="42" fillId="44" borderId="0">
      <alignment horizontal="left"/>
    </xf>
    <xf numFmtId="0" fontId="78" fillId="45" borderId="0">
      <alignment horizontal="left"/>
    </xf>
    <xf numFmtId="0" fontId="78" fillId="45" borderId="0">
      <alignment horizontal="left"/>
    </xf>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179"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87" fillId="0" borderId="0"/>
    <xf numFmtId="0" fontId="87"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7" borderId="27" applyNumberFormat="0" applyFont="0" applyAlignment="0" applyProtection="0"/>
    <xf numFmtId="0" fontId="33" fillId="47" borderId="27" applyNumberFormat="0" applyFont="0" applyAlignment="0" applyProtection="0"/>
    <xf numFmtId="0" fontId="33" fillId="47" borderId="27" applyNumberFormat="0" applyFont="0" applyAlignment="0" applyProtection="0"/>
    <xf numFmtId="0" fontId="33" fillId="47" borderId="27" applyNumberFormat="0" applyFont="0" applyAlignment="0" applyProtection="0"/>
    <xf numFmtId="0" fontId="33" fillId="47" borderId="27" applyNumberFormat="0" applyFont="0" applyAlignment="0" applyProtection="0"/>
    <xf numFmtId="0" fontId="33" fillId="47" borderId="27" applyNumberFormat="0" applyFont="0" applyAlignment="0" applyProtection="0"/>
    <xf numFmtId="0" fontId="33" fillId="47" borderId="27" applyNumberFormat="0" applyFont="0" applyAlignment="0" applyProtection="0"/>
    <xf numFmtId="0" fontId="33" fillId="47" borderId="27" applyNumberFormat="0" applyFont="0" applyAlignment="0" applyProtection="0"/>
    <xf numFmtId="4" fontId="34" fillId="48" borderId="0">
      <alignment horizontal="right"/>
    </xf>
    <xf numFmtId="40" fontId="93" fillId="48" borderId="0">
      <alignment horizontal="right"/>
    </xf>
    <xf numFmtId="180" fontId="34" fillId="45" borderId="0">
      <alignment horizontal="right"/>
    </xf>
    <xf numFmtId="40" fontId="93" fillId="48" borderId="0">
      <alignment horizontal="right"/>
    </xf>
    <xf numFmtId="0" fontId="94" fillId="48" borderId="0">
      <alignment horizontal="center" vertical="center"/>
    </xf>
    <xf numFmtId="0" fontId="95" fillId="48" borderId="0">
      <alignment horizontal="right"/>
    </xf>
    <xf numFmtId="0" fontId="94" fillId="46" borderId="0">
      <alignment horizontal="center"/>
    </xf>
    <xf numFmtId="0" fontId="95" fillId="48" borderId="0">
      <alignment horizontal="right"/>
    </xf>
    <xf numFmtId="0" fontId="78" fillId="48" borderId="24"/>
    <xf numFmtId="0" fontId="96" fillId="48" borderId="24"/>
    <xf numFmtId="0" fontId="42" fillId="49" borderId="0"/>
    <xf numFmtId="0" fontId="96" fillId="48" borderId="24"/>
    <xf numFmtId="0" fontId="94" fillId="48" borderId="0" applyBorder="0">
      <alignment horizontal="centerContinuous"/>
    </xf>
    <xf numFmtId="0" fontId="96" fillId="0" borderId="0" applyBorder="0">
      <alignment horizontal="centerContinuous"/>
    </xf>
    <xf numFmtId="0" fontId="97" fillId="45" borderId="0" applyBorder="0">
      <alignment horizontal="centerContinuous"/>
    </xf>
    <xf numFmtId="0" fontId="96" fillId="0" borderId="0" applyBorder="0">
      <alignment horizontal="centerContinuous"/>
    </xf>
    <xf numFmtId="0" fontId="98" fillId="48" borderId="0" applyBorder="0">
      <alignment horizontal="centerContinuous"/>
    </xf>
    <xf numFmtId="0" fontId="99" fillId="0" borderId="0" applyBorder="0">
      <alignment horizontal="centerContinuous"/>
    </xf>
    <xf numFmtId="0" fontId="100" fillId="49" borderId="0" applyBorder="0">
      <alignment horizontal="centerContinuous"/>
    </xf>
    <xf numFmtId="0" fontId="99" fillId="0" borderId="0" applyBorder="0">
      <alignment horizontal="centerContinuous"/>
    </xf>
    <xf numFmtId="9" fontId="28"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0" fontId="78" fillId="22" borderId="0">
      <alignment horizontal="center"/>
    </xf>
    <xf numFmtId="0" fontId="78" fillId="22" borderId="0">
      <alignment horizontal="center"/>
    </xf>
    <xf numFmtId="49" fontId="101" fillId="45" borderId="0">
      <alignment horizontal="center"/>
    </xf>
    <xf numFmtId="0" fontId="89" fillId="0" borderId="0"/>
    <xf numFmtId="0" fontId="84" fillId="44" borderId="0">
      <alignment horizontal="center"/>
    </xf>
    <xf numFmtId="0" fontId="84" fillId="44" borderId="0">
      <alignment horizontal="centerContinuous"/>
    </xf>
    <xf numFmtId="0" fontId="102" fillId="45" borderId="0">
      <alignment horizontal="left"/>
    </xf>
    <xf numFmtId="49" fontId="102" fillId="45" borderId="0">
      <alignment horizontal="center"/>
    </xf>
    <xf numFmtId="0" fontId="42" fillId="44" borderId="0">
      <alignment horizontal="left"/>
    </xf>
    <xf numFmtId="49" fontId="102" fillId="45" borderId="0">
      <alignment horizontal="left"/>
    </xf>
    <xf numFmtId="0" fontId="42" fillId="44" borderId="0">
      <alignment horizontal="centerContinuous"/>
    </xf>
    <xf numFmtId="0" fontId="42" fillId="44" borderId="0">
      <alignment horizontal="right"/>
    </xf>
    <xf numFmtId="49" fontId="78" fillId="45" borderId="0">
      <alignment horizontal="left"/>
    </xf>
    <xf numFmtId="49" fontId="78" fillId="45" borderId="0">
      <alignment horizontal="left"/>
    </xf>
    <xf numFmtId="0" fontId="84" fillId="44" borderId="0">
      <alignment horizontal="right"/>
    </xf>
    <xf numFmtId="0" fontId="102" fillId="7" borderId="0">
      <alignment horizontal="center"/>
    </xf>
    <xf numFmtId="0" fontId="103" fillId="7" borderId="0">
      <alignment horizontal="center"/>
    </xf>
    <xf numFmtId="4" fontId="6" fillId="50" borderId="28" applyNumberFormat="0" applyProtection="0">
      <alignment vertical="center"/>
    </xf>
    <xf numFmtId="4" fontId="6" fillId="50" borderId="28" applyNumberFormat="0" applyProtection="0">
      <alignment vertical="center"/>
    </xf>
    <xf numFmtId="4" fontId="104" fillId="50" borderId="29" applyNumberFormat="0" applyProtection="0">
      <alignment vertical="center"/>
    </xf>
    <xf numFmtId="4" fontId="6" fillId="50" borderId="28" applyNumberFormat="0" applyProtection="0">
      <alignment horizontal="left" vertical="center" indent="1"/>
    </xf>
    <xf numFmtId="4" fontId="6" fillId="50" borderId="28" applyNumberFormat="0" applyProtection="0">
      <alignment horizontal="left" vertical="center" indent="1"/>
    </xf>
    <xf numFmtId="0" fontId="6" fillId="51" borderId="29" applyNumberFormat="0" applyProtection="0">
      <alignment horizontal="left" vertical="top" indent="1"/>
    </xf>
    <xf numFmtId="0" fontId="6" fillId="51" borderId="29" applyNumberFormat="0" applyProtection="0">
      <alignment horizontal="left" vertical="top" indent="1"/>
    </xf>
    <xf numFmtId="4" fontId="6" fillId="49" borderId="0" applyNumberFormat="0" applyProtection="0">
      <alignment horizontal="left" vertical="center" indent="1"/>
    </xf>
    <xf numFmtId="4" fontId="6" fillId="49" borderId="0" applyNumberFormat="0" applyProtection="0">
      <alignment horizontal="left" vertical="center" indent="1"/>
    </xf>
    <xf numFmtId="4" fontId="4" fillId="50" borderId="29" applyNumberFormat="0" applyProtection="0">
      <alignment horizontal="right" vertical="center"/>
    </xf>
    <xf numFmtId="4" fontId="4" fillId="50" borderId="29" applyNumberFormat="0" applyProtection="0">
      <alignment horizontal="right" vertical="center"/>
    </xf>
    <xf numFmtId="4" fontId="105" fillId="52" borderId="29" applyNumberFormat="0" applyProtection="0">
      <alignment horizontal="right" vertical="center"/>
    </xf>
    <xf numFmtId="4" fontId="105" fillId="53" borderId="29" applyNumberFormat="0" applyProtection="0">
      <alignment horizontal="right" vertical="center"/>
    </xf>
    <xf numFmtId="4" fontId="4" fillId="22" borderId="29" applyNumberFormat="0" applyProtection="0">
      <alignment horizontal="right" vertical="center"/>
    </xf>
    <xf numFmtId="4" fontId="4" fillId="22" borderId="29" applyNumberFormat="0" applyProtection="0">
      <alignment horizontal="right" vertical="center"/>
    </xf>
    <xf numFmtId="4" fontId="4" fillId="8" borderId="29" applyNumberFormat="0" applyProtection="0">
      <alignment horizontal="right" vertical="center"/>
    </xf>
    <xf numFmtId="4" fontId="4" fillId="8" borderId="29" applyNumberFormat="0" applyProtection="0">
      <alignment horizontal="right" vertical="center"/>
    </xf>
    <xf numFmtId="4" fontId="4" fillId="3" borderId="29" applyNumberFormat="0" applyProtection="0">
      <alignment horizontal="right" vertical="center"/>
    </xf>
    <xf numFmtId="4" fontId="4" fillId="3" borderId="29" applyNumberFormat="0" applyProtection="0">
      <alignment horizontal="right" vertical="center"/>
    </xf>
    <xf numFmtId="4" fontId="105" fillId="17" borderId="29" applyNumberFormat="0" applyProtection="0">
      <alignment horizontal="right" vertical="center"/>
    </xf>
    <xf numFmtId="4" fontId="105" fillId="15" borderId="29" applyNumberFormat="0" applyProtection="0">
      <alignment horizontal="right" vertical="center"/>
    </xf>
    <xf numFmtId="4" fontId="4" fillId="14" borderId="29" applyNumberFormat="0" applyProtection="0">
      <alignment horizontal="right" vertical="center"/>
    </xf>
    <xf numFmtId="4" fontId="4" fillId="14" borderId="29" applyNumberFormat="0" applyProtection="0">
      <alignment horizontal="right" vertical="center"/>
    </xf>
    <xf numFmtId="4" fontId="6" fillId="54" borderId="0" applyNumberFormat="0" applyProtection="0">
      <alignment horizontal="left" vertical="center" indent="1"/>
    </xf>
    <xf numFmtId="4" fontId="6" fillId="54" borderId="0" applyNumberFormat="0" applyProtection="0">
      <alignment horizontal="left" vertical="center" indent="1"/>
    </xf>
    <xf numFmtId="4" fontId="4" fillId="19" borderId="0" applyNumberFormat="0" applyProtection="0">
      <alignment horizontal="left" vertical="center" indent="1"/>
    </xf>
    <xf numFmtId="4" fontId="4" fillId="19" borderId="0" applyNumberFormat="0" applyProtection="0">
      <alignment horizontal="left" vertical="center" indent="1"/>
    </xf>
    <xf numFmtId="4" fontId="101" fillId="55" borderId="0" applyNumberFormat="0" applyProtection="0">
      <alignment horizontal="left" vertical="center" indent="1"/>
    </xf>
    <xf numFmtId="4" fontId="101" fillId="55" borderId="0" applyNumberFormat="0" applyProtection="0">
      <alignment horizontal="left" vertical="center" indent="1"/>
    </xf>
    <xf numFmtId="4" fontId="4" fillId="19" borderId="28" applyNumberFormat="0" applyProtection="0">
      <alignment horizontal="right" vertical="center"/>
    </xf>
    <xf numFmtId="4" fontId="4" fillId="19" borderId="28" applyNumberFormat="0" applyProtection="0">
      <alignment horizontal="right" vertical="center"/>
    </xf>
    <xf numFmtId="4" fontId="4" fillId="19" borderId="0" applyNumberFormat="0" applyProtection="0">
      <alignment horizontal="left" vertical="center" indent="1"/>
    </xf>
    <xf numFmtId="4" fontId="4" fillId="19" borderId="0" applyNumberFormat="0" applyProtection="0">
      <alignment horizontal="left" vertical="center" indent="1"/>
    </xf>
    <xf numFmtId="4" fontId="4" fillId="51" borderId="0" applyNumberFormat="0" applyProtection="0">
      <alignment horizontal="left" vertical="center" indent="1"/>
    </xf>
    <xf numFmtId="4" fontId="4" fillId="51" borderId="0" applyNumberFormat="0" applyProtection="0">
      <alignment horizontal="left" vertical="center" indent="1"/>
    </xf>
    <xf numFmtId="0" fontId="4" fillId="19" borderId="28" applyNumberFormat="0" applyProtection="0">
      <alignment horizontal="left" vertical="center" indent="1"/>
    </xf>
    <xf numFmtId="0" fontId="4" fillId="19" borderId="28" applyNumberFormat="0" applyProtection="0">
      <alignment horizontal="left" vertical="center" indent="1"/>
    </xf>
    <xf numFmtId="0" fontId="4" fillId="19" borderId="29" applyNumberFormat="0" applyProtection="0">
      <alignment horizontal="left" vertical="top" indent="1"/>
    </xf>
    <xf numFmtId="0" fontId="4" fillId="19" borderId="29" applyNumberFormat="0" applyProtection="0">
      <alignment horizontal="left" vertical="top" indent="1"/>
    </xf>
    <xf numFmtId="0" fontId="4" fillId="19" borderId="28" applyNumberFormat="0" applyProtection="0">
      <alignment horizontal="left" vertical="center" indent="1"/>
    </xf>
    <xf numFmtId="0" fontId="4" fillId="19" borderId="28" applyNumberFormat="0" applyProtection="0">
      <alignment horizontal="left" vertical="center" indent="1"/>
    </xf>
    <xf numFmtId="0" fontId="4" fillId="19" borderId="29" applyNumberFormat="0" applyProtection="0">
      <alignment horizontal="left" vertical="top" indent="1"/>
    </xf>
    <xf numFmtId="0" fontId="4" fillId="19" borderId="29" applyNumberFormat="0" applyProtection="0">
      <alignment horizontal="left" vertical="top" indent="1"/>
    </xf>
    <xf numFmtId="0" fontId="4" fillId="19" borderId="28" applyNumberFormat="0" applyProtection="0">
      <alignment horizontal="left" vertical="center" indent="1"/>
    </xf>
    <xf numFmtId="0" fontId="4" fillId="19" borderId="28" applyNumberFormat="0" applyProtection="0">
      <alignment horizontal="left" vertical="center" indent="1"/>
    </xf>
    <xf numFmtId="0" fontId="4" fillId="19" borderId="29" applyNumberFormat="0" applyProtection="0">
      <alignment horizontal="left" vertical="top" indent="1"/>
    </xf>
    <xf numFmtId="0" fontId="4" fillId="19" borderId="29" applyNumberFormat="0" applyProtection="0">
      <alignment horizontal="left" vertical="top" indent="1"/>
    </xf>
    <xf numFmtId="0" fontId="4" fillId="19" borderId="28" applyNumberFormat="0" applyProtection="0">
      <alignment horizontal="left" vertical="center" indent="1"/>
    </xf>
    <xf numFmtId="0" fontId="4" fillId="19" borderId="28" applyNumberFormat="0" applyProtection="0">
      <alignment horizontal="left" vertical="center" indent="1"/>
    </xf>
    <xf numFmtId="0" fontId="4" fillId="19" borderId="29" applyNumberFormat="0" applyProtection="0">
      <alignment horizontal="left" vertical="top" indent="1"/>
    </xf>
    <xf numFmtId="0" fontId="4" fillId="19" borderId="29" applyNumberFormat="0" applyProtection="0">
      <alignment horizontal="left" vertical="top" indent="1"/>
    </xf>
    <xf numFmtId="4" fontId="34" fillId="56" borderId="29" applyNumberFormat="0" applyProtection="0">
      <alignment vertical="center"/>
    </xf>
    <xf numFmtId="4" fontId="106" fillId="56" borderId="29" applyNumberFormat="0" applyProtection="0">
      <alignment vertical="center"/>
    </xf>
    <xf numFmtId="4" fontId="4" fillId="19" borderId="29" applyNumberFormat="0" applyProtection="0">
      <alignment horizontal="left" vertical="center" indent="1"/>
    </xf>
    <xf numFmtId="4" fontId="4" fillId="19" borderId="29" applyNumberFormat="0" applyProtection="0">
      <alignment horizontal="left" vertical="center" indent="1"/>
    </xf>
    <xf numFmtId="0" fontId="4" fillId="19" borderId="29" applyNumberFormat="0" applyProtection="0">
      <alignment horizontal="left" vertical="top" indent="1"/>
    </xf>
    <xf numFmtId="0" fontId="4" fillId="19" borderId="29" applyNumberFormat="0" applyProtection="0">
      <alignment horizontal="left" vertical="top" indent="1"/>
    </xf>
    <xf numFmtId="4" fontId="4" fillId="57" borderId="28" applyNumberFormat="0" applyProtection="0">
      <alignment horizontal="right" vertical="center"/>
    </xf>
    <xf numFmtId="4" fontId="4" fillId="57" borderId="28" applyNumberFormat="0" applyProtection="0">
      <alignment horizontal="right" vertical="center"/>
    </xf>
    <xf numFmtId="4" fontId="6" fillId="57" borderId="28" applyNumberFormat="0" applyProtection="0">
      <alignment horizontal="right" vertical="center"/>
    </xf>
    <xf numFmtId="4" fontId="6" fillId="57" borderId="28" applyNumberFormat="0" applyProtection="0">
      <alignment horizontal="right" vertical="center"/>
    </xf>
    <xf numFmtId="4" fontId="4" fillId="19" borderId="28" applyNumberFormat="0" applyProtection="0">
      <alignment horizontal="left" vertical="center" indent="1"/>
    </xf>
    <xf numFmtId="4" fontId="4" fillId="19" borderId="28" applyNumberFormat="0" applyProtection="0">
      <alignment horizontal="left" vertical="center" indent="1"/>
    </xf>
    <xf numFmtId="0" fontId="4" fillId="19" borderId="28" applyNumberFormat="0" applyProtection="0">
      <alignment horizontal="left" vertical="top" indent="1"/>
    </xf>
    <xf numFmtId="0" fontId="4" fillId="19" borderId="28" applyNumberFormat="0" applyProtection="0">
      <alignment horizontal="left" vertical="top" indent="1"/>
    </xf>
    <xf numFmtId="4" fontId="107" fillId="0" borderId="0" applyNumberFormat="0" applyProtection="0">
      <alignment horizontal="left" vertical="center" indent="1"/>
    </xf>
    <xf numFmtId="4" fontId="4" fillId="0" borderId="29" applyNumberFormat="0" applyProtection="0">
      <alignment horizontal="right" vertical="center"/>
    </xf>
    <xf numFmtId="4" fontId="4" fillId="0" borderId="29" applyNumberFormat="0" applyProtection="0">
      <alignment horizontal="right" vertical="center"/>
    </xf>
    <xf numFmtId="0" fontId="4" fillId="0" borderId="12" applyNumberFormat="0" applyFont="0" applyFill="0" applyBorder="0" applyAlignment="0" applyProtection="0"/>
    <xf numFmtId="0" fontId="4" fillId="0" borderId="12" applyNumberFormat="0" applyFont="0" applyFill="0" applyBorder="0" applyAlignment="0" applyProtection="0"/>
    <xf numFmtId="38" fontId="4" fillId="58" borderId="0" applyNumberFormat="0" applyFon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9" fillId="0" borderId="25"/>
    <xf numFmtId="0" fontId="108" fillId="44" borderId="0"/>
    <xf numFmtId="0" fontId="92" fillId="0" borderId="30"/>
    <xf numFmtId="0" fontId="92" fillId="0" borderId="25"/>
    <xf numFmtId="0" fontId="109" fillId="0" borderId="0"/>
    <xf numFmtId="0" fontId="110" fillId="45" borderId="0">
      <alignment horizontal="center"/>
    </xf>
    <xf numFmtId="181" fontId="32" fillId="0" borderId="0" applyFont="0" applyFill="0" applyBorder="0" applyAlignment="0" applyProtection="0"/>
  </cellStyleXfs>
  <cellXfs count="412">
    <xf numFmtId="0" fontId="0" fillId="0" borderId="0" xfId="0"/>
    <xf numFmtId="0" fontId="0" fillId="0" borderId="0" xfId="0" applyBorder="1"/>
    <xf numFmtId="38" fontId="24" fillId="0" borderId="0" xfId="44" applyNumberFormat="1"/>
    <xf numFmtId="0" fontId="24" fillId="0" borderId="0" xfId="44"/>
    <xf numFmtId="0" fontId="25" fillId="0" borderId="0" xfId="44" applyFont="1" applyAlignment="1">
      <alignment horizontal="right"/>
    </xf>
    <xf numFmtId="0" fontId="25" fillId="0" borderId="0" xfId="44" applyFont="1"/>
    <xf numFmtId="6" fontId="24" fillId="0" borderId="0" xfId="44" applyNumberFormat="1"/>
    <xf numFmtId="40" fontId="24" fillId="0" borderId="0" xfId="44" applyNumberFormat="1"/>
    <xf numFmtId="6" fontId="24" fillId="0" borderId="0" xfId="44" applyNumberFormat="1" applyFill="1"/>
    <xf numFmtId="166" fontId="24" fillId="0" borderId="0" xfId="44" applyNumberFormat="1"/>
    <xf numFmtId="0" fontId="24" fillId="0" borderId="0" xfId="44" applyAlignment="1">
      <alignment horizontal="center"/>
    </xf>
    <xf numFmtId="0" fontId="25" fillId="0" borderId="0" xfId="44" applyFont="1" applyAlignment="1">
      <alignment horizontal="center"/>
    </xf>
    <xf numFmtId="40" fontId="24" fillId="24" borderId="0" xfId="44" applyNumberFormat="1" applyFill="1"/>
    <xf numFmtId="6" fontId="24" fillId="24" borderId="0" xfId="44" applyNumberFormat="1" applyFill="1"/>
    <xf numFmtId="0" fontId="27" fillId="0" borderId="0" xfId="0" applyFont="1"/>
    <xf numFmtId="165" fontId="27" fillId="0" borderId="0" xfId="28" applyNumberFormat="1" applyFont="1"/>
    <xf numFmtId="165" fontId="27" fillId="0" borderId="0" xfId="28" applyNumberFormat="1" applyFont="1" applyFill="1" applyBorder="1"/>
    <xf numFmtId="0" fontId="26" fillId="0" borderId="10" xfId="0" applyFont="1" applyBorder="1" applyAlignment="1">
      <alignment horizontal="center"/>
    </xf>
    <xf numFmtId="0" fontId="28" fillId="0" borderId="0" xfId="45" applyFill="1" applyAlignment="1"/>
    <xf numFmtId="0" fontId="29" fillId="0" borderId="0" xfId="45" applyFont="1" applyFill="1" applyAlignment="1"/>
    <xf numFmtId="37" fontId="28" fillId="0" borderId="0" xfId="45" applyNumberFormat="1" applyFill="1" applyAlignment="1"/>
    <xf numFmtId="0" fontId="30" fillId="0" borderId="0" xfId="45" applyNumberFormat="1" applyFont="1" applyFill="1" applyAlignment="1">
      <alignment horizontal="centerContinuous"/>
    </xf>
    <xf numFmtId="0" fontId="28" fillId="0" borderId="0" xfId="45" applyNumberFormat="1" applyFill="1" applyAlignment="1">
      <alignment horizontal="centerContinuous"/>
    </xf>
    <xf numFmtId="0" fontId="28" fillId="0" borderId="0" xfId="45" applyFill="1"/>
    <xf numFmtId="0" fontId="30" fillId="0" borderId="0" xfId="45" applyNumberFormat="1" applyFont="1" applyFill="1" applyAlignment="1">
      <alignment horizontal="center"/>
    </xf>
    <xf numFmtId="0" fontId="29" fillId="0" borderId="0" xfId="45" applyFont="1" applyFill="1" applyAlignment="1">
      <alignment horizontal="center"/>
    </xf>
    <xf numFmtId="37" fontId="29" fillId="0" borderId="0" xfId="45" applyNumberFormat="1" applyFont="1" applyFill="1" applyBorder="1" applyAlignment="1">
      <alignment horizontal="center"/>
    </xf>
    <xf numFmtId="37" fontId="29" fillId="0" borderId="0" xfId="45" applyNumberFormat="1" applyFont="1" applyFill="1" applyBorder="1" applyAlignment="1"/>
    <xf numFmtId="0" fontId="30" fillId="0" borderId="0" xfId="45" applyFont="1" applyFill="1" applyAlignment="1">
      <alignment horizontal="center"/>
    </xf>
    <xf numFmtId="0" fontId="28" fillId="0" borderId="10" xfId="45" applyFill="1" applyBorder="1"/>
    <xf numFmtId="0" fontId="29" fillId="0" borderId="10" xfId="45" applyFont="1" applyFill="1" applyBorder="1" applyAlignment="1">
      <alignment horizontal="center"/>
    </xf>
    <xf numFmtId="49" fontId="29" fillId="0" borderId="10" xfId="45" applyNumberFormat="1" applyFont="1" applyFill="1" applyBorder="1" applyAlignment="1">
      <alignment horizontal="center"/>
    </xf>
    <xf numFmtId="37" fontId="29" fillId="0" borderId="10" xfId="45" applyNumberFormat="1" applyFont="1" applyFill="1" applyBorder="1" applyAlignment="1">
      <alignment horizontal="center"/>
    </xf>
    <xf numFmtId="0" fontId="29" fillId="0" borderId="10" xfId="45" applyNumberFormat="1" applyFont="1" applyFill="1" applyBorder="1" applyAlignment="1">
      <alignment horizontal="center"/>
    </xf>
    <xf numFmtId="3" fontId="30" fillId="0" borderId="0" xfId="45" applyNumberFormat="1" applyFont="1" applyFill="1" applyAlignment="1">
      <alignment horizontal="left"/>
    </xf>
    <xf numFmtId="3" fontId="30" fillId="0" borderId="0" xfId="45" applyNumberFormat="1" applyFont="1" applyFill="1" applyAlignment="1">
      <alignment horizontal="center"/>
    </xf>
    <xf numFmtId="37" fontId="30" fillId="0" borderId="0" xfId="45" applyNumberFormat="1" applyFont="1" applyFill="1" applyAlignment="1">
      <alignment horizontal="center"/>
    </xf>
    <xf numFmtId="0" fontId="28" fillId="0" borderId="0" xfId="45"/>
    <xf numFmtId="0" fontId="30" fillId="0" borderId="10" xfId="45" applyFont="1" applyBorder="1" applyAlignment="1">
      <alignment horizontal="center"/>
    </xf>
    <xf numFmtId="3" fontId="30" fillId="0" borderId="0" xfId="45" applyNumberFormat="1" applyFont="1" applyAlignment="1">
      <alignment horizontal="center"/>
    </xf>
    <xf numFmtId="38" fontId="30" fillId="0" borderId="0" xfId="45" applyNumberFormat="1" applyFont="1" applyFill="1" applyAlignment="1">
      <alignment horizontal="center"/>
    </xf>
    <xf numFmtId="2" fontId="29" fillId="0" borderId="0" xfId="45" applyNumberFormat="1" applyFont="1"/>
    <xf numFmtId="0" fontId="30" fillId="0" borderId="0" xfId="45" applyFont="1"/>
    <xf numFmtId="43" fontId="30" fillId="0" borderId="0" xfId="45" applyNumberFormat="1" applyFont="1"/>
    <xf numFmtId="38" fontId="28" fillId="0" borderId="0" xfId="45" applyNumberFormat="1" applyFill="1"/>
    <xf numFmtId="38" fontId="28" fillId="0" borderId="0" xfId="45" applyNumberFormat="1" applyFill="1" applyAlignment="1"/>
    <xf numFmtId="37" fontId="28" fillId="0" borderId="0" xfId="45" applyNumberFormat="1" applyFill="1"/>
    <xf numFmtId="167" fontId="28" fillId="0" borderId="0" xfId="45" applyNumberFormat="1" applyFill="1"/>
    <xf numFmtId="0" fontId="30" fillId="0" borderId="12" xfId="45" applyNumberFormat="1" applyFont="1" applyFill="1" applyBorder="1" applyAlignment="1">
      <alignment horizontal="center"/>
    </xf>
    <xf numFmtId="43" fontId="28" fillId="0" borderId="0" xfId="45" applyNumberFormat="1" applyFill="1"/>
    <xf numFmtId="0" fontId="29" fillId="0" borderId="0" xfId="45" applyFont="1"/>
    <xf numFmtId="38" fontId="28" fillId="0" borderId="0" xfId="45" applyNumberFormat="1"/>
    <xf numFmtId="37" fontId="28" fillId="0" borderId="0" xfId="45" applyNumberFormat="1"/>
    <xf numFmtId="43" fontId="28" fillId="0" borderId="0" xfId="45" applyNumberFormat="1"/>
    <xf numFmtId="0" fontId="29" fillId="0" borderId="0" xfId="45" applyFont="1" applyAlignment="1">
      <alignment horizontal="left" indent="1"/>
    </xf>
    <xf numFmtId="39" fontId="29" fillId="0" borderId="0" xfId="46" applyNumberFormat="1" applyFont="1"/>
    <xf numFmtId="38" fontId="29" fillId="0" borderId="0" xfId="46" applyNumberFormat="1" applyFont="1"/>
    <xf numFmtId="37" fontId="29" fillId="0" borderId="0" xfId="46" applyNumberFormat="1" applyFont="1"/>
    <xf numFmtId="43" fontId="29" fillId="0" borderId="0" xfId="45" applyNumberFormat="1" applyFont="1"/>
    <xf numFmtId="38" fontId="29" fillId="0" borderId="0" xfId="45" applyNumberFormat="1" applyFont="1" applyFill="1" applyBorder="1"/>
    <xf numFmtId="39" fontId="29" fillId="0" borderId="10" xfId="46" applyNumberFormat="1" applyFont="1" applyBorder="1"/>
    <xf numFmtId="38" fontId="29" fillId="0" borderId="10" xfId="46" applyNumberFormat="1" applyFont="1" applyBorder="1"/>
    <xf numFmtId="37" fontId="29" fillId="0" borderId="10" xfId="46" applyNumberFormat="1" applyFont="1" applyBorder="1"/>
    <xf numFmtId="38" fontId="29" fillId="0" borderId="10" xfId="45" applyNumberFormat="1" applyFont="1" applyFill="1" applyBorder="1"/>
    <xf numFmtId="2" fontId="29" fillId="0" borderId="0" xfId="45" applyNumberFormat="1" applyFont="1" applyFill="1" applyBorder="1"/>
    <xf numFmtId="0" fontId="29" fillId="0" borderId="0" xfId="45" applyFont="1" applyFill="1" applyBorder="1" applyAlignment="1"/>
    <xf numFmtId="38" fontId="29" fillId="0" borderId="0" xfId="45" applyNumberFormat="1" applyFont="1" applyFill="1" applyBorder="1" applyAlignment="1"/>
    <xf numFmtId="37" fontId="29" fillId="0" borderId="0" xfId="45" applyNumberFormat="1" applyFont="1" applyFill="1" applyBorder="1"/>
    <xf numFmtId="43" fontId="29" fillId="0" borderId="0" xfId="45" applyNumberFormat="1" applyFont="1" applyFill="1" applyAlignment="1"/>
    <xf numFmtId="38" fontId="29" fillId="0" borderId="0" xfId="45" applyNumberFormat="1" applyFont="1" applyFill="1"/>
    <xf numFmtId="0" fontId="29" fillId="0" borderId="0" xfId="45" applyNumberFormat="1" applyFont="1" applyFill="1" applyBorder="1" applyAlignment="1">
      <alignment horizontal="left" indent="1"/>
    </xf>
    <xf numFmtId="39" fontId="29" fillId="0" borderId="0" xfId="46" applyNumberFormat="1" applyFont="1" applyFill="1" applyBorder="1"/>
    <xf numFmtId="38" fontId="29" fillId="0" borderId="0" xfId="46" applyNumberFormat="1" applyFont="1" applyFill="1" applyBorder="1"/>
    <xf numFmtId="37" fontId="29" fillId="0" borderId="0" xfId="46" applyNumberFormat="1" applyFont="1" applyFill="1" applyBorder="1"/>
    <xf numFmtId="43" fontId="29" fillId="0" borderId="0" xfId="45" applyNumberFormat="1" applyFont="1" applyFill="1"/>
    <xf numFmtId="39" fontId="29" fillId="0" borderId="10" xfId="46" applyNumberFormat="1" applyFont="1" applyFill="1" applyBorder="1"/>
    <xf numFmtId="38" fontId="29" fillId="0" borderId="10" xfId="46" applyNumberFormat="1" applyFont="1" applyFill="1" applyBorder="1"/>
    <xf numFmtId="37" fontId="29" fillId="0" borderId="10" xfId="46" applyNumberFormat="1" applyFont="1" applyFill="1" applyBorder="1"/>
    <xf numFmtId="0" fontId="29" fillId="0" borderId="0" xfId="45" applyNumberFormat="1" applyFont="1" applyFill="1" applyBorder="1" applyAlignment="1"/>
    <xf numFmtId="0" fontId="30" fillId="0" borderId="0" xfId="45" applyNumberFormat="1" applyFont="1" applyFill="1" applyBorder="1" applyAlignment="1">
      <alignment horizontal="center"/>
    </xf>
    <xf numFmtId="2" fontId="28" fillId="0" borderId="0" xfId="45" applyNumberFormat="1" applyFill="1"/>
    <xf numFmtId="0" fontId="30" fillId="0" borderId="0" xfId="45" applyNumberFormat="1" applyFont="1" applyFill="1" applyAlignment="1">
      <alignment horizontal="left"/>
    </xf>
    <xf numFmtId="39" fontId="30" fillId="0" borderId="10" xfId="46" applyNumberFormat="1" applyFont="1" applyFill="1" applyBorder="1"/>
    <xf numFmtId="37" fontId="30" fillId="0" borderId="10" xfId="46" applyNumberFormat="1" applyFont="1" applyFill="1" applyBorder="1"/>
    <xf numFmtId="43" fontId="30" fillId="0" borderId="0" xfId="45" applyNumberFormat="1" applyFont="1" applyFill="1"/>
    <xf numFmtId="2" fontId="29" fillId="0" borderId="0" xfId="45" applyNumberFormat="1" applyFont="1" applyFill="1"/>
    <xf numFmtId="0" fontId="29" fillId="0" borderId="0" xfId="45" applyNumberFormat="1" applyFont="1" applyFill="1" applyAlignment="1">
      <alignment horizontal="left"/>
    </xf>
    <xf numFmtId="39" fontId="29" fillId="0" borderId="0" xfId="46" applyNumberFormat="1" applyFont="1" applyFill="1"/>
    <xf numFmtId="38" fontId="29" fillId="0" borderId="0" xfId="46" applyNumberFormat="1" applyFont="1" applyFill="1"/>
    <xf numFmtId="37" fontId="29" fillId="0" borderId="0" xfId="45" applyNumberFormat="1" applyFont="1" applyFill="1" applyAlignment="1"/>
    <xf numFmtId="39" fontId="29" fillId="0" borderId="13" xfId="46" applyNumberFormat="1" applyFont="1" applyFill="1" applyBorder="1"/>
    <xf numFmtId="37" fontId="28" fillId="0" borderId="12" xfId="45" applyNumberFormat="1" applyFill="1" applyBorder="1"/>
    <xf numFmtId="38" fontId="30" fillId="0" borderId="10" xfId="46" applyNumberFormat="1" applyFont="1" applyFill="1" applyBorder="1"/>
    <xf numFmtId="0" fontId="30" fillId="0" borderId="0" xfId="45" applyFont="1" applyFill="1" applyAlignment="1"/>
    <xf numFmtId="0" fontId="28" fillId="0" borderId="0" xfId="45" applyFont="1" applyFill="1" applyAlignment="1"/>
    <xf numFmtId="0" fontId="28" fillId="0" borderId="0" xfId="45" applyAlignment="1">
      <alignment horizontal="left" indent="1"/>
    </xf>
    <xf numFmtId="0" fontId="28" fillId="0" borderId="0" xfId="45" applyNumberFormat="1" applyFont="1" applyFill="1" applyAlignment="1">
      <alignment horizontal="left"/>
    </xf>
    <xf numFmtId="39" fontId="30" fillId="0" borderId="0" xfId="46" applyNumberFormat="1" applyFont="1" applyFill="1" applyBorder="1"/>
    <xf numFmtId="37" fontId="30" fillId="0" borderId="14" xfId="46" applyNumberFormat="1" applyFont="1" applyFill="1" applyBorder="1"/>
    <xf numFmtId="37" fontId="30" fillId="0" borderId="0" xfId="46" applyNumberFormat="1" applyFont="1" applyFill="1" applyBorder="1"/>
    <xf numFmtId="0" fontId="28" fillId="0" borderId="15" xfId="45" applyFill="1" applyBorder="1"/>
    <xf numFmtId="0" fontId="30" fillId="0" borderId="15" xfId="45" applyNumberFormat="1" applyFont="1" applyFill="1" applyBorder="1" applyAlignment="1">
      <alignment horizontal="left"/>
    </xf>
    <xf numFmtId="39" fontId="30" fillId="0" borderId="15" xfId="46" applyNumberFormat="1" applyFont="1" applyFill="1" applyBorder="1"/>
    <xf numFmtId="38" fontId="30" fillId="0" borderId="15" xfId="46" applyNumberFormat="1" applyFont="1" applyFill="1" applyBorder="1"/>
    <xf numFmtId="37" fontId="30" fillId="0" borderId="0" xfId="45" applyNumberFormat="1" applyFont="1" applyFill="1" applyBorder="1" applyAlignment="1"/>
    <xf numFmtId="39" fontId="30" fillId="0" borderId="0" xfId="46" applyNumberFormat="1" applyFont="1"/>
    <xf numFmtId="38" fontId="30" fillId="0" borderId="0" xfId="46" applyNumberFormat="1" applyFont="1"/>
    <xf numFmtId="37" fontId="30" fillId="0" borderId="0" xfId="45" applyNumberFormat="1" applyFont="1"/>
    <xf numFmtId="0" fontId="30" fillId="0" borderId="0" xfId="45" applyFont="1" applyAlignment="1">
      <alignment horizontal="left"/>
    </xf>
    <xf numFmtId="2" fontId="28" fillId="0" borderId="0" xfId="45" applyNumberFormat="1"/>
    <xf numFmtId="37" fontId="29" fillId="0" borderId="0" xfId="45" applyNumberFormat="1" applyFont="1"/>
    <xf numFmtId="37" fontId="29" fillId="0" borderId="0" xfId="45" applyNumberFormat="1" applyFont="1" applyBorder="1"/>
    <xf numFmtId="0" fontId="29" fillId="0" borderId="0" xfId="45" applyFont="1" applyAlignment="1">
      <alignment horizontal="left"/>
    </xf>
    <xf numFmtId="0" fontId="28" fillId="0" borderId="0" xfId="45" applyAlignment="1">
      <alignment horizontal="left"/>
    </xf>
    <xf numFmtId="37" fontId="29" fillId="0" borderId="10" xfId="45" applyNumberFormat="1" applyFont="1" applyBorder="1"/>
    <xf numFmtId="37" fontId="29" fillId="0" borderId="10" xfId="45" applyNumberFormat="1" applyFont="1" applyFill="1" applyBorder="1"/>
    <xf numFmtId="38" fontId="30" fillId="0" borderId="11" xfId="46" applyNumberFormat="1" applyFont="1" applyBorder="1"/>
    <xf numFmtId="37" fontId="30" fillId="0" borderId="10" xfId="45" applyNumberFormat="1" applyFont="1" applyBorder="1"/>
    <xf numFmtId="39" fontId="30" fillId="0" borderId="0" xfId="46" applyNumberFormat="1" applyFont="1" applyFill="1"/>
    <xf numFmtId="38" fontId="30" fillId="0" borderId="0" xfId="46" applyNumberFormat="1" applyFont="1" applyFill="1"/>
    <xf numFmtId="37" fontId="30" fillId="0" borderId="0" xfId="45" applyNumberFormat="1" applyFont="1" applyFill="1" applyAlignment="1"/>
    <xf numFmtId="39" fontId="30" fillId="0" borderId="11" xfId="46" applyNumberFormat="1" applyFont="1" applyFill="1" applyBorder="1"/>
    <xf numFmtId="38" fontId="30" fillId="0" borderId="0" xfId="46" applyNumberFormat="1" applyFont="1" applyFill="1" applyBorder="1"/>
    <xf numFmtId="38" fontId="30" fillId="0" borderId="11" xfId="46" applyNumberFormat="1" applyFont="1" applyFill="1" applyBorder="1"/>
    <xf numFmtId="0" fontId="30" fillId="0" borderId="10" xfId="45" applyNumberFormat="1" applyFont="1" applyFill="1" applyBorder="1" applyAlignment="1">
      <alignment horizontal="center"/>
    </xf>
    <xf numFmtId="0" fontId="28" fillId="0" borderId="0" xfId="45" applyFill="1" applyAlignment="1">
      <alignment horizontal="center"/>
    </xf>
    <xf numFmtId="0" fontId="28" fillId="24" borderId="0" xfId="45" applyFill="1" applyAlignment="1"/>
    <xf numFmtId="0" fontId="28" fillId="24" borderId="0" xfId="45" applyFill="1" applyAlignment="1">
      <alignment horizontal="center"/>
    </xf>
    <xf numFmtId="0" fontId="29" fillId="24" borderId="0" xfId="45" applyFont="1" applyFill="1" applyAlignment="1">
      <alignment horizontal="center"/>
    </xf>
    <xf numFmtId="37" fontId="29" fillId="24" borderId="0" xfId="45" applyNumberFormat="1" applyFont="1" applyFill="1" applyBorder="1" applyAlignment="1">
      <alignment horizontal="center"/>
    </xf>
    <xf numFmtId="0" fontId="29" fillId="24" borderId="10" xfId="45" applyNumberFormat="1" applyFont="1" applyFill="1" applyBorder="1" applyAlignment="1">
      <alignment horizontal="center"/>
    </xf>
    <xf numFmtId="0" fontId="29" fillId="24" borderId="10" xfId="45" applyFont="1" applyFill="1" applyBorder="1" applyAlignment="1">
      <alignment horizontal="center"/>
    </xf>
    <xf numFmtId="3" fontId="30" fillId="24" borderId="0" xfId="45" applyNumberFormat="1" applyFont="1" applyFill="1" applyAlignment="1">
      <alignment horizontal="center"/>
    </xf>
    <xf numFmtId="0" fontId="28" fillId="24" borderId="0" xfId="45" applyFill="1"/>
    <xf numFmtId="43" fontId="30" fillId="24" borderId="0" xfId="45" applyNumberFormat="1" applyFont="1" applyFill="1"/>
    <xf numFmtId="38" fontId="28" fillId="24" borderId="0" xfId="45" applyNumberFormat="1" applyFill="1"/>
    <xf numFmtId="167" fontId="28" fillId="24" borderId="0" xfId="45" applyNumberFormat="1" applyFill="1"/>
    <xf numFmtId="43" fontId="28" fillId="24" borderId="0" xfId="45" applyNumberFormat="1" applyFill="1"/>
    <xf numFmtId="43" fontId="29" fillId="24" borderId="0" xfId="45" applyNumberFormat="1" applyFont="1" applyFill="1"/>
    <xf numFmtId="38" fontId="29" fillId="24" borderId="0" xfId="45" applyNumberFormat="1" applyFont="1" applyFill="1" applyBorder="1"/>
    <xf numFmtId="38" fontId="29" fillId="24" borderId="10" xfId="45" applyNumberFormat="1" applyFont="1" applyFill="1" applyBorder="1"/>
    <xf numFmtId="37" fontId="29" fillId="24" borderId="0" xfId="46" applyNumberFormat="1" applyFont="1" applyFill="1"/>
    <xf numFmtId="43" fontId="29" fillId="24" borderId="0" xfId="45" applyNumberFormat="1" applyFont="1" applyFill="1" applyAlignment="1"/>
    <xf numFmtId="0" fontId="29" fillId="24" borderId="0" xfId="45" applyFont="1" applyFill="1" applyAlignment="1"/>
    <xf numFmtId="38" fontId="29" fillId="24" borderId="0" xfId="45" applyNumberFormat="1" applyFont="1" applyFill="1"/>
    <xf numFmtId="38" fontId="29" fillId="24" borderId="0" xfId="46" applyNumberFormat="1" applyFont="1" applyFill="1" applyBorder="1"/>
    <xf numFmtId="38" fontId="29" fillId="24" borderId="10" xfId="46" applyNumberFormat="1" applyFont="1" applyFill="1" applyBorder="1"/>
    <xf numFmtId="37" fontId="30" fillId="24" borderId="10" xfId="46" applyNumberFormat="1" applyFont="1" applyFill="1" applyBorder="1"/>
    <xf numFmtId="38" fontId="30" fillId="24" borderId="10" xfId="46" applyNumberFormat="1" applyFont="1" applyFill="1" applyBorder="1"/>
    <xf numFmtId="38" fontId="29" fillId="24" borderId="0" xfId="46" applyNumberFormat="1" applyFont="1" applyFill="1"/>
    <xf numFmtId="37" fontId="30" fillId="24" borderId="0" xfId="46" applyNumberFormat="1" applyFont="1" applyFill="1" applyBorder="1"/>
    <xf numFmtId="37" fontId="30" fillId="24" borderId="10" xfId="45" applyNumberFormat="1" applyFont="1" applyFill="1" applyBorder="1"/>
    <xf numFmtId="38" fontId="30" fillId="24" borderId="11" xfId="46" applyNumberFormat="1" applyFont="1" applyFill="1" applyBorder="1"/>
    <xf numFmtId="0" fontId="30" fillId="0" borderId="0" xfId="45" applyFont="1" applyFill="1" applyAlignment="1">
      <alignment horizontal="centerContinuous"/>
    </xf>
    <xf numFmtId="0" fontId="30" fillId="0" borderId="0" xfId="45" applyFont="1" applyFill="1" applyAlignment="1">
      <alignment horizontal="centerContinuous" wrapText="1"/>
    </xf>
    <xf numFmtId="168" fontId="28" fillId="0" borderId="0" xfId="45" applyNumberFormat="1" applyFill="1" applyAlignment="1">
      <alignment horizontal="centerContinuous" wrapText="1"/>
    </xf>
    <xf numFmtId="37" fontId="28" fillId="0" borderId="0" xfId="45" applyNumberFormat="1" applyFill="1" applyAlignment="1">
      <alignment horizontal="centerContinuous"/>
    </xf>
    <xf numFmtId="168" fontId="30" fillId="0" borderId="0" xfId="45" applyNumberFormat="1" applyFont="1" applyFill="1" applyAlignment="1">
      <alignment horizontal="center"/>
    </xf>
    <xf numFmtId="168" fontId="30" fillId="0" borderId="0" xfId="45" applyNumberFormat="1" applyFont="1" applyFill="1" applyAlignment="1">
      <alignment horizontal="center" wrapText="1"/>
    </xf>
    <xf numFmtId="37" fontId="30" fillId="0" borderId="0" xfId="45" applyNumberFormat="1" applyFont="1" applyFill="1" applyBorder="1" applyAlignment="1">
      <alignment horizontal="centerContinuous"/>
    </xf>
    <xf numFmtId="0" fontId="29" fillId="0" borderId="0" xfId="45" applyNumberFormat="1" applyFont="1" applyFill="1" applyBorder="1" applyAlignment="1">
      <alignment horizontal="centerContinuous"/>
    </xf>
    <xf numFmtId="37" fontId="30" fillId="0" borderId="10" xfId="45" applyNumberFormat="1" applyFont="1" applyFill="1" applyBorder="1" applyAlignment="1">
      <alignment horizontal="centerContinuous"/>
    </xf>
    <xf numFmtId="0" fontId="30" fillId="0" borderId="10" xfId="45" applyFont="1" applyFill="1" applyBorder="1" applyAlignment="1">
      <alignment horizontal="centerContinuous"/>
    </xf>
    <xf numFmtId="0" fontId="30" fillId="0" borderId="10" xfId="45" applyNumberFormat="1" applyFont="1" applyFill="1" applyBorder="1" applyAlignment="1">
      <alignment horizontal="centerContinuous"/>
    </xf>
    <xf numFmtId="168" fontId="30" fillId="0" borderId="10" xfId="45" applyNumberFormat="1" applyFont="1" applyFill="1" applyBorder="1" applyAlignment="1">
      <alignment horizontal="center"/>
    </xf>
    <xf numFmtId="49" fontId="30" fillId="0" borderId="0" xfId="45" applyNumberFormat="1" applyFont="1" applyFill="1" applyAlignment="1">
      <alignment horizontal="center"/>
    </xf>
    <xf numFmtId="37" fontId="30" fillId="0" borderId="12" xfId="45" applyNumberFormat="1" applyFont="1" applyFill="1" applyBorder="1" applyAlignment="1">
      <alignment horizontal="center"/>
    </xf>
    <xf numFmtId="168" fontId="30" fillId="0" borderId="12" xfId="45" applyNumberFormat="1" applyFont="1" applyFill="1" applyBorder="1" applyAlignment="1">
      <alignment horizontal="center" wrapText="1"/>
    </xf>
    <xf numFmtId="3" fontId="30" fillId="0" borderId="12" xfId="45" applyNumberFormat="1" applyFont="1" applyFill="1" applyBorder="1" applyAlignment="1">
      <alignment horizontal="center"/>
    </xf>
    <xf numFmtId="0" fontId="29" fillId="0" borderId="0" xfId="45" applyFont="1" applyAlignment="1">
      <alignment horizontal="center"/>
    </xf>
    <xf numFmtId="168" fontId="29" fillId="0" borderId="0" xfId="45" applyNumberFormat="1" applyFont="1" applyAlignment="1">
      <alignment horizontal="center" wrapText="1"/>
    </xf>
    <xf numFmtId="0" fontId="29" fillId="0" borderId="0" xfId="46" applyFont="1"/>
    <xf numFmtId="169" fontId="29" fillId="0" borderId="0" xfId="45" applyNumberFormat="1" applyFont="1"/>
    <xf numFmtId="0" fontId="30" fillId="0" borderId="0" xfId="46" applyFont="1"/>
    <xf numFmtId="37" fontId="30" fillId="0" borderId="0" xfId="46" applyNumberFormat="1" applyFont="1"/>
    <xf numFmtId="168" fontId="28" fillId="0" borderId="0" xfId="45" applyNumberFormat="1" applyFill="1" applyAlignment="1">
      <alignment wrapText="1"/>
    </xf>
    <xf numFmtId="169" fontId="28" fillId="0" borderId="0" xfId="45" applyNumberFormat="1" applyFill="1"/>
    <xf numFmtId="168" fontId="28" fillId="0" borderId="0" xfId="45" applyNumberFormat="1" applyAlignment="1">
      <alignment wrapText="1"/>
    </xf>
    <xf numFmtId="169" fontId="28" fillId="0" borderId="0" xfId="45" applyNumberFormat="1"/>
    <xf numFmtId="168" fontId="29" fillId="0" borderId="0" xfId="45" applyNumberFormat="1" applyFont="1" applyFill="1" applyBorder="1" applyAlignment="1">
      <alignment wrapText="1"/>
    </xf>
    <xf numFmtId="169" fontId="29" fillId="0" borderId="0" xfId="45" applyNumberFormat="1" applyFont="1" applyFill="1" applyAlignment="1"/>
    <xf numFmtId="0" fontId="29" fillId="0" borderId="0" xfId="45" applyFont="1" applyFill="1"/>
    <xf numFmtId="0" fontId="29" fillId="0" borderId="0" xfId="45" applyFont="1" applyFill="1" applyBorder="1" applyAlignment="1">
      <alignment horizontal="center"/>
    </xf>
    <xf numFmtId="0" fontId="29" fillId="0" borderId="0" xfId="45" applyNumberFormat="1" applyFont="1" applyFill="1" applyBorder="1" applyAlignment="1">
      <alignment horizontal="center"/>
    </xf>
    <xf numFmtId="168" fontId="29" fillId="0" borderId="0" xfId="45" applyNumberFormat="1" applyFont="1" applyFill="1" applyBorder="1" applyAlignment="1">
      <alignment horizontal="center" wrapText="1"/>
    </xf>
    <xf numFmtId="0" fontId="29" fillId="0" borderId="0" xfId="46" applyFont="1" applyFill="1" applyBorder="1"/>
    <xf numFmtId="169" fontId="29" fillId="0" borderId="0" xfId="45" applyNumberFormat="1" applyFont="1" applyFill="1"/>
    <xf numFmtId="0" fontId="29" fillId="0" borderId="0" xfId="45" applyNumberFormat="1" applyFont="1" applyFill="1" applyAlignment="1">
      <alignment horizontal="center"/>
    </xf>
    <xf numFmtId="168" fontId="29" fillId="0" borderId="0" xfId="45" applyNumberFormat="1" applyFont="1" applyFill="1" applyAlignment="1">
      <alignment horizontal="center" wrapText="1"/>
    </xf>
    <xf numFmtId="169" fontId="30" fillId="0" borderId="0" xfId="45" applyNumberFormat="1" applyFont="1" applyFill="1"/>
    <xf numFmtId="0" fontId="29" fillId="0" borderId="0" xfId="45" applyFont="1" applyAlignment="1">
      <alignment horizontal="centerContinuous"/>
    </xf>
    <xf numFmtId="168" fontId="29" fillId="0" borderId="0" xfId="45" applyNumberFormat="1" applyFont="1" applyAlignment="1">
      <alignment horizontal="centerContinuous" wrapText="1"/>
    </xf>
    <xf numFmtId="0" fontId="30" fillId="0" borderId="0" xfId="45" applyFont="1" applyFill="1" applyBorder="1" applyAlignment="1"/>
    <xf numFmtId="169" fontId="30" fillId="0" borderId="0" xfId="45" applyNumberFormat="1" applyFont="1" applyFill="1" applyAlignment="1"/>
    <xf numFmtId="37" fontId="30" fillId="0" borderId="11" xfId="45" applyNumberFormat="1" applyFont="1" applyFill="1" applyBorder="1" applyAlignment="1"/>
    <xf numFmtId="0" fontId="29" fillId="0" borderId="0" xfId="45" applyFont="1" applyAlignment="1">
      <alignment horizontal="right"/>
    </xf>
    <xf numFmtId="37" fontId="28" fillId="0" borderId="0" xfId="45" applyNumberFormat="1" applyFill="1" applyBorder="1" applyAlignment="1"/>
    <xf numFmtId="0" fontId="29" fillId="0" borderId="0" xfId="45" applyFont="1" applyFill="1" applyAlignment="1">
      <alignment horizontal="right"/>
    </xf>
    <xf numFmtId="164" fontId="29" fillId="0" borderId="0" xfId="28" applyNumberFormat="1" applyFont="1" applyBorder="1" applyAlignment="1"/>
    <xf numFmtId="164" fontId="29" fillId="0" borderId="0" xfId="28" applyNumberFormat="1" applyFont="1" applyFill="1" applyBorder="1" applyAlignment="1"/>
    <xf numFmtId="37" fontId="29" fillId="0" borderId="0" xfId="46" applyNumberFormat="1" applyFont="1" applyFill="1"/>
    <xf numFmtId="0" fontId="30" fillId="25" borderId="0" xfId="45" applyFont="1" applyFill="1" applyAlignment="1">
      <alignment horizontal="center"/>
    </xf>
    <xf numFmtId="0" fontId="28" fillId="25" borderId="0" xfId="45" applyFill="1"/>
    <xf numFmtId="170" fontId="29" fillId="25" borderId="0" xfId="28" applyNumberFormat="1" applyFont="1" applyFill="1"/>
    <xf numFmtId="170" fontId="28" fillId="25" borderId="0" xfId="28" applyNumberFormat="1" applyFont="1" applyFill="1"/>
    <xf numFmtId="164" fontId="29" fillId="0" borderId="10" xfId="28" applyNumberFormat="1" applyFont="1" applyBorder="1" applyAlignment="1"/>
    <xf numFmtId="43" fontId="29" fillId="0" borderId="0" xfId="45" applyNumberFormat="1" applyFont="1" applyBorder="1"/>
    <xf numFmtId="0" fontId="28" fillId="25" borderId="0" xfId="45" applyFill="1" applyAlignment="1"/>
    <xf numFmtId="0" fontId="29" fillId="25" borderId="0" xfId="45" applyFont="1" applyFill="1" applyAlignment="1"/>
    <xf numFmtId="167" fontId="28" fillId="25" borderId="0" xfId="45" applyNumberFormat="1" applyFill="1" applyAlignment="1"/>
    <xf numFmtId="37" fontId="28" fillId="0" borderId="0" xfId="45" applyNumberFormat="1" applyFill="1" applyBorder="1"/>
    <xf numFmtId="37" fontId="29" fillId="0" borderId="0" xfId="46" applyNumberFormat="1" applyFont="1" applyBorder="1"/>
    <xf numFmtId="164" fontId="30" fillId="24" borderId="0" xfId="45" applyNumberFormat="1" applyFont="1" applyFill="1"/>
    <xf numFmtId="37" fontId="29" fillId="25" borderId="0" xfId="45" applyNumberFormat="1" applyFont="1" applyFill="1" applyBorder="1" applyAlignment="1">
      <alignment horizontal="center"/>
    </xf>
    <xf numFmtId="37" fontId="29" fillId="25" borderId="10" xfId="45" applyNumberFormat="1" applyFont="1" applyFill="1" applyBorder="1" applyAlignment="1">
      <alignment horizontal="center"/>
    </xf>
    <xf numFmtId="37" fontId="30" fillId="25" borderId="0" xfId="45" applyNumberFormat="1" applyFont="1" applyFill="1" applyAlignment="1">
      <alignment horizontal="center"/>
    </xf>
    <xf numFmtId="37" fontId="29" fillId="25" borderId="10" xfId="46" applyNumberFormat="1" applyFont="1" applyFill="1" applyBorder="1"/>
    <xf numFmtId="37" fontId="28" fillId="25" borderId="0" xfId="45" applyNumberFormat="1" applyFill="1"/>
    <xf numFmtId="37" fontId="29" fillId="25" borderId="0" xfId="46" applyNumberFormat="1" applyFont="1" applyFill="1"/>
    <xf numFmtId="37" fontId="29" fillId="25" borderId="0" xfId="45" applyNumberFormat="1" applyFont="1" applyFill="1" applyBorder="1"/>
    <xf numFmtId="37" fontId="29" fillId="25" borderId="0" xfId="46" applyNumberFormat="1" applyFont="1" applyFill="1" applyBorder="1"/>
    <xf numFmtId="38" fontId="29" fillId="25" borderId="0" xfId="46" applyNumberFormat="1" applyFont="1" applyFill="1" applyBorder="1"/>
    <xf numFmtId="38" fontId="29" fillId="25" borderId="10" xfId="46" applyNumberFormat="1" applyFont="1" applyFill="1" applyBorder="1"/>
    <xf numFmtId="37" fontId="30" fillId="25" borderId="10" xfId="46" applyNumberFormat="1" applyFont="1" applyFill="1" applyBorder="1"/>
    <xf numFmtId="37" fontId="29" fillId="25" borderId="0" xfId="45" applyNumberFormat="1" applyFont="1" applyFill="1" applyAlignment="1"/>
    <xf numFmtId="37" fontId="28" fillId="25" borderId="12" xfId="45" applyNumberFormat="1" applyFill="1" applyBorder="1"/>
    <xf numFmtId="38" fontId="30" fillId="25" borderId="10" xfId="46" applyNumberFormat="1" applyFont="1" applyFill="1" applyBorder="1"/>
    <xf numFmtId="38" fontId="29" fillId="25" borderId="0" xfId="46" applyNumberFormat="1" applyFont="1" applyFill="1"/>
    <xf numFmtId="37" fontId="30" fillId="25" borderId="0" xfId="46" applyNumberFormat="1" applyFont="1" applyFill="1" applyBorder="1"/>
    <xf numFmtId="37" fontId="30" fillId="25" borderId="0" xfId="45" applyNumberFormat="1" applyFont="1" applyFill="1" applyBorder="1" applyAlignment="1"/>
    <xf numFmtId="37" fontId="30" fillId="25" borderId="0" xfId="45" applyNumberFormat="1" applyFont="1" applyFill="1"/>
    <xf numFmtId="37" fontId="29" fillId="25" borderId="0" xfId="45" applyNumberFormat="1" applyFont="1" applyFill="1"/>
    <xf numFmtId="37" fontId="30" fillId="25" borderId="10" xfId="45" applyNumberFormat="1" applyFont="1" applyFill="1" applyBorder="1"/>
    <xf numFmtId="37" fontId="30" fillId="25" borderId="0" xfId="45" applyNumberFormat="1" applyFont="1" applyFill="1" applyAlignment="1"/>
    <xf numFmtId="38" fontId="30" fillId="25" borderId="11" xfId="46" applyNumberFormat="1" applyFont="1" applyFill="1" applyBorder="1"/>
    <xf numFmtId="0" fontId="29" fillId="25" borderId="0" xfId="45" applyFont="1" applyFill="1" applyAlignment="1">
      <alignment horizontal="center"/>
    </xf>
    <xf numFmtId="37" fontId="28" fillId="0" borderId="0" xfId="45" applyNumberFormat="1" applyFill="1" applyAlignment="1">
      <alignment horizontal="center"/>
    </xf>
    <xf numFmtId="37" fontId="29" fillId="25" borderId="10" xfId="45" applyNumberFormat="1" applyFont="1" applyFill="1" applyBorder="1"/>
    <xf numFmtId="38" fontId="28" fillId="24" borderId="10" xfId="45" applyNumberFormat="1" applyFill="1" applyBorder="1"/>
    <xf numFmtId="38" fontId="28" fillId="24" borderId="11" xfId="45" applyNumberFormat="1" applyFill="1" applyBorder="1"/>
    <xf numFmtId="171" fontId="29" fillId="0" borderId="0" xfId="46" applyNumberFormat="1" applyFont="1"/>
    <xf numFmtId="0" fontId="28" fillId="26" borderId="0" xfId="45" applyFill="1" applyAlignment="1"/>
    <xf numFmtId="0" fontId="29" fillId="26" borderId="0" xfId="45" applyFont="1" applyFill="1" applyAlignment="1"/>
    <xf numFmtId="38" fontId="29" fillId="26" borderId="0" xfId="45" applyNumberFormat="1" applyFont="1" applyFill="1" applyBorder="1"/>
    <xf numFmtId="38" fontId="29" fillId="26" borderId="10" xfId="45" applyNumberFormat="1" applyFont="1" applyFill="1" applyBorder="1"/>
    <xf numFmtId="0" fontId="25" fillId="0" borderId="0" xfId="44" applyFont="1" applyAlignment="1">
      <alignment horizontal="center"/>
    </xf>
    <xf numFmtId="0" fontId="24" fillId="0" borderId="15" xfId="44" applyBorder="1" applyAlignment="1">
      <alignment horizontal="center"/>
    </xf>
    <xf numFmtId="14" fontId="24" fillId="0" borderId="15" xfId="44" applyNumberFormat="1" applyBorder="1" applyAlignment="1">
      <alignment horizontal="center"/>
    </xf>
    <xf numFmtId="49" fontId="24" fillId="0" borderId="15" xfId="44" quotePrefix="1" applyNumberFormat="1" applyBorder="1" applyAlignment="1">
      <alignment horizontal="center"/>
    </xf>
    <xf numFmtId="49" fontId="24" fillId="0" borderId="15" xfId="44" applyNumberFormat="1" applyBorder="1" applyAlignment="1">
      <alignment horizontal="center"/>
    </xf>
    <xf numFmtId="0" fontId="24" fillId="0" borderId="0" xfId="44" applyAlignment="1">
      <alignment horizontal="right"/>
    </xf>
    <xf numFmtId="0" fontId="24" fillId="0" borderId="0" xfId="44" applyBorder="1" applyAlignment="1">
      <alignment horizontal="center"/>
    </xf>
    <xf numFmtId="0" fontId="24" fillId="0" borderId="0" xfId="44" applyFill="1" applyBorder="1" applyAlignment="1">
      <alignment horizontal="center"/>
    </xf>
    <xf numFmtId="0" fontId="24" fillId="0" borderId="15" xfId="44" applyFill="1" applyBorder="1" applyAlignment="1">
      <alignment horizontal="center"/>
    </xf>
    <xf numFmtId="172" fontId="24" fillId="0" borderId="0" xfId="44" applyNumberFormat="1"/>
    <xf numFmtId="6" fontId="24" fillId="0" borderId="10" xfId="44" applyNumberFormat="1" applyBorder="1"/>
    <xf numFmtId="172" fontId="24" fillId="0" borderId="10" xfId="44" applyNumberFormat="1" applyBorder="1"/>
    <xf numFmtId="0" fontId="24" fillId="0" borderId="0" xfId="44" applyAlignment="1">
      <alignment horizontal="left"/>
    </xf>
    <xf numFmtId="6" fontId="24" fillId="0" borderId="0" xfId="44" applyNumberFormat="1" applyBorder="1"/>
    <xf numFmtId="0" fontId="24" fillId="24" borderId="0" xfId="44" applyFill="1" applyAlignment="1">
      <alignment horizontal="center"/>
    </xf>
    <xf numFmtId="6" fontId="24" fillId="0" borderId="10" xfId="44" applyNumberFormat="1" applyFill="1" applyBorder="1"/>
    <xf numFmtId="6" fontId="24" fillId="24" borderId="10" xfId="44" applyNumberFormat="1" applyFill="1" applyBorder="1"/>
    <xf numFmtId="0" fontId="24" fillId="0" borderId="15" xfId="44" applyBorder="1"/>
    <xf numFmtId="6" fontId="24" fillId="0" borderId="11" xfId="44" applyNumberFormat="1" applyBorder="1"/>
    <xf numFmtId="6" fontId="24" fillId="0" borderId="14" xfId="44" applyNumberFormat="1" applyBorder="1"/>
    <xf numFmtId="10" fontId="24" fillId="0" borderId="0" xfId="40" applyNumberFormat="1" applyFont="1"/>
    <xf numFmtId="0" fontId="25" fillId="24" borderId="0" xfId="44" applyFont="1" applyFill="1" applyAlignment="1">
      <alignment horizontal="center"/>
    </xf>
    <xf numFmtId="10" fontId="25" fillId="24" borderId="0" xfId="40" applyNumberFormat="1" applyFont="1" applyFill="1" applyAlignment="1">
      <alignment horizontal="center"/>
    </xf>
    <xf numFmtId="0" fontId="0" fillId="0" borderId="0" xfId="0" applyFill="1" applyAlignment="1">
      <alignment horizontal="center"/>
    </xf>
    <xf numFmtId="0" fontId="31" fillId="0" borderId="0" xfId="0" applyFont="1" applyFill="1" applyBorder="1" applyAlignment="1">
      <alignment horizontal="left"/>
    </xf>
    <xf numFmtId="0" fontId="0" fillId="0" borderId="0" xfId="0" applyFill="1" applyBorder="1" applyAlignment="1">
      <alignment horizontal="center"/>
    </xf>
    <xf numFmtId="0" fontId="31" fillId="0" borderId="0" xfId="0" applyFont="1" applyFill="1" applyBorder="1"/>
    <xf numFmtId="0" fontId="0" fillId="0" borderId="0" xfId="0" applyFill="1" applyBorder="1"/>
    <xf numFmtId="0" fontId="0" fillId="0" borderId="0" xfId="0" applyFill="1"/>
    <xf numFmtId="6" fontId="0" fillId="0" borderId="0" xfId="0" applyNumberFormat="1" applyFill="1" applyBorder="1"/>
    <xf numFmtId="6" fontId="0" fillId="0" borderId="10" xfId="0" applyNumberFormat="1" applyFill="1" applyBorder="1"/>
    <xf numFmtId="10" fontId="0" fillId="0" borderId="10" xfId="0" applyNumberFormat="1" applyFill="1" applyBorder="1"/>
    <xf numFmtId="164" fontId="0" fillId="0" borderId="0" xfId="28" applyNumberFormat="1" applyFont="1" applyFill="1" applyBorder="1"/>
    <xf numFmtId="2" fontId="0" fillId="0" borderId="10" xfId="0" applyNumberFormat="1" applyFill="1" applyBorder="1"/>
    <xf numFmtId="164" fontId="0" fillId="0" borderId="11" xfId="28" applyNumberFormat="1" applyFont="1" applyFill="1" applyBorder="1"/>
    <xf numFmtId="0" fontId="31" fillId="0" borderId="0" xfId="0" applyFont="1" applyFill="1" applyAlignment="1">
      <alignment horizontal="center"/>
    </xf>
    <xf numFmtId="0" fontId="31" fillId="0" borderId="0" xfId="0" applyFont="1" applyFill="1"/>
    <xf numFmtId="0" fontId="0" fillId="0" borderId="10" xfId="0" applyFill="1" applyBorder="1"/>
    <xf numFmtId="0" fontId="27" fillId="0" borderId="0" xfId="0" applyFont="1" applyFill="1"/>
    <xf numFmtId="0" fontId="29" fillId="24" borderId="0" xfId="45" applyFont="1" applyFill="1"/>
    <xf numFmtId="0" fontId="31" fillId="0" borderId="0" xfId="0" applyFont="1"/>
    <xf numFmtId="0" fontId="6" fillId="0" borderId="0" xfId="0" applyFont="1" applyFill="1" applyAlignment="1">
      <alignment horizontal="center"/>
    </xf>
    <xf numFmtId="0" fontId="0" fillId="0" borderId="10" xfId="0" applyFill="1" applyBorder="1" applyAlignment="1">
      <alignment horizontal="center"/>
    </xf>
    <xf numFmtId="164" fontId="0" fillId="0" borderId="11" xfId="0" applyNumberFormat="1" applyFill="1" applyBorder="1"/>
    <xf numFmtId="0" fontId="27" fillId="0" borderId="0" xfId="0" applyFont="1" applyBorder="1"/>
    <xf numFmtId="0" fontId="6" fillId="0" borderId="23" xfId="0" applyFont="1" applyFill="1" applyBorder="1"/>
    <xf numFmtId="0" fontId="3" fillId="0" borderId="0" xfId="44" applyFont="1" applyFill="1"/>
    <xf numFmtId="0" fontId="3" fillId="0" borderId="0" xfId="44" applyFont="1" applyFill="1" applyBorder="1" applyAlignment="1">
      <alignment horizontal="center"/>
    </xf>
    <xf numFmtId="0" fontId="3" fillId="0" borderId="15" xfId="44" applyFont="1" applyFill="1" applyBorder="1" applyAlignment="1">
      <alignment horizontal="center"/>
    </xf>
    <xf numFmtId="49" fontId="3" fillId="0" borderId="0" xfId="44" applyNumberFormat="1" applyFont="1" applyFill="1" applyAlignment="1">
      <alignment horizontal="center"/>
    </xf>
    <xf numFmtId="6" fontId="3" fillId="0" borderId="0" xfId="44" applyNumberFormat="1" applyFont="1" applyFill="1"/>
    <xf numFmtId="6" fontId="3" fillId="0" borderId="0" xfId="44" applyNumberFormat="1" applyFont="1" applyFill="1" applyBorder="1"/>
    <xf numFmtId="6" fontId="3" fillId="0" borderId="10" xfId="44" applyNumberFormat="1" applyFont="1" applyFill="1" applyBorder="1"/>
    <xf numFmtId="6" fontId="3" fillId="0" borderId="11" xfId="44" applyNumberFormat="1" applyFont="1" applyFill="1" applyBorder="1"/>
    <xf numFmtId="6" fontId="0" fillId="0" borderId="11" xfId="0" applyNumberFormat="1" applyBorder="1"/>
    <xf numFmtId="6" fontId="3" fillId="25" borderId="0" xfId="44" applyNumberFormat="1" applyFont="1" applyFill="1" applyBorder="1"/>
    <xf numFmtId="170" fontId="29" fillId="0" borderId="0" xfId="28" applyNumberFormat="1" applyFont="1" applyFill="1"/>
    <xf numFmtId="170" fontId="28" fillId="0" borderId="0" xfId="28" applyNumberFormat="1" applyFont="1" applyFill="1"/>
    <xf numFmtId="167" fontId="28" fillId="0" borderId="0" xfId="45" applyNumberFormat="1" applyFill="1" applyAlignment="1"/>
    <xf numFmtId="0" fontId="4" fillId="0" borderId="0" xfId="0" applyFont="1" applyFill="1" applyBorder="1" applyAlignment="1">
      <alignment horizontal="left"/>
    </xf>
    <xf numFmtId="0" fontId="4" fillId="0" borderId="0" xfId="0" applyFont="1" applyFill="1" applyAlignment="1">
      <alignment horizontal="center"/>
    </xf>
    <xf numFmtId="6" fontId="24" fillId="25" borderId="0" xfId="44" applyNumberFormat="1" applyFill="1"/>
    <xf numFmtId="0" fontId="24" fillId="25" borderId="0" xfId="44" applyFill="1"/>
    <xf numFmtId="0" fontId="4" fillId="0" borderId="0" xfId="0" applyFont="1" applyFill="1" applyBorder="1"/>
    <xf numFmtId="0" fontId="4" fillId="0" borderId="10" xfId="0" applyFont="1" applyFill="1" applyBorder="1" applyAlignment="1">
      <alignment horizontal="center"/>
    </xf>
    <xf numFmtId="164" fontId="0" fillId="0" borderId="0" xfId="28" applyNumberFormat="1" applyFont="1" applyFill="1" applyAlignment="1">
      <alignment horizontal="center"/>
    </xf>
    <xf numFmtId="164" fontId="0" fillId="0" borderId="11" xfId="0" applyNumberFormat="1" applyFill="1" applyBorder="1" applyAlignment="1">
      <alignment horizontal="center"/>
    </xf>
    <xf numFmtId="164" fontId="0" fillId="0" borderId="10" xfId="28" applyNumberFormat="1" applyFont="1" applyFill="1" applyBorder="1" applyAlignment="1">
      <alignment horizontal="center"/>
    </xf>
    <xf numFmtId="164" fontId="24" fillId="0" borderId="0" xfId="28" applyNumberFormat="1" applyFont="1"/>
    <xf numFmtId="6" fontId="0" fillId="0" borderId="0" xfId="0" applyNumberFormat="1" applyBorder="1"/>
    <xf numFmtId="6" fontId="0" fillId="0" borderId="0" xfId="0" applyNumberFormat="1"/>
    <xf numFmtId="0" fontId="83" fillId="0" borderId="0" xfId="0" applyFont="1"/>
    <xf numFmtId="38" fontId="0" fillId="0" borderId="0" xfId="0" applyNumberFormat="1"/>
    <xf numFmtId="38" fontId="0" fillId="0" borderId="10" xfId="0" applyNumberFormat="1" applyBorder="1"/>
    <xf numFmtId="38" fontId="0" fillId="0" borderId="14" xfId="0" applyNumberFormat="1" applyBorder="1"/>
    <xf numFmtId="38" fontId="0" fillId="0" borderId="0" xfId="0" applyNumberFormat="1" applyBorder="1"/>
    <xf numFmtId="6" fontId="0" fillId="0" borderId="10" xfId="0" applyNumberFormat="1" applyBorder="1"/>
    <xf numFmtId="164" fontId="0" fillId="0" borderId="11" xfId="28" applyNumberFormat="1" applyFont="1" applyBorder="1"/>
    <xf numFmtId="0" fontId="4" fillId="0" borderId="0" xfId="0" applyFont="1" applyFill="1"/>
    <xf numFmtId="0" fontId="4" fillId="0" borderId="0" xfId="0" applyFont="1" applyFill="1" applyBorder="1" applyAlignment="1">
      <alignment horizontal="center"/>
    </xf>
    <xf numFmtId="164" fontId="0" fillId="0" borderId="0" xfId="28" applyNumberFormat="1" applyFont="1" applyBorder="1"/>
    <xf numFmtId="164" fontId="0" fillId="0" borderId="0" xfId="0" applyNumberFormat="1" applyBorder="1"/>
    <xf numFmtId="164" fontId="0" fillId="0" borderId="0" xfId="0" applyNumberFormat="1" applyFill="1" applyBorder="1"/>
    <xf numFmtId="0" fontId="4" fillId="0" borderId="0" xfId="0" applyFont="1"/>
    <xf numFmtId="0" fontId="0" fillId="0" borderId="0" xfId="0" applyFill="1" applyAlignment="1">
      <alignment horizontal="center"/>
    </xf>
    <xf numFmtId="9" fontId="0" fillId="0" borderId="0" xfId="765" applyNumberFormat="1" applyFont="1" applyFill="1" applyBorder="1"/>
    <xf numFmtId="9" fontId="0" fillId="0" borderId="0" xfId="0" applyNumberFormat="1" applyFill="1" applyBorder="1"/>
    <xf numFmtId="164" fontId="0" fillId="0" borderId="10" xfId="28" applyNumberFormat="1" applyFont="1" applyFill="1" applyBorder="1"/>
    <xf numFmtId="165" fontId="27" fillId="0" borderId="0" xfId="28" applyNumberFormat="1" applyFont="1" applyBorder="1"/>
    <xf numFmtId="0" fontId="0" fillId="0" borderId="0" xfId="0" applyFill="1" applyAlignment="1">
      <alignment horizontal="center"/>
    </xf>
    <xf numFmtId="0" fontId="4" fillId="0" borderId="0" xfId="0" applyFont="1" applyFill="1" applyAlignment="1">
      <alignment horizontal="center"/>
    </xf>
    <xf numFmtId="0" fontId="4" fillId="0" borderId="0" xfId="0" quotePrefix="1" applyFont="1" applyFill="1"/>
    <xf numFmtId="0" fontId="4" fillId="0" borderId="0" xfId="0" applyFont="1" applyAlignment="1">
      <alignment horizontal="left" vertical="center"/>
    </xf>
    <xf numFmtId="0" fontId="28" fillId="0" borderId="0" xfId="0" applyFont="1"/>
    <xf numFmtId="165" fontId="0" fillId="0" borderId="0" xfId="28" applyNumberFormat="1" applyFont="1" applyFill="1" applyBorder="1"/>
    <xf numFmtId="10" fontId="0" fillId="0" borderId="0" xfId="40" applyNumberFormat="1" applyFont="1" applyFill="1" applyBorder="1"/>
    <xf numFmtId="43" fontId="0" fillId="0" borderId="0" xfId="0" applyNumberFormat="1"/>
    <xf numFmtId="10" fontId="0" fillId="0" borderId="10" xfId="40" applyNumberFormat="1" applyFont="1" applyFill="1" applyBorder="1"/>
    <xf numFmtId="165" fontId="0" fillId="0" borderId="11" xfId="28" applyNumberFormat="1" applyFont="1" applyFill="1" applyBorder="1"/>
    <xf numFmtId="43" fontId="29" fillId="0" borderId="0" xfId="45" applyNumberFormat="1" applyFont="1" applyFill="1" applyBorder="1"/>
    <xf numFmtId="169" fontId="29" fillId="25" borderId="0" xfId="45" applyNumberFormat="1" applyFont="1" applyFill="1"/>
    <xf numFmtId="169" fontId="28" fillId="25" borderId="0" xfId="45" applyNumberFormat="1" applyFill="1"/>
    <xf numFmtId="169" fontId="29" fillId="25" borderId="0" xfId="45" applyNumberFormat="1" applyFont="1" applyFill="1" applyAlignment="1"/>
    <xf numFmtId="169" fontId="30" fillId="25" borderId="0" xfId="45" applyNumberFormat="1" applyFont="1" applyFill="1"/>
    <xf numFmtId="38" fontId="28" fillId="0" borderId="11" xfId="45" applyNumberFormat="1" applyFill="1" applyBorder="1" applyAlignment="1"/>
    <xf numFmtId="0" fontId="28" fillId="24" borderId="0" xfId="45" applyFont="1" applyFill="1"/>
    <xf numFmtId="43" fontId="29" fillId="24" borderId="0" xfId="45" applyNumberFormat="1" applyFont="1" applyFill="1" applyBorder="1"/>
    <xf numFmtId="0" fontId="29" fillId="24" borderId="0" xfId="45" applyFont="1" applyFill="1" applyBorder="1" applyAlignment="1"/>
    <xf numFmtId="0" fontId="0" fillId="0" borderId="0" xfId="0" applyAlignment="1">
      <alignment horizontal="center"/>
    </xf>
    <xf numFmtId="165" fontId="27" fillId="0" borderId="0" xfId="0" applyNumberFormat="1" applyFont="1"/>
    <xf numFmtId="0" fontId="4" fillId="0" borderId="0" xfId="766"/>
    <xf numFmtId="0" fontId="4" fillId="0" borderId="0" xfId="766" applyFill="1"/>
    <xf numFmtId="0" fontId="4" fillId="0" borderId="0" xfId="766" applyFill="1" applyBorder="1"/>
    <xf numFmtId="0" fontId="1" fillId="0" borderId="0" xfId="766" applyFont="1" applyFill="1"/>
    <xf numFmtId="164" fontId="0" fillId="0" borderId="0" xfId="28" applyNumberFormat="1" applyFont="1"/>
    <xf numFmtId="165" fontId="1" fillId="0" borderId="0" xfId="28" applyNumberFormat="1" applyFont="1" applyFill="1"/>
    <xf numFmtId="165" fontId="1" fillId="0" borderId="10" xfId="28" applyNumberFormat="1" applyFont="1" applyFill="1" applyBorder="1"/>
    <xf numFmtId="165" fontId="1" fillId="0" borderId="0" xfId="28" applyNumberFormat="1" applyFont="1" applyFill="1" applyBorder="1"/>
    <xf numFmtId="165" fontId="1" fillId="0" borderId="11" xfId="28" applyNumberFormat="1" applyFont="1" applyFill="1" applyBorder="1"/>
    <xf numFmtId="0" fontId="4" fillId="0" borderId="0" xfId="766" quotePrefix="1" applyBorder="1"/>
    <xf numFmtId="0" fontId="4" fillId="0" borderId="0" xfId="766" applyBorder="1"/>
    <xf numFmtId="165" fontId="1" fillId="0" borderId="0" xfId="28" applyNumberFormat="1" applyFont="1" applyFill="1" applyAlignment="1">
      <alignment horizontal="center"/>
    </xf>
    <xf numFmtId="165" fontId="1" fillId="0" borderId="10" xfId="28" applyNumberFormat="1" applyFont="1" applyFill="1" applyBorder="1" applyAlignment="1">
      <alignment horizontal="center"/>
    </xf>
    <xf numFmtId="0" fontId="0" fillId="0" borderId="31" xfId="0" applyFill="1" applyBorder="1"/>
    <xf numFmtId="0" fontId="1" fillId="0" borderId="0" xfId="44" applyFont="1" applyFill="1"/>
    <xf numFmtId="164" fontId="0" fillId="0" borderId="0" xfId="28" applyNumberFormat="1" applyFont="1" applyFill="1"/>
    <xf numFmtId="0" fontId="26" fillId="0" borderId="0" xfId="0" applyFont="1" applyBorder="1" applyAlignment="1">
      <alignment horizontal="center"/>
    </xf>
    <xf numFmtId="0" fontId="27" fillId="0" borderId="35" xfId="0" applyFont="1" applyBorder="1"/>
    <xf numFmtId="0" fontId="27" fillId="0" borderId="36" xfId="0" applyFont="1" applyBorder="1" applyAlignment="1">
      <alignment horizontal="center"/>
    </xf>
    <xf numFmtId="0" fontId="26" fillId="0" borderId="36" xfId="0" applyFont="1" applyBorder="1" applyAlignment="1">
      <alignment horizontal="center"/>
    </xf>
    <xf numFmtId="0" fontId="26" fillId="0" borderId="37" xfId="0" applyFont="1" applyBorder="1" applyAlignment="1">
      <alignment horizontal="center"/>
    </xf>
    <xf numFmtId="0" fontId="27" fillId="0" borderId="36" xfId="0" applyFont="1" applyBorder="1"/>
    <xf numFmtId="0" fontId="26" fillId="0" borderId="35" xfId="0" applyFont="1" applyBorder="1"/>
    <xf numFmtId="165" fontId="27" fillId="0" borderId="36" xfId="28" applyNumberFormat="1" applyFont="1" applyBorder="1"/>
    <xf numFmtId="0" fontId="27" fillId="0" borderId="0" xfId="0" quotePrefix="1" applyFont="1" applyBorder="1"/>
    <xf numFmtId="165" fontId="27" fillId="0" borderId="37" xfId="28" applyNumberFormat="1" applyFont="1" applyBorder="1"/>
    <xf numFmtId="0" fontId="26" fillId="0" borderId="0" xfId="0" applyFont="1" applyBorder="1"/>
    <xf numFmtId="164" fontId="27" fillId="0" borderId="36" xfId="28" applyNumberFormat="1" applyFont="1" applyBorder="1"/>
    <xf numFmtId="0" fontId="0" fillId="0" borderId="35" xfId="0" applyBorder="1"/>
    <xf numFmtId="0" fontId="27" fillId="0" borderId="0" xfId="0" applyFont="1" applyFill="1" applyBorder="1"/>
    <xf numFmtId="165" fontId="27" fillId="0" borderId="36" xfId="28" applyNumberFormat="1" applyFont="1" applyFill="1" applyBorder="1"/>
    <xf numFmtId="165" fontId="27" fillId="0" borderId="37" xfId="28" applyNumberFormat="1" applyFont="1" applyFill="1" applyBorder="1"/>
    <xf numFmtId="165" fontId="27" fillId="0" borderId="38" xfId="28" applyNumberFormat="1" applyFont="1" applyFill="1" applyBorder="1"/>
    <xf numFmtId="0" fontId="27" fillId="0" borderId="36" xfId="0" applyFont="1" applyFill="1" applyBorder="1"/>
    <xf numFmtId="0" fontId="26" fillId="0" borderId="35" xfId="0" applyFont="1" applyFill="1" applyBorder="1"/>
    <xf numFmtId="165" fontId="27" fillId="0" borderId="38" xfId="0" applyNumberFormat="1" applyFont="1" applyFill="1" applyBorder="1"/>
    <xf numFmtId="0" fontId="27" fillId="0" borderId="39" xfId="0" applyFont="1" applyBorder="1"/>
    <xf numFmtId="0" fontId="27" fillId="0" borderId="15" xfId="0" applyFont="1" applyBorder="1"/>
    <xf numFmtId="0" fontId="27" fillId="0" borderId="40" xfId="0" applyFont="1" applyBorder="1"/>
    <xf numFmtId="8" fontId="24" fillId="0" borderId="0" xfId="44" applyNumberFormat="1"/>
    <xf numFmtId="165" fontId="0" fillId="0" borderId="0" xfId="28" applyNumberFormat="1" applyFont="1"/>
    <xf numFmtId="0" fontId="26" fillId="0" borderId="32" xfId="0" applyFont="1" applyBorder="1" applyAlignment="1">
      <alignment horizontal="center"/>
    </xf>
    <xf numFmtId="0" fontId="26" fillId="0" borderId="33" xfId="0" applyFont="1" applyBorder="1" applyAlignment="1">
      <alignment horizontal="center"/>
    </xf>
    <xf numFmtId="0" fontId="26" fillId="0" borderId="34" xfId="0" applyFont="1" applyBorder="1" applyAlignment="1">
      <alignment horizontal="center"/>
    </xf>
    <xf numFmtId="0" fontId="26" fillId="0" borderId="35" xfId="0" applyFont="1" applyBorder="1" applyAlignment="1">
      <alignment horizontal="center"/>
    </xf>
    <xf numFmtId="0" fontId="26" fillId="0" borderId="0" xfId="0" applyFont="1" applyBorder="1" applyAlignment="1">
      <alignment horizontal="center"/>
    </xf>
    <xf numFmtId="0" fontId="26" fillId="0" borderId="36" xfId="0" applyFont="1" applyBorder="1" applyAlignment="1">
      <alignment horizontal="center"/>
    </xf>
    <xf numFmtId="0" fontId="25" fillId="0" borderId="0" xfId="44" applyFont="1" applyAlignment="1">
      <alignment horizontal="center"/>
    </xf>
    <xf numFmtId="0" fontId="6" fillId="0" borderId="0" xfId="0" applyFont="1" applyFill="1" applyAlignment="1">
      <alignment horizontal="center"/>
    </xf>
    <xf numFmtId="0" fontId="6" fillId="0" borderId="0" xfId="766" applyFont="1" applyFill="1" applyAlignment="1">
      <alignment horizontal="center"/>
    </xf>
    <xf numFmtId="0" fontId="82" fillId="0" borderId="0" xfId="44" applyFont="1" applyFill="1" applyAlignment="1">
      <alignment horizontal="center"/>
    </xf>
    <xf numFmtId="0" fontId="0" fillId="0" borderId="0" xfId="0" applyFill="1" applyAlignment="1">
      <alignment horizontal="center"/>
    </xf>
    <xf numFmtId="0" fontId="4" fillId="0" borderId="0" xfId="0" applyFont="1" applyFill="1" applyAlignment="1">
      <alignment horizontal="center"/>
    </xf>
    <xf numFmtId="0" fontId="31" fillId="0" borderId="0" xfId="0" applyFont="1" applyFill="1" applyAlignment="1">
      <alignment horizontal="center"/>
    </xf>
    <xf numFmtId="0" fontId="24" fillId="0" borderId="16" xfId="44" applyBorder="1" applyAlignment="1">
      <alignment horizontal="center"/>
    </xf>
    <xf numFmtId="0" fontId="24" fillId="0" borderId="17" xfId="44" applyBorder="1" applyAlignment="1">
      <alignment horizontal="center"/>
    </xf>
    <xf numFmtId="0" fontId="24" fillId="0" borderId="18" xfId="44" applyBorder="1" applyAlignment="1">
      <alignment horizontal="center"/>
    </xf>
  </cellXfs>
  <cellStyles count="1117">
    <cellStyle name="_Row1" xfId="767"/>
    <cellStyle name="_Row1 2" xfId="768"/>
    <cellStyle name="20% - Accent1" xfId="1" builtinId="30" customBuiltin="1"/>
    <cellStyle name="20% - Accent1 2" xfId="56"/>
    <cellStyle name="20% - Accent1 2 2" xfId="57"/>
    <cellStyle name="20% - Accent1 3" xfId="58"/>
    <cellStyle name="20% - Accent1 3 2" xfId="769"/>
    <cellStyle name="20% - Accent1 3 2 2" xfId="770"/>
    <cellStyle name="20% - Accent1 3 3" xfId="771"/>
    <cellStyle name="20% - Accent1 4" xfId="59"/>
    <cellStyle name="20% - Accent1 5" xfId="60"/>
    <cellStyle name="20% - Accent1 6" xfId="61"/>
    <cellStyle name="20% - Accent1 7" xfId="62"/>
    <cellStyle name="20% - Accent1 8" xfId="63"/>
    <cellStyle name="20% - Accent2" xfId="2" builtinId="34" customBuiltin="1"/>
    <cellStyle name="20% - Accent2 2" xfId="64"/>
    <cellStyle name="20% - Accent2 2 2" xfId="65"/>
    <cellStyle name="20% - Accent2 3" xfId="66"/>
    <cellStyle name="20% - Accent2 3 2" xfId="772"/>
    <cellStyle name="20% - Accent2 3 2 2" xfId="773"/>
    <cellStyle name="20% - Accent2 3 3" xfId="774"/>
    <cellStyle name="20% - Accent2 4" xfId="67"/>
    <cellStyle name="20% - Accent2 5" xfId="68"/>
    <cellStyle name="20% - Accent2 6" xfId="69"/>
    <cellStyle name="20% - Accent3" xfId="3" builtinId="38" customBuiltin="1"/>
    <cellStyle name="20% - Accent3 2" xfId="70"/>
    <cellStyle name="20% - Accent3 2 2" xfId="71"/>
    <cellStyle name="20% - Accent3 3" xfId="72"/>
    <cellStyle name="20% - Accent3 3 2" xfId="775"/>
    <cellStyle name="20% - Accent3 3 2 2" xfId="776"/>
    <cellStyle name="20% - Accent3 3 3" xfId="777"/>
    <cellStyle name="20% - Accent3 4" xfId="73"/>
    <cellStyle name="20% - Accent3 5" xfId="74"/>
    <cellStyle name="20% - Accent3 6" xfId="75"/>
    <cellStyle name="20% - Accent3 7" xfId="76"/>
    <cellStyle name="20% - Accent3 8" xfId="77"/>
    <cellStyle name="20% - Accent4" xfId="4" builtinId="42" customBuiltin="1"/>
    <cellStyle name="20% - Accent4 2" xfId="78"/>
    <cellStyle name="20% - Accent4 2 2" xfId="79"/>
    <cellStyle name="20% - Accent4 2 2 2" xfId="778"/>
    <cellStyle name="20% - Accent4 2 2 2 2" xfId="779"/>
    <cellStyle name="20% - Accent4 2 2 3" xfId="780"/>
    <cellStyle name="20% - Accent4 2 3" xfId="781"/>
    <cellStyle name="20% - Accent4 2 3 2" xfId="782"/>
    <cellStyle name="20% - Accent4 2 3 2 2" xfId="783"/>
    <cellStyle name="20% - Accent4 2 3 3" xfId="784"/>
    <cellStyle name="20% - Accent4 2 4" xfId="785"/>
    <cellStyle name="20% - Accent4 2 4 2" xfId="786"/>
    <cellStyle name="20% - Accent4 2 4 2 2" xfId="787"/>
    <cellStyle name="20% - Accent4 2 4 3" xfId="788"/>
    <cellStyle name="20% - Accent4 2 5" xfId="789"/>
    <cellStyle name="20% - Accent4 2 5 2" xfId="790"/>
    <cellStyle name="20% - Accent4 2 6" xfId="791"/>
    <cellStyle name="20% - Accent4 3" xfId="80"/>
    <cellStyle name="20% - Accent4 3 2" xfId="792"/>
    <cellStyle name="20% - Accent4 3 2 2" xfId="793"/>
    <cellStyle name="20% - Accent4 3 2 2 2" xfId="794"/>
    <cellStyle name="20% - Accent4 3 2 3" xfId="795"/>
    <cellStyle name="20% - Accent4 3 3" xfId="796"/>
    <cellStyle name="20% - Accent4 3 3 2" xfId="797"/>
    <cellStyle name="20% - Accent4 3 3 2 2" xfId="798"/>
    <cellStyle name="20% - Accent4 3 3 3" xfId="799"/>
    <cellStyle name="20% - Accent4 3 4" xfId="800"/>
    <cellStyle name="20% - Accent4 3 4 2" xfId="801"/>
    <cellStyle name="20% - Accent4 3 4 2 2" xfId="802"/>
    <cellStyle name="20% - Accent4 3 4 3" xfId="803"/>
    <cellStyle name="20% - Accent4 3 5" xfId="804"/>
    <cellStyle name="20% - Accent4 3 5 2" xfId="805"/>
    <cellStyle name="20% - Accent4 3 6" xfId="806"/>
    <cellStyle name="20% - Accent4 4" xfId="81"/>
    <cellStyle name="20% - Accent4 4 2" xfId="807"/>
    <cellStyle name="20% - Accent4 4 2 2" xfId="808"/>
    <cellStyle name="20% - Accent4 4 2 2 2" xfId="809"/>
    <cellStyle name="20% - Accent4 4 2 3" xfId="810"/>
    <cellStyle name="20% - Accent4 4 3" xfId="811"/>
    <cellStyle name="20% - Accent4 4 3 2" xfId="812"/>
    <cellStyle name="20% - Accent4 4 3 2 2" xfId="813"/>
    <cellStyle name="20% - Accent4 4 3 3" xfId="814"/>
    <cellStyle name="20% - Accent4 4 4" xfId="815"/>
    <cellStyle name="20% - Accent4 4 4 2" xfId="816"/>
    <cellStyle name="20% - Accent4 4 4 2 2" xfId="817"/>
    <cellStyle name="20% - Accent4 4 4 3" xfId="818"/>
    <cellStyle name="20% - Accent4 4 5" xfId="819"/>
    <cellStyle name="20% - Accent4 4 5 2" xfId="820"/>
    <cellStyle name="20% - Accent4 4 6" xfId="821"/>
    <cellStyle name="20% - Accent4 5" xfId="82"/>
    <cellStyle name="20% - Accent4 6" xfId="83"/>
    <cellStyle name="20% - Accent4 6 2" xfId="822"/>
    <cellStyle name="20% - Accent4 6 2 2" xfId="823"/>
    <cellStyle name="20% - Accent4 6 3" xfId="824"/>
    <cellStyle name="20% - Accent4 7" xfId="84"/>
    <cellStyle name="20% - Accent4 8" xfId="85"/>
    <cellStyle name="20% - Accent5" xfId="5" builtinId="46" customBuiltin="1"/>
    <cellStyle name="20% - Accent5 2" xfId="86"/>
    <cellStyle name="20% - Accent5 2 2" xfId="87"/>
    <cellStyle name="20% - Accent5 3" xfId="88"/>
    <cellStyle name="20% - Accent5 3 2" xfId="825"/>
    <cellStyle name="20% - Accent5 3 2 2" xfId="826"/>
    <cellStyle name="20% - Accent5 3 3" xfId="827"/>
    <cellStyle name="20% - Accent5 4" xfId="89"/>
    <cellStyle name="20% - Accent5 5" xfId="90"/>
    <cellStyle name="20% - Accent5 6" xfId="91"/>
    <cellStyle name="20% - Accent6" xfId="6" builtinId="50" customBuiltin="1"/>
    <cellStyle name="20% - Accent6 2" xfId="92"/>
    <cellStyle name="20% - Accent6 2 2" xfId="93"/>
    <cellStyle name="20% - Accent6 3" xfId="94"/>
    <cellStyle name="20% - Accent6 3 2" xfId="828"/>
    <cellStyle name="20% - Accent6 3 2 2" xfId="829"/>
    <cellStyle name="20% - Accent6 3 3" xfId="830"/>
    <cellStyle name="20% - Accent6 4" xfId="95"/>
    <cellStyle name="20% - Accent6 5" xfId="96"/>
    <cellStyle name="20% - Accent6 6" xfId="97"/>
    <cellStyle name="40% - Accent1" xfId="7" builtinId="31" customBuiltin="1"/>
    <cellStyle name="40% - Accent1 2" xfId="98"/>
    <cellStyle name="40% - Accent1 2 2" xfId="99"/>
    <cellStyle name="40% - Accent1 3" xfId="100"/>
    <cellStyle name="40% - Accent1 3 2" xfId="831"/>
    <cellStyle name="40% - Accent1 3 2 2" xfId="832"/>
    <cellStyle name="40% - Accent1 3 3" xfId="833"/>
    <cellStyle name="40% - Accent1 4" xfId="101"/>
    <cellStyle name="40% - Accent1 5" xfId="102"/>
    <cellStyle name="40% - Accent1 6" xfId="103"/>
    <cellStyle name="40% - Accent1 7" xfId="104"/>
    <cellStyle name="40% - Accent1 8" xfId="105"/>
    <cellStyle name="40% - Accent2" xfId="8" builtinId="35" customBuiltin="1"/>
    <cellStyle name="40% - Accent2 2" xfId="106"/>
    <cellStyle name="40% - Accent2 2 2" xfId="107"/>
    <cellStyle name="40% - Accent2 3" xfId="108"/>
    <cellStyle name="40% - Accent2 3 2" xfId="834"/>
    <cellStyle name="40% - Accent2 3 2 2" xfId="835"/>
    <cellStyle name="40% - Accent2 3 3" xfId="836"/>
    <cellStyle name="40% - Accent2 4" xfId="109"/>
    <cellStyle name="40% - Accent2 5" xfId="110"/>
    <cellStyle name="40% - Accent2 6" xfId="111"/>
    <cellStyle name="40% - Accent3" xfId="9" builtinId="39" customBuiltin="1"/>
    <cellStyle name="40% - Accent3 2" xfId="112"/>
    <cellStyle name="40% - Accent3 2 2" xfId="113"/>
    <cellStyle name="40% - Accent3 3" xfId="114"/>
    <cellStyle name="40% - Accent3 3 2" xfId="837"/>
    <cellStyle name="40% - Accent3 3 2 2" xfId="838"/>
    <cellStyle name="40% - Accent3 3 3" xfId="839"/>
    <cellStyle name="40% - Accent3 4" xfId="115"/>
    <cellStyle name="40% - Accent3 5" xfId="116"/>
    <cellStyle name="40% - Accent3 6" xfId="117"/>
    <cellStyle name="40% - Accent3 7" xfId="118"/>
    <cellStyle name="40% - Accent3 8" xfId="119"/>
    <cellStyle name="40% - Accent4" xfId="10" builtinId="43" customBuiltin="1"/>
    <cellStyle name="40% - Accent4 2" xfId="120"/>
    <cellStyle name="40% - Accent4 2 2" xfId="121"/>
    <cellStyle name="40% - Accent4 3" xfId="122"/>
    <cellStyle name="40% - Accent4 3 2" xfId="840"/>
    <cellStyle name="40% - Accent4 3 2 2" xfId="841"/>
    <cellStyle name="40% - Accent4 3 3" xfId="842"/>
    <cellStyle name="40% - Accent4 4" xfId="123"/>
    <cellStyle name="40% - Accent4 5" xfId="124"/>
    <cellStyle name="40% - Accent4 6" xfId="125"/>
    <cellStyle name="40% - Accent4 7" xfId="126"/>
    <cellStyle name="40% - Accent4 8" xfId="127"/>
    <cellStyle name="40% - Accent5" xfId="11" builtinId="47" customBuiltin="1"/>
    <cellStyle name="40% - Accent5 2" xfId="128"/>
    <cellStyle name="40% - Accent5 2 2" xfId="129"/>
    <cellStyle name="40% - Accent5 3" xfId="130"/>
    <cellStyle name="40% - Accent5 3 2" xfId="843"/>
    <cellStyle name="40% - Accent5 3 2 2" xfId="844"/>
    <cellStyle name="40% - Accent5 3 3" xfId="845"/>
    <cellStyle name="40% - Accent5 4" xfId="131"/>
    <cellStyle name="40% - Accent5 5" xfId="132"/>
    <cellStyle name="40% - Accent5 6" xfId="133"/>
    <cellStyle name="40% - Accent6" xfId="12" builtinId="51" customBuiltin="1"/>
    <cellStyle name="40% - Accent6 2" xfId="134"/>
    <cellStyle name="40% - Accent6 2 2" xfId="135"/>
    <cellStyle name="40% - Accent6 3" xfId="136"/>
    <cellStyle name="40% - Accent6 3 2" xfId="846"/>
    <cellStyle name="40% - Accent6 3 2 2" xfId="847"/>
    <cellStyle name="40% - Accent6 3 3" xfId="848"/>
    <cellStyle name="40% - Accent6 4" xfId="137"/>
    <cellStyle name="40% - Accent6 5" xfId="138"/>
    <cellStyle name="40% - Accent6 6" xfId="139"/>
    <cellStyle name="40% - Accent6 7" xfId="140"/>
    <cellStyle name="40% - Accent6 8" xfId="141"/>
    <cellStyle name="60% - Accent1" xfId="13" builtinId="32" customBuiltin="1"/>
    <cellStyle name="60% - Accent1 2" xfId="142"/>
    <cellStyle name="60% - Accent1 3" xfId="143"/>
    <cellStyle name="60% - Accent1 4" xfId="144"/>
    <cellStyle name="60% - Accent1 5" xfId="145"/>
    <cellStyle name="60% - Accent1 6" xfId="146"/>
    <cellStyle name="60% - Accent1 7" xfId="147"/>
    <cellStyle name="60% - Accent1 8" xfId="148"/>
    <cellStyle name="60% - Accent2" xfId="14" builtinId="36" customBuiltin="1"/>
    <cellStyle name="60% - Accent2 2" xfId="149"/>
    <cellStyle name="60% - Accent2 3" xfId="150"/>
    <cellStyle name="60% - Accent2 4" xfId="151"/>
    <cellStyle name="60% - Accent2 5" xfId="152"/>
    <cellStyle name="60% - Accent2 6" xfId="153"/>
    <cellStyle name="60% - Accent3" xfId="15" builtinId="40" customBuiltin="1"/>
    <cellStyle name="60% - Accent3 2" xfId="154"/>
    <cellStyle name="60% - Accent3 3" xfId="155"/>
    <cellStyle name="60% - Accent3 4" xfId="156"/>
    <cellStyle name="60% - Accent3 5" xfId="157"/>
    <cellStyle name="60% - Accent3 6" xfId="158"/>
    <cellStyle name="60% - Accent3 7" xfId="159"/>
    <cellStyle name="60% - Accent3 8" xfId="160"/>
    <cellStyle name="60% - Accent4" xfId="16" builtinId="44" customBuiltin="1"/>
    <cellStyle name="60% - Accent4 2" xfId="161"/>
    <cellStyle name="60% - Accent4 3" xfId="162"/>
    <cellStyle name="60% - Accent4 4" xfId="163"/>
    <cellStyle name="60% - Accent4 5" xfId="164"/>
    <cellStyle name="60% - Accent4 6" xfId="165"/>
    <cellStyle name="60% - Accent4 7" xfId="166"/>
    <cellStyle name="60% - Accent4 8" xfId="167"/>
    <cellStyle name="60% - Accent5" xfId="17" builtinId="48" customBuiltin="1"/>
    <cellStyle name="60% - Accent5 2" xfId="168"/>
    <cellStyle name="60% - Accent5 3" xfId="169"/>
    <cellStyle name="60% - Accent5 4" xfId="170"/>
    <cellStyle name="60% - Accent5 5" xfId="171"/>
    <cellStyle name="60% - Accent5 6" xfId="172"/>
    <cellStyle name="60% - Accent6" xfId="18" builtinId="52" customBuiltin="1"/>
    <cellStyle name="60% - Accent6 2" xfId="173"/>
    <cellStyle name="60% - Accent6 3" xfId="174"/>
    <cellStyle name="60% - Accent6 4" xfId="175"/>
    <cellStyle name="60% - Accent6 5" xfId="176"/>
    <cellStyle name="60% - Accent6 6" xfId="177"/>
    <cellStyle name="60% - Accent6 7" xfId="178"/>
    <cellStyle name="60% - Accent6 8" xfId="179"/>
    <cellStyle name="Accent1" xfId="19" builtinId="29" customBuiltin="1"/>
    <cellStyle name="Accent1 2" xfId="180"/>
    <cellStyle name="Accent1 3" xfId="181"/>
    <cellStyle name="Accent1 4" xfId="182"/>
    <cellStyle name="Accent1 5" xfId="183"/>
    <cellStyle name="Accent1 6" xfId="184"/>
    <cellStyle name="Accent1 7" xfId="185"/>
    <cellStyle name="Accent1 8" xfId="186"/>
    <cellStyle name="Accent2" xfId="20" builtinId="33" customBuiltin="1"/>
    <cellStyle name="Accent2 2" xfId="187"/>
    <cellStyle name="Accent2 3" xfId="188"/>
    <cellStyle name="Accent2 4" xfId="189"/>
    <cellStyle name="Accent2 5" xfId="190"/>
    <cellStyle name="Accent2 6" xfId="191"/>
    <cellStyle name="Accent3" xfId="21" builtinId="37" customBuiltin="1"/>
    <cellStyle name="Accent3 2" xfId="192"/>
    <cellStyle name="Accent3 3" xfId="193"/>
    <cellStyle name="Accent3 4" xfId="194"/>
    <cellStyle name="Accent3 5" xfId="195"/>
    <cellStyle name="Accent3 6" xfId="196"/>
    <cellStyle name="Accent4" xfId="22" builtinId="41" customBuiltin="1"/>
    <cellStyle name="Accent4 2" xfId="197"/>
    <cellStyle name="Accent4 3" xfId="198"/>
    <cellStyle name="Accent4 4" xfId="199"/>
    <cellStyle name="Accent4 5" xfId="200"/>
    <cellStyle name="Accent4 6" xfId="201"/>
    <cellStyle name="Accent4 7" xfId="202"/>
    <cellStyle name="Accent4 8" xfId="203"/>
    <cellStyle name="Accent5" xfId="23" builtinId="45" customBuiltin="1"/>
    <cellStyle name="Accent5 2" xfId="204"/>
    <cellStyle name="Accent5 3" xfId="205"/>
    <cellStyle name="Accent5 4" xfId="206"/>
    <cellStyle name="Accent5 5" xfId="207"/>
    <cellStyle name="Accent5 6" xfId="208"/>
    <cellStyle name="Accent6" xfId="24" builtinId="49" customBuiltin="1"/>
    <cellStyle name="Accent6 2" xfId="209"/>
    <cellStyle name="Accent6 3" xfId="210"/>
    <cellStyle name="Accent6 4" xfId="211"/>
    <cellStyle name="Accent6 5" xfId="212"/>
    <cellStyle name="Accent6 6" xfId="213"/>
    <cellStyle name="Bad" xfId="25" builtinId="27" customBuiltin="1"/>
    <cellStyle name="Bad 2" xfId="214"/>
    <cellStyle name="Bad 3" xfId="215"/>
    <cellStyle name="Bad 4" xfId="216"/>
    <cellStyle name="Bad 5" xfId="217"/>
    <cellStyle name="Bad 6" xfId="218"/>
    <cellStyle name="Bad 7" xfId="219"/>
    <cellStyle name="Bad 8" xfId="220"/>
    <cellStyle name="Calculation" xfId="26" builtinId="22" customBuiltin="1"/>
    <cellStyle name="Calculation 2" xfId="221"/>
    <cellStyle name="Calculation 3" xfId="222"/>
    <cellStyle name="Calculation 4" xfId="223"/>
    <cellStyle name="Calculation 5" xfId="224"/>
    <cellStyle name="Calculation 6" xfId="225"/>
    <cellStyle name="Check Cell" xfId="27" builtinId="23" customBuiltin="1"/>
    <cellStyle name="Check Cell 2" xfId="226"/>
    <cellStyle name="Check Cell 3" xfId="227"/>
    <cellStyle name="Check Cell 4" xfId="228"/>
    <cellStyle name="Check Cell 5" xfId="229"/>
    <cellStyle name="Check Cell 6" xfId="230"/>
    <cellStyle name="Check Cell 7" xfId="231"/>
    <cellStyle name="Check Cell 8" xfId="232"/>
    <cellStyle name="CodeEingabe" xfId="849"/>
    <cellStyle name="ColumnAttributeAbovePrompt" xfId="850"/>
    <cellStyle name="ColumnAttributePrompt" xfId="851"/>
    <cellStyle name="ColumnAttributeValue" xfId="852"/>
    <cellStyle name="ColumnHeadingPrompt" xfId="853"/>
    <cellStyle name="ColumnHeadingValue" xfId="854"/>
    <cellStyle name="Comma" xfId="28" builtinId="3"/>
    <cellStyle name="Comma [0] 2" xfId="855"/>
    <cellStyle name="Comma 10" xfId="233"/>
    <cellStyle name="Comma 10 9" xfId="856"/>
    <cellStyle name="Comma 11" xfId="234"/>
    <cellStyle name="Comma 11 2" xfId="857"/>
    <cellStyle name="Comma 11 2 2" xfId="858"/>
    <cellStyle name="Comma 11 3" xfId="859"/>
    <cellStyle name="Comma 12" xfId="235"/>
    <cellStyle name="Comma 12 2" xfId="860"/>
    <cellStyle name="Comma 13" xfId="236"/>
    <cellStyle name="Comma 14" xfId="237"/>
    <cellStyle name="Comma 15" xfId="238"/>
    <cellStyle name="Comma 16" xfId="239"/>
    <cellStyle name="Comma 17" xfId="55"/>
    <cellStyle name="Comma 17 2" xfId="240"/>
    <cellStyle name="Comma 17 2 2" xfId="241"/>
    <cellStyle name="Comma 17 2 2 2" xfId="242"/>
    <cellStyle name="Comma 17 2 3" xfId="243"/>
    <cellStyle name="Comma 17 3" xfId="244"/>
    <cellStyle name="Comma 17 3 2" xfId="245"/>
    <cellStyle name="Comma 17 3 2 2" xfId="246"/>
    <cellStyle name="Comma 17 3 3" xfId="247"/>
    <cellStyle name="Comma 17 4" xfId="248"/>
    <cellStyle name="Comma 17 4 2" xfId="249"/>
    <cellStyle name="Comma 17 5" xfId="250"/>
    <cellStyle name="Comma 18" xfId="251"/>
    <cellStyle name="Comma 19" xfId="252"/>
    <cellStyle name="Comma 2" xfId="54"/>
    <cellStyle name="Comma 2 2" xfId="253"/>
    <cellStyle name="Comma 2 2 2" xfId="254"/>
    <cellStyle name="Comma 2 2 3" xfId="255"/>
    <cellStyle name="Comma 2 3" xfId="256"/>
    <cellStyle name="Comma 2 4" xfId="257"/>
    <cellStyle name="Comma 2 5" xfId="258"/>
    <cellStyle name="Comma 2_Allocators" xfId="259"/>
    <cellStyle name="Comma 20" xfId="260"/>
    <cellStyle name="Comma 20 2" xfId="261"/>
    <cellStyle name="Comma 20 2 2" xfId="262"/>
    <cellStyle name="Comma 20 2 2 2" xfId="263"/>
    <cellStyle name="Comma 20 2 3" xfId="264"/>
    <cellStyle name="Comma 20 3" xfId="265"/>
    <cellStyle name="Comma 20 3 2" xfId="266"/>
    <cellStyle name="Comma 20 3 2 2" xfId="267"/>
    <cellStyle name="Comma 20 3 3" xfId="268"/>
    <cellStyle name="Comma 20 4" xfId="269"/>
    <cellStyle name="Comma 20 4 2" xfId="270"/>
    <cellStyle name="Comma 20 5" xfId="271"/>
    <cellStyle name="Comma 21" xfId="272"/>
    <cellStyle name="Comma 27" xfId="861"/>
    <cellStyle name="Comma 3" xfId="273"/>
    <cellStyle name="Comma 3 10" xfId="51"/>
    <cellStyle name="Comma 3 10 2" xfId="274"/>
    <cellStyle name="Comma 3 10 2 2" xfId="275"/>
    <cellStyle name="Comma 3 10 2 2 2" xfId="276"/>
    <cellStyle name="Comma 3 10 2 3" xfId="277"/>
    <cellStyle name="Comma 3 10 3" xfId="278"/>
    <cellStyle name="Comma 3 10 3 2" xfId="279"/>
    <cellStyle name="Comma 3 10 3 2 2" xfId="280"/>
    <cellStyle name="Comma 3 10 3 3" xfId="281"/>
    <cellStyle name="Comma 3 10 4" xfId="282"/>
    <cellStyle name="Comma 3 10 4 2" xfId="283"/>
    <cellStyle name="Comma 3 10 5" xfId="284"/>
    <cellStyle name="Comma 3 11" xfId="285"/>
    <cellStyle name="Comma 3 12" xfId="286"/>
    <cellStyle name="Comma 3 12 2" xfId="287"/>
    <cellStyle name="Comma 3 12 2 2" xfId="288"/>
    <cellStyle name="Comma 3 12 3" xfId="289"/>
    <cellStyle name="Comma 3 13" xfId="290"/>
    <cellStyle name="Comma 3 2" xfId="291"/>
    <cellStyle name="Comma 3 2 2" xfId="862"/>
    <cellStyle name="Comma 3 2 2 2" xfId="863"/>
    <cellStyle name="Comma 3 2 3" xfId="864"/>
    <cellStyle name="Comma 3 3" xfId="292"/>
    <cellStyle name="Comma 3 3 2" xfId="865"/>
    <cellStyle name="Comma 3 3 2 2" xfId="866"/>
    <cellStyle name="Comma 3 3 3" xfId="867"/>
    <cellStyle name="Comma 3 4" xfId="293"/>
    <cellStyle name="Comma 3 4 2" xfId="294"/>
    <cellStyle name="Comma 3 4 2 2" xfId="295"/>
    <cellStyle name="Comma 3 4 2 2 2" xfId="296"/>
    <cellStyle name="Comma 3 4 2 3" xfId="297"/>
    <cellStyle name="Comma 3 4 3" xfId="298"/>
    <cellStyle name="Comma 3 4 3 2" xfId="299"/>
    <cellStyle name="Comma 3 4 3 2 2" xfId="300"/>
    <cellStyle name="Comma 3 4 3 3" xfId="301"/>
    <cellStyle name="Comma 3 4 4" xfId="302"/>
    <cellStyle name="Comma 3 4 4 2" xfId="303"/>
    <cellStyle name="Comma 3 4 5" xfId="304"/>
    <cellStyle name="Comma 3 5" xfId="305"/>
    <cellStyle name="Comma 3 5 2" xfId="306"/>
    <cellStyle name="Comma 3 5 2 2" xfId="307"/>
    <cellStyle name="Comma 3 5 2 2 2" xfId="308"/>
    <cellStyle name="Comma 3 5 2 3" xfId="309"/>
    <cellStyle name="Comma 3 5 3" xfId="310"/>
    <cellStyle name="Comma 3 5 3 2" xfId="311"/>
    <cellStyle name="Comma 3 5 3 2 2" xfId="312"/>
    <cellStyle name="Comma 3 5 3 3" xfId="313"/>
    <cellStyle name="Comma 3 5 4" xfId="314"/>
    <cellStyle name="Comma 3 5 4 2" xfId="315"/>
    <cellStyle name="Comma 3 5 5" xfId="316"/>
    <cellStyle name="Comma 3 6" xfId="317"/>
    <cellStyle name="Comma 3 6 2" xfId="318"/>
    <cellStyle name="Comma 3 6 2 2" xfId="319"/>
    <cellStyle name="Comma 3 6 2 2 2" xfId="320"/>
    <cellStyle name="Comma 3 6 2 3" xfId="321"/>
    <cellStyle name="Comma 3 6 3" xfId="322"/>
    <cellStyle name="Comma 3 6 3 2" xfId="323"/>
    <cellStyle name="Comma 3 6 3 2 2" xfId="324"/>
    <cellStyle name="Comma 3 6 3 3" xfId="325"/>
    <cellStyle name="Comma 3 6 4" xfId="326"/>
    <cellStyle name="Comma 3 6 4 2" xfId="327"/>
    <cellStyle name="Comma 3 6 5" xfId="328"/>
    <cellStyle name="Comma 3 7" xfId="329"/>
    <cellStyle name="Comma 3 7 2" xfId="330"/>
    <cellStyle name="Comma 3 7 2 2" xfId="331"/>
    <cellStyle name="Comma 3 7 2 2 2" xfId="332"/>
    <cellStyle name="Comma 3 7 2 3" xfId="333"/>
    <cellStyle name="Comma 3 7 3" xfId="334"/>
    <cellStyle name="Comma 3 7 3 2" xfId="335"/>
    <cellStyle name="Comma 3 7 3 2 2" xfId="336"/>
    <cellStyle name="Comma 3 7 3 3" xfId="337"/>
    <cellStyle name="Comma 3 7 4" xfId="338"/>
    <cellStyle name="Comma 3 7 4 2" xfId="339"/>
    <cellStyle name="Comma 3 7 5" xfId="340"/>
    <cellStyle name="Comma 3 8" xfId="341"/>
    <cellStyle name="Comma 3 8 2" xfId="342"/>
    <cellStyle name="Comma 3 8 2 2" xfId="343"/>
    <cellStyle name="Comma 3 8 2 2 2" xfId="344"/>
    <cellStyle name="Comma 3 8 2 3" xfId="345"/>
    <cellStyle name="Comma 3 8 3" xfId="346"/>
    <cellStyle name="Comma 3 8 3 2" xfId="347"/>
    <cellStyle name="Comma 3 8 3 2 2" xfId="348"/>
    <cellStyle name="Comma 3 8 3 3" xfId="349"/>
    <cellStyle name="Comma 3 8 4" xfId="350"/>
    <cellStyle name="Comma 3 8 4 2" xfId="351"/>
    <cellStyle name="Comma 3 8 5" xfId="352"/>
    <cellStyle name="Comma 3 9" xfId="353"/>
    <cellStyle name="Comma 3 9 2" xfId="354"/>
    <cellStyle name="Comma 3 9 2 2" xfId="355"/>
    <cellStyle name="Comma 3 9 2 2 2" xfId="356"/>
    <cellStyle name="Comma 3 9 2 3" xfId="357"/>
    <cellStyle name="Comma 3 9 3" xfId="358"/>
    <cellStyle name="Comma 3 9 3 2" xfId="359"/>
    <cellStyle name="Comma 3 9 3 2 2" xfId="360"/>
    <cellStyle name="Comma 3 9 3 3" xfId="361"/>
    <cellStyle name="Comma 3 9 4" xfId="362"/>
    <cellStyle name="Comma 3 9 4 2" xfId="363"/>
    <cellStyle name="Comma 3 9 5" xfId="364"/>
    <cellStyle name="Comma 4" xfId="365"/>
    <cellStyle name="Comma 4 2" xfId="366"/>
    <cellStyle name="Comma 4 2 2" xfId="868"/>
    <cellStyle name="Comma 4 2 2 2" xfId="869"/>
    <cellStyle name="Comma 4 2 3" xfId="870"/>
    <cellStyle name="Comma 4 3" xfId="367"/>
    <cellStyle name="Comma 4 4" xfId="368"/>
    <cellStyle name="Comma 4 4 2" xfId="871"/>
    <cellStyle name="Comma 4 5" xfId="872"/>
    <cellStyle name="Comma 46" xfId="873"/>
    <cellStyle name="Comma 47" xfId="874"/>
    <cellStyle name="Comma 5" xfId="369"/>
    <cellStyle name="Comma 6" xfId="370"/>
    <cellStyle name="Comma 6 2" xfId="371"/>
    <cellStyle name="Comma 7" xfId="372"/>
    <cellStyle name="Comma 7 2" xfId="373"/>
    <cellStyle name="Comma 7 2 2" xfId="875"/>
    <cellStyle name="Comma 7 2 2 2" xfId="876"/>
    <cellStyle name="Comma 7 2 3" xfId="877"/>
    <cellStyle name="Comma 7 3" xfId="878"/>
    <cellStyle name="Comma 7 3 2" xfId="879"/>
    <cellStyle name="Comma 7 3 2 2" xfId="880"/>
    <cellStyle name="Comma 7 3 3" xfId="881"/>
    <cellStyle name="Comma 7 4" xfId="882"/>
    <cellStyle name="Comma 7 4 2" xfId="883"/>
    <cellStyle name="Comma 7 4 2 2" xfId="884"/>
    <cellStyle name="Comma 7 4 3" xfId="885"/>
    <cellStyle name="Comma 7 5" xfId="886"/>
    <cellStyle name="Comma 7 5 2" xfId="887"/>
    <cellStyle name="Comma 7 5 2 2" xfId="888"/>
    <cellStyle name="Comma 7 5 3" xfId="889"/>
    <cellStyle name="Comma 7 6" xfId="890"/>
    <cellStyle name="Comma 7 6 2" xfId="891"/>
    <cellStyle name="Comma 7 6 2 2" xfId="892"/>
    <cellStyle name="Comma 7 6 3" xfId="893"/>
    <cellStyle name="Comma 7 7" xfId="894"/>
    <cellStyle name="Comma 7 7 2" xfId="895"/>
    <cellStyle name="Comma 7 8" xfId="896"/>
    <cellStyle name="Comma 8" xfId="374"/>
    <cellStyle name="Comma 8 2" xfId="375"/>
    <cellStyle name="Comma 8 2 2" xfId="897"/>
    <cellStyle name="Comma 8 3" xfId="898"/>
    <cellStyle name="Comma 86" xfId="899"/>
    <cellStyle name="Comma 9" xfId="376"/>
    <cellStyle name="Comma0" xfId="900"/>
    <cellStyle name="CommaBlank" xfId="377"/>
    <cellStyle name="CommaBlank 2" xfId="378"/>
    <cellStyle name="Currency 10" xfId="379"/>
    <cellStyle name="Currency 10 2" xfId="380"/>
    <cellStyle name="Currency 10 2 2" xfId="381"/>
    <cellStyle name="Currency 10 2 2 2" xfId="382"/>
    <cellStyle name="Currency 10 2 3" xfId="383"/>
    <cellStyle name="Currency 10 3" xfId="384"/>
    <cellStyle name="Currency 10 3 2" xfId="385"/>
    <cellStyle name="Currency 10 3 2 2" xfId="386"/>
    <cellStyle name="Currency 10 3 3" xfId="387"/>
    <cellStyle name="Currency 10 4" xfId="388"/>
    <cellStyle name="Currency 10 4 2" xfId="389"/>
    <cellStyle name="Currency 10 5" xfId="390"/>
    <cellStyle name="Currency 11" xfId="391"/>
    <cellStyle name="Currency 2" xfId="392"/>
    <cellStyle name="Currency 2 2" xfId="393"/>
    <cellStyle name="Currency 2 3" xfId="394"/>
    <cellStyle name="Currency 2 4" xfId="395"/>
    <cellStyle name="Currency 3" xfId="52"/>
    <cellStyle name="Currency 3 2" xfId="396"/>
    <cellStyle name="Currency 3 2 2" xfId="901"/>
    <cellStyle name="Currency 3 3" xfId="397"/>
    <cellStyle name="Currency 3 4" xfId="398"/>
    <cellStyle name="Currency 3 5" xfId="399"/>
    <cellStyle name="Currency 4" xfId="400"/>
    <cellStyle name="Currency 4 2" xfId="401"/>
    <cellStyle name="Currency 4 2 2" xfId="902"/>
    <cellStyle name="Currency 4 3" xfId="402"/>
    <cellStyle name="Currency 4 4" xfId="403"/>
    <cellStyle name="Currency 5" xfId="404"/>
    <cellStyle name="Currency 5 2" xfId="903"/>
    <cellStyle name="Currency 5 2 2" xfId="904"/>
    <cellStyle name="Currency 5 3" xfId="905"/>
    <cellStyle name="Currency 6" xfId="405"/>
    <cellStyle name="Currency 6 2" xfId="906"/>
    <cellStyle name="Currency 6 2 2" xfId="907"/>
    <cellStyle name="Currency 6 3" xfId="908"/>
    <cellStyle name="Currency 7" xfId="406"/>
    <cellStyle name="Currency 7 2" xfId="909"/>
    <cellStyle name="Currency 7 2 2" xfId="910"/>
    <cellStyle name="Currency 7 3" xfId="911"/>
    <cellStyle name="Currency 8" xfId="407"/>
    <cellStyle name="Currency 8 2" xfId="912"/>
    <cellStyle name="Currency 8 2 2" xfId="913"/>
    <cellStyle name="Currency 8 3" xfId="914"/>
    <cellStyle name="Currency 9" xfId="408"/>
    <cellStyle name="Currency 9 2" xfId="915"/>
    <cellStyle name="Currency0" xfId="916"/>
    <cellStyle name="Custom - Style1" xfId="917"/>
    <cellStyle name="Data   - Style2" xfId="918"/>
    <cellStyle name="Date" xfId="919"/>
    <cellStyle name="Eingabe" xfId="920"/>
    <cellStyle name="Eingabe 2" xfId="921"/>
    <cellStyle name="Euro" xfId="922"/>
    <cellStyle name="Euro 2" xfId="923"/>
    <cellStyle name="Explanatory Text" xfId="29" builtinId="53" customBuiltin="1"/>
    <cellStyle name="Explanatory Text 2" xfId="409"/>
    <cellStyle name="Explanatory Text 3" xfId="410"/>
    <cellStyle name="Explanatory Text 4" xfId="411"/>
    <cellStyle name="Explanatory Text 5" xfId="412"/>
    <cellStyle name="Explanatory Text 6" xfId="413"/>
    <cellStyle name="F2" xfId="924"/>
    <cellStyle name="F3" xfId="925"/>
    <cellStyle name="F4" xfId="926"/>
    <cellStyle name="F5" xfId="927"/>
    <cellStyle name="F6" xfId="928"/>
    <cellStyle name="F6 2" xfId="929"/>
    <cellStyle name="F7" xfId="930"/>
    <cellStyle name="F8" xfId="931"/>
    <cellStyle name="Fixed" xfId="932"/>
    <cellStyle name="Good" xfId="30" builtinId="26" customBuiltin="1"/>
    <cellStyle name="Good 2" xfId="414"/>
    <cellStyle name="Good 3" xfId="415"/>
    <cellStyle name="Good 4" xfId="416"/>
    <cellStyle name="Good 5" xfId="417"/>
    <cellStyle name="Good 6" xfId="418"/>
    <cellStyle name="Heading 1" xfId="31" builtinId="16" customBuiltin="1"/>
    <cellStyle name="Heading 1 2" xfId="419"/>
    <cellStyle name="Heading 1 3" xfId="420"/>
    <cellStyle name="Heading 1 4" xfId="421"/>
    <cellStyle name="Heading 1 5" xfId="422"/>
    <cellStyle name="Heading 1 6" xfId="423"/>
    <cellStyle name="Heading 1 7" xfId="424"/>
    <cellStyle name="Heading 1 8" xfId="425"/>
    <cellStyle name="Heading 2" xfId="32" builtinId="17" customBuiltin="1"/>
    <cellStyle name="Heading 2 2" xfId="426"/>
    <cellStyle name="Heading 2 3" xfId="427"/>
    <cellStyle name="Heading 2 4" xfId="428"/>
    <cellStyle name="Heading 2 5" xfId="429"/>
    <cellStyle name="Heading 2 6" xfId="430"/>
    <cellStyle name="Heading 2 7" xfId="431"/>
    <cellStyle name="Heading 2 8" xfId="432"/>
    <cellStyle name="Heading 3" xfId="33" builtinId="18" customBuiltin="1"/>
    <cellStyle name="Heading 3 2" xfId="433"/>
    <cellStyle name="Heading 3 3" xfId="434"/>
    <cellStyle name="Heading 3 4" xfId="435"/>
    <cellStyle name="Heading 3 5" xfId="436"/>
    <cellStyle name="Heading 3 6" xfId="437"/>
    <cellStyle name="Heading 3 7" xfId="438"/>
    <cellStyle name="Heading 3 8" xfId="439"/>
    <cellStyle name="Heading 4" xfId="34" builtinId="19" customBuiltin="1"/>
    <cellStyle name="Heading 4 2" xfId="440"/>
    <cellStyle name="Heading 4 3" xfId="441"/>
    <cellStyle name="Heading 4 4" xfId="442"/>
    <cellStyle name="Heading 4 5" xfId="443"/>
    <cellStyle name="Heading 4 6" xfId="444"/>
    <cellStyle name="Heading 4 7" xfId="445"/>
    <cellStyle name="Heading 4 8" xfId="446"/>
    <cellStyle name="Input" xfId="35" builtinId="20" customBuiltin="1"/>
    <cellStyle name="Input 2" xfId="447"/>
    <cellStyle name="Input 3" xfId="448"/>
    <cellStyle name="Input 4" xfId="449"/>
    <cellStyle name="Input 5" xfId="450"/>
    <cellStyle name="Input 6" xfId="451"/>
    <cellStyle name="kirkdollars" xfId="452"/>
    <cellStyle name="Labels - Style3" xfId="933"/>
    <cellStyle name="LineItemPrompt" xfId="934"/>
    <cellStyle name="LineItemValue" xfId="935"/>
    <cellStyle name="LineItemValue 2" xfId="936"/>
    <cellStyle name="Linked Cell" xfId="36" builtinId="24" customBuiltin="1"/>
    <cellStyle name="Linked Cell 2" xfId="453"/>
    <cellStyle name="Linked Cell 3" xfId="454"/>
    <cellStyle name="Linked Cell 4" xfId="455"/>
    <cellStyle name="Linked Cell 5" xfId="456"/>
    <cellStyle name="Linked Cell 6" xfId="457"/>
    <cellStyle name="Neutral" xfId="37" builtinId="28" customBuiltin="1"/>
    <cellStyle name="Neutral 2" xfId="458"/>
    <cellStyle name="Neutral 3" xfId="459"/>
    <cellStyle name="Neutral 4" xfId="460"/>
    <cellStyle name="Neutral 5" xfId="461"/>
    <cellStyle name="Neutral 6" xfId="462"/>
    <cellStyle name="Normal" xfId="0" builtinId="0"/>
    <cellStyle name="Normal - Style1" xfId="937"/>
    <cellStyle name="Normal - Style2" xfId="938"/>
    <cellStyle name="Normal - Style3" xfId="939"/>
    <cellStyle name="Normal - Style4" xfId="940"/>
    <cellStyle name="Normal - Style5" xfId="941"/>
    <cellStyle name="Normal - Style6" xfId="942"/>
    <cellStyle name="Normal - Style7" xfId="943"/>
    <cellStyle name="Normal - Style8" xfId="944"/>
    <cellStyle name="Normal 10" xfId="463"/>
    <cellStyle name="Normal 11" xfId="464"/>
    <cellStyle name="Normal 12" xfId="465"/>
    <cellStyle name="Normal 12 2" xfId="945"/>
    <cellStyle name="Normal 13" xfId="466"/>
    <cellStyle name="Normal 13 2" xfId="946"/>
    <cellStyle name="Normal 13 2 2" xfId="947"/>
    <cellStyle name="Normal 13 3" xfId="948"/>
    <cellStyle name="Normal 14" xfId="467"/>
    <cellStyle name="Normal 14 2" xfId="949"/>
    <cellStyle name="Normal 14 2 2" xfId="950"/>
    <cellStyle name="Normal 14 3" xfId="951"/>
    <cellStyle name="Normal 15" xfId="468"/>
    <cellStyle name="Normal 15 2" xfId="469"/>
    <cellStyle name="Normal 15 2 2" xfId="470"/>
    <cellStyle name="Normal 15 2 2 2" xfId="471"/>
    <cellStyle name="Normal 15 2 3" xfId="472"/>
    <cellStyle name="Normal 15 3" xfId="473"/>
    <cellStyle name="Normal 15 3 2" xfId="474"/>
    <cellStyle name="Normal 15 3 2 2" xfId="475"/>
    <cellStyle name="Normal 15 3 3" xfId="476"/>
    <cellStyle name="Normal 15 4" xfId="477"/>
    <cellStyle name="Normal 15 4 2" xfId="478"/>
    <cellStyle name="Normal 15 5" xfId="479"/>
    <cellStyle name="Normal 16" xfId="480"/>
    <cellStyle name="Normal 16 2" xfId="952"/>
    <cellStyle name="Normal 16 2 2" xfId="953"/>
    <cellStyle name="Normal 16 3" xfId="954"/>
    <cellStyle name="Normal 17" xfId="481"/>
    <cellStyle name="Normal 17 2" xfId="955"/>
    <cellStyle name="Normal 17 2 2" xfId="956"/>
    <cellStyle name="Normal 17 3" xfId="957"/>
    <cellStyle name="Normal 18" xfId="482"/>
    <cellStyle name="Normal 19" xfId="483"/>
    <cellStyle name="Normal 19 2" xfId="958"/>
    <cellStyle name="Normal 19 2 2" xfId="959"/>
    <cellStyle name="Normal 19 3" xfId="960"/>
    <cellStyle name="Normal 2" xfId="44"/>
    <cellStyle name="Normal 2 2" xfId="49"/>
    <cellStyle name="Normal 2 2 2" xfId="484"/>
    <cellStyle name="Normal 2 2 3" xfId="961"/>
    <cellStyle name="Normal 2 3" xfId="485"/>
    <cellStyle name="Normal 2 4" xfId="486"/>
    <cellStyle name="Normal 2 5" xfId="487"/>
    <cellStyle name="Normal 2 6" xfId="962"/>
    <cellStyle name="Normal 2 6 2" xfId="963"/>
    <cellStyle name="Normal 2 7" xfId="964"/>
    <cellStyle name="Normal 2 8" xfId="965"/>
    <cellStyle name="Normal 2_Adjustment WP" xfId="488"/>
    <cellStyle name="Normal 20" xfId="489"/>
    <cellStyle name="Normal 21" xfId="490"/>
    <cellStyle name="Normal 21 2" xfId="966"/>
    <cellStyle name="Normal 22" xfId="491"/>
    <cellStyle name="Normal 23" xfId="492"/>
    <cellStyle name="Normal 23 2" xfId="967"/>
    <cellStyle name="Normal 23 2 2" xfId="968"/>
    <cellStyle name="Normal 23 3" xfId="969"/>
    <cellStyle name="Normal 24" xfId="493"/>
    <cellStyle name="Normal 25" xfId="494"/>
    <cellStyle name="Normal 26" xfId="495"/>
    <cellStyle name="Normal 27" xfId="496"/>
    <cellStyle name="Normal 28" xfId="497"/>
    <cellStyle name="Normal 29" xfId="498"/>
    <cellStyle name="Normal 3" xfId="45"/>
    <cellStyle name="Normal 3 2" xfId="499"/>
    <cellStyle name="Normal 3 3" xfId="500"/>
    <cellStyle name="Normal 3 3 2" xfId="970"/>
    <cellStyle name="Normal 3 3 2 2" xfId="971"/>
    <cellStyle name="Normal 3 3 3" xfId="972"/>
    <cellStyle name="Normal 3 4" xfId="501"/>
    <cellStyle name="Normal 3 5" xfId="502"/>
    <cellStyle name="Normal 3 6" xfId="503"/>
    <cellStyle name="Normal 3 7" xfId="504"/>
    <cellStyle name="Normal 3 8" xfId="505"/>
    <cellStyle name="Normal 3_108 Summary" xfId="506"/>
    <cellStyle name="Normal 30" xfId="507"/>
    <cellStyle name="Normal 31" xfId="508"/>
    <cellStyle name="Normal 32" xfId="509"/>
    <cellStyle name="Normal 33" xfId="510"/>
    <cellStyle name="Normal 34" xfId="511"/>
    <cellStyle name="Normal 35" xfId="512"/>
    <cellStyle name="Normal 35 2" xfId="513"/>
    <cellStyle name="Normal 35 2 2" xfId="514"/>
    <cellStyle name="Normal 35 2 2 2" xfId="515"/>
    <cellStyle name="Normal 35 2 3" xfId="516"/>
    <cellStyle name="Normal 35 3" xfId="517"/>
    <cellStyle name="Normal 35 3 2" xfId="518"/>
    <cellStyle name="Normal 35 3 2 2" xfId="519"/>
    <cellStyle name="Normal 35 3 3" xfId="520"/>
    <cellStyle name="Normal 35 4" xfId="521"/>
    <cellStyle name="Normal 35 4 2" xfId="522"/>
    <cellStyle name="Normal 35 5" xfId="523"/>
    <cellStyle name="Normal 36" xfId="524"/>
    <cellStyle name="Normal 36 2" xfId="525"/>
    <cellStyle name="Normal 37" xfId="766"/>
    <cellStyle name="Normal 4" xfId="526"/>
    <cellStyle name="Normal 4 2" xfId="527"/>
    <cellStyle name="Normal 4 3" xfId="528"/>
    <cellStyle name="Normal 4 4" xfId="529"/>
    <cellStyle name="Normal 4 5" xfId="530"/>
    <cellStyle name="Normal 46" xfId="973"/>
    <cellStyle name="Normal 47" xfId="974"/>
    <cellStyle name="Normal 5" xfId="531"/>
    <cellStyle name="Normal 5 2" xfId="532"/>
    <cellStyle name="Normal 5 3" xfId="533"/>
    <cellStyle name="Normal 5 4" xfId="975"/>
    <cellStyle name="Normal 6" xfId="534"/>
    <cellStyle name="Normal 6 10" xfId="535"/>
    <cellStyle name="Normal 6 10 2" xfId="536"/>
    <cellStyle name="Normal 6 10 2 2" xfId="537"/>
    <cellStyle name="Normal 6 10 3" xfId="538"/>
    <cellStyle name="Normal 6 2" xfId="539"/>
    <cellStyle name="Normal 6 2 2" xfId="540"/>
    <cellStyle name="Normal 6 2 2 2" xfId="541"/>
    <cellStyle name="Normal 6 2 2 2 2" xfId="542"/>
    <cellStyle name="Normal 6 2 2 3" xfId="543"/>
    <cellStyle name="Normal 6 2 3" xfId="544"/>
    <cellStyle name="Normal 6 2 3 2" xfId="545"/>
    <cellStyle name="Normal 6 2 3 2 2" xfId="546"/>
    <cellStyle name="Normal 6 2 3 3" xfId="547"/>
    <cellStyle name="Normal 6 2 4" xfId="548"/>
    <cellStyle name="Normal 6 2 4 2" xfId="549"/>
    <cellStyle name="Normal 6 2 5" xfId="550"/>
    <cellStyle name="Normal 6 3" xfId="551"/>
    <cellStyle name="Normal 6 3 2" xfId="552"/>
    <cellStyle name="Normal 6 3 2 2" xfId="553"/>
    <cellStyle name="Normal 6 3 2 2 2" xfId="554"/>
    <cellStyle name="Normal 6 3 2 3" xfId="555"/>
    <cellStyle name="Normal 6 3 3" xfId="556"/>
    <cellStyle name="Normal 6 3 3 2" xfId="557"/>
    <cellStyle name="Normal 6 3 3 2 2" xfId="558"/>
    <cellStyle name="Normal 6 3 3 3" xfId="559"/>
    <cellStyle name="Normal 6 3 4" xfId="560"/>
    <cellStyle name="Normal 6 3 4 2" xfId="561"/>
    <cellStyle name="Normal 6 3 5" xfId="562"/>
    <cellStyle name="Normal 6 4" xfId="563"/>
    <cellStyle name="Normal 6 4 2" xfId="564"/>
    <cellStyle name="Normal 6 4 2 2" xfId="565"/>
    <cellStyle name="Normal 6 4 2 2 2" xfId="566"/>
    <cellStyle name="Normal 6 4 2 3" xfId="567"/>
    <cellStyle name="Normal 6 4 3" xfId="568"/>
    <cellStyle name="Normal 6 4 3 2" xfId="569"/>
    <cellStyle name="Normal 6 4 3 2 2" xfId="570"/>
    <cellStyle name="Normal 6 4 3 3" xfId="571"/>
    <cellStyle name="Normal 6 4 4" xfId="572"/>
    <cellStyle name="Normal 6 4 4 2" xfId="573"/>
    <cellStyle name="Normal 6 4 5" xfId="574"/>
    <cellStyle name="Normal 6 5" xfId="575"/>
    <cellStyle name="Normal 6 5 2" xfId="576"/>
    <cellStyle name="Normal 6 5 2 2" xfId="577"/>
    <cellStyle name="Normal 6 5 2 2 2" xfId="578"/>
    <cellStyle name="Normal 6 5 2 3" xfId="579"/>
    <cellStyle name="Normal 6 5 3" xfId="580"/>
    <cellStyle name="Normal 6 5 3 2" xfId="581"/>
    <cellStyle name="Normal 6 5 3 2 2" xfId="582"/>
    <cellStyle name="Normal 6 5 3 3" xfId="583"/>
    <cellStyle name="Normal 6 5 4" xfId="584"/>
    <cellStyle name="Normal 6 5 4 2" xfId="585"/>
    <cellStyle name="Normal 6 5 5" xfId="586"/>
    <cellStyle name="Normal 6 6" xfId="587"/>
    <cellStyle name="Normal 6 6 2" xfId="588"/>
    <cellStyle name="Normal 6 6 2 2" xfId="589"/>
    <cellStyle name="Normal 6 6 2 2 2" xfId="590"/>
    <cellStyle name="Normal 6 6 2 3" xfId="591"/>
    <cellStyle name="Normal 6 6 3" xfId="592"/>
    <cellStyle name="Normal 6 6 3 2" xfId="593"/>
    <cellStyle name="Normal 6 6 3 2 2" xfId="594"/>
    <cellStyle name="Normal 6 6 3 3" xfId="595"/>
    <cellStyle name="Normal 6 6 4" xfId="596"/>
    <cellStyle name="Normal 6 6 4 2" xfId="597"/>
    <cellStyle name="Normal 6 6 5" xfId="598"/>
    <cellStyle name="Normal 6 7" xfId="599"/>
    <cellStyle name="Normal 6 7 2" xfId="600"/>
    <cellStyle name="Normal 6 7 2 2" xfId="601"/>
    <cellStyle name="Normal 6 7 2 2 2" xfId="602"/>
    <cellStyle name="Normal 6 7 2 3" xfId="603"/>
    <cellStyle name="Normal 6 7 3" xfId="604"/>
    <cellStyle name="Normal 6 7 3 2" xfId="605"/>
    <cellStyle name="Normal 6 7 3 2 2" xfId="606"/>
    <cellStyle name="Normal 6 7 3 3" xfId="607"/>
    <cellStyle name="Normal 6 7 4" xfId="608"/>
    <cellStyle name="Normal 6 7 4 2" xfId="609"/>
    <cellStyle name="Normal 6 7 5" xfId="610"/>
    <cellStyle name="Normal 6 8" xfId="611"/>
    <cellStyle name="Normal 6 8 2" xfId="612"/>
    <cellStyle name="Normal 6 8 2 2" xfId="613"/>
    <cellStyle name="Normal 6 8 2 2 2" xfId="614"/>
    <cellStyle name="Normal 6 8 2 3" xfId="615"/>
    <cellStyle name="Normal 6 8 3" xfId="616"/>
    <cellStyle name="Normal 6 8 3 2" xfId="617"/>
    <cellStyle name="Normal 6 8 3 2 2" xfId="618"/>
    <cellStyle name="Normal 6 8 3 3" xfId="619"/>
    <cellStyle name="Normal 6 8 4" xfId="620"/>
    <cellStyle name="Normal 6 8 4 2" xfId="621"/>
    <cellStyle name="Normal 6 8 5" xfId="622"/>
    <cellStyle name="Normal 6 9" xfId="623"/>
    <cellStyle name="Normal 7" xfId="624"/>
    <cellStyle name="Normal 8" xfId="625"/>
    <cellStyle name="Normal 8 2" xfId="976"/>
    <cellStyle name="Normal 9" xfId="626"/>
    <cellStyle name="Normal 9 2" xfId="977"/>
    <cellStyle name="Normal 9 2 2" xfId="978"/>
    <cellStyle name="Normal 9 2 2 2" xfId="979"/>
    <cellStyle name="Normal 9 2 3" xfId="980"/>
    <cellStyle name="Normal 9 3" xfId="981"/>
    <cellStyle name="Normal 9 3 2" xfId="982"/>
    <cellStyle name="Normal 9 4" xfId="983"/>
    <cellStyle name="Normal_Iowa ASL GPAMORT" xfId="46"/>
    <cellStyle name="Note" xfId="38" builtinId="10" customBuiltin="1"/>
    <cellStyle name="Note 10" xfId="627"/>
    <cellStyle name="Note 11" xfId="628"/>
    <cellStyle name="Note 2" xfId="629"/>
    <cellStyle name="Note 2 2" xfId="630"/>
    <cellStyle name="Note 2 2 2" xfId="984"/>
    <cellStyle name="Note 2 2 2 2" xfId="985"/>
    <cellStyle name="Note 2 2 3" xfId="986"/>
    <cellStyle name="Note 2_Allocators" xfId="631"/>
    <cellStyle name="Note 3" xfId="632"/>
    <cellStyle name="Note 3 2" xfId="633"/>
    <cellStyle name="Note 3 3" xfId="634"/>
    <cellStyle name="Note 3_Allocators" xfId="635"/>
    <cellStyle name="Note 4" xfId="636"/>
    <cellStyle name="Note 4 2" xfId="637"/>
    <cellStyle name="Note 4 2 2" xfId="987"/>
    <cellStyle name="Note 4 3" xfId="988"/>
    <cellStyle name="Note 4_Allocators" xfId="638"/>
    <cellStyle name="Note 5" xfId="639"/>
    <cellStyle name="Note 5 2" xfId="989"/>
    <cellStyle name="Note 5 2 2" xfId="990"/>
    <cellStyle name="Note 5 3" xfId="991"/>
    <cellStyle name="Note 6" xfId="640"/>
    <cellStyle name="Note 6 2" xfId="641"/>
    <cellStyle name="Note 6_Allocators" xfId="642"/>
    <cellStyle name="Note 7" xfId="643"/>
    <cellStyle name="Note 7 2" xfId="644"/>
    <cellStyle name="Note 8" xfId="645"/>
    <cellStyle name="Note 9" xfId="646"/>
    <cellStyle name="nPlosion" xfId="647"/>
    <cellStyle name="nvision" xfId="648"/>
    <cellStyle name="Output" xfId="39" builtinId="21" customBuiltin="1"/>
    <cellStyle name="Output 2" xfId="649"/>
    <cellStyle name="Output 3" xfId="650"/>
    <cellStyle name="Output 4" xfId="651"/>
    <cellStyle name="Output 5" xfId="652"/>
    <cellStyle name="Output 6" xfId="653"/>
    <cellStyle name="Output Amounts" xfId="992"/>
    <cellStyle name="Output Amounts 2" xfId="993"/>
    <cellStyle name="OUTPUT AMOUNTS 3" xfId="994"/>
    <cellStyle name="Output Amounts_d1" xfId="995"/>
    <cellStyle name="Output Column Headings" xfId="996"/>
    <cellStyle name="Output Column Headings 2" xfId="997"/>
    <cellStyle name="OUTPUT COLUMN HEADINGS 3" xfId="998"/>
    <cellStyle name="Output Column Headings_d1" xfId="999"/>
    <cellStyle name="Output Line Items" xfId="1000"/>
    <cellStyle name="Output Line Items 2" xfId="1001"/>
    <cellStyle name="OUTPUT LINE ITEMS 3" xfId="1002"/>
    <cellStyle name="Output Line Items_d1" xfId="1003"/>
    <cellStyle name="Output Report Heading" xfId="1004"/>
    <cellStyle name="Output Report Heading 2" xfId="1005"/>
    <cellStyle name="OUTPUT REPORT HEADING 3" xfId="1006"/>
    <cellStyle name="Output Report Heading_d1" xfId="1007"/>
    <cellStyle name="Output Report Title" xfId="1008"/>
    <cellStyle name="Output Report Title 2" xfId="1009"/>
    <cellStyle name="OUTPUT REPORT TITLE 3" xfId="1010"/>
    <cellStyle name="Output Report Title_d1" xfId="1011"/>
    <cellStyle name="Percent" xfId="40" builtinId="5"/>
    <cellStyle name="Percent 10" xfId="654"/>
    <cellStyle name="Percent 11" xfId="655"/>
    <cellStyle name="Percent 12" xfId="656"/>
    <cellStyle name="Percent 13" xfId="657"/>
    <cellStyle name="Percent 13 2" xfId="658"/>
    <cellStyle name="Percent 13 2 2" xfId="659"/>
    <cellStyle name="Percent 13 2 2 2" xfId="660"/>
    <cellStyle name="Percent 13 2 3" xfId="661"/>
    <cellStyle name="Percent 13 3" xfId="662"/>
    <cellStyle name="Percent 13 3 2" xfId="663"/>
    <cellStyle name="Percent 13 3 2 2" xfId="664"/>
    <cellStyle name="Percent 13 3 3" xfId="665"/>
    <cellStyle name="Percent 13 4" xfId="666"/>
    <cellStyle name="Percent 13 4 2" xfId="667"/>
    <cellStyle name="Percent 13 5" xfId="668"/>
    <cellStyle name="Percent 14" xfId="669"/>
    <cellStyle name="Percent 15" xfId="765"/>
    <cellStyle name="Percent 2" xfId="53"/>
    <cellStyle name="Percent 2 2" xfId="670"/>
    <cellStyle name="Percent 2 2 2" xfId="1012"/>
    <cellStyle name="Percent 2 3" xfId="671"/>
    <cellStyle name="Percent 2 4" xfId="50"/>
    <cellStyle name="Percent 3" xfId="672"/>
    <cellStyle name="Percent 3 2" xfId="673"/>
    <cellStyle name="Percent 3 3" xfId="674"/>
    <cellStyle name="Percent 3 4" xfId="675"/>
    <cellStyle name="Percent 3 5" xfId="676"/>
    <cellStyle name="Percent 3 6" xfId="677"/>
    <cellStyle name="Percent 4" xfId="678"/>
    <cellStyle name="Percent 4 2" xfId="679"/>
    <cellStyle name="Percent 4 3" xfId="680"/>
    <cellStyle name="Percent 4 4" xfId="681"/>
    <cellStyle name="Percent 44" xfId="1013"/>
    <cellStyle name="Percent 45" xfId="1014"/>
    <cellStyle name="Percent 5" xfId="682"/>
    <cellStyle name="Percent 5 2" xfId="683"/>
    <cellStyle name="Percent 6" xfId="684"/>
    <cellStyle name="Percent 6 2" xfId="685"/>
    <cellStyle name="Percent 7" xfId="686"/>
    <cellStyle name="Percent 8" xfId="687"/>
    <cellStyle name="Percent 9" xfId="688"/>
    <cellStyle name="PSChar" xfId="47"/>
    <cellStyle name="PSChar 2" xfId="689"/>
    <cellStyle name="PSChar 2 2" xfId="690"/>
    <cellStyle name="PSChar 2 3" xfId="691"/>
    <cellStyle name="PSChar 3" xfId="692"/>
    <cellStyle name="PSChar 3 2" xfId="693"/>
    <cellStyle name="PSChar 4" xfId="694"/>
    <cellStyle name="PSChar 5" xfId="695"/>
    <cellStyle name="PSChar 6" xfId="696"/>
    <cellStyle name="PSDate" xfId="697"/>
    <cellStyle name="PSDate 2" xfId="698"/>
    <cellStyle name="PSDate 2 2" xfId="699"/>
    <cellStyle name="PSDate 2 3" xfId="700"/>
    <cellStyle name="PSDate 3" xfId="701"/>
    <cellStyle name="PSDate 3 2" xfId="702"/>
    <cellStyle name="PSDate 4" xfId="703"/>
    <cellStyle name="PSDate 5" xfId="704"/>
    <cellStyle name="PSDate 6" xfId="705"/>
    <cellStyle name="PSDec" xfId="48"/>
    <cellStyle name="PSDec 2" xfId="706"/>
    <cellStyle name="PSDec 2 2" xfId="707"/>
    <cellStyle name="PSDec 2 3" xfId="708"/>
    <cellStyle name="PSDec 3" xfId="709"/>
    <cellStyle name="PSDec 3 2" xfId="710"/>
    <cellStyle name="PSDec 4" xfId="711"/>
    <cellStyle name="PSDec 5" xfId="712"/>
    <cellStyle name="PSDec 6" xfId="713"/>
    <cellStyle name="PSHeading" xfId="714"/>
    <cellStyle name="PSHeading 10" xfId="715"/>
    <cellStyle name="PSHeading 11" xfId="716"/>
    <cellStyle name="PSHeading 2" xfId="717"/>
    <cellStyle name="PSHeading 2 2" xfId="718"/>
    <cellStyle name="PSHeading 2 3" xfId="719"/>
    <cellStyle name="PSHeading 2_108 Summary" xfId="720"/>
    <cellStyle name="PSHeading 3" xfId="721"/>
    <cellStyle name="PSHeading 3 2" xfId="722"/>
    <cellStyle name="PSHeading 3_108 Summary" xfId="723"/>
    <cellStyle name="PSHeading 4" xfId="724"/>
    <cellStyle name="PSHeading 5" xfId="725"/>
    <cellStyle name="PSHeading 6" xfId="726"/>
    <cellStyle name="PSHeading 7" xfId="727"/>
    <cellStyle name="PSHeading 8" xfId="728"/>
    <cellStyle name="PSHeading 9" xfId="729"/>
    <cellStyle name="PSHeading_101 check" xfId="730"/>
    <cellStyle name="PSInt" xfId="731"/>
    <cellStyle name="PSInt 2" xfId="732"/>
    <cellStyle name="PSInt 2 2" xfId="733"/>
    <cellStyle name="PSInt 2 3" xfId="734"/>
    <cellStyle name="PSInt 3" xfId="735"/>
    <cellStyle name="PSInt 3 2" xfId="736"/>
    <cellStyle name="PSInt 4" xfId="737"/>
    <cellStyle name="PSInt 5" xfId="738"/>
    <cellStyle name="PSInt 6" xfId="739"/>
    <cellStyle name="PSSpacer" xfId="740"/>
    <cellStyle name="PSSpacer 2" xfId="741"/>
    <cellStyle name="PSSpacer 2 2" xfId="742"/>
    <cellStyle name="PSSpacer 2 3" xfId="743"/>
    <cellStyle name="PSSpacer 3" xfId="744"/>
    <cellStyle name="PSSpacer 3 2" xfId="745"/>
    <cellStyle name="PSSpacer 4" xfId="746"/>
    <cellStyle name="PSSpacer 5" xfId="747"/>
    <cellStyle name="PSSpacer 6" xfId="748"/>
    <cellStyle name="ReportTitlePrompt" xfId="1015"/>
    <cellStyle name="ReportTitlePrompt 2" xfId="1016"/>
    <cellStyle name="ReportTitleValue" xfId="1017"/>
    <cellStyle name="Reset  - Style4" xfId="1018"/>
    <cellStyle name="RowAcctAbovePrompt" xfId="1019"/>
    <cellStyle name="RowAcctSOBAbovePrompt" xfId="1020"/>
    <cellStyle name="RowAcctSOBValue" xfId="1021"/>
    <cellStyle name="RowAcctValue" xfId="1022"/>
    <cellStyle name="RowAttrAbovePrompt" xfId="1023"/>
    <cellStyle name="RowAttrValue" xfId="1024"/>
    <cellStyle name="RowColSetAbovePrompt" xfId="1025"/>
    <cellStyle name="RowColSetLeftPrompt" xfId="1026"/>
    <cellStyle name="RowColSetValue" xfId="1027"/>
    <cellStyle name="RowColSetValue 2" xfId="1028"/>
    <cellStyle name="RowLeftPrompt" xfId="1029"/>
    <cellStyle name="SampleUsingFormatMask" xfId="1030"/>
    <cellStyle name="SampleWithNoFormatMask" xfId="1031"/>
    <cellStyle name="SAPBEXaggData" xfId="1032"/>
    <cellStyle name="SAPBEXaggData 2" xfId="1033"/>
    <cellStyle name="SAPBEXaggDataEmph" xfId="1034"/>
    <cellStyle name="SAPBEXaggItem" xfId="1035"/>
    <cellStyle name="SAPBEXaggItem 2" xfId="1036"/>
    <cellStyle name="SAPBEXaggItemX" xfId="1037"/>
    <cellStyle name="SAPBEXaggItemX 2" xfId="1038"/>
    <cellStyle name="SAPBEXchaText" xfId="1039"/>
    <cellStyle name="SAPBEXchaText 2" xfId="1040"/>
    <cellStyle name="SAPBEXexcBad7" xfId="1041"/>
    <cellStyle name="SAPBEXexcBad7 2" xfId="1042"/>
    <cellStyle name="SAPBEXexcBad8" xfId="1043"/>
    <cellStyle name="SAPBEXexcBad9" xfId="1044"/>
    <cellStyle name="SAPBEXexcCritical4" xfId="1045"/>
    <cellStyle name="SAPBEXexcCritical4 2" xfId="1046"/>
    <cellStyle name="SAPBEXexcCritical5" xfId="1047"/>
    <cellStyle name="SAPBEXexcCritical5 2" xfId="1048"/>
    <cellStyle name="SAPBEXexcCritical6" xfId="1049"/>
    <cellStyle name="SAPBEXexcCritical6 2" xfId="1050"/>
    <cellStyle name="SAPBEXexcGood1" xfId="1051"/>
    <cellStyle name="SAPBEXexcGood2" xfId="1052"/>
    <cellStyle name="SAPBEXexcGood3" xfId="1053"/>
    <cellStyle name="SAPBEXexcGood3 2" xfId="1054"/>
    <cellStyle name="SAPBEXfilterDrill" xfId="1055"/>
    <cellStyle name="SAPBEXfilterDrill 2" xfId="1056"/>
    <cellStyle name="SAPBEXfilterItem" xfId="1057"/>
    <cellStyle name="SAPBEXfilterItem 2" xfId="1058"/>
    <cellStyle name="SAPBEXfilterText" xfId="1059"/>
    <cellStyle name="SAPBEXfilterText 2" xfId="1060"/>
    <cellStyle name="SAPBEXformats" xfId="1061"/>
    <cellStyle name="SAPBEXformats 2" xfId="1062"/>
    <cellStyle name="SAPBEXheaderItem" xfId="1063"/>
    <cellStyle name="SAPBEXheaderItem 2" xfId="1064"/>
    <cellStyle name="SAPBEXheaderText" xfId="1065"/>
    <cellStyle name="SAPBEXheaderText 2" xfId="1066"/>
    <cellStyle name="SAPBEXHLevel0" xfId="1067"/>
    <cellStyle name="SAPBEXHLevel0 2" xfId="1068"/>
    <cellStyle name="SAPBEXHLevel0X" xfId="1069"/>
    <cellStyle name="SAPBEXHLevel0X 2" xfId="1070"/>
    <cellStyle name="SAPBEXHLevel1" xfId="1071"/>
    <cellStyle name="SAPBEXHLevel1 2" xfId="1072"/>
    <cellStyle name="SAPBEXHLevel1X" xfId="1073"/>
    <cellStyle name="SAPBEXHLevel1X 2" xfId="1074"/>
    <cellStyle name="SAPBEXHLevel2" xfId="1075"/>
    <cellStyle name="SAPBEXHLevel2 2" xfId="1076"/>
    <cellStyle name="SAPBEXHLevel2X" xfId="1077"/>
    <cellStyle name="SAPBEXHLevel2X 2" xfId="1078"/>
    <cellStyle name="SAPBEXHLevel3" xfId="1079"/>
    <cellStyle name="SAPBEXHLevel3 2" xfId="1080"/>
    <cellStyle name="SAPBEXHLevel3X" xfId="1081"/>
    <cellStyle name="SAPBEXHLevel3X 2" xfId="1082"/>
    <cellStyle name="SAPBEXresData" xfId="1083"/>
    <cellStyle name="SAPBEXresDataEmph" xfId="1084"/>
    <cellStyle name="SAPBEXresItem" xfId="1085"/>
    <cellStyle name="SAPBEXresItem 2" xfId="1086"/>
    <cellStyle name="SAPBEXresItemX" xfId="1087"/>
    <cellStyle name="SAPBEXresItemX 2" xfId="1088"/>
    <cellStyle name="SAPBEXstdData" xfId="1089"/>
    <cellStyle name="SAPBEXstdData 2" xfId="1090"/>
    <cellStyle name="SAPBEXstdDataEmph" xfId="1091"/>
    <cellStyle name="SAPBEXstdDataEmph 2" xfId="1092"/>
    <cellStyle name="SAPBEXstdItem" xfId="1093"/>
    <cellStyle name="SAPBEXstdItem 2" xfId="1094"/>
    <cellStyle name="SAPBEXstdItemX" xfId="1095"/>
    <cellStyle name="SAPBEXstdItemX 2" xfId="1096"/>
    <cellStyle name="SAPBEXtitle" xfId="1097"/>
    <cellStyle name="SAPBEXundefined" xfId="1098"/>
    <cellStyle name="SAPBEXundefined 2" xfId="1099"/>
    <cellStyle name="SAPLocked" xfId="1100"/>
    <cellStyle name="SAPLocked 2" xfId="1101"/>
    <cellStyle name="Shade" xfId="1102"/>
    <cellStyle name="Standard_CORE_20040805_Movement types_Sets_V0.1_e" xfId="1103"/>
    <cellStyle name="STYL5 - Style5" xfId="1104"/>
    <cellStyle name="STYL6 - Style6" xfId="1105"/>
    <cellStyle name="STYLE1 - Style1" xfId="1106"/>
    <cellStyle name="STYLE2 - Style2" xfId="1107"/>
    <cellStyle name="STYLE3 - Style3" xfId="1108"/>
    <cellStyle name="STYLE4 - Style4" xfId="1109"/>
    <cellStyle name="Table  - Style5" xfId="1110"/>
    <cellStyle name="Title" xfId="41" builtinId="15" customBuiltin="1"/>
    <cellStyle name="Title  - Style6" xfId="1111"/>
    <cellStyle name="Title 2" xfId="749"/>
    <cellStyle name="Title 3" xfId="750"/>
    <cellStyle name="Title 4" xfId="751"/>
    <cellStyle name="Title 5" xfId="752"/>
    <cellStyle name="Total" xfId="42" builtinId="25" customBuiltin="1"/>
    <cellStyle name="Total 2" xfId="753"/>
    <cellStyle name="Total 3" xfId="754"/>
    <cellStyle name="Total 4" xfId="755"/>
    <cellStyle name="Total 5" xfId="756"/>
    <cellStyle name="Total 6" xfId="757"/>
    <cellStyle name="Total 7" xfId="758"/>
    <cellStyle name="Total 8" xfId="759"/>
    <cellStyle name="TotCol - Style7" xfId="1112"/>
    <cellStyle name="TotRow - Style8" xfId="1113"/>
    <cellStyle name="Undefiniert" xfId="1114"/>
    <cellStyle name="UploadThisRowValue" xfId="1115"/>
    <cellStyle name="Währung_KURSE3Q" xfId="1116"/>
    <cellStyle name="Warning Text" xfId="43" builtinId="11" customBuiltin="1"/>
    <cellStyle name="Warning Text 2" xfId="760"/>
    <cellStyle name="Warning Text 3" xfId="761"/>
    <cellStyle name="Warning Text 4" xfId="762"/>
    <cellStyle name="Warning Text 5" xfId="763"/>
    <cellStyle name="Warning Text 6" xfId="7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EKPC Generation Maintenance Expense By Year</a:t>
            </a:r>
          </a:p>
          <a:p>
            <a:pPr>
              <a:defRPr/>
            </a:pPr>
            <a:r>
              <a:rPr lang="en-US"/>
              <a:t> </a:t>
            </a:r>
          </a:p>
        </c:rich>
      </c:tx>
      <c:overlay val="1"/>
    </c:title>
    <c:autoTitleDeleted val="0"/>
    <c:plotArea>
      <c:layout>
        <c:manualLayout>
          <c:layoutTarget val="inner"/>
          <c:xMode val="edge"/>
          <c:yMode val="edge"/>
          <c:x val="0.13064536064767879"/>
          <c:y val="0.13947002631583752"/>
          <c:w val="0.8462393273692409"/>
          <c:h val="0.73116633492556893"/>
        </c:manualLayout>
      </c:layout>
      <c:barChart>
        <c:barDir val="col"/>
        <c:grouping val="clustered"/>
        <c:varyColors val="0"/>
        <c:ser>
          <c:idx val="1"/>
          <c:order val="0"/>
          <c:invertIfNegative val="0"/>
          <c:cat>
            <c:numRef>
              <c:f>'Gen Maint Bar Chart'!$A$23:$A$32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'Gen Maint Bar Chart'!$B$23:$B$32</c:f>
              <c:numCache>
                <c:formatCode>_(* #,##0_);_(* \(#,##0\);_(* "-"??_);_(@_)</c:formatCode>
                <c:ptCount val="10"/>
                <c:pt idx="0">
                  <c:v>53.874047600000004</c:v>
                </c:pt>
                <c:pt idx="1">
                  <c:v>63.5543792</c:v>
                </c:pt>
                <c:pt idx="2">
                  <c:v>64.573277759999996</c:v>
                </c:pt>
                <c:pt idx="3">
                  <c:v>71.839840449999997</c:v>
                </c:pt>
                <c:pt idx="4">
                  <c:v>76.14269607</c:v>
                </c:pt>
                <c:pt idx="5">
                  <c:v>70.744074060000003</c:v>
                </c:pt>
                <c:pt idx="6">
                  <c:v>83.337329420000003</c:v>
                </c:pt>
                <c:pt idx="7">
                  <c:v>87.276748189999992</c:v>
                </c:pt>
                <c:pt idx="8">
                  <c:v>87.646565680000009</c:v>
                </c:pt>
                <c:pt idx="9">
                  <c:v>76.334481890000006</c:v>
                </c:pt>
              </c:numCache>
            </c:numRef>
          </c:val>
          <c:extLst>
            <c:ext xmlns:c16="http://schemas.microsoft.com/office/drawing/2014/chart" uri="{C3380CC4-5D6E-409C-BE32-E72D297353CC}">
              <c16:uniqueId val="{00000000-56B1-45BC-80FC-ABD8E9B1AD04}"/>
            </c:ext>
          </c:extLst>
        </c:ser>
        <c:dLbls>
          <c:showLegendKey val="0"/>
          <c:showVal val="0"/>
          <c:showCatName val="0"/>
          <c:showSerName val="0"/>
          <c:showPercent val="0"/>
          <c:showBubbleSize val="0"/>
        </c:dLbls>
        <c:gapWidth val="150"/>
        <c:axId val="217253760"/>
        <c:axId val="217255296"/>
      </c:barChart>
      <c:catAx>
        <c:axId val="217253760"/>
        <c:scaling>
          <c:orientation val="minMax"/>
        </c:scaling>
        <c:delete val="0"/>
        <c:axPos val="b"/>
        <c:numFmt formatCode="General" sourceLinked="1"/>
        <c:majorTickMark val="out"/>
        <c:minorTickMark val="none"/>
        <c:tickLblPos val="nextTo"/>
        <c:txPr>
          <a:bodyPr/>
          <a:lstStyle/>
          <a:p>
            <a:pPr>
              <a:defRPr sz="1200" baseline="0"/>
            </a:pPr>
            <a:endParaRPr lang="en-US"/>
          </a:p>
        </c:txPr>
        <c:crossAx val="217255296"/>
        <c:crosses val="autoZero"/>
        <c:auto val="1"/>
        <c:lblAlgn val="ctr"/>
        <c:lblOffset val="100"/>
        <c:noMultiLvlLbl val="0"/>
      </c:catAx>
      <c:valAx>
        <c:axId val="217255296"/>
        <c:scaling>
          <c:orientation val="minMax"/>
          <c:max val="90"/>
          <c:min val="50"/>
        </c:scaling>
        <c:delete val="0"/>
        <c:axPos val="l"/>
        <c:majorGridlines/>
        <c:title>
          <c:tx>
            <c:rich>
              <a:bodyPr rot="-5400000" vert="horz"/>
              <a:lstStyle/>
              <a:p>
                <a:pPr>
                  <a:defRPr sz="1400" baseline="0"/>
                </a:pPr>
                <a:r>
                  <a:rPr lang="en-US" sz="1400" baseline="0"/>
                  <a:t> $ Millions</a:t>
                </a:r>
              </a:p>
            </c:rich>
          </c:tx>
          <c:layout>
            <c:manualLayout>
              <c:xMode val="edge"/>
              <c:yMode val="edge"/>
              <c:x val="2.2684443891427201E-2"/>
              <c:y val="0.44605514144795272"/>
            </c:manualLayout>
          </c:layout>
          <c:overlay val="0"/>
        </c:title>
        <c:numFmt formatCode="_(* #,##0_);_(* \(#,##0\);_(* &quot;-&quot;??_);_(@_)" sourceLinked="1"/>
        <c:majorTickMark val="out"/>
        <c:minorTickMark val="none"/>
        <c:tickLblPos val="nextTo"/>
        <c:txPr>
          <a:bodyPr/>
          <a:lstStyle/>
          <a:p>
            <a:pPr>
              <a:defRPr sz="1200" baseline="0"/>
            </a:pPr>
            <a:endParaRPr lang="en-US"/>
          </a:p>
        </c:txPr>
        <c:crossAx val="217253760"/>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357186</xdr:colOff>
      <xdr:row>12</xdr:row>
      <xdr:rowOff>138111</xdr:rowOff>
    </xdr:from>
    <xdr:to>
      <xdr:col>18</xdr:col>
      <xdr:colOff>304799</xdr:colOff>
      <xdr:row>36</xdr:row>
      <xdr:rowOff>85724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showGridLines="0" tabSelected="1" workbookViewId="0">
      <selection sqref="A1:H1"/>
    </sheetView>
  </sheetViews>
  <sheetFormatPr defaultRowHeight="12.75"/>
  <cols>
    <col min="1" max="1" width="2.85546875" customWidth="1"/>
    <col min="2" max="2" width="77.85546875" customWidth="1"/>
    <col min="3" max="3" width="3" customWidth="1"/>
    <col min="4" max="4" width="15.7109375" customWidth="1"/>
    <col min="5" max="5" width="2.42578125" customWidth="1"/>
    <col min="6" max="6" width="15.7109375" customWidth="1"/>
    <col min="7" max="7" width="2.28515625" customWidth="1"/>
    <col min="8" max="8" width="12.7109375" customWidth="1"/>
    <col min="15" max="15" width="9.42578125" bestFit="1" customWidth="1"/>
  </cols>
  <sheetData>
    <row r="1" spans="1:16" ht="15.75">
      <c r="A1" s="396" t="s">
        <v>0</v>
      </c>
      <c r="B1" s="397"/>
      <c r="C1" s="397"/>
      <c r="D1" s="397"/>
      <c r="E1" s="397"/>
      <c r="F1" s="397"/>
      <c r="G1" s="397"/>
      <c r="H1" s="398"/>
      <c r="I1" s="14"/>
      <c r="J1" s="14"/>
      <c r="K1" s="14"/>
      <c r="L1" s="14"/>
      <c r="M1" s="14"/>
      <c r="N1" s="14"/>
      <c r="O1" s="14"/>
      <c r="P1" s="14"/>
    </row>
    <row r="2" spans="1:16" ht="15.75">
      <c r="A2" s="399" t="s">
        <v>22</v>
      </c>
      <c r="B2" s="400"/>
      <c r="C2" s="400"/>
      <c r="D2" s="400"/>
      <c r="E2" s="400"/>
      <c r="F2" s="400"/>
      <c r="G2" s="400"/>
      <c r="H2" s="401"/>
      <c r="I2" s="14"/>
      <c r="J2" s="14"/>
      <c r="K2" s="14"/>
      <c r="L2" s="14"/>
      <c r="M2" s="14"/>
      <c r="N2" s="14"/>
      <c r="O2" s="14"/>
      <c r="P2" s="14"/>
    </row>
    <row r="3" spans="1:16" ht="15.75">
      <c r="A3" s="399" t="s">
        <v>414</v>
      </c>
      <c r="B3" s="400"/>
      <c r="C3" s="400"/>
      <c r="D3" s="400"/>
      <c r="E3" s="400"/>
      <c r="F3" s="400"/>
      <c r="G3" s="400"/>
      <c r="H3" s="401"/>
      <c r="I3" s="14"/>
      <c r="J3" s="14"/>
      <c r="K3" s="14"/>
      <c r="L3" s="14"/>
      <c r="M3" s="14"/>
      <c r="N3" s="14"/>
      <c r="O3" s="14"/>
      <c r="P3" s="14"/>
    </row>
    <row r="4" spans="1:16" ht="15.75">
      <c r="A4" s="399" t="s">
        <v>3</v>
      </c>
      <c r="B4" s="400"/>
      <c r="C4" s="400"/>
      <c r="D4" s="400"/>
      <c r="E4" s="400"/>
      <c r="F4" s="400"/>
      <c r="G4" s="400"/>
      <c r="H4" s="401"/>
      <c r="I4" s="14"/>
      <c r="J4" s="14"/>
      <c r="K4" s="14"/>
      <c r="L4" s="14"/>
      <c r="M4" s="14"/>
      <c r="N4" s="14"/>
      <c r="O4" s="14"/>
      <c r="P4" s="14"/>
    </row>
    <row r="5" spans="1:16" ht="15.75">
      <c r="A5" s="372"/>
      <c r="B5" s="289"/>
      <c r="C5" s="289"/>
      <c r="D5" s="289"/>
      <c r="E5" s="289"/>
      <c r="F5" s="289"/>
      <c r="G5" s="289"/>
      <c r="H5" s="373"/>
      <c r="I5" s="14"/>
      <c r="J5" s="14"/>
      <c r="K5" s="14"/>
      <c r="L5" s="14"/>
      <c r="M5" s="14"/>
      <c r="N5" s="289"/>
      <c r="O5" s="14"/>
      <c r="P5" s="14"/>
    </row>
    <row r="6" spans="1:16" ht="15.75">
      <c r="A6" s="372"/>
      <c r="B6" s="289"/>
      <c r="C6" s="289"/>
      <c r="D6" s="371" t="s">
        <v>24</v>
      </c>
      <c r="E6" s="371"/>
      <c r="F6" s="371"/>
      <c r="G6" s="289"/>
      <c r="H6" s="374" t="s">
        <v>24</v>
      </c>
      <c r="I6" s="14"/>
      <c r="J6" s="14"/>
      <c r="K6" s="14"/>
      <c r="L6" s="14"/>
      <c r="M6" s="14"/>
      <c r="N6" s="289"/>
      <c r="O6" s="14"/>
      <c r="P6" s="14"/>
    </row>
    <row r="7" spans="1:16" ht="15.75">
      <c r="A7" s="372"/>
      <c r="B7" s="289"/>
      <c r="C7" s="289"/>
      <c r="D7" s="371" t="s">
        <v>1</v>
      </c>
      <c r="E7" s="371"/>
      <c r="F7" s="371"/>
      <c r="G7" s="289"/>
      <c r="H7" s="374" t="s">
        <v>1</v>
      </c>
      <c r="I7" s="14"/>
      <c r="J7" s="14"/>
      <c r="K7" s="14"/>
      <c r="L7" s="14"/>
      <c r="M7" s="14"/>
      <c r="N7" s="289"/>
      <c r="O7" s="14"/>
      <c r="P7" s="14"/>
    </row>
    <row r="8" spans="1:16" ht="15.75">
      <c r="A8" s="372"/>
      <c r="B8" s="289"/>
      <c r="C8" s="289"/>
      <c r="D8" s="371" t="s">
        <v>23</v>
      </c>
      <c r="E8" s="371"/>
      <c r="F8" s="371" t="s">
        <v>25</v>
      </c>
      <c r="G8" s="289"/>
      <c r="H8" s="374" t="s">
        <v>27</v>
      </c>
      <c r="I8" s="14"/>
      <c r="J8" s="14"/>
      <c r="K8" s="14"/>
      <c r="L8" s="14"/>
      <c r="M8" s="14"/>
      <c r="N8" s="289"/>
      <c r="O8" s="14"/>
      <c r="P8" s="14"/>
    </row>
    <row r="9" spans="1:16" ht="15.75">
      <c r="A9" s="372"/>
      <c r="B9" s="289"/>
      <c r="C9" s="289"/>
      <c r="D9" s="17" t="s">
        <v>25</v>
      </c>
      <c r="E9" s="371"/>
      <c r="F9" s="17" t="s">
        <v>26</v>
      </c>
      <c r="G9" s="289"/>
      <c r="H9" s="375" t="s">
        <v>25</v>
      </c>
      <c r="I9" s="14"/>
      <c r="J9" s="14"/>
      <c r="K9" s="14"/>
      <c r="L9" s="14"/>
      <c r="M9" s="14"/>
      <c r="N9" s="289"/>
      <c r="O9" s="14"/>
      <c r="P9" s="14"/>
    </row>
    <row r="10" spans="1:16" ht="15.75">
      <c r="A10" s="372"/>
      <c r="B10" s="289"/>
      <c r="C10" s="289"/>
      <c r="D10" s="289"/>
      <c r="E10" s="289"/>
      <c r="F10" s="289"/>
      <c r="G10" s="289"/>
      <c r="H10" s="376"/>
      <c r="I10" s="14"/>
      <c r="J10" s="14"/>
      <c r="K10" s="14"/>
      <c r="L10" s="14"/>
      <c r="M10" s="14"/>
      <c r="N10" s="14"/>
      <c r="O10" s="14"/>
      <c r="P10" s="14"/>
    </row>
    <row r="11" spans="1:16" ht="15.75">
      <c r="A11" s="377" t="s">
        <v>21</v>
      </c>
      <c r="B11" s="289"/>
      <c r="C11" s="289"/>
      <c r="D11" s="289"/>
      <c r="E11" s="289"/>
      <c r="F11" s="289"/>
      <c r="G11" s="289"/>
      <c r="H11" s="378">
        <f>'1.30 - As Filed And Adj Rev Inc'!F27/1000000</f>
        <v>48.983936769999964</v>
      </c>
      <c r="I11" s="14"/>
      <c r="J11" s="14"/>
      <c r="K11" s="14"/>
      <c r="L11" s="14"/>
      <c r="M11" s="14"/>
      <c r="N11" s="14"/>
      <c r="O11" s="14"/>
      <c r="P11" s="14"/>
    </row>
    <row r="12" spans="1:16" ht="15.75">
      <c r="A12" s="377"/>
      <c r="B12" s="289" t="s">
        <v>720</v>
      </c>
      <c r="C12" s="289"/>
      <c r="D12" s="289"/>
      <c r="E12" s="289"/>
      <c r="F12" s="289"/>
      <c r="G12" s="289"/>
      <c r="H12" s="378">
        <v>-1</v>
      </c>
      <c r="I12" s="14"/>
      <c r="J12" s="14" t="s">
        <v>718</v>
      </c>
      <c r="K12" s="14"/>
      <c r="L12" s="14"/>
      <c r="M12" s="14"/>
      <c r="N12" s="14"/>
      <c r="O12" s="14"/>
      <c r="P12" s="14"/>
    </row>
    <row r="13" spans="1:16" ht="15.75">
      <c r="A13" s="377"/>
      <c r="B13" s="379" t="s">
        <v>721</v>
      </c>
      <c r="C13" s="289"/>
      <c r="D13" s="289"/>
      <c r="E13" s="289"/>
      <c r="F13" s="289"/>
      <c r="G13" s="289"/>
      <c r="H13" s="378">
        <f>H16-H11-H12</f>
        <v>-4.9839367699999642</v>
      </c>
      <c r="I13" s="14"/>
      <c r="J13" s="14" t="s">
        <v>718</v>
      </c>
      <c r="K13" s="14"/>
      <c r="L13" s="14"/>
      <c r="M13" s="14"/>
      <c r="N13" s="14"/>
      <c r="O13" s="14"/>
      <c r="P13" s="14"/>
    </row>
    <row r="14" spans="1:16" ht="15.75">
      <c r="A14" s="377"/>
      <c r="B14" s="379" t="s">
        <v>719</v>
      </c>
      <c r="C14" s="289"/>
      <c r="D14" s="289"/>
      <c r="E14" s="289"/>
      <c r="F14" s="289"/>
      <c r="G14" s="289"/>
      <c r="H14" s="380"/>
      <c r="I14" s="14"/>
      <c r="J14" s="14"/>
      <c r="K14" s="14"/>
      <c r="L14" s="14"/>
      <c r="M14" s="14"/>
      <c r="N14" s="14"/>
      <c r="O14" s="14"/>
      <c r="P14" s="14"/>
    </row>
    <row r="15" spans="1:16" ht="9" customHeight="1">
      <c r="A15" s="377"/>
      <c r="B15" s="379"/>
      <c r="C15" s="289"/>
      <c r="D15" s="289"/>
      <c r="E15" s="289"/>
      <c r="F15" s="289"/>
      <c r="G15" s="289"/>
      <c r="H15" s="378"/>
      <c r="I15" s="14"/>
      <c r="J15" s="14"/>
      <c r="K15" s="14"/>
      <c r="L15" s="14"/>
      <c r="M15" s="14"/>
      <c r="N15" s="14"/>
      <c r="O15" s="14"/>
      <c r="P15" s="14"/>
    </row>
    <row r="16" spans="1:16" ht="15.75">
      <c r="A16" s="377" t="s">
        <v>20</v>
      </c>
      <c r="B16" s="381"/>
      <c r="C16" s="381"/>
      <c r="D16" s="381"/>
      <c r="E16" s="381"/>
      <c r="F16" s="381"/>
      <c r="G16" s="381"/>
      <c r="H16" s="378">
        <v>43</v>
      </c>
      <c r="I16" s="14"/>
      <c r="J16" s="14"/>
      <c r="K16" s="14"/>
      <c r="L16" s="14"/>
      <c r="M16" s="14"/>
      <c r="N16" s="14"/>
      <c r="O16" s="14"/>
      <c r="P16" s="14"/>
    </row>
    <row r="17" spans="1:16" ht="15.75">
      <c r="A17" s="377"/>
      <c r="B17" s="289"/>
      <c r="C17" s="289"/>
      <c r="D17" s="289"/>
      <c r="E17" s="289"/>
      <c r="F17" s="289"/>
      <c r="G17" s="289"/>
      <c r="H17" s="378"/>
      <c r="I17" s="14"/>
      <c r="J17" s="14"/>
      <c r="K17" s="14"/>
      <c r="L17" s="14"/>
      <c r="M17" s="14"/>
      <c r="N17" s="14"/>
      <c r="O17" s="14"/>
      <c r="P17" s="14"/>
    </row>
    <row r="18" spans="1:16" ht="15.75">
      <c r="A18" s="377" t="s">
        <v>415</v>
      </c>
      <c r="B18" s="289"/>
      <c r="C18" s="289"/>
      <c r="D18" s="289"/>
      <c r="E18" s="289"/>
      <c r="F18" s="289"/>
      <c r="G18" s="289"/>
      <c r="H18" s="382"/>
      <c r="I18" s="14"/>
      <c r="J18" s="14"/>
      <c r="K18" s="14"/>
      <c r="L18" s="14"/>
      <c r="M18" s="14"/>
      <c r="O18" s="14"/>
      <c r="P18" s="14"/>
    </row>
    <row r="19" spans="1:16" ht="15.75">
      <c r="A19" s="383"/>
      <c r="B19" s="289" t="s">
        <v>650</v>
      </c>
      <c r="C19" s="289"/>
      <c r="D19" s="333">
        <f>-'Capacity Revenues'!F17/1000000</f>
        <v>-4.5351239999999997</v>
      </c>
      <c r="E19" s="289"/>
      <c r="F19" s="384">
        <f>1+'1.30 - As Filed And Adj Rev Inc'!$J$23</f>
        <v>1.002</v>
      </c>
      <c r="G19" s="384"/>
      <c r="H19" s="385">
        <f t="shared" ref="H19:H33" si="0">D19*F19</f>
        <v>-4.5441942480000002</v>
      </c>
      <c r="I19" s="14"/>
      <c r="J19" s="14" t="s">
        <v>2</v>
      </c>
      <c r="K19" s="14"/>
      <c r="L19" s="14"/>
      <c r="M19" s="14"/>
      <c r="O19" s="14"/>
      <c r="P19" s="14"/>
    </row>
    <row r="20" spans="1:16" ht="15.75">
      <c r="A20" s="383"/>
      <c r="B20" s="384" t="s">
        <v>759</v>
      </c>
      <c r="C20" s="384"/>
      <c r="D20" s="16">
        <f>-'Net Leased Property Income'!F21/1000000</f>
        <v>2.062252543948861</v>
      </c>
      <c r="E20" s="384"/>
      <c r="F20" s="384">
        <f>1+'1.30 - As Filed And Adj Rev Inc'!$J$23</f>
        <v>1.002</v>
      </c>
      <c r="G20" s="384"/>
      <c r="H20" s="385">
        <f t="shared" si="0"/>
        <v>2.0663770490367588</v>
      </c>
      <c r="I20" s="283"/>
      <c r="J20" s="283" t="s">
        <v>2</v>
      </c>
      <c r="K20" s="283"/>
      <c r="L20" s="283"/>
      <c r="M20" s="283"/>
      <c r="O20" s="14"/>
      <c r="P20" s="14"/>
    </row>
    <row r="21" spans="1:16" ht="15.75">
      <c r="A21" s="383"/>
      <c r="B21" s="384" t="s">
        <v>744</v>
      </c>
      <c r="C21" s="384"/>
      <c r="D21" s="16">
        <f>'Payroll &amp; PR Expenses'!J19</f>
        <v>-2.6322721499999986</v>
      </c>
      <c r="E21" s="289"/>
      <c r="F21" s="384">
        <f>1+'1.30 - As Filed And Adj Rev Inc'!$J$23</f>
        <v>1.002</v>
      </c>
      <c r="G21" s="384"/>
      <c r="H21" s="385">
        <f t="shared" si="0"/>
        <v>-2.6375366942999987</v>
      </c>
      <c r="I21" s="14"/>
      <c r="J21" s="14" t="s">
        <v>2</v>
      </c>
      <c r="K21" s="14"/>
      <c r="L21" s="14"/>
      <c r="M21" s="14"/>
      <c r="O21" s="14"/>
      <c r="P21" s="14"/>
    </row>
    <row r="22" spans="1:16" ht="15.75">
      <c r="A22" s="383"/>
      <c r="B22" s="384" t="s">
        <v>745</v>
      </c>
      <c r="C22" s="384"/>
      <c r="D22" s="16">
        <f>'Payroll &amp; PR Expenses'!J31</f>
        <v>-0.24875202700000032</v>
      </c>
      <c r="E22" s="289"/>
      <c r="F22" s="384">
        <f>1+'1.30 - As Filed And Adj Rev Inc'!$J$23</f>
        <v>1.002</v>
      </c>
      <c r="G22" s="384"/>
      <c r="H22" s="385">
        <f t="shared" si="0"/>
        <v>-0.24924953105400033</v>
      </c>
      <c r="I22" s="14"/>
      <c r="J22" s="14" t="s">
        <v>2</v>
      </c>
      <c r="K22" s="14"/>
      <c r="L22" s="14"/>
      <c r="M22" s="14"/>
      <c r="O22" s="14"/>
      <c r="P22" s="14"/>
    </row>
    <row r="23" spans="1:16" ht="15.75">
      <c r="A23" s="383"/>
      <c r="B23" s="384" t="s">
        <v>681</v>
      </c>
      <c r="C23" s="384"/>
      <c r="D23" s="16">
        <f>OPEB!I17/1000000</f>
        <v>-1.032518</v>
      </c>
      <c r="E23" s="384"/>
      <c r="F23" s="384">
        <f>1+'1.30 - As Filed And Adj Rev Inc'!$J$23</f>
        <v>1.002</v>
      </c>
      <c r="G23" s="384"/>
      <c r="H23" s="385">
        <f t="shared" si="0"/>
        <v>-1.0345830360000001</v>
      </c>
      <c r="I23" s="14"/>
      <c r="J23" s="14" t="s">
        <v>2</v>
      </c>
      <c r="K23" s="14"/>
      <c r="L23" s="14"/>
      <c r="M23" s="14"/>
      <c r="O23" s="14"/>
      <c r="P23" s="14"/>
    </row>
    <row r="24" spans="1:16" ht="15.75">
      <c r="A24" s="383"/>
      <c r="B24" s="384" t="s">
        <v>692</v>
      </c>
      <c r="C24" s="384"/>
      <c r="D24" s="16">
        <f>'PP Exp Due to Forced Outages'!E64/1000000</f>
        <v>-1.924307</v>
      </c>
      <c r="E24" s="289"/>
      <c r="F24" s="384">
        <f>1+'1.30 - As Filed And Adj Rev Inc'!$J$23</f>
        <v>1.002</v>
      </c>
      <c r="G24" s="384"/>
      <c r="H24" s="385">
        <f t="shared" si="0"/>
        <v>-1.928155614</v>
      </c>
      <c r="I24" s="14"/>
      <c r="J24" s="14" t="s">
        <v>2</v>
      </c>
      <c r="K24" s="14"/>
      <c r="L24" s="14"/>
      <c r="M24" s="14"/>
      <c r="O24" s="14"/>
      <c r="P24" s="14"/>
    </row>
    <row r="25" spans="1:16" ht="15.75">
      <c r="A25" s="383"/>
      <c r="B25" s="384" t="s">
        <v>758</v>
      </c>
      <c r="C25" s="384"/>
      <c r="D25" s="16">
        <f>'Generation Outage Exp Normal'!E23</f>
        <v>-6.5787262000000055</v>
      </c>
      <c r="E25" s="289"/>
      <c r="F25" s="384">
        <f>1+'1.30 - As Filed And Adj Rev Inc'!$J$23</f>
        <v>1.002</v>
      </c>
      <c r="G25" s="384"/>
      <c r="H25" s="385">
        <f t="shared" si="0"/>
        <v>-6.5918836524000053</v>
      </c>
      <c r="I25" s="14"/>
      <c r="J25" s="14" t="s">
        <v>2</v>
      </c>
      <c r="K25" s="14"/>
      <c r="L25" s="14"/>
      <c r="M25" s="14"/>
      <c r="O25" s="14"/>
      <c r="P25" s="14"/>
    </row>
    <row r="26" spans="1:16" ht="15.75">
      <c r="A26" s="383"/>
      <c r="B26" s="384" t="s">
        <v>752</v>
      </c>
      <c r="C26" s="384"/>
      <c r="D26" s="16">
        <f>'Depr Exp-Adj 1 '!O259/1000000</f>
        <v>-12.062807911794692</v>
      </c>
      <c r="E26" s="384"/>
      <c r="F26" s="384">
        <f>1+'1.30 - As Filed And Adj Rev Inc'!$J$23</f>
        <v>1.002</v>
      </c>
      <c r="G26" s="384"/>
      <c r="H26" s="385">
        <f t="shared" si="0"/>
        <v>-12.086933527618282</v>
      </c>
      <c r="I26" s="14"/>
      <c r="J26" s="14" t="s">
        <v>2</v>
      </c>
      <c r="K26" s="14"/>
      <c r="L26" s="14"/>
      <c r="M26" s="14"/>
      <c r="O26" s="14"/>
      <c r="P26" s="14"/>
    </row>
    <row r="27" spans="1:16" ht="15.75">
      <c r="A27" s="383"/>
      <c r="B27" s="384" t="s">
        <v>751</v>
      </c>
      <c r="C27" s="384"/>
      <c r="D27" s="16">
        <f>'Depr Exp-Adj 2'!O259/1000000</f>
        <v>-2.1181683019796758</v>
      </c>
      <c r="E27" s="384"/>
      <c r="F27" s="384">
        <f>1+'1.30 - As Filed And Adj Rev Inc'!$J$23</f>
        <v>1.002</v>
      </c>
      <c r="G27" s="384"/>
      <c r="H27" s="385">
        <f t="shared" si="0"/>
        <v>-2.1224046385836353</v>
      </c>
      <c r="I27" s="14"/>
      <c r="J27" s="14" t="s">
        <v>2</v>
      </c>
      <c r="K27" s="14"/>
      <c r="L27" s="14"/>
      <c r="M27" s="14"/>
      <c r="O27" s="14"/>
      <c r="P27" s="14"/>
    </row>
    <row r="28" spans="1:16" ht="15.75">
      <c r="A28" s="383"/>
      <c r="B28" s="384" t="s">
        <v>753</v>
      </c>
      <c r="C28" s="384"/>
      <c r="D28" s="16">
        <f>'Depr Exp-Adj 3'!O259/1000000</f>
        <v>-0.71943294254659118</v>
      </c>
      <c r="E28" s="384"/>
      <c r="F28" s="384">
        <f>1+'1.30 - As Filed And Adj Rev Inc'!$J$23</f>
        <v>1.002</v>
      </c>
      <c r="G28" s="384"/>
      <c r="H28" s="385">
        <f t="shared" si="0"/>
        <v>-0.72087180843168441</v>
      </c>
      <c r="I28" s="14"/>
      <c r="J28" s="14" t="s">
        <v>2</v>
      </c>
      <c r="K28" s="14"/>
      <c r="L28" s="14"/>
      <c r="M28" s="14"/>
      <c r="O28" s="14"/>
      <c r="P28" s="14"/>
    </row>
    <row r="29" spans="1:16" ht="15.75">
      <c r="A29" s="383"/>
      <c r="B29" s="384" t="s">
        <v>689</v>
      </c>
      <c r="C29" s="384"/>
      <c r="D29" s="16">
        <f>-'Depr Exp-Adj  General Res Surp'!F21/1000000</f>
        <v>-1.9103037</v>
      </c>
      <c r="E29" s="384"/>
      <c r="F29" s="384">
        <f>1+'1.30 - As Filed And Adj Rev Inc'!$J$23</f>
        <v>1.002</v>
      </c>
      <c r="G29" s="384"/>
      <c r="H29" s="385">
        <f t="shared" si="0"/>
        <v>-1.9141243074000001</v>
      </c>
      <c r="I29" s="14"/>
      <c r="J29" s="14" t="s">
        <v>2</v>
      </c>
      <c r="K29" s="14"/>
      <c r="L29" s="14"/>
      <c r="M29" s="14"/>
      <c r="O29" s="14"/>
      <c r="P29" s="14"/>
    </row>
    <row r="30" spans="1:16" ht="15.75">
      <c r="A30" s="383"/>
      <c r="B30" s="384" t="s">
        <v>757</v>
      </c>
      <c r="C30" s="384"/>
      <c r="D30" s="16">
        <f>'Smith 1 Reg Asset'!I36/1000000</f>
        <v>-3.4866959999999998</v>
      </c>
      <c r="E30" s="384"/>
      <c r="F30" s="384">
        <f>1+'1.30 - As Filed And Adj Rev Inc'!$J$23</f>
        <v>1.002</v>
      </c>
      <c r="G30" s="384"/>
      <c r="H30" s="385">
        <f t="shared" si="0"/>
        <v>-3.4936693919999997</v>
      </c>
      <c r="I30" s="14"/>
      <c r="J30" s="14" t="s">
        <v>2</v>
      </c>
      <c r="K30" s="14"/>
      <c r="L30" s="14"/>
      <c r="M30" s="14"/>
      <c r="O30" s="14"/>
      <c r="P30" s="14"/>
    </row>
    <row r="31" spans="1:16" ht="15.75">
      <c r="A31" s="383"/>
      <c r="B31" s="384" t="s">
        <v>787</v>
      </c>
      <c r="C31" s="384"/>
      <c r="D31" s="16">
        <f>'Interest Expense ES Removal'!I21/1000000</f>
        <v>-8.5335347373397621</v>
      </c>
      <c r="E31" s="384"/>
      <c r="F31" s="384">
        <f>1+'1.30 - As Filed And Adj Rev Inc'!$J$23</f>
        <v>1.002</v>
      </c>
      <c r="G31" s="384"/>
      <c r="H31" s="385">
        <f t="shared" si="0"/>
        <v>-8.5506018068144414</v>
      </c>
      <c r="I31" s="14"/>
      <c r="J31" s="14" t="s">
        <v>2</v>
      </c>
      <c r="K31" s="14"/>
      <c r="L31" s="14"/>
      <c r="M31" s="14"/>
      <c r="N31" s="14"/>
      <c r="O31" s="14"/>
      <c r="P31" s="14"/>
    </row>
    <row r="32" spans="1:16" ht="15.75">
      <c r="A32" s="383"/>
      <c r="B32" s="384" t="s">
        <v>784</v>
      </c>
      <c r="C32" s="384"/>
      <c r="D32" s="16">
        <f>'Interest Exp - ST Investments'!I17/1000000</f>
        <v>-6.2394378076611003</v>
      </c>
      <c r="E32" s="384"/>
      <c r="F32" s="384">
        <f>1+'1.30 - As Filed And Adj Rev Inc'!$J$23</f>
        <v>1.002</v>
      </c>
      <c r="G32" s="384"/>
      <c r="H32" s="385">
        <f t="shared" si="0"/>
        <v>-6.2519166832764226</v>
      </c>
      <c r="I32" s="14"/>
      <c r="J32" s="14" t="s">
        <v>2</v>
      </c>
      <c r="K32" s="14"/>
      <c r="L32" s="14"/>
      <c r="M32" s="14"/>
      <c r="N32" s="14"/>
      <c r="O32" s="14"/>
      <c r="P32" s="14"/>
    </row>
    <row r="33" spans="1:28" ht="15.75">
      <c r="A33" s="383"/>
      <c r="B33" s="384" t="s">
        <v>754</v>
      </c>
      <c r="C33" s="384"/>
      <c r="D33" s="16">
        <f>('1.30 - As Filed And Adj Rev Inc'!J10*(1.3-1.5))/1000000</f>
        <v>-11.541735661333217</v>
      </c>
      <c r="E33" s="384"/>
      <c r="F33" s="384">
        <f>1+'1.30 - As Filed And Adj Rev Inc'!$J$23</f>
        <v>1.002</v>
      </c>
      <c r="G33" s="384"/>
      <c r="H33" s="386">
        <f t="shared" si="0"/>
        <v>-11.564819132655883</v>
      </c>
      <c r="I33" s="14"/>
      <c r="J33" s="14" t="s">
        <v>2</v>
      </c>
      <c r="K33" s="14"/>
      <c r="L33" s="14"/>
      <c r="M33" s="14"/>
      <c r="N33" s="14"/>
      <c r="O33" s="14"/>
      <c r="P33" s="14"/>
      <c r="Q33" s="338"/>
      <c r="R33" s="338"/>
      <c r="S33" s="354"/>
      <c r="T33" s="338"/>
      <c r="U33" s="338"/>
      <c r="V33" s="338"/>
      <c r="W33" s="338"/>
      <c r="X33" s="338"/>
      <c r="Y33" s="338"/>
      <c r="Z33" s="338"/>
      <c r="AA33" s="338"/>
      <c r="AB33" s="338"/>
    </row>
    <row r="34" spans="1:28" ht="9" customHeight="1">
      <c r="A34" s="372"/>
      <c r="B34" s="384"/>
      <c r="C34" s="384"/>
      <c r="D34" s="384"/>
      <c r="E34" s="384"/>
      <c r="F34" s="384"/>
      <c r="G34" s="384"/>
      <c r="H34" s="385"/>
      <c r="I34" s="14"/>
      <c r="J34" s="14"/>
      <c r="K34" s="14"/>
      <c r="L34" s="14"/>
      <c r="M34" s="14"/>
      <c r="N34" s="14"/>
      <c r="O34" s="14"/>
      <c r="P34" s="14"/>
      <c r="Q34" s="338"/>
      <c r="R34" s="338"/>
      <c r="S34" s="14"/>
      <c r="T34" s="338"/>
      <c r="U34" s="338"/>
      <c r="V34" s="338"/>
      <c r="W34" s="338"/>
      <c r="X34" s="338"/>
      <c r="Y34" s="338"/>
      <c r="Z34" s="338"/>
      <c r="AA34" s="338"/>
      <c r="AB34" s="338"/>
    </row>
    <row r="35" spans="1:28" ht="16.5" thickBot="1">
      <c r="A35" s="377" t="s">
        <v>655</v>
      </c>
      <c r="B35" s="384"/>
      <c r="C35" s="384"/>
      <c r="D35" s="384"/>
      <c r="E35" s="384"/>
      <c r="F35" s="384"/>
      <c r="G35" s="384"/>
      <c r="H35" s="387">
        <f>SUM(H19:H33)</f>
        <v>-61.624567023497598</v>
      </c>
      <c r="I35" s="14"/>
      <c r="J35" s="14"/>
      <c r="K35" s="14"/>
      <c r="L35" s="14"/>
      <c r="M35" s="14"/>
      <c r="N35" s="14"/>
      <c r="O35" s="14"/>
      <c r="P35" s="14"/>
      <c r="Q35" s="338"/>
      <c r="R35" s="338"/>
      <c r="S35" s="15"/>
      <c r="T35" s="338"/>
      <c r="U35" s="338"/>
      <c r="V35" s="338"/>
      <c r="W35" s="338"/>
      <c r="X35" s="338"/>
      <c r="Y35" s="338"/>
      <c r="Z35" s="338"/>
      <c r="AA35" s="338"/>
      <c r="AB35" s="338"/>
    </row>
    <row r="36" spans="1:28" ht="9" customHeight="1" thickTop="1">
      <c r="A36" s="372"/>
      <c r="B36" s="384"/>
      <c r="C36" s="384"/>
      <c r="D36" s="384"/>
      <c r="E36" s="384"/>
      <c r="F36" s="384"/>
      <c r="G36" s="384"/>
      <c r="H36" s="388"/>
      <c r="I36" s="14"/>
      <c r="J36" s="14"/>
      <c r="K36" s="14"/>
      <c r="L36" s="14"/>
      <c r="M36" s="14"/>
      <c r="N36" s="14"/>
      <c r="O36" s="14"/>
      <c r="P36" s="14"/>
      <c r="Q36" s="338"/>
      <c r="R36" s="338"/>
      <c r="S36" s="14"/>
      <c r="T36" s="338"/>
      <c r="U36" s="338"/>
      <c r="V36" s="338"/>
      <c r="W36" s="338"/>
      <c r="X36" s="338"/>
      <c r="Y36" s="338"/>
      <c r="Z36" s="338"/>
      <c r="AA36" s="338"/>
      <c r="AB36" s="338"/>
    </row>
    <row r="37" spans="1:28" ht="16.5" thickBot="1">
      <c r="A37" s="389" t="s">
        <v>785</v>
      </c>
      <c r="B37" s="384"/>
      <c r="C37" s="384"/>
      <c r="D37" s="384"/>
      <c r="E37" s="384"/>
      <c r="F37" s="384"/>
      <c r="G37" s="384"/>
      <c r="H37" s="390">
        <f>H16+H35</f>
        <v>-18.624567023497598</v>
      </c>
      <c r="I37" s="14"/>
      <c r="J37" s="14"/>
      <c r="K37" s="14"/>
      <c r="L37" s="14"/>
      <c r="M37" s="14"/>
      <c r="N37" s="14"/>
      <c r="O37" s="14"/>
      <c r="P37" s="14"/>
    </row>
    <row r="38" spans="1:28" ht="4.5" customHeight="1" thickTop="1" thickBot="1">
      <c r="A38" s="391"/>
      <c r="B38" s="392"/>
      <c r="C38" s="392"/>
      <c r="D38" s="392"/>
      <c r="E38" s="392"/>
      <c r="F38" s="392"/>
      <c r="G38" s="392"/>
      <c r="H38" s="393"/>
      <c r="I38" s="14"/>
      <c r="J38" s="14"/>
      <c r="K38" s="14"/>
      <c r="L38" s="14"/>
      <c r="M38" s="14"/>
      <c r="N38" s="14"/>
      <c r="O38" s="14"/>
      <c r="P38" s="14"/>
    </row>
    <row r="39" spans="1:28" ht="15.75">
      <c r="A39" s="14"/>
      <c r="B39" s="14"/>
      <c r="C39" s="14"/>
      <c r="D39" s="14"/>
      <c r="E39" s="14"/>
      <c r="F39" s="14"/>
      <c r="G39" s="14"/>
      <c r="H39" s="14"/>
      <c r="I39" s="14"/>
      <c r="J39" s="14"/>
      <c r="K39" s="14"/>
      <c r="L39" s="14"/>
      <c r="M39" s="14"/>
      <c r="N39" s="14"/>
      <c r="O39" s="14"/>
      <c r="P39" s="14"/>
    </row>
    <row r="40" spans="1:28" ht="15.75">
      <c r="A40" s="14"/>
      <c r="B40" s="14"/>
      <c r="C40" s="14"/>
      <c r="D40" s="14"/>
      <c r="E40" s="14"/>
      <c r="F40" s="14"/>
      <c r="G40" s="14"/>
      <c r="H40" s="14"/>
      <c r="I40" s="14"/>
      <c r="J40" s="14"/>
      <c r="K40" s="14"/>
      <c r="L40" s="14"/>
      <c r="M40" s="14"/>
      <c r="N40" s="14"/>
      <c r="O40" s="14"/>
      <c r="P40" s="14"/>
    </row>
  </sheetData>
  <mergeCells count="4">
    <mergeCell ref="A1:H1"/>
    <mergeCell ref="A2:H2"/>
    <mergeCell ref="A3:H3"/>
    <mergeCell ref="A4:H4"/>
  </mergeCells>
  <phoneticPr fontId="5" type="noConversion"/>
  <pageMargins left="0.88" right="0.75" top="1" bottom="1" header="0.5" footer="0.5"/>
  <pageSetup scale="8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0"/>
  <sheetViews>
    <sheetView topLeftCell="C229" zoomScale="80" zoomScaleNormal="80" workbookViewId="0">
      <selection activeCell="K266" sqref="K266"/>
    </sheetView>
  </sheetViews>
  <sheetFormatPr defaultColWidth="12.5703125" defaultRowHeight="15"/>
  <cols>
    <col min="1" max="1" width="10" style="18" customWidth="1"/>
    <col min="2" max="2" width="77.7109375" style="18" customWidth="1"/>
    <col min="3" max="4" width="24.140625" style="18" customWidth="1"/>
    <col min="5" max="5" width="24.140625" style="20" customWidth="1"/>
    <col min="6" max="6" width="17.140625" style="18" customWidth="1"/>
    <col min="7" max="7" width="17.7109375" style="18" customWidth="1"/>
    <col min="8" max="9" width="24.140625" style="18" customWidth="1"/>
    <col min="10" max="10" width="12.5703125" style="18"/>
    <col min="11" max="11" width="18.28515625" style="18" customWidth="1"/>
    <col min="12" max="12" width="2.42578125" style="18" customWidth="1"/>
    <col min="13" max="14" width="23" style="18" customWidth="1"/>
    <col min="15" max="15" width="24" style="18" customWidth="1"/>
    <col min="16" max="16384" width="12.5703125" style="18"/>
  </cols>
  <sheetData>
    <row r="1" spans="1:17">
      <c r="B1" s="19" t="s">
        <v>28</v>
      </c>
      <c r="K1" s="126"/>
      <c r="L1" s="126"/>
      <c r="M1" s="126"/>
      <c r="N1" s="126"/>
      <c r="O1" s="126"/>
    </row>
    <row r="2" spans="1:17" ht="15.75">
      <c r="A2" s="21"/>
      <c r="B2" s="22"/>
      <c r="C2" s="22"/>
      <c r="D2" s="22"/>
      <c r="E2" s="236" t="s">
        <v>221</v>
      </c>
      <c r="F2" s="235" t="s">
        <v>220</v>
      </c>
      <c r="H2" s="125" t="s">
        <v>147</v>
      </c>
      <c r="I2" s="125" t="s">
        <v>147</v>
      </c>
      <c r="K2" s="127" t="s">
        <v>222</v>
      </c>
      <c r="L2" s="126"/>
      <c r="M2" s="128" t="s">
        <v>644</v>
      </c>
      <c r="N2" s="128" t="s">
        <v>644</v>
      </c>
      <c r="O2" s="128" t="s">
        <v>644</v>
      </c>
    </row>
    <row r="3" spans="1:17" ht="15.75">
      <c r="A3" s="23"/>
      <c r="B3" s="24"/>
      <c r="C3" s="25" t="s">
        <v>29</v>
      </c>
      <c r="D3" s="25" t="s">
        <v>30</v>
      </c>
      <c r="E3" s="26" t="s">
        <v>31</v>
      </c>
      <c r="F3" s="213" t="s">
        <v>31</v>
      </c>
      <c r="G3" s="26"/>
      <c r="H3" s="25" t="s">
        <v>31</v>
      </c>
      <c r="I3" s="25" t="s">
        <v>31</v>
      </c>
      <c r="K3" s="128" t="s">
        <v>644</v>
      </c>
      <c r="L3" s="126"/>
      <c r="M3" s="128" t="s">
        <v>31</v>
      </c>
      <c r="N3" s="128" t="s">
        <v>31</v>
      </c>
      <c r="O3" s="128" t="s">
        <v>31</v>
      </c>
    </row>
    <row r="4" spans="1:17" ht="15.75">
      <c r="A4" s="23"/>
      <c r="B4" s="28"/>
      <c r="C4" s="25" t="s">
        <v>32</v>
      </c>
      <c r="D4" s="25" t="s">
        <v>33</v>
      </c>
      <c r="E4" s="26" t="s">
        <v>34</v>
      </c>
      <c r="F4" s="213" t="s">
        <v>34</v>
      </c>
      <c r="G4" s="26" t="s">
        <v>35</v>
      </c>
      <c r="H4" s="25" t="s">
        <v>34</v>
      </c>
      <c r="I4" s="25" t="s">
        <v>34</v>
      </c>
      <c r="K4" s="129" t="s">
        <v>35</v>
      </c>
      <c r="L4" s="126"/>
      <c r="M4" s="128" t="s">
        <v>34</v>
      </c>
      <c r="N4" s="128" t="s">
        <v>34</v>
      </c>
      <c r="O4" s="128" t="s">
        <v>34</v>
      </c>
      <c r="P4" s="241"/>
      <c r="Q4" s="241" t="s">
        <v>224</v>
      </c>
    </row>
    <row r="5" spans="1:17">
      <c r="A5" s="29"/>
      <c r="B5" s="30" t="s">
        <v>36</v>
      </c>
      <c r="C5" s="31" t="s">
        <v>37</v>
      </c>
      <c r="D5" s="31" t="s">
        <v>38</v>
      </c>
      <c r="E5" s="32" t="s">
        <v>39</v>
      </c>
      <c r="F5" s="214" t="s">
        <v>39</v>
      </c>
      <c r="G5" s="33" t="s">
        <v>40</v>
      </c>
      <c r="H5" s="30" t="s">
        <v>41</v>
      </c>
      <c r="I5" s="30" t="s">
        <v>42</v>
      </c>
      <c r="K5" s="130" t="s">
        <v>40</v>
      </c>
      <c r="L5" s="126"/>
      <c r="M5" s="131" t="s">
        <v>41</v>
      </c>
      <c r="N5" s="131" t="s">
        <v>39</v>
      </c>
      <c r="O5" s="131" t="s">
        <v>42</v>
      </c>
      <c r="P5" s="241"/>
      <c r="Q5" s="241" t="s">
        <v>225</v>
      </c>
    </row>
    <row r="6" spans="1:17" ht="15.75">
      <c r="A6" s="23"/>
      <c r="B6" s="34"/>
      <c r="C6" s="35"/>
      <c r="D6" s="35"/>
      <c r="E6" s="36"/>
      <c r="F6" s="215"/>
      <c r="G6" s="35"/>
      <c r="H6" s="23"/>
      <c r="I6" s="23"/>
      <c r="K6" s="132"/>
      <c r="L6" s="126"/>
      <c r="M6" s="133"/>
      <c r="N6" s="133"/>
      <c r="O6" s="133"/>
      <c r="P6" s="241"/>
      <c r="Q6" s="241"/>
    </row>
    <row r="7" spans="1:17" ht="15.75">
      <c r="A7" s="37"/>
      <c r="B7" s="38" t="s">
        <v>43</v>
      </c>
      <c r="C7" s="35"/>
      <c r="D7" s="35"/>
      <c r="E7" s="36"/>
      <c r="F7" s="215"/>
      <c r="G7" s="35"/>
      <c r="H7" s="23"/>
      <c r="I7" s="23"/>
      <c r="K7" s="132"/>
      <c r="L7" s="126"/>
      <c r="M7" s="133"/>
      <c r="N7" s="133"/>
      <c r="O7" s="133"/>
      <c r="P7" s="241"/>
      <c r="Q7" s="241"/>
    </row>
    <row r="8" spans="1:17" ht="15.75">
      <c r="A8" s="37"/>
      <c r="B8" s="39"/>
      <c r="C8" s="35"/>
      <c r="D8" s="40"/>
      <c r="E8" s="36"/>
      <c r="F8" s="215"/>
      <c r="G8" s="35"/>
      <c r="H8" s="23"/>
      <c r="I8" s="23"/>
      <c r="K8" s="132"/>
      <c r="L8" s="126"/>
      <c r="M8" s="133"/>
      <c r="N8" s="133"/>
      <c r="O8" s="133"/>
      <c r="P8" s="241"/>
      <c r="Q8" s="241"/>
    </row>
    <row r="9" spans="1:17">
      <c r="A9" s="41">
        <v>303</v>
      </c>
      <c r="B9" s="50" t="s">
        <v>44</v>
      </c>
      <c r="C9" s="60">
        <v>2333311.0499999998</v>
      </c>
      <c r="D9" s="61">
        <v>0</v>
      </c>
      <c r="E9" s="62">
        <v>266398</v>
      </c>
      <c r="F9" s="216">
        <v>266398</v>
      </c>
      <c r="G9" s="58">
        <v>11.42</v>
      </c>
      <c r="H9" s="63">
        <f>ROUND(D9*(G9/100),0)</f>
        <v>0</v>
      </c>
      <c r="I9" s="63">
        <f>E9-H9</f>
        <v>266398</v>
      </c>
      <c r="J9" s="19"/>
      <c r="K9" s="138">
        <f>ROUND('Adjust Depr Table 1'!S15,2)</f>
        <v>11.42</v>
      </c>
      <c r="L9" s="143"/>
      <c r="M9" s="140">
        <f>ROUND(D9*(K9/100),0)</f>
        <v>0</v>
      </c>
      <c r="N9" s="140">
        <f>'Adjust Depr Table 1'!Q15</f>
        <v>266398</v>
      </c>
      <c r="O9" s="140">
        <f>N9-M9</f>
        <v>266398</v>
      </c>
      <c r="P9" s="241"/>
      <c r="Q9" s="241" t="str">
        <f>IF(C9-D9&lt;1,0,"No")</f>
        <v>No</v>
      </c>
    </row>
    <row r="10" spans="1:17" ht="15.75">
      <c r="A10" s="37"/>
      <c r="B10" s="39"/>
      <c r="C10" s="35"/>
      <c r="D10" s="40"/>
      <c r="E10" s="36"/>
      <c r="F10" s="215"/>
      <c r="G10" s="35"/>
      <c r="H10" s="44"/>
      <c r="I10" s="44"/>
      <c r="K10" s="132"/>
      <c r="L10" s="126"/>
      <c r="M10" s="135"/>
      <c r="N10" s="135"/>
      <c r="O10" s="135"/>
      <c r="P10" s="241"/>
      <c r="Q10" s="241"/>
    </row>
    <row r="11" spans="1:17" ht="15.75">
      <c r="A11" s="23"/>
      <c r="B11" s="24" t="s">
        <v>45</v>
      </c>
      <c r="D11" s="45"/>
      <c r="E11" s="46"/>
      <c r="F11" s="217"/>
      <c r="G11" s="47"/>
      <c r="H11" s="44"/>
      <c r="I11" s="44"/>
      <c r="K11" s="136"/>
      <c r="L11" s="126"/>
      <c r="M11" s="135"/>
      <c r="N11" s="135"/>
      <c r="O11" s="135"/>
      <c r="P11" s="241"/>
      <c r="Q11" s="241"/>
    </row>
    <row r="12" spans="1:17" ht="15.75">
      <c r="A12" s="23"/>
      <c r="B12" s="48"/>
      <c r="D12" s="45"/>
      <c r="E12" s="46"/>
      <c r="F12" s="217"/>
      <c r="G12" s="49"/>
      <c r="H12" s="44"/>
      <c r="I12" s="44"/>
      <c r="K12" s="137"/>
      <c r="L12" s="126"/>
      <c r="M12" s="135"/>
      <c r="N12" s="135"/>
      <c r="O12" s="135"/>
      <c r="P12" s="241"/>
      <c r="Q12" s="241"/>
    </row>
    <row r="13" spans="1:17">
      <c r="A13" s="41">
        <v>310.10000000000002</v>
      </c>
      <c r="B13" s="50" t="s">
        <v>46</v>
      </c>
      <c r="C13" s="37"/>
      <c r="D13" s="51"/>
      <c r="E13" s="52"/>
      <c r="F13" s="217"/>
      <c r="G13" s="53"/>
      <c r="H13" s="44"/>
      <c r="I13" s="44"/>
      <c r="K13" s="137"/>
      <c r="L13" s="126"/>
      <c r="M13" s="135"/>
      <c r="N13" s="135"/>
      <c r="O13" s="135"/>
      <c r="P13" s="241"/>
      <c r="Q13" s="241"/>
    </row>
    <row r="14" spans="1:17">
      <c r="A14" s="37"/>
      <c r="B14" s="54" t="s">
        <v>47</v>
      </c>
      <c r="C14" s="55">
        <v>5325571.5599999996</v>
      </c>
      <c r="D14" s="240">
        <v>5325572</v>
      </c>
      <c r="E14" s="57">
        <v>507197</v>
      </c>
      <c r="F14" s="218">
        <f>C14*G14/100</f>
        <v>506994.41251199989</v>
      </c>
      <c r="G14" s="58">
        <v>9.52</v>
      </c>
      <c r="H14" s="59">
        <f>ROUND(D14*(G14/100),0)+203</f>
        <v>507197</v>
      </c>
      <c r="I14" s="59">
        <f>E14-H14</f>
        <v>0</v>
      </c>
      <c r="K14" s="138">
        <f>ROUND('Adjust Depr Table 1'!S22,2)</f>
        <v>9.09</v>
      </c>
      <c r="L14" s="126"/>
      <c r="M14" s="139">
        <f>ROUND(D14*(K14/100),0)+49</f>
        <v>484143</v>
      </c>
      <c r="N14" s="139">
        <f>'Adjust Depr Table 1'!Q22</f>
        <v>484142.90909090912</v>
      </c>
      <c r="O14" s="243">
        <f>N14-M14</f>
        <v>-9.0909090882632881E-2</v>
      </c>
      <c r="P14" s="241"/>
      <c r="Q14" s="241">
        <f>IF(C14-D14&lt;1,0,"No")</f>
        <v>0</v>
      </c>
    </row>
    <row r="15" spans="1:17">
      <c r="A15" s="37"/>
      <c r="B15" s="54" t="s">
        <v>48</v>
      </c>
      <c r="C15" s="55">
        <v>480134.08</v>
      </c>
      <c r="D15" s="56">
        <v>0</v>
      </c>
      <c r="E15" s="57">
        <v>45727</v>
      </c>
      <c r="F15" s="218">
        <f>C15*G15/100</f>
        <v>45708.764415999998</v>
      </c>
      <c r="G15" s="58">
        <v>9.52</v>
      </c>
      <c r="H15" s="59">
        <f>ROUND(D15*(G15/100),0)</f>
        <v>0</v>
      </c>
      <c r="I15" s="59">
        <f>E15-H15</f>
        <v>45727</v>
      </c>
      <c r="K15" s="138">
        <f>ROUND('Adjust Depr Table 1'!S23,2)</f>
        <v>9.09</v>
      </c>
      <c r="L15" s="126"/>
      <c r="M15" s="139">
        <f>ROUND(D15*(K15/100),0)</f>
        <v>0</v>
      </c>
      <c r="N15" s="139">
        <f>'Adjust Depr Table 1'!Q23</f>
        <v>43648.545454545456</v>
      </c>
      <c r="O15" s="139">
        <f>N15-M15</f>
        <v>43648.545454545456</v>
      </c>
      <c r="P15" s="241"/>
      <c r="Q15" s="241" t="str">
        <f>IF(C15-D15&lt;1,0,"No")</f>
        <v>No</v>
      </c>
    </row>
    <row r="16" spans="1:17">
      <c r="A16" s="37"/>
      <c r="B16" s="54" t="s">
        <v>49</v>
      </c>
      <c r="C16" s="55">
        <v>20170029.309999999</v>
      </c>
      <c r="D16" s="56">
        <f>6046318.51+3382670.46+3272456.82+4743885.04-2321.29</f>
        <v>17443009.539999999</v>
      </c>
      <c r="E16" s="57">
        <v>683730</v>
      </c>
      <c r="F16" s="218">
        <f>C16*G16/100</f>
        <v>683763.993609</v>
      </c>
      <c r="G16" s="58">
        <v>3.39</v>
      </c>
      <c r="H16" s="59">
        <f>ROUND(D16*(G16/100),0)</f>
        <v>591318</v>
      </c>
      <c r="I16" s="59">
        <f>E16-H16</f>
        <v>92412</v>
      </c>
      <c r="K16" s="138">
        <f>ROUND('Adjust Depr Table 1'!S24,2)</f>
        <v>3.33</v>
      </c>
      <c r="L16" s="126"/>
      <c r="M16" s="139">
        <f>ROUND(D16*(K16/100),0)</f>
        <v>580852</v>
      </c>
      <c r="N16" s="139">
        <f>'Adjust Depr Table 1'!Q24</f>
        <v>672334.3</v>
      </c>
      <c r="O16" s="139">
        <f>N16-M16</f>
        <v>91482.300000000047</v>
      </c>
      <c r="P16" s="241"/>
      <c r="Q16" s="241" t="str">
        <f>IF(C16-D16&lt;1,0,"No")</f>
        <v>No</v>
      </c>
    </row>
    <row r="17" spans="1:17">
      <c r="A17" s="37"/>
      <c r="B17" s="54" t="s">
        <v>50</v>
      </c>
      <c r="C17" s="55">
        <v>1050779.8600000001</v>
      </c>
      <c r="D17" s="56">
        <v>1050780</v>
      </c>
      <c r="E17" s="57">
        <v>35620</v>
      </c>
      <c r="F17" s="218">
        <f>C17*G17/100</f>
        <v>35621.437254000004</v>
      </c>
      <c r="G17" s="58">
        <v>3.39</v>
      </c>
      <c r="H17" s="59">
        <f>ROUND(D17*(G17/100),0)-1</f>
        <v>35620</v>
      </c>
      <c r="I17" s="59">
        <f>E17-H17</f>
        <v>0</v>
      </c>
      <c r="K17" s="138">
        <f>ROUND('Adjust Depr Table 1'!S25,2)</f>
        <v>3.33</v>
      </c>
      <c r="L17" s="126"/>
      <c r="M17" s="139">
        <f>ROUND(D17*(K17/100),0)+35</f>
        <v>35026</v>
      </c>
      <c r="N17" s="139">
        <f>'Adjust Depr Table 1'!Q25</f>
        <v>35026</v>
      </c>
      <c r="O17" s="243">
        <f>N17-M17</f>
        <v>0</v>
      </c>
      <c r="P17" s="241"/>
      <c r="Q17" s="241">
        <f>IF(C17-D17&lt;1,0,"No")</f>
        <v>0</v>
      </c>
    </row>
    <row r="18" spans="1:17">
      <c r="A18" s="37"/>
      <c r="B18" s="54" t="s">
        <v>51</v>
      </c>
      <c r="C18" s="60">
        <v>6050424.8700000001</v>
      </c>
      <c r="D18" s="61">
        <v>6050425</v>
      </c>
      <c r="E18" s="62">
        <v>705883</v>
      </c>
      <c r="F18" s="216">
        <f>C18*G18/100</f>
        <v>706084.58232899988</v>
      </c>
      <c r="G18" s="58">
        <v>11.67</v>
      </c>
      <c r="H18" s="63">
        <f>ROUND(D18*(G18/100),0)-202</f>
        <v>705883</v>
      </c>
      <c r="I18" s="63">
        <f>E18-H18</f>
        <v>0</v>
      </c>
      <c r="K18" s="138">
        <f>ROUND('Adjust Depr Table 1'!S26,2)</f>
        <v>10.83</v>
      </c>
      <c r="L18" s="126"/>
      <c r="M18" s="140">
        <f>ROUND(D18*(K18/100),0)+202</f>
        <v>655463</v>
      </c>
      <c r="N18" s="140">
        <f>'Adjust Depr Table 1'!Q26</f>
        <v>655462.71428571432</v>
      </c>
      <c r="O18" s="244">
        <f>N18-M18</f>
        <v>-0.28571428568102419</v>
      </c>
      <c r="P18" s="241"/>
      <c r="Q18" s="241">
        <f>IF(C18-D18&lt;1,0,"No")</f>
        <v>0</v>
      </c>
    </row>
    <row r="19" spans="1:17">
      <c r="A19" s="23"/>
      <c r="B19" s="50" t="s">
        <v>52</v>
      </c>
      <c r="C19" s="55">
        <f>SUM(C14:C18)</f>
        <v>33076939.68</v>
      </c>
      <c r="D19" s="57">
        <f>SUM(D14:D18)</f>
        <v>29869786.539999999</v>
      </c>
      <c r="E19" s="57">
        <f>SUM(E14:E18)</f>
        <v>1978157</v>
      </c>
      <c r="F19" s="218">
        <f>SUM(F14:F18)</f>
        <v>1978173.1901199999</v>
      </c>
      <c r="G19" s="58">
        <f>+ROUND(E19/C19*100,2)</f>
        <v>5.98</v>
      </c>
      <c r="H19" s="57">
        <f>SUM(H14:H18)</f>
        <v>1840018</v>
      </c>
      <c r="I19" s="57">
        <f>SUM(I14:I18)</f>
        <v>138139</v>
      </c>
      <c r="K19" s="138"/>
      <c r="L19" s="126"/>
      <c r="M19" s="141">
        <f>SUM(M14:M18)</f>
        <v>1755484</v>
      </c>
      <c r="N19" s="141">
        <f>SUM(N14:N18)</f>
        <v>1890614.468831169</v>
      </c>
      <c r="O19" s="141">
        <f>SUM(O14:O18)</f>
        <v>135130.46883116895</v>
      </c>
      <c r="P19" s="241"/>
      <c r="Q19" s="241"/>
    </row>
    <row r="20" spans="1:17" s="19" customFormat="1">
      <c r="A20" s="64">
        <v>311</v>
      </c>
      <c r="B20" s="65" t="s">
        <v>53</v>
      </c>
      <c r="C20" s="65"/>
      <c r="D20" s="66"/>
      <c r="E20" s="67"/>
      <c r="F20" s="219"/>
      <c r="G20" s="68"/>
      <c r="H20" s="69"/>
      <c r="I20" s="69"/>
      <c r="K20" s="142"/>
      <c r="L20" s="143"/>
      <c r="M20" s="144"/>
      <c r="N20" s="144"/>
      <c r="O20" s="144"/>
      <c r="P20" s="242"/>
      <c r="Q20" s="242"/>
    </row>
    <row r="21" spans="1:17" s="19" customFormat="1">
      <c r="A21" s="64"/>
      <c r="B21" s="70" t="s">
        <v>54</v>
      </c>
      <c r="C21" s="71">
        <v>619445.56000000006</v>
      </c>
      <c r="D21" s="72">
        <v>0</v>
      </c>
      <c r="E21" s="73">
        <v>11477</v>
      </c>
      <c r="F21" s="218">
        <f t="shared" ref="F21:F30" si="0">C21*G21/100</f>
        <v>11459.74286</v>
      </c>
      <c r="G21" s="74">
        <v>1.85</v>
      </c>
      <c r="H21" s="59">
        <f>ROUND(D21*(G21/100),0)</f>
        <v>0</v>
      </c>
      <c r="I21" s="59">
        <f t="shared" ref="I21:I30" si="1">E21-H21</f>
        <v>11477</v>
      </c>
      <c r="K21" s="138">
        <f>ROUND('Adjust Depr Table 1'!S31,2)</f>
        <v>1.73</v>
      </c>
      <c r="L21" s="143"/>
      <c r="M21" s="139">
        <f>ROUND(D21*(K21/100),0)</f>
        <v>0</v>
      </c>
      <c r="N21" s="139">
        <f>'Adjust Depr Table 1'!Q31</f>
        <v>10742.454545454546</v>
      </c>
      <c r="O21" s="139">
        <f t="shared" ref="O21:O30" si="2">N21-M21</f>
        <v>10742.454545454546</v>
      </c>
      <c r="P21" s="242"/>
      <c r="Q21" s="241" t="str">
        <f t="shared" ref="Q21:Q30" si="3">IF(C21-D21&lt;1,0,"No")</f>
        <v>No</v>
      </c>
    </row>
    <row r="22" spans="1:17" s="19" customFormat="1">
      <c r="A22" s="64"/>
      <c r="B22" s="70" t="s">
        <v>55</v>
      </c>
      <c r="C22" s="71">
        <v>11599889.130000001</v>
      </c>
      <c r="D22" s="72">
        <v>1242055</v>
      </c>
      <c r="E22" s="73">
        <v>372847</v>
      </c>
      <c r="F22" s="218">
        <f t="shared" si="0"/>
        <v>372356.44107300008</v>
      </c>
      <c r="G22" s="74">
        <v>3.21</v>
      </c>
      <c r="H22" s="59">
        <f>ROUND(D22*(G22/100),0)</f>
        <v>39870</v>
      </c>
      <c r="I22" s="59">
        <f t="shared" si="1"/>
        <v>332977</v>
      </c>
      <c r="K22" s="138">
        <f>ROUND('Adjust Depr Table 1'!S32,2)</f>
        <v>2.56</v>
      </c>
      <c r="L22" s="143"/>
      <c r="M22" s="139">
        <f>ROUND(D22*(K22/100),0)</f>
        <v>31797</v>
      </c>
      <c r="N22" s="139">
        <f>'Adjust Depr Table 1'!Q32</f>
        <v>296920.27272727271</v>
      </c>
      <c r="O22" s="139">
        <f t="shared" si="2"/>
        <v>265123.27272727271</v>
      </c>
      <c r="P22" s="242"/>
      <c r="Q22" s="241" t="str">
        <f t="shared" si="3"/>
        <v>No</v>
      </c>
    </row>
    <row r="23" spans="1:17" s="19" customFormat="1">
      <c r="A23" s="64"/>
      <c r="B23" s="70" t="s">
        <v>56</v>
      </c>
      <c r="C23" s="71">
        <v>16839214.859999999</v>
      </c>
      <c r="D23" s="72">
        <v>16839215</v>
      </c>
      <c r="E23" s="73">
        <v>969322</v>
      </c>
      <c r="F23" s="218">
        <f t="shared" si="0"/>
        <v>969938.77593599993</v>
      </c>
      <c r="G23" s="74">
        <v>5.76</v>
      </c>
      <c r="H23" s="59">
        <f>ROUND(D23*(G23/100),0)-617</f>
        <v>969322</v>
      </c>
      <c r="I23" s="59">
        <f t="shared" si="1"/>
        <v>0</v>
      </c>
      <c r="K23" s="138">
        <f>ROUND('Adjust Depr Table 1'!S33,2)</f>
        <v>5.0199999999999996</v>
      </c>
      <c r="L23" s="143"/>
      <c r="M23" s="139">
        <f>ROUND(D23*(K23/100),0)+748</f>
        <v>846077</v>
      </c>
      <c r="N23" s="139">
        <f>'Adjust Depr Table 1'!Q33</f>
        <v>846076.81818181823</v>
      </c>
      <c r="O23" s="243">
        <f t="shared" si="2"/>
        <v>-0.18181818176526576</v>
      </c>
      <c r="P23" s="242"/>
      <c r="Q23" s="241">
        <f t="shared" si="3"/>
        <v>0</v>
      </c>
    </row>
    <row r="24" spans="1:17" s="19" customFormat="1">
      <c r="A24" s="64"/>
      <c r="B24" s="70" t="s">
        <v>57</v>
      </c>
      <c r="C24" s="71">
        <v>29901164.98</v>
      </c>
      <c r="D24" s="72">
        <v>13126964</v>
      </c>
      <c r="E24" s="73">
        <v>945554</v>
      </c>
      <c r="F24" s="218">
        <f t="shared" si="0"/>
        <v>944876.81336800009</v>
      </c>
      <c r="G24" s="74">
        <v>3.16</v>
      </c>
      <c r="H24" s="59">
        <f>ROUND(D24*(G24/100),0)</f>
        <v>414812</v>
      </c>
      <c r="I24" s="59">
        <f t="shared" si="1"/>
        <v>530742</v>
      </c>
      <c r="K24" s="138">
        <f>ROUND('Adjust Depr Table 1'!S34,2)</f>
        <v>2.83</v>
      </c>
      <c r="L24" s="143"/>
      <c r="M24" s="139">
        <f>ROUND(D24*(K24/100),0)</f>
        <v>371493</v>
      </c>
      <c r="N24" s="139">
        <f>'Adjust Depr Table 1'!Q34</f>
        <v>846559.8</v>
      </c>
      <c r="O24" s="139">
        <f t="shared" si="2"/>
        <v>475066.80000000005</v>
      </c>
      <c r="P24" s="242"/>
      <c r="Q24" s="241" t="str">
        <f t="shared" si="3"/>
        <v>No</v>
      </c>
    </row>
    <row r="25" spans="1:17" s="19" customFormat="1">
      <c r="A25" s="64"/>
      <c r="B25" s="70" t="s">
        <v>58</v>
      </c>
      <c r="C25" s="71">
        <v>27841989</v>
      </c>
      <c r="D25" s="72">
        <v>728752</v>
      </c>
      <c r="E25" s="73">
        <v>614994</v>
      </c>
      <c r="F25" s="218">
        <f t="shared" si="0"/>
        <v>615307.95689999999</v>
      </c>
      <c r="G25" s="74">
        <v>2.21</v>
      </c>
      <c r="H25" s="59">
        <f>ROUND(D25*(G25/100),0)</f>
        <v>16105</v>
      </c>
      <c r="I25" s="59">
        <f t="shared" si="1"/>
        <v>598889</v>
      </c>
      <c r="K25" s="138">
        <f>ROUND('Adjust Depr Table 1'!S35,2)</f>
        <v>1.7</v>
      </c>
      <c r="L25" s="143"/>
      <c r="M25" s="139">
        <f>ROUND(D25*(K25/100),0)</f>
        <v>12389</v>
      </c>
      <c r="N25" s="139">
        <f>'Adjust Depr Table 1'!Q35</f>
        <v>472953.42857142858</v>
      </c>
      <c r="O25" s="139">
        <f t="shared" si="2"/>
        <v>460564.42857142858</v>
      </c>
      <c r="P25" s="242"/>
      <c r="Q25" s="241" t="str">
        <f t="shared" si="3"/>
        <v>No</v>
      </c>
    </row>
    <row r="26" spans="1:17" s="19" customFormat="1">
      <c r="A26" s="64"/>
      <c r="B26" s="70" t="s">
        <v>59</v>
      </c>
      <c r="C26" s="71">
        <v>34657321.799999997</v>
      </c>
      <c r="D26" s="72">
        <v>145128</v>
      </c>
      <c r="E26" s="73">
        <v>627228</v>
      </c>
      <c r="F26" s="218">
        <f t="shared" si="0"/>
        <v>627297.52457999997</v>
      </c>
      <c r="G26" s="74">
        <v>1.81</v>
      </c>
      <c r="H26" s="59">
        <f>ROUND(D26*(G26/100),0)</f>
        <v>2627</v>
      </c>
      <c r="I26" s="59">
        <f t="shared" si="1"/>
        <v>624601</v>
      </c>
      <c r="K26" s="138">
        <f>ROUND('Adjust Depr Table 1'!S36,2)</f>
        <v>1.34</v>
      </c>
      <c r="L26" s="143"/>
      <c r="M26" s="139">
        <f>ROUND(D26*(K26/100),0)</f>
        <v>1945</v>
      </c>
      <c r="N26" s="139">
        <f>'Adjust Depr Table 1'!Q36</f>
        <v>465799.39130434784</v>
      </c>
      <c r="O26" s="139">
        <f t="shared" si="2"/>
        <v>463854.39130434784</v>
      </c>
      <c r="P26" s="242"/>
      <c r="Q26" s="241" t="str">
        <f t="shared" si="3"/>
        <v>No</v>
      </c>
    </row>
    <row r="27" spans="1:17" s="19" customFormat="1">
      <c r="A27" s="64"/>
      <c r="B27" s="70" t="s">
        <v>60</v>
      </c>
      <c r="C27" s="71">
        <v>135424737.28999999</v>
      </c>
      <c r="D27" s="72">
        <v>0</v>
      </c>
      <c r="E27" s="73">
        <v>4087225</v>
      </c>
      <c r="F27" s="218">
        <f t="shared" si="0"/>
        <v>4089827.0661579994</v>
      </c>
      <c r="G27" s="74">
        <v>3.02</v>
      </c>
      <c r="H27" s="59">
        <f>ROUND(D27*(G27/100),0)</f>
        <v>0</v>
      </c>
      <c r="I27" s="59">
        <f t="shared" si="1"/>
        <v>4087225</v>
      </c>
      <c r="K27" s="138">
        <f>ROUND('Adjust Depr Table 1'!S37,2)</f>
        <v>2.62</v>
      </c>
      <c r="L27" s="143"/>
      <c r="M27" s="139">
        <f>ROUND(D27*(K27/100),0)</f>
        <v>0</v>
      </c>
      <c r="N27" s="139">
        <f>'Adjust Depr Table 1'!Q37</f>
        <v>3548555.576923077</v>
      </c>
      <c r="O27" s="139">
        <f t="shared" si="2"/>
        <v>3548555.576923077</v>
      </c>
      <c r="P27" s="242"/>
      <c r="Q27" s="241" t="str">
        <f t="shared" si="3"/>
        <v>No</v>
      </c>
    </row>
    <row r="28" spans="1:17" s="19" customFormat="1">
      <c r="A28" s="64"/>
      <c r="B28" s="70" t="s">
        <v>61</v>
      </c>
      <c r="C28" s="71">
        <v>91915875.079999998</v>
      </c>
      <c r="D28" s="72">
        <v>14959428</v>
      </c>
      <c r="E28" s="73">
        <v>3069934</v>
      </c>
      <c r="F28" s="218">
        <f t="shared" si="0"/>
        <v>3069990.2276719999</v>
      </c>
      <c r="G28" s="74">
        <v>3.34</v>
      </c>
      <c r="H28" s="59">
        <f>ROUND(D28*(G28/100),0)</f>
        <v>499645</v>
      </c>
      <c r="I28" s="59">
        <f t="shared" si="1"/>
        <v>2570289</v>
      </c>
      <c r="K28" s="138">
        <f>ROUND('Adjust Depr Table 1'!S38,2)</f>
        <v>2.98</v>
      </c>
      <c r="L28" s="143"/>
      <c r="M28" s="139">
        <f>ROUND(D28*(K28/100),0)</f>
        <v>445791</v>
      </c>
      <c r="N28" s="139">
        <f>'Adjust Depr Table 1'!Q38</f>
        <v>2737187.2</v>
      </c>
      <c r="O28" s="139">
        <f t="shared" si="2"/>
        <v>2291396.2000000002</v>
      </c>
      <c r="P28" s="242"/>
      <c r="Q28" s="241" t="str">
        <f t="shared" si="3"/>
        <v>No</v>
      </c>
    </row>
    <row r="29" spans="1:17" s="19" customFormat="1">
      <c r="A29" s="64"/>
      <c r="B29" s="70" t="s">
        <v>62</v>
      </c>
      <c r="C29" s="71">
        <v>25289573.359999999</v>
      </c>
      <c r="D29" s="72">
        <v>25289574</v>
      </c>
      <c r="E29" s="73">
        <v>890592</v>
      </c>
      <c r="F29" s="218">
        <f t="shared" si="0"/>
        <v>890192.98227200005</v>
      </c>
      <c r="G29" s="74">
        <v>3.52</v>
      </c>
      <c r="H29" s="59">
        <f>ROUND(D29*(G29/100),0)+399</f>
        <v>890592</v>
      </c>
      <c r="I29" s="59">
        <f t="shared" si="1"/>
        <v>0</v>
      </c>
      <c r="K29" s="138">
        <f>ROUND('Adjust Depr Table 1'!S39,2)</f>
        <v>3.07</v>
      </c>
      <c r="L29" s="143"/>
      <c r="M29" s="139">
        <f>ROUND(D29*(K29/100),0)-1056</f>
        <v>775334</v>
      </c>
      <c r="N29" s="139">
        <f>'Adjust Depr Table 1'!Q39</f>
        <v>775334.42857142852</v>
      </c>
      <c r="O29" s="243">
        <f t="shared" si="2"/>
        <v>0.42857142852153629</v>
      </c>
      <c r="P29" s="242"/>
      <c r="Q29" s="241">
        <f t="shared" si="3"/>
        <v>0</v>
      </c>
    </row>
    <row r="30" spans="1:17" s="19" customFormat="1">
      <c r="A30" s="64"/>
      <c r="B30" s="70" t="s">
        <v>63</v>
      </c>
      <c r="C30" s="75">
        <v>22341947.210000001</v>
      </c>
      <c r="D30" s="76">
        <v>22341947</v>
      </c>
      <c r="E30" s="77">
        <v>714438</v>
      </c>
      <c r="F30" s="216">
        <f t="shared" si="0"/>
        <v>714942.31072000007</v>
      </c>
      <c r="G30" s="74">
        <v>3.2</v>
      </c>
      <c r="H30" s="63">
        <f>ROUND(D30*(G30/100),0)-504</f>
        <v>714438</v>
      </c>
      <c r="I30" s="63">
        <f t="shared" si="1"/>
        <v>0</v>
      </c>
      <c r="K30" s="138">
        <f>ROUND('Adjust Depr Table 1'!S40,2)</f>
        <v>2.78</v>
      </c>
      <c r="L30" s="143"/>
      <c r="M30" s="140">
        <f>ROUND(D30*(K30/100),0)+485</f>
        <v>621591</v>
      </c>
      <c r="N30" s="140">
        <f>'Adjust Depr Table 1'!Q40</f>
        <v>621591.04347826086</v>
      </c>
      <c r="O30" s="244">
        <f t="shared" si="2"/>
        <v>4.3478260864503682E-2</v>
      </c>
      <c r="P30" s="242"/>
      <c r="Q30" s="241">
        <f t="shared" si="3"/>
        <v>0</v>
      </c>
    </row>
    <row r="31" spans="1:17" s="19" customFormat="1">
      <c r="A31" s="64"/>
      <c r="B31" s="78" t="s">
        <v>64</v>
      </c>
      <c r="C31" s="71">
        <f>SUM(C21:C30)</f>
        <v>396431158.26999998</v>
      </c>
      <c r="D31" s="72">
        <f>SUM(D21:D30)</f>
        <v>94673063</v>
      </c>
      <c r="E31" s="72">
        <f>SUM(E21:E30)</f>
        <v>12303611</v>
      </c>
      <c r="F31" s="221">
        <f>SUM(F21:F30)</f>
        <v>12306189.841538999</v>
      </c>
      <c r="G31" s="74">
        <f>+ROUND(E31/C31*100,2)</f>
        <v>3.1</v>
      </c>
      <c r="H31" s="72">
        <f>SUM(H21:H30)</f>
        <v>3547411</v>
      </c>
      <c r="I31" s="72">
        <f>SUM(I21:I30)</f>
        <v>8756200</v>
      </c>
      <c r="K31" s="138"/>
      <c r="L31" s="143"/>
      <c r="M31" s="145">
        <f>SUM(M21:M30)</f>
        <v>3106417</v>
      </c>
      <c r="N31" s="145">
        <f>SUM(N21:N30)</f>
        <v>10621720.41430309</v>
      </c>
      <c r="O31" s="145">
        <f>SUM(O21:O30)</f>
        <v>7515303.4143030876</v>
      </c>
      <c r="P31" s="242"/>
      <c r="Q31" s="242"/>
    </row>
    <row r="32" spans="1:17" s="19" customFormat="1">
      <c r="A32" s="64">
        <v>312</v>
      </c>
      <c r="B32" s="78" t="s">
        <v>65</v>
      </c>
      <c r="C32" s="71">
        <f>C36-D36</f>
        <v>1127695.75</v>
      </c>
      <c r="D32" s="72"/>
      <c r="E32" s="73"/>
      <c r="F32" s="220"/>
      <c r="G32" s="74"/>
      <c r="H32" s="69"/>
      <c r="I32" s="69"/>
      <c r="K32" s="138"/>
      <c r="L32" s="143"/>
      <c r="M32" s="144"/>
      <c r="N32" s="144"/>
      <c r="O32" s="144"/>
      <c r="P32" s="242"/>
      <c r="Q32" s="242"/>
    </row>
    <row r="33" spans="1:17" s="19" customFormat="1">
      <c r="A33" s="64"/>
      <c r="B33" s="70" t="s">
        <v>55</v>
      </c>
      <c r="C33" s="71">
        <v>102794003.59</v>
      </c>
      <c r="D33" s="72">
        <v>3716549</v>
      </c>
      <c r="E33" s="73">
        <v>4110747</v>
      </c>
      <c r="F33" s="218">
        <f t="shared" ref="F33:F43" si="4">C33*G33/100</f>
        <v>4111760.1436000001</v>
      </c>
      <c r="G33" s="74">
        <v>4</v>
      </c>
      <c r="H33" s="59">
        <f t="shared" ref="H33:H41" si="5">ROUND(D33*(G33/100),0)</f>
        <v>148662</v>
      </c>
      <c r="I33" s="59">
        <f t="shared" ref="I33:I43" si="6">E33-H33</f>
        <v>3962085</v>
      </c>
      <c r="K33" s="138">
        <f>ROUND('Adjust Depr Table 1'!S45,2)</f>
        <v>3.19</v>
      </c>
      <c r="L33" s="143"/>
      <c r="M33" s="139">
        <f>ROUND(D33*(K33/100),0)</f>
        <v>118558</v>
      </c>
      <c r="N33" s="139">
        <f>'Adjust Depr Table 1'!Q45</f>
        <v>3281259.3636363638</v>
      </c>
      <c r="O33" s="139">
        <f t="shared" ref="O33:O43" si="7">N33-M33</f>
        <v>3162701.3636363638</v>
      </c>
      <c r="P33" s="242"/>
      <c r="Q33" s="241" t="str">
        <f t="shared" ref="Q33:Q43" si="8">IF(C33-D33&lt;1,0,"No")</f>
        <v>No</v>
      </c>
    </row>
    <row r="34" spans="1:17" s="19" customFormat="1">
      <c r="A34" s="64"/>
      <c r="B34" s="70" t="s">
        <v>66</v>
      </c>
      <c r="C34" s="71">
        <v>14959125.039999999</v>
      </c>
      <c r="D34" s="72">
        <v>14959125</v>
      </c>
      <c r="E34" s="73">
        <v>1053970</v>
      </c>
      <c r="F34" s="218">
        <f t="shared" si="4"/>
        <v>1054618.3153199998</v>
      </c>
      <c r="G34" s="74">
        <v>7.05</v>
      </c>
      <c r="H34" s="59">
        <f>ROUND(D34*(G34/100),0)-648</f>
        <v>1053970</v>
      </c>
      <c r="I34" s="59">
        <f t="shared" si="6"/>
        <v>0</v>
      </c>
      <c r="K34" s="138">
        <f>ROUND('Adjust Depr Table 1'!S46,2)</f>
        <v>6.16</v>
      </c>
      <c r="L34" s="143"/>
      <c r="M34" s="139">
        <f>ROUND(D34*(K34/100),0)+295</f>
        <v>921777</v>
      </c>
      <c r="N34" s="139">
        <f>'Adjust Depr Table 1'!Q46</f>
        <v>921777.36363636365</v>
      </c>
      <c r="O34" s="243">
        <f t="shared" si="7"/>
        <v>0.36363636364694685</v>
      </c>
      <c r="P34" s="242"/>
      <c r="Q34" s="241">
        <f t="shared" si="8"/>
        <v>0</v>
      </c>
    </row>
    <row r="35" spans="1:17" s="19" customFormat="1">
      <c r="A35" s="64"/>
      <c r="B35" s="70" t="s">
        <v>67</v>
      </c>
      <c r="C35" s="71">
        <v>1476057.99</v>
      </c>
      <c r="D35" s="72">
        <v>0</v>
      </c>
      <c r="E35" s="73">
        <v>118541</v>
      </c>
      <c r="F35" s="218">
        <f t="shared" si="4"/>
        <v>118527.45659699998</v>
      </c>
      <c r="G35" s="74">
        <v>8.0299999999999994</v>
      </c>
      <c r="H35" s="59">
        <f t="shared" si="5"/>
        <v>0</v>
      </c>
      <c r="I35" s="59">
        <f t="shared" si="6"/>
        <v>118541</v>
      </c>
      <c r="K35" s="138">
        <f>ROUND('Adjust Depr Table 1'!S47,2)</f>
        <v>7.11</v>
      </c>
      <c r="L35" s="143"/>
      <c r="M35" s="139">
        <f t="shared" ref="M35:M41" si="9">ROUND(D35*(K35/100),0)</f>
        <v>0</v>
      </c>
      <c r="N35" s="139">
        <f>'Adjust Depr Table 1'!Q47</f>
        <v>105007.54545454546</v>
      </c>
      <c r="O35" s="139">
        <f t="shared" si="7"/>
        <v>105007.54545454546</v>
      </c>
      <c r="P35" s="242"/>
      <c r="Q35" s="241" t="str">
        <f t="shared" si="8"/>
        <v>No</v>
      </c>
    </row>
    <row r="36" spans="1:17" s="19" customFormat="1">
      <c r="A36" s="64"/>
      <c r="B36" s="70" t="s">
        <v>56</v>
      </c>
      <c r="C36" s="71">
        <v>194151378.75</v>
      </c>
      <c r="D36" s="72">
        <v>193023683</v>
      </c>
      <c r="E36" s="73">
        <v>11404356</v>
      </c>
      <c r="F36" s="218">
        <f t="shared" si="4"/>
        <v>11396685.932625001</v>
      </c>
      <c r="G36" s="74">
        <v>5.87</v>
      </c>
      <c r="H36" s="59">
        <f t="shared" si="5"/>
        <v>11330490</v>
      </c>
      <c r="I36" s="59">
        <f t="shared" si="6"/>
        <v>73866</v>
      </c>
      <c r="K36" s="138">
        <f>ROUND('Adjust Depr Table 1'!S48,2)</f>
        <v>5.0199999999999996</v>
      </c>
      <c r="L36" s="143"/>
      <c r="M36" s="139">
        <f t="shared" si="9"/>
        <v>9689789</v>
      </c>
      <c r="N36" s="139">
        <f>'Adjust Depr Table 1'!Q48</f>
        <v>9754647.4545454551</v>
      </c>
      <c r="O36" s="139">
        <f t="shared" si="7"/>
        <v>64858.454545455053</v>
      </c>
      <c r="P36" s="242"/>
      <c r="Q36" s="241" t="str">
        <f t="shared" si="8"/>
        <v>No</v>
      </c>
    </row>
    <row r="37" spans="1:17" s="19" customFormat="1">
      <c r="A37" s="64"/>
      <c r="B37" s="70" t="s">
        <v>57</v>
      </c>
      <c r="C37" s="71">
        <v>47303061.5</v>
      </c>
      <c r="D37" s="72">
        <v>10265259</v>
      </c>
      <c r="E37" s="73">
        <v>1487587</v>
      </c>
      <c r="F37" s="218">
        <f t="shared" si="4"/>
        <v>1485316.1311000001</v>
      </c>
      <c r="G37" s="74">
        <v>3.14</v>
      </c>
      <c r="H37" s="59">
        <f t="shared" si="5"/>
        <v>322329</v>
      </c>
      <c r="I37" s="59">
        <f t="shared" si="6"/>
        <v>1165258</v>
      </c>
      <c r="K37" s="138">
        <f>ROUND('Adjust Depr Table 1'!S49,2)</f>
        <v>2.56</v>
      </c>
      <c r="L37" s="143"/>
      <c r="M37" s="139">
        <f t="shared" si="9"/>
        <v>262791</v>
      </c>
      <c r="N37" s="139">
        <f>'Adjust Depr Table 1'!Q49</f>
        <v>1209011</v>
      </c>
      <c r="O37" s="139">
        <f t="shared" si="7"/>
        <v>946220</v>
      </c>
      <c r="P37" s="242"/>
      <c r="Q37" s="241" t="str">
        <f t="shared" si="8"/>
        <v>No</v>
      </c>
    </row>
    <row r="38" spans="1:17" s="19" customFormat="1">
      <c r="A38" s="64"/>
      <c r="B38" s="70" t="s">
        <v>58</v>
      </c>
      <c r="C38" s="71">
        <v>207072332.59</v>
      </c>
      <c r="D38" s="72">
        <v>105703771</v>
      </c>
      <c r="E38" s="73">
        <v>6574732</v>
      </c>
      <c r="F38" s="218">
        <f t="shared" si="4"/>
        <v>6584900.1763620004</v>
      </c>
      <c r="G38" s="74">
        <v>3.18</v>
      </c>
      <c r="H38" s="59">
        <f t="shared" si="5"/>
        <v>3361380</v>
      </c>
      <c r="I38" s="59">
        <f t="shared" si="6"/>
        <v>3213352</v>
      </c>
      <c r="K38" s="138">
        <f>ROUND('Adjust Depr Table 1'!S50,2)</f>
        <v>2.4500000000000002</v>
      </c>
      <c r="L38" s="143"/>
      <c r="M38" s="139">
        <f t="shared" si="9"/>
        <v>2589742</v>
      </c>
      <c r="N38" s="139">
        <f>'Adjust Depr Table 1'!Q50</f>
        <v>5064046.5238095243</v>
      </c>
      <c r="O38" s="139">
        <f t="shared" si="7"/>
        <v>2474304.5238095243</v>
      </c>
      <c r="P38" s="242"/>
      <c r="Q38" s="241" t="str">
        <f t="shared" si="8"/>
        <v>No</v>
      </c>
    </row>
    <row r="39" spans="1:17" s="19" customFormat="1">
      <c r="A39" s="64"/>
      <c r="B39" s="70" t="s">
        <v>59</v>
      </c>
      <c r="C39" s="71">
        <v>264954492.52000001</v>
      </c>
      <c r="D39" s="72">
        <v>49395487</v>
      </c>
      <c r="E39" s="73">
        <v>6988909</v>
      </c>
      <c r="F39" s="218">
        <f t="shared" si="4"/>
        <v>6994798.6025280012</v>
      </c>
      <c r="G39" s="74">
        <v>2.64</v>
      </c>
      <c r="H39" s="59">
        <f t="shared" si="5"/>
        <v>1304041</v>
      </c>
      <c r="I39" s="59">
        <f t="shared" si="6"/>
        <v>5684868</v>
      </c>
      <c r="K39" s="138">
        <f>ROUND('Adjust Depr Table 1'!S51,2)</f>
        <v>1.92</v>
      </c>
      <c r="L39" s="143"/>
      <c r="M39" s="139">
        <f t="shared" si="9"/>
        <v>948393</v>
      </c>
      <c r="N39" s="139">
        <f>'Adjust Depr Table 1'!Q51</f>
        <v>5079425.2608695654</v>
      </c>
      <c r="O39" s="139">
        <f t="shared" si="7"/>
        <v>4131032.2608695654</v>
      </c>
      <c r="P39" s="242"/>
      <c r="Q39" s="241" t="str">
        <f t="shared" si="8"/>
        <v>No</v>
      </c>
    </row>
    <row r="40" spans="1:17" s="19" customFormat="1">
      <c r="A40" s="64"/>
      <c r="B40" s="70" t="s">
        <v>60</v>
      </c>
      <c r="C40" s="71">
        <v>182163077.56</v>
      </c>
      <c r="D40" s="72">
        <v>69612000</v>
      </c>
      <c r="E40" s="73">
        <v>6110529</v>
      </c>
      <c r="F40" s="218">
        <f t="shared" si="4"/>
        <v>6102463.0982599994</v>
      </c>
      <c r="G40" s="74">
        <v>3.35</v>
      </c>
      <c r="H40" s="59">
        <f t="shared" si="5"/>
        <v>2332002</v>
      </c>
      <c r="I40" s="59">
        <f t="shared" si="6"/>
        <v>3778527</v>
      </c>
      <c r="K40" s="138">
        <f>ROUND('Adjust Depr Table 1'!S52,2)</f>
        <v>2.67</v>
      </c>
      <c r="L40" s="143"/>
      <c r="M40" s="139">
        <f t="shared" si="9"/>
        <v>1858640</v>
      </c>
      <c r="N40" s="139">
        <f>'Adjust Depr Table 1'!Q52</f>
        <v>4866067.923076923</v>
      </c>
      <c r="O40" s="139">
        <f t="shared" si="7"/>
        <v>3007427.923076923</v>
      </c>
      <c r="P40" s="242"/>
      <c r="Q40" s="241" t="str">
        <f t="shared" si="8"/>
        <v>No</v>
      </c>
    </row>
    <row r="41" spans="1:17" s="19" customFormat="1">
      <c r="A41" s="64"/>
      <c r="B41" s="70" t="s">
        <v>61</v>
      </c>
      <c r="C41" s="71">
        <v>310905410.86000001</v>
      </c>
      <c r="D41" s="72">
        <v>79956647</v>
      </c>
      <c r="E41" s="73">
        <v>11408395</v>
      </c>
      <c r="F41" s="218">
        <f t="shared" si="4"/>
        <v>11410228.578561999</v>
      </c>
      <c r="G41" s="74">
        <v>3.67</v>
      </c>
      <c r="H41" s="59">
        <f t="shared" si="5"/>
        <v>2934409</v>
      </c>
      <c r="I41" s="59">
        <f t="shared" si="6"/>
        <v>8473986</v>
      </c>
      <c r="K41" s="138">
        <f>ROUND('Adjust Depr Table 1'!S53,2)</f>
        <v>2.98</v>
      </c>
      <c r="L41" s="143"/>
      <c r="M41" s="139">
        <f t="shared" si="9"/>
        <v>2382708</v>
      </c>
      <c r="N41" s="139">
        <f>'Adjust Depr Table 1'!Q53</f>
        <v>9258865.9000000004</v>
      </c>
      <c r="O41" s="139">
        <f t="shared" si="7"/>
        <v>6876157.9000000004</v>
      </c>
      <c r="P41" s="242"/>
      <c r="Q41" s="241" t="str">
        <f t="shared" si="8"/>
        <v>No</v>
      </c>
    </row>
    <row r="42" spans="1:17" s="19" customFormat="1">
      <c r="A42" s="64"/>
      <c r="B42" s="70" t="s">
        <v>62</v>
      </c>
      <c r="C42" s="71">
        <v>102930250.29000001</v>
      </c>
      <c r="D42" s="72">
        <v>102930250</v>
      </c>
      <c r="E42" s="73">
        <v>3829676</v>
      </c>
      <c r="F42" s="218">
        <f t="shared" si="4"/>
        <v>3829005.310788</v>
      </c>
      <c r="G42" s="74">
        <v>3.72</v>
      </c>
      <c r="H42" s="59">
        <f>ROUND(D42*(G42/100),0)+671</f>
        <v>3829676</v>
      </c>
      <c r="I42" s="59">
        <f t="shared" si="6"/>
        <v>0</v>
      </c>
      <c r="K42" s="138">
        <f>ROUND('Adjust Depr Table 1'!S54,2)</f>
        <v>3.05</v>
      </c>
      <c r="L42" s="143"/>
      <c r="M42" s="139">
        <f>ROUND(D42*(K42/100),0)+708</f>
        <v>3140081</v>
      </c>
      <c r="N42" s="139">
        <f>'Adjust Depr Table 1'!Q54</f>
        <v>3140081.0476190476</v>
      </c>
      <c r="O42" s="243">
        <f t="shared" si="7"/>
        <v>4.7619047574698925E-2</v>
      </c>
      <c r="P42" s="242"/>
      <c r="Q42" s="241">
        <f t="shared" si="8"/>
        <v>0</v>
      </c>
    </row>
    <row r="43" spans="1:17" s="19" customFormat="1">
      <c r="A43" s="64"/>
      <c r="B43" s="70" t="s">
        <v>63</v>
      </c>
      <c r="C43" s="75">
        <v>157598866.33000001</v>
      </c>
      <c r="D43" s="76">
        <v>157598866</v>
      </c>
      <c r="E43" s="77">
        <v>5355461</v>
      </c>
      <c r="F43" s="216">
        <f t="shared" si="4"/>
        <v>5358361.4552199999</v>
      </c>
      <c r="G43" s="74">
        <v>3.4</v>
      </c>
      <c r="H43" s="63">
        <f>ROUND(D43*(G43/100),0)-2900</f>
        <v>5355461</v>
      </c>
      <c r="I43" s="63">
        <f t="shared" si="6"/>
        <v>0</v>
      </c>
      <c r="K43" s="138">
        <f>ROUND('Adjust Depr Table 1'!S55,2)</f>
        <v>2.76</v>
      </c>
      <c r="L43" s="143"/>
      <c r="M43" s="140">
        <f>ROUND(D43*(K43/100),0)+4508</f>
        <v>4354237</v>
      </c>
      <c r="N43" s="140">
        <f>'Adjust Depr Table 1'!Q55</f>
        <v>4354237.3043478262</v>
      </c>
      <c r="O43" s="244">
        <f t="shared" si="7"/>
        <v>0.30434782616794109</v>
      </c>
      <c r="P43" s="242"/>
      <c r="Q43" s="241">
        <f t="shared" si="8"/>
        <v>0</v>
      </c>
    </row>
    <row r="44" spans="1:17" s="19" customFormat="1">
      <c r="A44" s="64"/>
      <c r="B44" s="78" t="s">
        <v>68</v>
      </c>
      <c r="C44" s="71">
        <f>SUM(C33:C43)</f>
        <v>1586308057.02</v>
      </c>
      <c r="D44" s="72">
        <f>SUM(D33:D43)</f>
        <v>787161637</v>
      </c>
      <c r="E44" s="72">
        <f>SUM(E33:E43)</f>
        <v>58442903</v>
      </c>
      <c r="F44" s="221">
        <f>SUM(F33:F43)</f>
        <v>58446665.200962</v>
      </c>
      <c r="G44" s="74">
        <f>+ROUND(E44/C44*100,2)</f>
        <v>3.68</v>
      </c>
      <c r="H44" s="72">
        <f>SUM(H33:H43)</f>
        <v>31972420</v>
      </c>
      <c r="I44" s="72">
        <f>SUM(I33:I43)</f>
        <v>26470483</v>
      </c>
      <c r="K44" s="138"/>
      <c r="L44" s="143"/>
      <c r="M44" s="145">
        <f>SUM(M33:M43)</f>
        <v>26266716</v>
      </c>
      <c r="N44" s="145">
        <f>SUM(N33:N43)</f>
        <v>47034426.686995618</v>
      </c>
      <c r="O44" s="145">
        <f>SUM(O33:O43)</f>
        <v>20767710.686995618</v>
      </c>
      <c r="P44" s="242"/>
      <c r="Q44" s="242"/>
    </row>
    <row r="45" spans="1:17" s="19" customFormat="1">
      <c r="A45" s="64">
        <v>314</v>
      </c>
      <c r="B45" s="78" t="s">
        <v>69</v>
      </c>
      <c r="C45" s="71"/>
      <c r="D45" s="72"/>
      <c r="E45" s="73"/>
      <c r="F45" s="220"/>
      <c r="G45" s="74"/>
      <c r="H45" s="69"/>
      <c r="I45" s="69"/>
      <c r="K45" s="138"/>
      <c r="L45" s="143"/>
      <c r="M45" s="144"/>
      <c r="N45" s="144"/>
      <c r="O45" s="144"/>
      <c r="P45" s="242"/>
      <c r="Q45" s="242"/>
    </row>
    <row r="46" spans="1:17" s="19" customFormat="1">
      <c r="A46" s="64"/>
      <c r="B46" s="70" t="s">
        <v>55</v>
      </c>
      <c r="C46" s="71">
        <v>23714956.780000001</v>
      </c>
      <c r="D46" s="72">
        <v>0</v>
      </c>
      <c r="E46" s="73">
        <v>812009</v>
      </c>
      <c r="F46" s="218">
        <f>C46*G46/100</f>
        <v>811051.52187599998</v>
      </c>
      <c r="G46" s="74">
        <v>3.42</v>
      </c>
      <c r="H46" s="59">
        <f>ROUND(D46*(G46/100),0)</f>
        <v>0</v>
      </c>
      <c r="I46" s="59">
        <f>E46-H46</f>
        <v>812009</v>
      </c>
      <c r="K46" s="138">
        <f>ROUND('Adjust Depr Table 1'!S60,2)</f>
        <v>2.54</v>
      </c>
      <c r="L46" s="143"/>
      <c r="M46" s="139">
        <f>ROUND(D46*(K46/100),0)</f>
        <v>0</v>
      </c>
      <c r="N46" s="139">
        <f>'Adjust Depr Table 1'!Q60</f>
        <v>601261.36363636365</v>
      </c>
      <c r="O46" s="139">
        <f>N46-M46</f>
        <v>601261.36363636365</v>
      </c>
      <c r="P46" s="242"/>
      <c r="Q46" s="241" t="str">
        <f>IF(C46-D46&lt;1,0,"No")</f>
        <v>No</v>
      </c>
    </row>
    <row r="47" spans="1:17" s="19" customFormat="1">
      <c r="A47" s="64"/>
      <c r="B47" s="70" t="s">
        <v>58</v>
      </c>
      <c r="C47" s="71">
        <v>33699815.289999999</v>
      </c>
      <c r="D47" s="72">
        <v>0</v>
      </c>
      <c r="E47" s="73">
        <v>884400</v>
      </c>
      <c r="F47" s="218">
        <f>C47*G47/100</f>
        <v>882935.16059800005</v>
      </c>
      <c r="G47" s="74">
        <v>2.62</v>
      </c>
      <c r="H47" s="59">
        <f>ROUND(D47*(G47/100),0)</f>
        <v>0</v>
      </c>
      <c r="I47" s="59">
        <f>E47-H47</f>
        <v>884400</v>
      </c>
      <c r="K47" s="138">
        <f>ROUND('Adjust Depr Table 1'!S61,2)</f>
        <v>1.72</v>
      </c>
      <c r="L47" s="143"/>
      <c r="M47" s="139">
        <f>ROUND(D47*(K47/100),0)</f>
        <v>0</v>
      </c>
      <c r="N47" s="139">
        <f>'Adjust Depr Table 1'!Q61</f>
        <v>580972.52380952379</v>
      </c>
      <c r="O47" s="139">
        <f>N47-M47</f>
        <v>580972.52380952379</v>
      </c>
      <c r="P47" s="242"/>
      <c r="Q47" s="241" t="str">
        <f>IF(C47-D47&lt;1,0,"No")</f>
        <v>No</v>
      </c>
    </row>
    <row r="48" spans="1:17" s="19" customFormat="1">
      <c r="A48" s="64"/>
      <c r="B48" s="70" t="s">
        <v>59</v>
      </c>
      <c r="C48" s="71">
        <v>60137136.600000001</v>
      </c>
      <c r="D48" s="72">
        <v>0</v>
      </c>
      <c r="E48" s="73">
        <v>1606261</v>
      </c>
      <c r="F48" s="218">
        <f>C48*G48/100</f>
        <v>1605661.5472200001</v>
      </c>
      <c r="G48" s="74">
        <v>2.67</v>
      </c>
      <c r="H48" s="59">
        <f>ROUND(D48*(G48/100),0)</f>
        <v>0</v>
      </c>
      <c r="I48" s="59">
        <f>E48-H48</f>
        <v>1606261</v>
      </c>
      <c r="K48" s="138">
        <f>ROUND('Adjust Depr Table 1'!S62,2)</f>
        <v>1.89</v>
      </c>
      <c r="L48" s="143"/>
      <c r="M48" s="139">
        <f>ROUND(D48*(K48/100),0)</f>
        <v>0</v>
      </c>
      <c r="N48" s="139">
        <f>'Adjust Depr Table 1'!Q62</f>
        <v>1135479.2173913044</v>
      </c>
      <c r="O48" s="139">
        <f>N48-M48</f>
        <v>1135479.2173913044</v>
      </c>
      <c r="P48" s="242"/>
      <c r="Q48" s="241" t="str">
        <f>IF(C48-D48&lt;1,0,"No")</f>
        <v>No</v>
      </c>
    </row>
    <row r="49" spans="1:17" s="19" customFormat="1">
      <c r="A49" s="64"/>
      <c r="B49" s="70" t="s">
        <v>60</v>
      </c>
      <c r="C49" s="71">
        <v>80408959.549999997</v>
      </c>
      <c r="D49" s="72">
        <v>0</v>
      </c>
      <c r="E49" s="73">
        <v>2646915</v>
      </c>
      <c r="F49" s="218">
        <f>C49*G49/100</f>
        <v>2645454.7691949997</v>
      </c>
      <c r="G49" s="74">
        <v>3.29</v>
      </c>
      <c r="H49" s="59">
        <f>ROUND(D49*(G49/100),0)</f>
        <v>0</v>
      </c>
      <c r="I49" s="59">
        <f>E49-H49</f>
        <v>2646915</v>
      </c>
      <c r="K49" s="138">
        <f>ROUND('Adjust Depr Table 1'!S63,2)</f>
        <v>2.65</v>
      </c>
      <c r="L49" s="143"/>
      <c r="M49" s="139">
        <f>ROUND(D49*(K49/100),0)</f>
        <v>0</v>
      </c>
      <c r="N49" s="139">
        <f>'Adjust Depr Table 1'!Q63</f>
        <v>2126954.1153846155</v>
      </c>
      <c r="O49" s="139">
        <f>N49-M49</f>
        <v>2126954.1153846155</v>
      </c>
      <c r="P49" s="242"/>
      <c r="Q49" s="241" t="str">
        <f>IF(C49-D49&lt;1,0,"No")</f>
        <v>No</v>
      </c>
    </row>
    <row r="50" spans="1:17" s="19" customFormat="1">
      <c r="A50" s="64"/>
      <c r="B50" s="70" t="s">
        <v>61</v>
      </c>
      <c r="C50" s="75">
        <v>80239064.25</v>
      </c>
      <c r="D50" s="76">
        <v>0</v>
      </c>
      <c r="E50" s="77">
        <v>2960611</v>
      </c>
      <c r="F50" s="216">
        <f>C50*G50/100</f>
        <v>2960821.4708249997</v>
      </c>
      <c r="G50" s="74">
        <v>3.69</v>
      </c>
      <c r="H50" s="63">
        <f>ROUND(D50*(G50/100),0)</f>
        <v>0</v>
      </c>
      <c r="I50" s="63">
        <f>E50-H50</f>
        <v>2960611</v>
      </c>
      <c r="K50" s="138">
        <f>ROUND('Adjust Depr Table 1'!S64,2)</f>
        <v>3.08</v>
      </c>
      <c r="L50" s="143"/>
      <c r="M50" s="140">
        <f>ROUND(D50*(K50/100),0)</f>
        <v>0</v>
      </c>
      <c r="N50" s="140">
        <f>'Adjust Depr Table 1'!Q64</f>
        <v>2474064.9666666668</v>
      </c>
      <c r="O50" s="140">
        <f>N50-M50</f>
        <v>2474064.9666666668</v>
      </c>
      <c r="P50" s="242"/>
      <c r="Q50" s="241" t="str">
        <f>IF(C50-D50&lt;1,0,"No")</f>
        <v>No</v>
      </c>
    </row>
    <row r="51" spans="1:17" s="19" customFormat="1">
      <c r="A51" s="64"/>
      <c r="B51" s="78" t="s">
        <v>70</v>
      </c>
      <c r="C51" s="71">
        <f>SUM(C46:C50)</f>
        <v>278199932.47000003</v>
      </c>
      <c r="D51" s="72">
        <f>SUM(D46:D50)</f>
        <v>0</v>
      </c>
      <c r="E51" s="72">
        <f>SUM(E46:E50)</f>
        <v>8910196</v>
      </c>
      <c r="F51" s="221">
        <f>SUM(F46:F50)</f>
        <v>8905924.469713999</v>
      </c>
      <c r="G51" s="74">
        <f>+ROUND(E51/C51*100,2)</f>
        <v>3.2</v>
      </c>
      <c r="H51" s="72">
        <f>SUM(H46:H50)</f>
        <v>0</v>
      </c>
      <c r="I51" s="72">
        <f>SUM(I46:I50)</f>
        <v>8910196</v>
      </c>
      <c r="K51" s="138"/>
      <c r="L51" s="143"/>
      <c r="M51" s="145">
        <f>SUM(M46:M50)</f>
        <v>0</v>
      </c>
      <c r="N51" s="145">
        <f>SUM(N46:N50)</f>
        <v>6918732.186888475</v>
      </c>
      <c r="O51" s="145">
        <f>SUM(O46:O50)</f>
        <v>6918732.186888475</v>
      </c>
      <c r="P51" s="242"/>
      <c r="Q51" s="242"/>
    </row>
    <row r="52" spans="1:17" s="19" customFormat="1">
      <c r="A52" s="64">
        <v>315</v>
      </c>
      <c r="B52" s="78" t="s">
        <v>71</v>
      </c>
      <c r="C52" s="71"/>
      <c r="D52" s="72"/>
      <c r="E52" s="73"/>
      <c r="F52" s="220"/>
      <c r="G52" s="74"/>
      <c r="H52" s="69"/>
      <c r="I52" s="69"/>
      <c r="K52" s="138"/>
      <c r="L52" s="143"/>
      <c r="M52" s="144"/>
      <c r="N52" s="144"/>
      <c r="O52" s="144"/>
      <c r="P52" s="242"/>
      <c r="Q52" s="242"/>
    </row>
    <row r="53" spans="1:17" s="19" customFormat="1">
      <c r="A53" s="64"/>
      <c r="B53" s="70" t="s">
        <v>55</v>
      </c>
      <c r="C53" s="71">
        <v>3362383.45</v>
      </c>
      <c r="D53" s="72">
        <v>0</v>
      </c>
      <c r="E53" s="73">
        <v>88268</v>
      </c>
      <c r="F53" s="218">
        <f t="shared" ref="F53:F63" si="10">C53*G53/100</f>
        <v>88430.684735000003</v>
      </c>
      <c r="G53" s="74">
        <v>2.63</v>
      </c>
      <c r="H53" s="59">
        <f t="shared" ref="H53:H61" si="11">ROUND(D53*(G53/100),0)</f>
        <v>0</v>
      </c>
      <c r="I53" s="59">
        <f t="shared" ref="I53:I63" si="12">E53-H53</f>
        <v>88268</v>
      </c>
      <c r="K53" s="138">
        <f>ROUND('Adjust Depr Table 1'!S69,2)</f>
        <v>1.91</v>
      </c>
      <c r="L53" s="143"/>
      <c r="M53" s="139">
        <f t="shared" ref="M53:M61" si="13">ROUND(D53*(K53/100),0)</f>
        <v>0</v>
      </c>
      <c r="N53" s="139">
        <f>'Adjust Depr Table 1'!Q69</f>
        <v>64053.63636363636</v>
      </c>
      <c r="O53" s="139">
        <f t="shared" ref="O53:O63" si="14">N53-M53</f>
        <v>64053.63636363636</v>
      </c>
      <c r="P53" s="242"/>
      <c r="Q53" s="241" t="str">
        <f t="shared" ref="Q53:Q63" si="15">IF(C53-D53&lt;1,0,"No")</f>
        <v>No</v>
      </c>
    </row>
    <row r="54" spans="1:17" s="19" customFormat="1">
      <c r="A54" s="64"/>
      <c r="B54" s="70" t="s">
        <v>66</v>
      </c>
      <c r="C54" s="71">
        <v>108139.1</v>
      </c>
      <c r="D54" s="72">
        <v>0</v>
      </c>
      <c r="E54" s="73">
        <v>9139</v>
      </c>
      <c r="F54" s="218">
        <f t="shared" si="10"/>
        <v>9137.7539500000003</v>
      </c>
      <c r="G54" s="74">
        <v>8.4499999999999993</v>
      </c>
      <c r="H54" s="59">
        <f t="shared" si="11"/>
        <v>0</v>
      </c>
      <c r="I54" s="59">
        <f t="shared" si="12"/>
        <v>9139</v>
      </c>
      <c r="K54" s="138">
        <f>ROUND('Adjust Depr Table 1'!S70,2)</f>
        <v>7.61</v>
      </c>
      <c r="L54" s="143"/>
      <c r="M54" s="139">
        <f t="shared" si="13"/>
        <v>0</v>
      </c>
      <c r="N54" s="139">
        <f>'Adjust Depr Table 1'!Q70</f>
        <v>8232</v>
      </c>
      <c r="O54" s="139">
        <f t="shared" si="14"/>
        <v>8232</v>
      </c>
      <c r="P54" s="242"/>
      <c r="Q54" s="241" t="str">
        <f t="shared" si="15"/>
        <v>No</v>
      </c>
    </row>
    <row r="55" spans="1:17" s="19" customFormat="1">
      <c r="A55" s="64"/>
      <c r="B55" s="70" t="s">
        <v>67</v>
      </c>
      <c r="C55" s="71">
        <v>108269.09</v>
      </c>
      <c r="D55" s="72">
        <v>0</v>
      </c>
      <c r="E55" s="73">
        <v>9150</v>
      </c>
      <c r="F55" s="218">
        <f t="shared" si="10"/>
        <v>9148.7381049999985</v>
      </c>
      <c r="G55" s="74">
        <v>8.4499999999999993</v>
      </c>
      <c r="H55" s="59">
        <f t="shared" si="11"/>
        <v>0</v>
      </c>
      <c r="I55" s="59">
        <f t="shared" si="12"/>
        <v>9150</v>
      </c>
      <c r="K55" s="138">
        <f>ROUND('Adjust Depr Table 1'!S71,2)</f>
        <v>7.61</v>
      </c>
      <c r="L55" s="143"/>
      <c r="M55" s="139">
        <f t="shared" si="13"/>
        <v>0</v>
      </c>
      <c r="N55" s="139">
        <f>'Adjust Depr Table 1'!Q71</f>
        <v>8242.0909090909099</v>
      </c>
      <c r="O55" s="139">
        <f t="shared" si="14"/>
        <v>8242.0909090909099</v>
      </c>
      <c r="P55" s="242"/>
      <c r="Q55" s="241" t="str">
        <f t="shared" si="15"/>
        <v>No</v>
      </c>
    </row>
    <row r="56" spans="1:17" s="19" customFormat="1">
      <c r="A56" s="64"/>
      <c r="B56" s="70" t="s">
        <v>56</v>
      </c>
      <c r="C56" s="71">
        <v>12060627.85</v>
      </c>
      <c r="D56" s="72">
        <v>12060628</v>
      </c>
      <c r="E56" s="73">
        <v>693494</v>
      </c>
      <c r="F56" s="218">
        <f t="shared" si="10"/>
        <v>693486.10137500009</v>
      </c>
      <c r="G56" s="74">
        <v>5.75</v>
      </c>
      <c r="H56" s="59">
        <f>ROUND(D56*(G56/100),0)+8</f>
        <v>693494</v>
      </c>
      <c r="I56" s="59">
        <f t="shared" si="12"/>
        <v>0</v>
      </c>
      <c r="K56" s="138">
        <f>ROUND('Adjust Depr Table 1'!S72,2)</f>
        <v>5.03</v>
      </c>
      <c r="L56" s="143"/>
      <c r="M56" s="139">
        <f>ROUND(D56*(K56/100),0)-130</f>
        <v>606520</v>
      </c>
      <c r="N56" s="139">
        <f>'Adjust Depr Table 1'!Q72</f>
        <v>606519.90909090906</v>
      </c>
      <c r="O56" s="243">
        <f t="shared" si="14"/>
        <v>-9.0909090940840542E-2</v>
      </c>
      <c r="P56" s="242"/>
      <c r="Q56" s="241">
        <f t="shared" si="15"/>
        <v>0</v>
      </c>
    </row>
    <row r="57" spans="1:17" s="19" customFormat="1">
      <c r="A57" s="64"/>
      <c r="B57" s="70" t="s">
        <v>57</v>
      </c>
      <c r="C57" s="71">
        <v>657912.36</v>
      </c>
      <c r="D57" s="72">
        <v>0</v>
      </c>
      <c r="E57" s="73">
        <v>23693</v>
      </c>
      <c r="F57" s="218">
        <f t="shared" si="10"/>
        <v>23684.844959999999</v>
      </c>
      <c r="G57" s="74">
        <v>3.6</v>
      </c>
      <c r="H57" s="59">
        <f t="shared" si="11"/>
        <v>0</v>
      </c>
      <c r="I57" s="59">
        <f t="shared" si="12"/>
        <v>23693</v>
      </c>
      <c r="K57" s="138">
        <f>ROUND('Adjust Depr Table 1'!S73,2)</f>
        <v>3.29</v>
      </c>
      <c r="L57" s="143"/>
      <c r="M57" s="139">
        <f t="shared" si="13"/>
        <v>0</v>
      </c>
      <c r="N57" s="139">
        <f>'Adjust Depr Table 1'!Q73</f>
        <v>21668.066666666666</v>
      </c>
      <c r="O57" s="139">
        <f t="shared" si="14"/>
        <v>21668.066666666666</v>
      </c>
      <c r="P57" s="242"/>
      <c r="Q57" s="241" t="str">
        <f t="shared" si="15"/>
        <v>No</v>
      </c>
    </row>
    <row r="58" spans="1:17" s="19" customFormat="1">
      <c r="A58" s="64"/>
      <c r="B58" s="70" t="s">
        <v>58</v>
      </c>
      <c r="C58" s="71">
        <v>10670855.65</v>
      </c>
      <c r="D58" s="72">
        <v>3643763</v>
      </c>
      <c r="E58" s="73">
        <v>255913</v>
      </c>
      <c r="F58" s="218">
        <f t="shared" si="10"/>
        <v>256100.53559999997</v>
      </c>
      <c r="G58" s="74">
        <v>2.4</v>
      </c>
      <c r="H58" s="59">
        <f t="shared" si="11"/>
        <v>87450</v>
      </c>
      <c r="I58" s="59">
        <f t="shared" si="12"/>
        <v>168463</v>
      </c>
      <c r="K58" s="138">
        <f>ROUND('Adjust Depr Table 1'!S74,2)</f>
        <v>1.79</v>
      </c>
      <c r="L58" s="143"/>
      <c r="M58" s="139">
        <f t="shared" si="13"/>
        <v>65223</v>
      </c>
      <c r="N58" s="139">
        <f>'Adjust Depr Table 1'!Q74</f>
        <v>190831.19047619047</v>
      </c>
      <c r="O58" s="139">
        <f t="shared" si="14"/>
        <v>125608.19047619047</v>
      </c>
      <c r="P58" s="242"/>
      <c r="Q58" s="241" t="str">
        <f t="shared" si="15"/>
        <v>No</v>
      </c>
    </row>
    <row r="59" spans="1:17" s="19" customFormat="1">
      <c r="A59" s="64"/>
      <c r="B59" s="70" t="s">
        <v>59</v>
      </c>
      <c r="C59" s="71">
        <v>21783326.510000002</v>
      </c>
      <c r="D59" s="72">
        <v>0</v>
      </c>
      <c r="E59" s="73">
        <v>421018</v>
      </c>
      <c r="F59" s="218">
        <f t="shared" si="10"/>
        <v>420418.20164300001</v>
      </c>
      <c r="G59" s="74">
        <v>1.93</v>
      </c>
      <c r="H59" s="59">
        <f t="shared" si="11"/>
        <v>0</v>
      </c>
      <c r="I59" s="59">
        <f t="shared" si="12"/>
        <v>421018</v>
      </c>
      <c r="K59" s="138">
        <f>ROUND('Adjust Depr Table 1'!S75,2)</f>
        <v>1.34</v>
      </c>
      <c r="L59" s="143"/>
      <c r="M59" s="139">
        <f t="shared" si="13"/>
        <v>0</v>
      </c>
      <c r="N59" s="139">
        <f>'Adjust Depr Table 1'!Q75</f>
        <v>291381</v>
      </c>
      <c r="O59" s="139">
        <f t="shared" si="14"/>
        <v>291381</v>
      </c>
      <c r="P59" s="242"/>
      <c r="Q59" s="241" t="str">
        <f t="shared" si="15"/>
        <v>No</v>
      </c>
    </row>
    <row r="60" spans="1:17" s="19" customFormat="1">
      <c r="A60" s="64"/>
      <c r="B60" s="70" t="s">
        <v>60</v>
      </c>
      <c r="C60" s="71">
        <v>23764302.84</v>
      </c>
      <c r="D60" s="72">
        <v>0</v>
      </c>
      <c r="E60" s="73">
        <v>715699</v>
      </c>
      <c r="F60" s="218">
        <f t="shared" si="10"/>
        <v>715305.51548399997</v>
      </c>
      <c r="G60" s="74">
        <v>3.01</v>
      </c>
      <c r="H60" s="59">
        <f t="shared" si="11"/>
        <v>0</v>
      </c>
      <c r="I60" s="59">
        <f t="shared" si="12"/>
        <v>715699</v>
      </c>
      <c r="K60" s="138">
        <f>ROUND('Adjust Depr Table 1'!S76,2)</f>
        <v>2.63</v>
      </c>
      <c r="L60" s="143"/>
      <c r="M60" s="139">
        <f t="shared" si="13"/>
        <v>0</v>
      </c>
      <c r="N60" s="139">
        <f>'Adjust Depr Table 1'!Q76</f>
        <v>624719.42307692312</v>
      </c>
      <c r="O60" s="139">
        <f t="shared" si="14"/>
        <v>624719.42307692312</v>
      </c>
      <c r="P60" s="242"/>
      <c r="Q60" s="241" t="str">
        <f t="shared" si="15"/>
        <v>No</v>
      </c>
    </row>
    <row r="61" spans="1:17" s="19" customFormat="1">
      <c r="A61" s="64"/>
      <c r="B61" s="70" t="s">
        <v>61</v>
      </c>
      <c r="C61" s="71">
        <v>12751242.41</v>
      </c>
      <c r="D61" s="72">
        <v>50263</v>
      </c>
      <c r="E61" s="73">
        <v>422962</v>
      </c>
      <c r="F61" s="218">
        <f t="shared" si="10"/>
        <v>423341.24801199994</v>
      </c>
      <c r="G61" s="74">
        <v>3.32</v>
      </c>
      <c r="H61" s="59">
        <f t="shared" si="11"/>
        <v>1669</v>
      </c>
      <c r="I61" s="59">
        <f t="shared" si="12"/>
        <v>421293</v>
      </c>
      <c r="K61" s="138">
        <f>ROUND('Adjust Depr Table 1'!S77,2)</f>
        <v>2.97</v>
      </c>
      <c r="L61" s="143"/>
      <c r="M61" s="139">
        <f t="shared" si="13"/>
        <v>1493</v>
      </c>
      <c r="N61" s="139">
        <f>'Adjust Depr Table 1'!Q77</f>
        <v>378969.33333333331</v>
      </c>
      <c r="O61" s="139">
        <f t="shared" si="14"/>
        <v>377476.33333333331</v>
      </c>
      <c r="P61" s="242"/>
      <c r="Q61" s="241" t="str">
        <f t="shared" si="15"/>
        <v>No</v>
      </c>
    </row>
    <row r="62" spans="1:17" s="19" customFormat="1">
      <c r="A62" s="64"/>
      <c r="B62" s="70" t="s">
        <v>62</v>
      </c>
      <c r="C62" s="71">
        <v>12520715.15</v>
      </c>
      <c r="D62" s="72">
        <v>12520715</v>
      </c>
      <c r="E62" s="73">
        <v>439199</v>
      </c>
      <c r="F62" s="218">
        <f t="shared" si="10"/>
        <v>439477.10176500003</v>
      </c>
      <c r="G62" s="74">
        <v>3.51</v>
      </c>
      <c r="H62" s="59">
        <f>ROUND(D62*(G62/100),0)-278</f>
        <v>439199</v>
      </c>
      <c r="I62" s="59">
        <f t="shared" si="12"/>
        <v>0</v>
      </c>
      <c r="K62" s="138">
        <f>ROUND('Adjust Depr Table 1'!S78,2)</f>
        <v>3.07</v>
      </c>
      <c r="L62" s="143"/>
      <c r="M62" s="139">
        <f>ROUND(D62*(K62/100),0)-99</f>
        <v>384287</v>
      </c>
      <c r="N62" s="139">
        <f>'Adjust Depr Table 1'!Q78</f>
        <v>384287.38095238095</v>
      </c>
      <c r="O62" s="243">
        <f t="shared" si="14"/>
        <v>0.38095238094683737</v>
      </c>
      <c r="P62" s="242"/>
      <c r="Q62" s="241">
        <f t="shared" si="15"/>
        <v>0</v>
      </c>
    </row>
    <row r="63" spans="1:17" s="19" customFormat="1">
      <c r="A63" s="64"/>
      <c r="B63" s="70" t="s">
        <v>63</v>
      </c>
      <c r="C63" s="75">
        <v>17731988.489999998</v>
      </c>
      <c r="D63" s="76">
        <v>17731989</v>
      </c>
      <c r="E63" s="77">
        <v>564466</v>
      </c>
      <c r="F63" s="216">
        <f t="shared" si="10"/>
        <v>563877.23398200003</v>
      </c>
      <c r="G63" s="74">
        <v>3.18</v>
      </c>
      <c r="H63" s="63">
        <f>ROUND(D63*(G63/100),0)+589</f>
        <v>564466</v>
      </c>
      <c r="I63" s="63">
        <f t="shared" si="12"/>
        <v>0</v>
      </c>
      <c r="K63" s="138">
        <f>ROUND('Adjust Depr Table 1'!S79,2)</f>
        <v>2.78</v>
      </c>
      <c r="L63" s="143"/>
      <c r="M63" s="140">
        <f>ROUND(D63*(K63/100),0)+862</f>
        <v>493811</v>
      </c>
      <c r="N63" s="140">
        <f>'Adjust Depr Table 1'!Q79</f>
        <v>493810.91304347827</v>
      </c>
      <c r="O63" s="244">
        <f t="shared" si="14"/>
        <v>-8.6956521729007363E-2</v>
      </c>
      <c r="P63" s="242"/>
      <c r="Q63" s="241">
        <f t="shared" si="15"/>
        <v>0</v>
      </c>
    </row>
    <row r="64" spans="1:17" s="19" customFormat="1">
      <c r="A64" s="64"/>
      <c r="B64" s="78" t="s">
        <v>72</v>
      </c>
      <c r="C64" s="71">
        <f>SUM(C53:C63)</f>
        <v>115519762.90000001</v>
      </c>
      <c r="D64" s="72">
        <f>SUM(D53:D63)</f>
        <v>46007358</v>
      </c>
      <c r="E64" s="72">
        <f>SUM(E53:E63)</f>
        <v>3643001</v>
      </c>
      <c r="F64" s="221">
        <f>SUM(F53:F63)</f>
        <v>3642407.959611</v>
      </c>
      <c r="G64" s="74">
        <f>+ROUND(E64/C64*100,2)</f>
        <v>3.15</v>
      </c>
      <c r="H64" s="72">
        <f>SUM(H53:H63)</f>
        <v>1786278</v>
      </c>
      <c r="I64" s="72">
        <f>SUM(I53:I63)</f>
        <v>1856723</v>
      </c>
      <c r="K64" s="138"/>
      <c r="L64" s="143"/>
      <c r="M64" s="145">
        <f>SUM(M53:M63)</f>
        <v>1551334</v>
      </c>
      <c r="N64" s="145">
        <f>SUM(N53:N63)</f>
        <v>3072714.9439126095</v>
      </c>
      <c r="O64" s="145">
        <f>SUM(O53:O63)</f>
        <v>1521380.9439126092</v>
      </c>
      <c r="P64" s="242"/>
      <c r="Q64" s="242"/>
    </row>
    <row r="65" spans="1:17" s="19" customFormat="1">
      <c r="A65" s="64">
        <v>316</v>
      </c>
      <c r="B65" s="78" t="s">
        <v>73</v>
      </c>
      <c r="C65" s="71"/>
      <c r="D65" s="72"/>
      <c r="E65" s="67"/>
      <c r="F65" s="219"/>
      <c r="G65" s="74"/>
      <c r="H65" s="69"/>
      <c r="I65" s="69"/>
      <c r="K65" s="138"/>
      <c r="L65" s="143"/>
      <c r="M65" s="144"/>
      <c r="N65" s="144"/>
      <c r="O65" s="144"/>
      <c r="P65" s="242"/>
      <c r="Q65" s="242"/>
    </row>
    <row r="66" spans="1:17" s="19" customFormat="1">
      <c r="A66" s="64"/>
      <c r="B66" s="70" t="s">
        <v>54</v>
      </c>
      <c r="C66" s="71">
        <v>1111554.28</v>
      </c>
      <c r="D66" s="72">
        <v>0</v>
      </c>
      <c r="E66" s="73">
        <v>46409</v>
      </c>
      <c r="F66" s="218">
        <f t="shared" ref="F66:F72" si="16">C66*G66/100</f>
        <v>46462.968904000001</v>
      </c>
      <c r="G66" s="74">
        <v>4.18</v>
      </c>
      <c r="H66" s="59">
        <f t="shared" ref="H66:H72" si="17">ROUND(D66*(G66/100),0)</f>
        <v>0</v>
      </c>
      <c r="I66" s="59">
        <f t="shared" ref="I66:I72" si="18">E66-H66</f>
        <v>46409</v>
      </c>
      <c r="K66" s="138">
        <f>ROUND('Adjust Depr Table 1'!S84,2)</f>
        <v>3.4</v>
      </c>
      <c r="L66" s="143"/>
      <c r="M66" s="139">
        <f>ROUND(D66*(K66/100),0)</f>
        <v>0</v>
      </c>
      <c r="N66" s="139">
        <f>'Adjust Depr Table 1'!Q84</f>
        <v>37798.63636363636</v>
      </c>
      <c r="O66" s="139">
        <f t="shared" ref="O66:O72" si="19">N66-M66</f>
        <v>37798.63636363636</v>
      </c>
      <c r="P66" s="242"/>
      <c r="Q66" s="241" t="str">
        <f t="shared" ref="Q66:Q72" si="20">IF(C66-D66&lt;1,0,"No")</f>
        <v>No</v>
      </c>
    </row>
    <row r="67" spans="1:17" s="19" customFormat="1">
      <c r="A67" s="64"/>
      <c r="B67" s="70" t="s">
        <v>55</v>
      </c>
      <c r="C67" s="71">
        <v>2706566.34</v>
      </c>
      <c r="D67" s="72">
        <v>0</v>
      </c>
      <c r="E67" s="73">
        <v>165029</v>
      </c>
      <c r="F67" s="218">
        <f t="shared" si="16"/>
        <v>165100.54673999999</v>
      </c>
      <c r="G67" s="74">
        <v>6.1</v>
      </c>
      <c r="H67" s="59">
        <f t="shared" si="17"/>
        <v>0</v>
      </c>
      <c r="I67" s="59">
        <f t="shared" si="18"/>
        <v>165029</v>
      </c>
      <c r="K67" s="138">
        <f>ROUND('Adjust Depr Table 1'!S85,2)</f>
        <v>4.74</v>
      </c>
      <c r="L67" s="143"/>
      <c r="M67" s="139">
        <f>ROUND(D67*(K67/100),0)</f>
        <v>0</v>
      </c>
      <c r="N67" s="139">
        <f>'Adjust Depr Table 1'!Q85</f>
        <v>128343.63636363637</v>
      </c>
      <c r="O67" s="139">
        <f t="shared" si="19"/>
        <v>128343.63636363637</v>
      </c>
      <c r="P67" s="242"/>
      <c r="Q67" s="241" t="str">
        <f t="shared" si="20"/>
        <v>No</v>
      </c>
    </row>
    <row r="68" spans="1:17" s="19" customFormat="1">
      <c r="A68" s="64"/>
      <c r="B68" s="70" t="s">
        <v>56</v>
      </c>
      <c r="C68" s="71">
        <v>2139985.1800000002</v>
      </c>
      <c r="D68" s="72">
        <v>2139985</v>
      </c>
      <c r="E68" s="73">
        <v>134767</v>
      </c>
      <c r="F68" s="218">
        <f t="shared" si="16"/>
        <v>134819.06634000002</v>
      </c>
      <c r="G68" s="74">
        <v>6.3</v>
      </c>
      <c r="H68" s="59">
        <f>ROUND(D68*(G68/100),0)-52</f>
        <v>134767</v>
      </c>
      <c r="I68" s="59">
        <f t="shared" si="18"/>
        <v>0</v>
      </c>
      <c r="K68" s="138">
        <f>ROUND('Adjust Depr Table 1'!S86,2)</f>
        <v>4.97</v>
      </c>
      <c r="L68" s="143"/>
      <c r="M68" s="139">
        <f>ROUND(D68*(K68/100),0)+60</f>
        <v>106417</v>
      </c>
      <c r="N68" s="139">
        <f>'Adjust Depr Table 1'!Q86</f>
        <v>106417.27272727272</v>
      </c>
      <c r="O68" s="243">
        <f t="shared" si="19"/>
        <v>0.27272727272065822</v>
      </c>
      <c r="P68" s="242"/>
      <c r="Q68" s="241">
        <f t="shared" si="20"/>
        <v>0</v>
      </c>
    </row>
    <row r="69" spans="1:17" s="19" customFormat="1">
      <c r="A69" s="64"/>
      <c r="B69" s="70" t="s">
        <v>57</v>
      </c>
      <c r="C69" s="71">
        <v>4774642.05</v>
      </c>
      <c r="D69" s="72">
        <v>0</v>
      </c>
      <c r="E69" s="73">
        <v>180210</v>
      </c>
      <c r="F69" s="218">
        <f t="shared" si="16"/>
        <v>180004.00528499999</v>
      </c>
      <c r="G69" s="74">
        <v>3.77</v>
      </c>
      <c r="H69" s="59">
        <f t="shared" si="17"/>
        <v>0</v>
      </c>
      <c r="I69" s="59">
        <f t="shared" si="18"/>
        <v>180210</v>
      </c>
      <c r="K69" s="138">
        <f>ROUND('Adjust Depr Table 1'!S87,2)</f>
        <v>1.98</v>
      </c>
      <c r="L69" s="143"/>
      <c r="M69" s="139">
        <f>ROUND(D69*(K69/100),0)</f>
        <v>0</v>
      </c>
      <c r="N69" s="139">
        <f>'Adjust Depr Table 1'!Q87</f>
        <v>94404.3</v>
      </c>
      <c r="O69" s="139">
        <f t="shared" si="19"/>
        <v>94404.3</v>
      </c>
      <c r="P69" s="242"/>
      <c r="Q69" s="241" t="str">
        <f t="shared" si="20"/>
        <v>No</v>
      </c>
    </row>
    <row r="70" spans="1:17" s="19" customFormat="1">
      <c r="A70" s="64"/>
      <c r="B70" s="70" t="s">
        <v>58</v>
      </c>
      <c r="C70" s="71">
        <v>182562.7</v>
      </c>
      <c r="D70" s="72">
        <v>0</v>
      </c>
      <c r="E70" s="73">
        <v>6978</v>
      </c>
      <c r="F70" s="218">
        <f t="shared" si="16"/>
        <v>6973.8951399999996</v>
      </c>
      <c r="G70" s="74">
        <v>3.82</v>
      </c>
      <c r="H70" s="59">
        <f t="shared" si="17"/>
        <v>0</v>
      </c>
      <c r="I70" s="59">
        <f t="shared" si="18"/>
        <v>6978</v>
      </c>
      <c r="K70" s="138">
        <f>ROUND('Adjust Depr Table 1'!S88,2)</f>
        <v>1.43</v>
      </c>
      <c r="L70" s="143"/>
      <c r="M70" s="139">
        <f>ROUND(D70*(K70/100),0)</f>
        <v>0</v>
      </c>
      <c r="N70" s="139">
        <f>'Adjust Depr Table 1'!Q88</f>
        <v>2611.0476190476193</v>
      </c>
      <c r="O70" s="139">
        <f t="shared" si="19"/>
        <v>2611.0476190476193</v>
      </c>
      <c r="P70" s="242"/>
      <c r="Q70" s="241" t="str">
        <f t="shared" si="20"/>
        <v>No</v>
      </c>
    </row>
    <row r="71" spans="1:17" s="19" customFormat="1">
      <c r="A71" s="64"/>
      <c r="B71" s="70" t="s">
        <v>60</v>
      </c>
      <c r="C71" s="71">
        <v>2192469.65</v>
      </c>
      <c r="D71" s="72">
        <v>0</v>
      </c>
      <c r="E71" s="73">
        <v>105158</v>
      </c>
      <c r="F71" s="218">
        <f t="shared" si="16"/>
        <v>105238.54319999999</v>
      </c>
      <c r="G71" s="74">
        <v>4.8</v>
      </c>
      <c r="H71" s="59">
        <f t="shared" si="17"/>
        <v>0</v>
      </c>
      <c r="I71" s="59">
        <f t="shared" si="18"/>
        <v>105158</v>
      </c>
      <c r="K71" s="138">
        <f>ROUND('Adjust Depr Table 1'!S89,2)</f>
        <v>3.41</v>
      </c>
      <c r="L71" s="143"/>
      <c r="M71" s="139">
        <f>ROUND(D71*(K71/100),0)</f>
        <v>0</v>
      </c>
      <c r="N71" s="139">
        <f>'Adjust Depr Table 1'!Q89</f>
        <v>74786.307692307688</v>
      </c>
      <c r="O71" s="139">
        <f t="shared" si="19"/>
        <v>74786.307692307688</v>
      </c>
      <c r="P71" s="242"/>
      <c r="Q71" s="241" t="str">
        <f t="shared" si="20"/>
        <v>No</v>
      </c>
    </row>
    <row r="72" spans="1:17" s="19" customFormat="1">
      <c r="A72" s="64"/>
      <c r="B72" s="70" t="s">
        <v>61</v>
      </c>
      <c r="C72" s="75">
        <v>3964220.82</v>
      </c>
      <c r="D72" s="76">
        <v>1536289</v>
      </c>
      <c r="E72" s="77">
        <v>191731</v>
      </c>
      <c r="F72" s="216">
        <f t="shared" si="16"/>
        <v>191868.28768799998</v>
      </c>
      <c r="G72" s="74">
        <v>4.84</v>
      </c>
      <c r="H72" s="63">
        <f t="shared" si="17"/>
        <v>74356</v>
      </c>
      <c r="I72" s="63">
        <f t="shared" si="18"/>
        <v>117375</v>
      </c>
      <c r="K72" s="138">
        <f>ROUND('Adjust Depr Table 1'!S90,2)</f>
        <v>3.1</v>
      </c>
      <c r="L72" s="143"/>
      <c r="M72" s="140">
        <f>ROUND(D72*(K72/100),0)</f>
        <v>47625</v>
      </c>
      <c r="N72" s="140">
        <f>'Adjust Depr Table 1'!Q90</f>
        <v>123047.83333333333</v>
      </c>
      <c r="O72" s="140">
        <f t="shared" si="19"/>
        <v>75422.833333333328</v>
      </c>
      <c r="P72" s="242"/>
      <c r="Q72" s="241" t="str">
        <f t="shared" si="20"/>
        <v>No</v>
      </c>
    </row>
    <row r="73" spans="1:17" s="19" customFormat="1">
      <c r="A73" s="64"/>
      <c r="B73" s="78" t="s">
        <v>74</v>
      </c>
      <c r="C73" s="75">
        <f>SUM(C66:C72)</f>
        <v>17072001.02</v>
      </c>
      <c r="D73" s="76">
        <f>SUM(D66:D72)</f>
        <v>3676274</v>
      </c>
      <c r="E73" s="76">
        <f>SUM(E66:E72)</f>
        <v>830282</v>
      </c>
      <c r="F73" s="222">
        <f>SUM(F66:F72)</f>
        <v>830467.31329700002</v>
      </c>
      <c r="G73" s="74">
        <f>+ROUND(E73/C73*100,2)</f>
        <v>4.8600000000000003</v>
      </c>
      <c r="H73" s="76">
        <f>SUM(H66:H72)</f>
        <v>209123</v>
      </c>
      <c r="I73" s="76">
        <f>SUM(I66:I72)</f>
        <v>621159</v>
      </c>
      <c r="K73" s="138"/>
      <c r="L73" s="143"/>
      <c r="M73" s="146">
        <f>SUM(M66:M72)</f>
        <v>154042</v>
      </c>
      <c r="N73" s="146">
        <f>SUM(N66:N72)</f>
        <v>567409.03409923415</v>
      </c>
      <c r="O73" s="146">
        <f>SUM(O66:O72)</f>
        <v>413367.03409923409</v>
      </c>
      <c r="P73" s="242"/>
      <c r="Q73" s="242"/>
    </row>
    <row r="74" spans="1:17" ht="15.75">
      <c r="A74" s="23"/>
      <c r="B74" s="79"/>
      <c r="C74" s="71"/>
      <c r="D74" s="72"/>
      <c r="E74" s="73"/>
      <c r="F74" s="220"/>
      <c r="G74" s="49"/>
      <c r="H74" s="44"/>
      <c r="I74" s="44"/>
      <c r="K74" s="137"/>
      <c r="L74" s="126"/>
      <c r="M74" s="135"/>
      <c r="N74" s="135"/>
      <c r="O74" s="135"/>
      <c r="P74" s="241"/>
      <c r="Q74" s="241"/>
    </row>
    <row r="75" spans="1:17" ht="15.75">
      <c r="A75" s="80"/>
      <c r="B75" s="81" t="s">
        <v>75</v>
      </c>
      <c r="C75" s="82">
        <f>C19+C31+C44+C51+C64+C73</f>
        <v>2426607851.3600001</v>
      </c>
      <c r="D75" s="83">
        <f>D19+D31+D44+D51+D64+D73</f>
        <v>961388118.53999996</v>
      </c>
      <c r="E75" s="83">
        <f>E19+E31+E44+E51+E64+E73</f>
        <v>86108150</v>
      </c>
      <c r="F75" s="223">
        <f>F19+F31+F44+F51+F64+F73</f>
        <v>86109827.975243002</v>
      </c>
      <c r="G75" s="84">
        <f>+ROUND(E75/C75*100,2)</f>
        <v>3.55</v>
      </c>
      <c r="H75" s="83">
        <f>H19+H31+H44+H51+H64+H73</f>
        <v>39355250</v>
      </c>
      <c r="I75" s="83">
        <f>I19+I31+I44+I51+I64+I73</f>
        <v>46752900</v>
      </c>
      <c r="K75" s="212"/>
      <c r="L75" s="126"/>
      <c r="M75" s="147">
        <f>M19+M31+M44+M51+M64+M73</f>
        <v>32833993</v>
      </c>
      <c r="N75" s="147">
        <f>N19+N31+N44+N51+N64+N73</f>
        <v>70105617.735030204</v>
      </c>
      <c r="O75" s="147">
        <f>O19+O31+O44+O51+O64+O73</f>
        <v>37271624.735030197</v>
      </c>
      <c r="P75" s="241"/>
      <c r="Q75" s="241"/>
    </row>
    <row r="76" spans="1:17" s="19" customFormat="1">
      <c r="A76" s="85"/>
      <c r="B76" s="86"/>
      <c r="C76" s="87"/>
      <c r="D76" s="88"/>
      <c r="E76" s="89"/>
      <c r="F76" s="224"/>
      <c r="G76" s="74"/>
      <c r="H76" s="69"/>
      <c r="I76" s="69"/>
      <c r="K76" s="138"/>
      <c r="L76" s="143"/>
      <c r="M76" s="144"/>
      <c r="N76" s="144"/>
      <c r="O76" s="144"/>
      <c r="P76" s="242"/>
      <c r="Q76" s="242"/>
    </row>
    <row r="77" spans="1:17" ht="15.75">
      <c r="A77" s="23"/>
      <c r="B77" s="24" t="s">
        <v>76</v>
      </c>
      <c r="D77" s="45"/>
      <c r="E77" s="46"/>
      <c r="F77" s="217"/>
      <c r="G77" s="49"/>
      <c r="H77" s="44"/>
      <c r="I77" s="44"/>
      <c r="K77" s="137"/>
      <c r="L77" s="126"/>
      <c r="M77" s="135"/>
      <c r="N77" s="135"/>
      <c r="O77" s="135"/>
      <c r="P77" s="241"/>
      <c r="Q77" s="241"/>
    </row>
    <row r="78" spans="1:17" ht="15.75">
      <c r="A78" s="23"/>
      <c r="B78" s="48"/>
      <c r="D78" s="45"/>
      <c r="E78" s="46"/>
      <c r="F78" s="217"/>
      <c r="G78" s="49"/>
      <c r="H78" s="44"/>
      <c r="I78" s="44"/>
      <c r="K78" s="137"/>
      <c r="L78" s="126"/>
      <c r="M78" s="135"/>
      <c r="N78" s="135"/>
      <c r="O78" s="135"/>
      <c r="P78" s="241"/>
      <c r="Q78" s="241"/>
    </row>
    <row r="79" spans="1:17" s="19" customFormat="1">
      <c r="A79" s="64">
        <v>341</v>
      </c>
      <c r="B79" s="65" t="s">
        <v>53</v>
      </c>
      <c r="C79" s="65"/>
      <c r="D79" s="66"/>
      <c r="E79" s="67"/>
      <c r="F79" s="219"/>
      <c r="G79" s="68"/>
      <c r="H79" s="69"/>
      <c r="I79" s="69"/>
      <c r="K79" s="142"/>
      <c r="L79" s="143"/>
      <c r="M79" s="144"/>
      <c r="N79" s="144"/>
      <c r="O79" s="144"/>
      <c r="P79" s="242"/>
      <c r="Q79" s="242"/>
    </row>
    <row r="80" spans="1:17" s="19" customFormat="1">
      <c r="A80" s="64"/>
      <c r="B80" s="70" t="s">
        <v>77</v>
      </c>
      <c r="C80" s="71">
        <v>19534021.23</v>
      </c>
      <c r="D80" s="72">
        <v>0</v>
      </c>
      <c r="E80" s="73">
        <v>461876</v>
      </c>
      <c r="F80" s="218">
        <f t="shared" ref="F80:F99" si="21">C80*G80/100</f>
        <v>461002.90102799999</v>
      </c>
      <c r="G80" s="74">
        <v>2.36</v>
      </c>
      <c r="H80" s="59">
        <f t="shared" ref="H80:H99" si="22">ROUND(D80*(G80/100),0)</f>
        <v>0</v>
      </c>
      <c r="I80" s="59">
        <f t="shared" ref="I80:I99" si="23">E80-H80</f>
        <v>461876</v>
      </c>
      <c r="K80" s="138">
        <f>ROUND('Adjust Depr Table 1'!S99,2)</f>
        <v>1.89</v>
      </c>
      <c r="L80" s="143"/>
      <c r="M80" s="139">
        <f t="shared" ref="M80:M99" si="24">ROUND(D80*(K80/100),0)</f>
        <v>0</v>
      </c>
      <c r="N80" s="139">
        <f>'Adjust Depr Table 1'!Q99</f>
        <v>369486.03225806454</v>
      </c>
      <c r="O80" s="139">
        <f t="shared" ref="O80:O99" si="25">N80-M80</f>
        <v>369486.03225806454</v>
      </c>
      <c r="P80" s="242"/>
      <c r="Q80" s="242"/>
    </row>
    <row r="81" spans="1:17" s="19" customFormat="1">
      <c r="A81" s="64"/>
      <c r="B81" s="70" t="s">
        <v>78</v>
      </c>
      <c r="C81" s="71">
        <v>2666719.81</v>
      </c>
      <c r="D81" s="72">
        <v>0</v>
      </c>
      <c r="E81" s="73">
        <v>91600</v>
      </c>
      <c r="F81" s="218">
        <f t="shared" si="21"/>
        <v>91468.489482999998</v>
      </c>
      <c r="G81" s="74">
        <v>3.43</v>
      </c>
      <c r="H81" s="59">
        <f t="shared" si="22"/>
        <v>0</v>
      </c>
      <c r="I81" s="59">
        <f t="shared" si="23"/>
        <v>91600</v>
      </c>
      <c r="K81" s="138">
        <f>ROUND('Adjust Depr Table 1'!S100,2)</f>
        <v>2.85</v>
      </c>
      <c r="L81" s="143"/>
      <c r="M81" s="139">
        <f t="shared" si="24"/>
        <v>0</v>
      </c>
      <c r="N81" s="139">
        <f>'Adjust Depr Table 1'!Q100</f>
        <v>76009.53333333334</v>
      </c>
      <c r="O81" s="139">
        <f t="shared" si="25"/>
        <v>76009.53333333334</v>
      </c>
      <c r="P81" s="242"/>
      <c r="Q81" s="242"/>
    </row>
    <row r="82" spans="1:17" s="19" customFormat="1">
      <c r="A82" s="64"/>
      <c r="B82" s="70" t="s">
        <v>79</v>
      </c>
      <c r="C82" s="71">
        <v>2666719.81</v>
      </c>
      <c r="D82" s="72">
        <v>0</v>
      </c>
      <c r="E82" s="73">
        <v>90097</v>
      </c>
      <c r="F82" s="218">
        <f t="shared" si="21"/>
        <v>90135.129577999993</v>
      </c>
      <c r="G82" s="74">
        <v>3.38</v>
      </c>
      <c r="H82" s="59">
        <f t="shared" si="22"/>
        <v>0</v>
      </c>
      <c r="I82" s="59">
        <f t="shared" si="23"/>
        <v>90097</v>
      </c>
      <c r="K82" s="138">
        <f>ROUND('Adjust Depr Table 1'!S101,2)</f>
        <v>2.8</v>
      </c>
      <c r="L82" s="143"/>
      <c r="M82" s="139">
        <f t="shared" si="24"/>
        <v>0</v>
      </c>
      <c r="N82" s="139">
        <f>'Adjust Depr Table 1'!Q101</f>
        <v>74646</v>
      </c>
      <c r="O82" s="139">
        <f t="shared" si="25"/>
        <v>74646</v>
      </c>
      <c r="P82" s="242"/>
      <c r="Q82" s="242"/>
    </row>
    <row r="83" spans="1:17" s="19" customFormat="1">
      <c r="A83" s="64"/>
      <c r="B83" s="70" t="s">
        <v>80</v>
      </c>
      <c r="C83" s="71">
        <v>2666719.81</v>
      </c>
      <c r="D83" s="72">
        <v>0</v>
      </c>
      <c r="E83" s="73">
        <v>90824</v>
      </c>
      <c r="F83" s="218">
        <f t="shared" si="21"/>
        <v>90935.145521000013</v>
      </c>
      <c r="G83" s="74">
        <v>3.41</v>
      </c>
      <c r="H83" s="59">
        <f t="shared" si="22"/>
        <v>0</v>
      </c>
      <c r="I83" s="59">
        <f t="shared" si="23"/>
        <v>90824</v>
      </c>
      <c r="K83" s="138">
        <f>ROUND('Adjust Depr Table 1'!S102,2)</f>
        <v>2.82</v>
      </c>
      <c r="L83" s="143"/>
      <c r="M83" s="139">
        <f t="shared" si="24"/>
        <v>0</v>
      </c>
      <c r="N83" s="139">
        <f>'Adjust Depr Table 1'!Q102</f>
        <v>75305.733333333337</v>
      </c>
      <c r="O83" s="139">
        <f t="shared" si="25"/>
        <v>75305.733333333337</v>
      </c>
      <c r="P83" s="242"/>
      <c r="Q83" s="242"/>
    </row>
    <row r="84" spans="1:17" s="19" customFormat="1">
      <c r="A84" s="64"/>
      <c r="B84" s="70" t="s">
        <v>81</v>
      </c>
      <c r="C84" s="71">
        <v>1937757.41</v>
      </c>
      <c r="D84" s="72">
        <v>0</v>
      </c>
      <c r="E84" s="73">
        <v>56828</v>
      </c>
      <c r="F84" s="218">
        <f t="shared" si="21"/>
        <v>56776.292112999996</v>
      </c>
      <c r="G84" s="74">
        <v>2.93</v>
      </c>
      <c r="H84" s="59">
        <f t="shared" si="22"/>
        <v>0</v>
      </c>
      <c r="I84" s="59">
        <f t="shared" si="23"/>
        <v>56828</v>
      </c>
      <c r="K84" s="138">
        <f>ROUND('Adjust Depr Table 1'!S103,2)</f>
        <v>2.41</v>
      </c>
      <c r="L84" s="143"/>
      <c r="M84" s="139">
        <f t="shared" si="24"/>
        <v>0</v>
      </c>
      <c r="N84" s="139">
        <f>'Adjust Depr Table 1'!Q103</f>
        <v>46712.909090909088</v>
      </c>
      <c r="O84" s="139">
        <f t="shared" si="25"/>
        <v>46712.909090909088</v>
      </c>
      <c r="P84" s="242"/>
      <c r="Q84" s="242"/>
    </row>
    <row r="85" spans="1:17" s="19" customFormat="1">
      <c r="A85" s="64"/>
      <c r="B85" s="70" t="s">
        <v>82</v>
      </c>
      <c r="C85" s="71">
        <v>1599135.43</v>
      </c>
      <c r="D85" s="72">
        <v>0</v>
      </c>
      <c r="E85" s="73">
        <v>47190</v>
      </c>
      <c r="F85" s="218">
        <f t="shared" si="21"/>
        <v>47174.495185</v>
      </c>
      <c r="G85" s="74">
        <v>2.95</v>
      </c>
      <c r="H85" s="59">
        <f t="shared" si="22"/>
        <v>0</v>
      </c>
      <c r="I85" s="59">
        <f t="shared" si="23"/>
        <v>47190</v>
      </c>
      <c r="K85" s="138">
        <f>ROUND('Adjust Depr Table 1'!S104,2)</f>
        <v>2.4300000000000002</v>
      </c>
      <c r="L85" s="143"/>
      <c r="M85" s="139">
        <f t="shared" si="24"/>
        <v>0</v>
      </c>
      <c r="N85" s="139">
        <f>'Adjust Depr Table 1'!Q104</f>
        <v>38845.045454545456</v>
      </c>
      <c r="O85" s="139">
        <f t="shared" si="25"/>
        <v>38845.045454545456</v>
      </c>
      <c r="P85" s="242"/>
      <c r="Q85" s="242"/>
    </row>
    <row r="86" spans="1:17" s="19" customFormat="1">
      <c r="A86" s="64"/>
      <c r="B86" s="70" t="s">
        <v>83</v>
      </c>
      <c r="C86" s="71">
        <v>303524.78000000003</v>
      </c>
      <c r="D86" s="72">
        <v>0</v>
      </c>
      <c r="E86" s="73">
        <v>8882</v>
      </c>
      <c r="F86" s="218">
        <f t="shared" si="21"/>
        <v>8893.2760540000017</v>
      </c>
      <c r="G86" s="74">
        <v>2.93</v>
      </c>
      <c r="H86" s="59">
        <f t="shared" si="22"/>
        <v>0</v>
      </c>
      <c r="I86" s="59">
        <f t="shared" si="23"/>
        <v>8882</v>
      </c>
      <c r="K86" s="138">
        <f>ROUND('Adjust Depr Table 1'!S105,2)</f>
        <v>2.4300000000000002</v>
      </c>
      <c r="L86" s="143"/>
      <c r="M86" s="139">
        <f t="shared" si="24"/>
        <v>0</v>
      </c>
      <c r="N86" s="139">
        <f>'Adjust Depr Table 1'!Q105</f>
        <v>7390.5769230769229</v>
      </c>
      <c r="O86" s="139">
        <f t="shared" si="25"/>
        <v>7390.5769230769229</v>
      </c>
      <c r="P86" s="242"/>
      <c r="Q86" s="242"/>
    </row>
    <row r="87" spans="1:17" s="19" customFormat="1">
      <c r="A87" s="64"/>
      <c r="B87" s="70" t="s">
        <v>84</v>
      </c>
      <c r="C87" s="71">
        <v>303524.78000000003</v>
      </c>
      <c r="D87" s="72">
        <v>0</v>
      </c>
      <c r="E87" s="73">
        <v>8882</v>
      </c>
      <c r="F87" s="218">
        <f t="shared" si="21"/>
        <v>8893.2760540000017</v>
      </c>
      <c r="G87" s="74">
        <v>2.93</v>
      </c>
      <c r="H87" s="59">
        <f t="shared" si="22"/>
        <v>0</v>
      </c>
      <c r="I87" s="59">
        <f t="shared" si="23"/>
        <v>8882</v>
      </c>
      <c r="K87" s="138">
        <f>ROUND('Adjust Depr Table 1'!S106,2)</f>
        <v>2.4300000000000002</v>
      </c>
      <c r="L87" s="143"/>
      <c r="M87" s="139">
        <f t="shared" si="24"/>
        <v>0</v>
      </c>
      <c r="N87" s="139">
        <f>'Adjust Depr Table 1'!Q106</f>
        <v>7390.6538461538457</v>
      </c>
      <c r="O87" s="139">
        <f t="shared" si="25"/>
        <v>7390.6538461538457</v>
      </c>
      <c r="P87" s="242"/>
      <c r="Q87" s="242"/>
    </row>
    <row r="88" spans="1:17" s="19" customFormat="1">
      <c r="A88" s="64"/>
      <c r="B88" s="70" t="s">
        <v>85</v>
      </c>
      <c r="C88" s="71">
        <v>4500637.37</v>
      </c>
      <c r="D88" s="72">
        <v>0</v>
      </c>
      <c r="E88" s="73">
        <v>137706</v>
      </c>
      <c r="F88" s="218">
        <f t="shared" si="21"/>
        <v>137719.50352200001</v>
      </c>
      <c r="G88" s="74">
        <v>3.06</v>
      </c>
      <c r="H88" s="59">
        <f t="shared" si="22"/>
        <v>0</v>
      </c>
      <c r="I88" s="59">
        <f t="shared" si="23"/>
        <v>137706</v>
      </c>
      <c r="K88" s="138">
        <f>ROUND('Adjust Depr Table 1'!S107,2)</f>
        <v>2.59</v>
      </c>
      <c r="L88" s="143"/>
      <c r="M88" s="139">
        <f t="shared" si="24"/>
        <v>0</v>
      </c>
      <c r="N88" s="139">
        <f>'Adjust Depr Table 1'!Q107</f>
        <v>116692.51612903226</v>
      </c>
      <c r="O88" s="139">
        <f t="shared" si="25"/>
        <v>116692.51612903226</v>
      </c>
      <c r="P88" s="242"/>
      <c r="Q88" s="242"/>
    </row>
    <row r="89" spans="1:17" s="19" customFormat="1">
      <c r="A89" s="64"/>
      <c r="B89" s="70" t="s">
        <v>86</v>
      </c>
      <c r="C89" s="71">
        <v>88846.57</v>
      </c>
      <c r="D89" s="72">
        <v>0</v>
      </c>
      <c r="E89" s="73">
        <v>2541</v>
      </c>
      <c r="F89" s="218">
        <f t="shared" si="21"/>
        <v>2541.0119020000002</v>
      </c>
      <c r="G89" s="74">
        <v>2.86</v>
      </c>
      <c r="H89" s="59">
        <f t="shared" si="22"/>
        <v>0</v>
      </c>
      <c r="I89" s="59">
        <f t="shared" si="23"/>
        <v>2541</v>
      </c>
      <c r="K89" s="138">
        <f>ROUND('Adjust Depr Table 1'!S108,2)</f>
        <v>2.4300000000000002</v>
      </c>
      <c r="L89" s="143"/>
      <c r="M89" s="139">
        <f t="shared" si="24"/>
        <v>0</v>
      </c>
      <c r="N89" s="139">
        <f>'Adjust Depr Table 1'!Q108</f>
        <v>2156.1290322580644</v>
      </c>
      <c r="O89" s="139">
        <f t="shared" si="25"/>
        <v>2156.1290322580644</v>
      </c>
      <c r="P89" s="242"/>
      <c r="Q89" s="242"/>
    </row>
    <row r="90" spans="1:17" s="19" customFormat="1">
      <c r="A90" s="64"/>
      <c r="B90" s="70" t="s">
        <v>87</v>
      </c>
      <c r="C90" s="71">
        <v>1119860.8</v>
      </c>
      <c r="D90" s="72">
        <v>0</v>
      </c>
      <c r="E90" s="73">
        <v>37693</v>
      </c>
      <c r="F90" s="218">
        <f t="shared" si="21"/>
        <v>37739.308960000002</v>
      </c>
      <c r="G90" s="74">
        <v>3.37</v>
      </c>
      <c r="H90" s="59">
        <f t="shared" si="22"/>
        <v>0</v>
      </c>
      <c r="I90" s="59">
        <f t="shared" si="23"/>
        <v>37693</v>
      </c>
      <c r="K90" s="138">
        <f>ROUND('Adjust Depr Table 1'!S109,2)</f>
        <v>2.93</v>
      </c>
      <c r="L90" s="143"/>
      <c r="M90" s="139">
        <f t="shared" si="24"/>
        <v>0</v>
      </c>
      <c r="N90" s="139">
        <f>'Adjust Depr Table 1'!Q109</f>
        <v>32863.526315789473</v>
      </c>
      <c r="O90" s="139">
        <f t="shared" si="25"/>
        <v>32863.526315789473</v>
      </c>
      <c r="P90" s="242"/>
      <c r="Q90" s="242"/>
    </row>
    <row r="91" spans="1:17" s="19" customFormat="1">
      <c r="A91" s="64"/>
      <c r="B91" s="70" t="s">
        <v>88</v>
      </c>
      <c r="C91" s="71">
        <v>1200486.53</v>
      </c>
      <c r="D91" s="72">
        <v>0</v>
      </c>
      <c r="E91" s="73">
        <v>40406</v>
      </c>
      <c r="F91" s="218">
        <f t="shared" si="21"/>
        <v>40456.396061000007</v>
      </c>
      <c r="G91" s="74">
        <v>3.37</v>
      </c>
      <c r="H91" s="59">
        <f t="shared" si="22"/>
        <v>0</v>
      </c>
      <c r="I91" s="59">
        <f t="shared" si="23"/>
        <v>40406</v>
      </c>
      <c r="K91" s="138">
        <f>ROUND('Adjust Depr Table 1'!S110,2)</f>
        <v>2.93</v>
      </c>
      <c r="L91" s="143"/>
      <c r="M91" s="139">
        <f t="shared" si="24"/>
        <v>0</v>
      </c>
      <c r="N91" s="139">
        <f>'Adjust Depr Table 1'!Q110</f>
        <v>35229.631578947367</v>
      </c>
      <c r="O91" s="139">
        <f t="shared" si="25"/>
        <v>35229.631578947367</v>
      </c>
      <c r="P91" s="242"/>
      <c r="Q91" s="242"/>
    </row>
    <row r="92" spans="1:17" s="19" customFormat="1">
      <c r="A92" s="64"/>
      <c r="B92" s="70" t="s">
        <v>89</v>
      </c>
      <c r="C92" s="71">
        <v>1135966.24</v>
      </c>
      <c r="D92" s="72">
        <v>0</v>
      </c>
      <c r="E92" s="73">
        <v>38235</v>
      </c>
      <c r="F92" s="218">
        <f t="shared" si="21"/>
        <v>38282.062288000001</v>
      </c>
      <c r="G92" s="74">
        <v>3.37</v>
      </c>
      <c r="H92" s="59">
        <f t="shared" si="22"/>
        <v>0</v>
      </c>
      <c r="I92" s="59">
        <f t="shared" si="23"/>
        <v>38235</v>
      </c>
      <c r="K92" s="138">
        <f>ROUND('Adjust Depr Table 1'!S111,2)</f>
        <v>2.93</v>
      </c>
      <c r="L92" s="143"/>
      <c r="M92" s="139">
        <f t="shared" si="24"/>
        <v>0</v>
      </c>
      <c r="N92" s="139">
        <f>'Adjust Depr Table 1'!Q111</f>
        <v>33336.15789473684</v>
      </c>
      <c r="O92" s="139">
        <f t="shared" si="25"/>
        <v>33336.15789473684</v>
      </c>
      <c r="P92" s="242"/>
      <c r="Q92" s="242"/>
    </row>
    <row r="93" spans="1:17" s="19" customFormat="1">
      <c r="A93" s="64"/>
      <c r="B93" s="70" t="s">
        <v>90</v>
      </c>
      <c r="C93" s="71">
        <v>1465228.09</v>
      </c>
      <c r="D93" s="72">
        <v>0</v>
      </c>
      <c r="E93" s="73">
        <v>48151</v>
      </c>
      <c r="F93" s="218">
        <f t="shared" si="21"/>
        <v>48206.004160999997</v>
      </c>
      <c r="G93" s="74">
        <v>3.29</v>
      </c>
      <c r="H93" s="59">
        <f t="shared" si="22"/>
        <v>0</v>
      </c>
      <c r="I93" s="59">
        <f t="shared" si="23"/>
        <v>48151</v>
      </c>
      <c r="K93" s="138">
        <f>ROUND('Adjust Depr Table 1'!S112,2)</f>
        <v>2.89</v>
      </c>
      <c r="L93" s="143"/>
      <c r="M93" s="139">
        <f t="shared" si="24"/>
        <v>0</v>
      </c>
      <c r="N93" s="139">
        <f>'Adjust Depr Table 1'!Q112</f>
        <v>42288.090909090912</v>
      </c>
      <c r="O93" s="139">
        <f t="shared" si="25"/>
        <v>42288.090909090912</v>
      </c>
      <c r="P93" s="242"/>
      <c r="Q93" s="242"/>
    </row>
    <row r="94" spans="1:17" s="19" customFormat="1">
      <c r="A94" s="64"/>
      <c r="B94" s="70" t="s">
        <v>91</v>
      </c>
      <c r="C94" s="71">
        <v>2033652.36</v>
      </c>
      <c r="D94" s="72">
        <v>0</v>
      </c>
      <c r="E94" s="73">
        <v>88263</v>
      </c>
      <c r="F94" s="218">
        <f t="shared" si="21"/>
        <v>88260.512424</v>
      </c>
      <c r="G94" s="74">
        <v>4.34</v>
      </c>
      <c r="H94" s="59">
        <f t="shared" si="22"/>
        <v>0</v>
      </c>
      <c r="I94" s="59">
        <f t="shared" si="23"/>
        <v>88263</v>
      </c>
      <c r="K94" s="138">
        <f>ROUND('Adjust Depr Table 1'!S113,2)</f>
        <v>4.05</v>
      </c>
      <c r="L94" s="143"/>
      <c r="M94" s="139">
        <f t="shared" si="24"/>
        <v>0</v>
      </c>
      <c r="N94" s="139">
        <f>'Adjust Depr Table 1'!Q113</f>
        <v>82287.434782608689</v>
      </c>
      <c r="O94" s="139">
        <f t="shared" si="25"/>
        <v>82287.434782608689</v>
      </c>
      <c r="P94" s="242"/>
      <c r="Q94" s="242"/>
    </row>
    <row r="95" spans="1:17" s="19" customFormat="1">
      <c r="A95" s="64"/>
      <c r="B95" s="70" t="s">
        <v>92</v>
      </c>
      <c r="C95" s="71">
        <v>7229721.6399999997</v>
      </c>
      <c r="D95" s="72">
        <v>0</v>
      </c>
      <c r="E95" s="73">
        <v>200136</v>
      </c>
      <c r="F95" s="218">
        <f t="shared" si="21"/>
        <v>200263.28942799999</v>
      </c>
      <c r="G95" s="74">
        <v>2.77</v>
      </c>
      <c r="H95" s="59">
        <f t="shared" si="22"/>
        <v>0</v>
      </c>
      <c r="I95" s="59">
        <f t="shared" si="23"/>
        <v>200136</v>
      </c>
      <c r="K95" s="138">
        <f>ROUND('Adjust Depr Table 1'!S114,2)</f>
        <v>2.4</v>
      </c>
      <c r="L95" s="143"/>
      <c r="M95" s="139">
        <f t="shared" si="24"/>
        <v>0</v>
      </c>
      <c r="N95" s="139">
        <f>'Adjust Depr Table 1'!Q114</f>
        <v>173193.91304347827</v>
      </c>
      <c r="O95" s="139">
        <f t="shared" si="25"/>
        <v>173193.91304347827</v>
      </c>
      <c r="P95" s="242"/>
      <c r="Q95" s="242"/>
    </row>
    <row r="96" spans="1:17" s="19" customFormat="1">
      <c r="A96" s="64"/>
      <c r="B96" s="70" t="s">
        <v>93</v>
      </c>
      <c r="C96" s="71">
        <v>933680.4</v>
      </c>
      <c r="D96" s="72">
        <v>0</v>
      </c>
      <c r="E96" s="73">
        <v>24483</v>
      </c>
      <c r="F96" s="218">
        <f t="shared" si="21"/>
        <v>24462.426480000002</v>
      </c>
      <c r="G96" s="74">
        <v>2.62</v>
      </c>
      <c r="H96" s="59">
        <f t="shared" si="22"/>
        <v>0</v>
      </c>
      <c r="I96" s="59">
        <f t="shared" si="23"/>
        <v>24483</v>
      </c>
      <c r="K96" s="138">
        <f>ROUND('Adjust Depr Table 1'!S115,2)</f>
        <v>2.2599999999999998</v>
      </c>
      <c r="L96" s="143"/>
      <c r="M96" s="139">
        <f t="shared" si="24"/>
        <v>0</v>
      </c>
      <c r="N96" s="139">
        <f>'Adjust Depr Table 1'!Q115</f>
        <v>21080.08695652174</v>
      </c>
      <c r="O96" s="139">
        <f t="shared" si="25"/>
        <v>21080.08695652174</v>
      </c>
      <c r="P96" s="242"/>
      <c r="Q96" s="242"/>
    </row>
    <row r="97" spans="1:17" s="19" customFormat="1">
      <c r="A97" s="64"/>
      <c r="B97" s="70" t="s">
        <v>94</v>
      </c>
      <c r="C97" s="71">
        <v>933680.4</v>
      </c>
      <c r="D97" s="72">
        <v>0</v>
      </c>
      <c r="E97" s="73">
        <v>24700</v>
      </c>
      <c r="F97" s="218">
        <f t="shared" si="21"/>
        <v>24742.530600000002</v>
      </c>
      <c r="G97" s="74">
        <v>2.65</v>
      </c>
      <c r="H97" s="59">
        <f t="shared" si="22"/>
        <v>0</v>
      </c>
      <c r="I97" s="59">
        <f t="shared" si="23"/>
        <v>24700</v>
      </c>
      <c r="K97" s="138">
        <f>ROUND('Adjust Depr Table 1'!S116,2)</f>
        <v>2.2799999999999998</v>
      </c>
      <c r="L97" s="143"/>
      <c r="M97" s="139">
        <f t="shared" si="24"/>
        <v>0</v>
      </c>
      <c r="N97" s="139">
        <f>'Adjust Depr Table 1'!Q116</f>
        <v>21284.652173913044</v>
      </c>
      <c r="O97" s="139">
        <f t="shared" si="25"/>
        <v>21284.652173913044</v>
      </c>
      <c r="P97" s="242"/>
      <c r="Q97" s="242"/>
    </row>
    <row r="98" spans="1:17" s="19" customFormat="1">
      <c r="A98" s="64"/>
      <c r="B98" s="70" t="s">
        <v>95</v>
      </c>
      <c r="C98" s="71">
        <v>933680.4</v>
      </c>
      <c r="D98" s="72">
        <v>0</v>
      </c>
      <c r="E98" s="73">
        <v>24485</v>
      </c>
      <c r="F98" s="218">
        <f t="shared" si="21"/>
        <v>24462.426480000002</v>
      </c>
      <c r="G98" s="74">
        <v>2.62</v>
      </c>
      <c r="H98" s="59">
        <f t="shared" si="22"/>
        <v>0</v>
      </c>
      <c r="I98" s="59">
        <f t="shared" si="23"/>
        <v>24485</v>
      </c>
      <c r="K98" s="138">
        <f>ROUND('Adjust Depr Table 1'!S117,2)</f>
        <v>2.2599999999999998</v>
      </c>
      <c r="L98" s="143"/>
      <c r="M98" s="139">
        <f t="shared" si="24"/>
        <v>0</v>
      </c>
      <c r="N98" s="139">
        <f>'Adjust Depr Table 1'!Q117</f>
        <v>21081.652173913044</v>
      </c>
      <c r="O98" s="139">
        <f t="shared" si="25"/>
        <v>21081.652173913044</v>
      </c>
      <c r="P98" s="242"/>
      <c r="Q98" s="242"/>
    </row>
    <row r="99" spans="1:17" s="19" customFormat="1">
      <c r="A99" s="64"/>
      <c r="B99" s="70" t="s">
        <v>96</v>
      </c>
      <c r="C99" s="75">
        <v>625882</v>
      </c>
      <c r="D99" s="76">
        <v>0</v>
      </c>
      <c r="E99" s="77">
        <v>26347</v>
      </c>
      <c r="F99" s="216">
        <f t="shared" si="21"/>
        <v>26349.632200000004</v>
      </c>
      <c r="G99" s="74">
        <v>4.21</v>
      </c>
      <c r="H99" s="63">
        <f t="shared" si="22"/>
        <v>0</v>
      </c>
      <c r="I99" s="63">
        <f t="shared" si="23"/>
        <v>26347</v>
      </c>
      <c r="K99" s="138">
        <f>ROUND('Adjust Depr Table 1'!S118,2)</f>
        <v>3.96</v>
      </c>
      <c r="L99" s="143"/>
      <c r="M99" s="140">
        <f t="shared" si="24"/>
        <v>0</v>
      </c>
      <c r="N99" s="140">
        <f>'Adjust Depr Table 1'!Q118</f>
        <v>24803.434782608696</v>
      </c>
      <c r="O99" s="140">
        <f t="shared" si="25"/>
        <v>24803.434782608696</v>
      </c>
      <c r="P99" s="242"/>
      <c r="Q99" s="242"/>
    </row>
    <row r="100" spans="1:17" s="19" customFormat="1">
      <c r="A100" s="64"/>
      <c r="B100" s="78" t="s">
        <v>64</v>
      </c>
      <c r="C100" s="71">
        <f>SUM(C80:C99)</f>
        <v>53879445.859999999</v>
      </c>
      <c r="D100" s="72">
        <f>SUM(D80:D99)</f>
        <v>0</v>
      </c>
      <c r="E100" s="72">
        <f>SUM(E80:E99)</f>
        <v>1549325</v>
      </c>
      <c r="F100" s="221">
        <f>SUM(F80:F99)</f>
        <v>1548764.109522</v>
      </c>
      <c r="G100" s="74">
        <f>+ROUND(E100/C100*100,2)</f>
        <v>2.88</v>
      </c>
      <c r="H100" s="72">
        <f>SUM(H80:H99)</f>
        <v>0</v>
      </c>
      <c r="I100" s="72">
        <f>SUM(I80:I99)</f>
        <v>1549325</v>
      </c>
      <c r="K100" s="138"/>
      <c r="L100" s="143"/>
      <c r="M100" s="145">
        <f>SUM(M80:M99)</f>
        <v>0</v>
      </c>
      <c r="N100" s="145">
        <f>SUM(N80:N99)</f>
        <v>1302083.7100123148</v>
      </c>
      <c r="O100" s="145">
        <f>SUM(O80:O99)</f>
        <v>1302083.7100123148</v>
      </c>
      <c r="P100" s="242"/>
      <c r="Q100" s="242"/>
    </row>
    <row r="101" spans="1:17" s="19" customFormat="1">
      <c r="A101" s="64">
        <v>342</v>
      </c>
      <c r="B101" s="65" t="s">
        <v>97</v>
      </c>
      <c r="C101" s="65"/>
      <c r="D101" s="66"/>
      <c r="E101" s="67"/>
      <c r="F101" s="219"/>
      <c r="G101" s="68"/>
      <c r="H101" s="69"/>
      <c r="I101" s="69"/>
      <c r="K101" s="142"/>
      <c r="L101" s="143"/>
      <c r="M101" s="144"/>
      <c r="N101" s="144"/>
      <c r="O101" s="144"/>
      <c r="P101" s="242"/>
      <c r="Q101" s="242"/>
    </row>
    <row r="102" spans="1:17" s="19" customFormat="1">
      <c r="A102" s="64"/>
      <c r="B102" s="70" t="s">
        <v>77</v>
      </c>
      <c r="C102" s="71">
        <v>13766120.51</v>
      </c>
      <c r="D102" s="72">
        <v>0</v>
      </c>
      <c r="E102" s="73">
        <v>307631</v>
      </c>
      <c r="F102" s="218">
        <f t="shared" ref="F102:F109" si="26">C102*G102/100</f>
        <v>306984.48737300001</v>
      </c>
      <c r="G102" s="74">
        <v>2.23</v>
      </c>
      <c r="H102" s="59">
        <f t="shared" ref="H102:H109" si="27">ROUND(D102*(G102/100),0)</f>
        <v>0</v>
      </c>
      <c r="I102" s="59">
        <f t="shared" ref="I102:I109" si="28">E102-H102</f>
        <v>307631</v>
      </c>
      <c r="K102" s="138">
        <f>ROUND('Adjust Depr Table 1'!S123,2)</f>
        <v>1.8</v>
      </c>
      <c r="L102" s="143"/>
      <c r="M102" s="139">
        <f t="shared" ref="M102:M109" si="29">ROUND(D102*(K102/100),0)</f>
        <v>0</v>
      </c>
      <c r="N102" s="139">
        <f>'Adjust Depr Table 1'!Q123</f>
        <v>247215.74193548388</v>
      </c>
      <c r="O102" s="139">
        <f t="shared" ref="O102:O109" si="30">N102-M102</f>
        <v>247215.74193548388</v>
      </c>
      <c r="P102" s="242"/>
      <c r="Q102" s="242"/>
    </row>
    <row r="103" spans="1:17" s="19" customFormat="1">
      <c r="A103" s="64"/>
      <c r="B103" s="70" t="s">
        <v>83</v>
      </c>
      <c r="C103" s="71">
        <v>70051.649999999994</v>
      </c>
      <c r="D103" s="72">
        <v>0</v>
      </c>
      <c r="E103" s="73">
        <v>1970</v>
      </c>
      <c r="F103" s="218">
        <f t="shared" si="26"/>
        <v>1968.4513649999999</v>
      </c>
      <c r="G103" s="74">
        <v>2.81</v>
      </c>
      <c r="H103" s="59">
        <f t="shared" si="27"/>
        <v>0</v>
      </c>
      <c r="I103" s="59">
        <f t="shared" si="28"/>
        <v>1970</v>
      </c>
      <c r="K103" s="138">
        <f>ROUND('Adjust Depr Table 1'!S124,2)</f>
        <v>2.4</v>
      </c>
      <c r="L103" s="143"/>
      <c r="M103" s="139">
        <f t="shared" si="29"/>
        <v>0</v>
      </c>
      <c r="N103" s="139">
        <f>'Adjust Depr Table 1'!Q124</f>
        <v>1681.6923076923076</v>
      </c>
      <c r="O103" s="139">
        <f t="shared" si="30"/>
        <v>1681.6923076923076</v>
      </c>
      <c r="P103" s="242"/>
      <c r="Q103" s="242"/>
    </row>
    <row r="104" spans="1:17" s="19" customFormat="1">
      <c r="A104" s="64"/>
      <c r="B104" s="70" t="s">
        <v>84</v>
      </c>
      <c r="C104" s="71">
        <v>70051.649999999994</v>
      </c>
      <c r="D104" s="72">
        <v>0</v>
      </c>
      <c r="E104" s="73">
        <v>1970</v>
      </c>
      <c r="F104" s="218">
        <f t="shared" si="26"/>
        <v>1968.4513649999999</v>
      </c>
      <c r="G104" s="74">
        <v>2.81</v>
      </c>
      <c r="H104" s="59">
        <f t="shared" si="27"/>
        <v>0</v>
      </c>
      <c r="I104" s="59">
        <f t="shared" si="28"/>
        <v>1970</v>
      </c>
      <c r="K104" s="138">
        <f>ROUND('Adjust Depr Table 1'!S125,2)</f>
        <v>2.4</v>
      </c>
      <c r="L104" s="143"/>
      <c r="M104" s="139">
        <f t="shared" si="29"/>
        <v>0</v>
      </c>
      <c r="N104" s="139">
        <f>'Adjust Depr Table 1'!Q125</f>
        <v>1681.7307692307693</v>
      </c>
      <c r="O104" s="139">
        <f t="shared" si="30"/>
        <v>1681.7307692307693</v>
      </c>
      <c r="P104" s="242"/>
      <c r="Q104" s="242"/>
    </row>
    <row r="105" spans="1:17" s="19" customFormat="1">
      <c r="A105" s="64"/>
      <c r="B105" s="70" t="s">
        <v>85</v>
      </c>
      <c r="C105" s="71">
        <v>2384532.85</v>
      </c>
      <c r="D105" s="72">
        <v>0</v>
      </c>
      <c r="E105" s="73">
        <v>70594</v>
      </c>
      <c r="F105" s="218">
        <f t="shared" si="26"/>
        <v>70582.172360000011</v>
      </c>
      <c r="G105" s="74">
        <v>2.96</v>
      </c>
      <c r="H105" s="59">
        <f t="shared" si="27"/>
        <v>0</v>
      </c>
      <c r="I105" s="59">
        <f t="shared" si="28"/>
        <v>70594</v>
      </c>
      <c r="K105" s="138">
        <f>ROUND('Adjust Depr Table 1'!S126,2)</f>
        <v>2.6</v>
      </c>
      <c r="L105" s="143"/>
      <c r="M105" s="139">
        <f t="shared" si="29"/>
        <v>0</v>
      </c>
      <c r="N105" s="139">
        <f>'Adjust Depr Table 1'!Q126</f>
        <v>61938.322580645159</v>
      </c>
      <c r="O105" s="139">
        <f t="shared" si="30"/>
        <v>61938.322580645159</v>
      </c>
      <c r="P105" s="242"/>
      <c r="Q105" s="242"/>
    </row>
    <row r="106" spans="1:17" s="19" customFormat="1">
      <c r="A106" s="64"/>
      <c r="B106" s="70" t="s">
        <v>86</v>
      </c>
      <c r="C106" s="71">
        <v>2116650.59</v>
      </c>
      <c r="D106" s="72">
        <v>0</v>
      </c>
      <c r="E106" s="73">
        <v>57791</v>
      </c>
      <c r="F106" s="218">
        <f t="shared" si="26"/>
        <v>57784.561106999994</v>
      </c>
      <c r="G106" s="74">
        <v>2.73</v>
      </c>
      <c r="H106" s="59">
        <f t="shared" si="27"/>
        <v>0</v>
      </c>
      <c r="I106" s="59">
        <f t="shared" si="28"/>
        <v>57791</v>
      </c>
      <c r="K106" s="138">
        <f>ROUND('Adjust Depr Table 1'!S127,2)</f>
        <v>2.39</v>
      </c>
      <c r="L106" s="143"/>
      <c r="M106" s="139">
        <f t="shared" si="29"/>
        <v>0</v>
      </c>
      <c r="N106" s="139">
        <f>'Adjust Depr Table 1'!Q127</f>
        <v>50492.548387096773</v>
      </c>
      <c r="O106" s="139">
        <f t="shared" si="30"/>
        <v>50492.548387096773</v>
      </c>
      <c r="P106" s="242"/>
      <c r="Q106" s="242"/>
    </row>
    <row r="107" spans="1:17" s="19" customFormat="1">
      <c r="A107" s="64"/>
      <c r="B107" s="70" t="s">
        <v>88</v>
      </c>
      <c r="C107" s="71">
        <v>106294.19</v>
      </c>
      <c r="D107" s="72">
        <v>0</v>
      </c>
      <c r="E107" s="73">
        <v>3475</v>
      </c>
      <c r="F107" s="218">
        <f t="shared" si="26"/>
        <v>3475.820013</v>
      </c>
      <c r="G107" s="74">
        <v>3.27</v>
      </c>
      <c r="H107" s="59">
        <f t="shared" si="27"/>
        <v>0</v>
      </c>
      <c r="I107" s="59">
        <f t="shared" si="28"/>
        <v>3475</v>
      </c>
      <c r="K107" s="138">
        <f>ROUND('Adjust Depr Table 1'!S128,2)</f>
        <v>2.93</v>
      </c>
      <c r="L107" s="143"/>
      <c r="M107" s="139">
        <f t="shared" si="29"/>
        <v>0</v>
      </c>
      <c r="N107" s="139">
        <f>'Adjust Depr Table 1'!Q128</f>
        <v>3110.2631578947367</v>
      </c>
      <c r="O107" s="139">
        <f t="shared" si="30"/>
        <v>3110.2631578947367</v>
      </c>
      <c r="P107" s="242"/>
      <c r="Q107" s="242"/>
    </row>
    <row r="108" spans="1:17" s="19" customFormat="1">
      <c r="A108" s="64"/>
      <c r="B108" s="70" t="s">
        <v>89</v>
      </c>
      <c r="C108" s="71">
        <v>357670.24</v>
      </c>
      <c r="D108" s="72">
        <v>0</v>
      </c>
      <c r="E108" s="73">
        <v>11691</v>
      </c>
      <c r="F108" s="218">
        <f t="shared" si="26"/>
        <v>11695.816847999999</v>
      </c>
      <c r="G108" s="74">
        <v>3.27</v>
      </c>
      <c r="H108" s="59">
        <f t="shared" si="27"/>
        <v>0</v>
      </c>
      <c r="I108" s="59">
        <f t="shared" si="28"/>
        <v>11691</v>
      </c>
      <c r="K108" s="138">
        <f>ROUND('Adjust Depr Table 1'!S129,2)</f>
        <v>2.93</v>
      </c>
      <c r="L108" s="143"/>
      <c r="M108" s="139">
        <f t="shared" si="29"/>
        <v>0</v>
      </c>
      <c r="N108" s="139">
        <f>'Adjust Depr Table 1'!Q129</f>
        <v>10465.684210526315</v>
      </c>
      <c r="O108" s="139">
        <f t="shared" si="30"/>
        <v>10465.684210526315</v>
      </c>
      <c r="P108" s="242"/>
      <c r="Q108" s="242"/>
    </row>
    <row r="109" spans="1:17" s="19" customFormat="1">
      <c r="A109" s="64"/>
      <c r="B109" s="70" t="s">
        <v>92</v>
      </c>
      <c r="C109" s="75">
        <v>1162203.57</v>
      </c>
      <c r="D109" s="76">
        <v>0</v>
      </c>
      <c r="E109" s="77">
        <v>31781</v>
      </c>
      <c r="F109" s="216">
        <f t="shared" si="26"/>
        <v>31728.157461000003</v>
      </c>
      <c r="G109" s="74">
        <v>2.73</v>
      </c>
      <c r="H109" s="63">
        <f t="shared" si="27"/>
        <v>0</v>
      </c>
      <c r="I109" s="63">
        <f t="shared" si="28"/>
        <v>31781</v>
      </c>
      <c r="K109" s="138">
        <f>ROUND('Adjust Depr Table 1'!S130,2)</f>
        <v>2.4300000000000002</v>
      </c>
      <c r="L109" s="143"/>
      <c r="M109" s="140">
        <f t="shared" si="29"/>
        <v>0</v>
      </c>
      <c r="N109" s="140">
        <f>'Adjust Depr Table 1'!Q130</f>
        <v>28218.260869565216</v>
      </c>
      <c r="O109" s="140">
        <f t="shared" si="30"/>
        <v>28218.260869565216</v>
      </c>
      <c r="P109" s="242"/>
      <c r="Q109" s="242"/>
    </row>
    <row r="110" spans="1:17" s="19" customFormat="1">
      <c r="A110" s="64"/>
      <c r="B110" s="78" t="s">
        <v>98</v>
      </c>
      <c r="C110" s="71">
        <f>SUM(C102:C109)</f>
        <v>20033575.25</v>
      </c>
      <c r="D110" s="72">
        <f>SUM(D102:D109)</f>
        <v>0</v>
      </c>
      <c r="E110" s="72">
        <f>SUM(E102:E109)</f>
        <v>486903</v>
      </c>
      <c r="F110" s="221">
        <f>SUM(F102:F109)</f>
        <v>486187.917892</v>
      </c>
      <c r="G110" s="74">
        <f>+ROUND(E110/C110*100,2)</f>
        <v>2.4300000000000002</v>
      </c>
      <c r="H110" s="72">
        <f>SUM(H102:H109)</f>
        <v>0</v>
      </c>
      <c r="I110" s="72">
        <f>SUM(I102:I109)</f>
        <v>486903</v>
      </c>
      <c r="K110" s="138"/>
      <c r="L110" s="143"/>
      <c r="M110" s="145">
        <f>SUM(M102:M109)</f>
        <v>0</v>
      </c>
      <c r="N110" s="145">
        <f>SUM(N102:N109)</f>
        <v>404804.24421813514</v>
      </c>
      <c r="O110" s="145">
        <f>SUM(O102:O109)</f>
        <v>404804.24421813514</v>
      </c>
      <c r="P110" s="242"/>
      <c r="Q110" s="242"/>
    </row>
    <row r="111" spans="1:17" s="19" customFormat="1">
      <c r="A111" s="64">
        <v>343</v>
      </c>
      <c r="B111" s="65" t="s">
        <v>99</v>
      </c>
      <c r="C111" s="65"/>
      <c r="D111" s="66"/>
      <c r="E111" s="67"/>
      <c r="F111" s="219"/>
      <c r="G111" s="68"/>
      <c r="H111" s="69"/>
      <c r="I111" s="69"/>
      <c r="K111" s="142"/>
      <c r="L111" s="143"/>
      <c r="M111" s="144"/>
      <c r="N111" s="144"/>
      <c r="O111" s="144"/>
      <c r="P111" s="242"/>
      <c r="Q111" s="242"/>
    </row>
    <row r="112" spans="1:17" s="19" customFormat="1">
      <c r="A112" s="64"/>
      <c r="B112" s="70" t="s">
        <v>77</v>
      </c>
      <c r="C112" s="71">
        <v>21662783.59</v>
      </c>
      <c r="D112" s="72">
        <v>0</v>
      </c>
      <c r="E112" s="73">
        <v>484417</v>
      </c>
      <c r="F112" s="218">
        <f t="shared" ref="F112:F130" si="31">C112*G112/100</f>
        <v>485246.3524160001</v>
      </c>
      <c r="G112" s="74">
        <v>2.2400000000000002</v>
      </c>
      <c r="H112" s="59">
        <f t="shared" ref="H112:H130" si="32">ROUND(D112*(G112/100),0)</f>
        <v>0</v>
      </c>
      <c r="I112" s="59">
        <f t="shared" ref="I112:I130" si="33">E112-H112</f>
        <v>484417</v>
      </c>
      <c r="K112" s="138">
        <f>ROUND('Adjust Depr Table 1'!S135,2)</f>
        <v>1.82</v>
      </c>
      <c r="L112" s="143"/>
      <c r="M112" s="139">
        <f t="shared" ref="M112:M130" si="34">ROUND(D112*(K112/100),0)</f>
        <v>0</v>
      </c>
      <c r="N112" s="139">
        <f>'Adjust Depr Table 1'!Q135</f>
        <v>394846.58064516127</v>
      </c>
      <c r="O112" s="139">
        <f t="shared" ref="O112:O130" si="35">N112-M112</f>
        <v>394846.58064516127</v>
      </c>
      <c r="P112" s="242"/>
      <c r="Q112" s="242"/>
    </row>
    <row r="113" spans="1:17" s="19" customFormat="1">
      <c r="A113" s="64"/>
      <c r="B113" s="70" t="s">
        <v>78</v>
      </c>
      <c r="C113" s="71">
        <v>18938769.399999999</v>
      </c>
      <c r="D113" s="72">
        <v>0</v>
      </c>
      <c r="E113" s="73">
        <v>640798</v>
      </c>
      <c r="F113" s="218">
        <f t="shared" si="31"/>
        <v>640130.40571999992</v>
      </c>
      <c r="G113" s="74">
        <v>3.38</v>
      </c>
      <c r="H113" s="59">
        <f t="shared" si="32"/>
        <v>0</v>
      </c>
      <c r="I113" s="59">
        <f t="shared" si="33"/>
        <v>640798</v>
      </c>
      <c r="K113" s="138">
        <f>ROUND('Adjust Depr Table 1'!S136,2)</f>
        <v>2.86</v>
      </c>
      <c r="L113" s="143"/>
      <c r="M113" s="139">
        <f t="shared" si="34"/>
        <v>0</v>
      </c>
      <c r="N113" s="139">
        <f>'Adjust Depr Table 1'!Q136</f>
        <v>541591.66666666663</v>
      </c>
      <c r="O113" s="139">
        <f t="shared" si="35"/>
        <v>541591.66666666663</v>
      </c>
      <c r="P113" s="242"/>
      <c r="Q113" s="242"/>
    </row>
    <row r="114" spans="1:17" s="19" customFormat="1">
      <c r="A114" s="64"/>
      <c r="B114" s="70" t="s">
        <v>79</v>
      </c>
      <c r="C114" s="71">
        <v>17021561.969999999</v>
      </c>
      <c r="D114" s="72">
        <v>0</v>
      </c>
      <c r="E114" s="73">
        <v>546139</v>
      </c>
      <c r="F114" s="218">
        <f t="shared" si="31"/>
        <v>546392.13923700002</v>
      </c>
      <c r="G114" s="74">
        <v>3.21</v>
      </c>
      <c r="H114" s="59">
        <f t="shared" si="32"/>
        <v>0</v>
      </c>
      <c r="I114" s="59">
        <f t="shared" si="33"/>
        <v>546139</v>
      </c>
      <c r="K114" s="138">
        <f>ROUND('Adjust Depr Table 1'!S137,2)</f>
        <v>2.69</v>
      </c>
      <c r="L114" s="143"/>
      <c r="M114" s="139">
        <f t="shared" si="34"/>
        <v>0</v>
      </c>
      <c r="N114" s="139">
        <f>'Adjust Depr Table 1'!Q137</f>
        <v>457542.13333333336</v>
      </c>
      <c r="O114" s="139">
        <f t="shared" si="35"/>
        <v>457542.13333333336</v>
      </c>
      <c r="P114" s="242"/>
      <c r="Q114" s="242"/>
    </row>
    <row r="115" spans="1:17" s="19" customFormat="1">
      <c r="A115" s="64"/>
      <c r="B115" s="70" t="s">
        <v>80</v>
      </c>
      <c r="C115" s="71">
        <v>17950085.800000001</v>
      </c>
      <c r="D115" s="72">
        <v>0</v>
      </c>
      <c r="E115" s="73">
        <v>580819</v>
      </c>
      <c r="F115" s="218">
        <f t="shared" si="31"/>
        <v>581582.77992000012</v>
      </c>
      <c r="G115" s="74">
        <v>3.24</v>
      </c>
      <c r="H115" s="59">
        <f t="shared" si="32"/>
        <v>0</v>
      </c>
      <c r="I115" s="59">
        <f t="shared" si="33"/>
        <v>580819</v>
      </c>
      <c r="K115" s="138">
        <f>ROUND('Adjust Depr Table 1'!S138,2)</f>
        <v>2.71</v>
      </c>
      <c r="L115" s="143"/>
      <c r="M115" s="139">
        <f t="shared" si="34"/>
        <v>0</v>
      </c>
      <c r="N115" s="139">
        <f>'Adjust Depr Table 1'!Q138</f>
        <v>486994.6</v>
      </c>
      <c r="O115" s="139">
        <f t="shared" si="35"/>
        <v>486994.6</v>
      </c>
      <c r="P115" s="242"/>
      <c r="Q115" s="242"/>
    </row>
    <row r="116" spans="1:17" s="19" customFormat="1">
      <c r="A116" s="64"/>
      <c r="B116" s="70" t="s">
        <v>81</v>
      </c>
      <c r="C116" s="71">
        <v>25858484.41</v>
      </c>
      <c r="D116" s="72">
        <v>0</v>
      </c>
      <c r="E116" s="73">
        <v>738852</v>
      </c>
      <c r="F116" s="218">
        <f t="shared" si="31"/>
        <v>739552.65412600001</v>
      </c>
      <c r="G116" s="74">
        <v>2.86</v>
      </c>
      <c r="H116" s="59">
        <f t="shared" si="32"/>
        <v>0</v>
      </c>
      <c r="I116" s="59">
        <f t="shared" si="33"/>
        <v>738852</v>
      </c>
      <c r="K116" s="138">
        <f>ROUND('Adjust Depr Table 1'!S139,2)</f>
        <v>2.41</v>
      </c>
      <c r="L116" s="143"/>
      <c r="M116" s="139">
        <f t="shared" si="34"/>
        <v>0</v>
      </c>
      <c r="N116" s="139">
        <f>'Adjust Depr Table 1'!Q139</f>
        <v>623656</v>
      </c>
      <c r="O116" s="139">
        <f t="shared" si="35"/>
        <v>623656</v>
      </c>
      <c r="P116" s="242"/>
      <c r="Q116" s="242"/>
    </row>
    <row r="117" spans="1:17" s="19" customFormat="1">
      <c r="A117" s="64"/>
      <c r="B117" s="70" t="s">
        <v>82</v>
      </c>
      <c r="C117" s="71">
        <v>21295538.73</v>
      </c>
      <c r="D117" s="72">
        <v>0</v>
      </c>
      <c r="E117" s="73">
        <v>603663</v>
      </c>
      <c r="F117" s="218">
        <f t="shared" si="31"/>
        <v>602663.74605900003</v>
      </c>
      <c r="G117" s="74">
        <v>2.83</v>
      </c>
      <c r="H117" s="59">
        <f t="shared" si="32"/>
        <v>0</v>
      </c>
      <c r="I117" s="59">
        <f t="shared" si="33"/>
        <v>603663</v>
      </c>
      <c r="K117" s="138">
        <f>ROUND('Adjust Depr Table 1'!S140,2)</f>
        <v>2.38</v>
      </c>
      <c r="L117" s="143"/>
      <c r="M117" s="139">
        <f t="shared" si="34"/>
        <v>0</v>
      </c>
      <c r="N117" s="139">
        <f>'Adjust Depr Table 1'!Q140</f>
        <v>507722.13636363635</v>
      </c>
      <c r="O117" s="139">
        <f t="shared" si="35"/>
        <v>507722.13636363635</v>
      </c>
      <c r="P117" s="242"/>
      <c r="Q117" s="242"/>
    </row>
    <row r="118" spans="1:17" s="19" customFormat="1">
      <c r="A118" s="64"/>
      <c r="B118" s="70" t="s">
        <v>83</v>
      </c>
      <c r="C118" s="71">
        <v>17001567.77</v>
      </c>
      <c r="D118" s="72">
        <v>0</v>
      </c>
      <c r="E118" s="73">
        <v>486319</v>
      </c>
      <c r="F118" s="218">
        <f t="shared" si="31"/>
        <v>486244.83822199999</v>
      </c>
      <c r="G118" s="74">
        <v>2.86</v>
      </c>
      <c r="H118" s="59">
        <f t="shared" si="32"/>
        <v>0</v>
      </c>
      <c r="I118" s="59">
        <f t="shared" si="33"/>
        <v>486319</v>
      </c>
      <c r="K118" s="138">
        <f>ROUND('Adjust Depr Table 1'!S141,2)</f>
        <v>2.46</v>
      </c>
      <c r="L118" s="143"/>
      <c r="M118" s="139">
        <f t="shared" si="34"/>
        <v>0</v>
      </c>
      <c r="N118" s="139">
        <f>'Adjust Depr Table 1'!Q141</f>
        <v>417500.34615384613</v>
      </c>
      <c r="O118" s="139">
        <f t="shared" si="35"/>
        <v>417500.34615384613</v>
      </c>
      <c r="P118" s="242"/>
      <c r="Q118" s="242"/>
    </row>
    <row r="119" spans="1:17" s="19" customFormat="1">
      <c r="A119" s="64"/>
      <c r="B119" s="70" t="s">
        <v>84</v>
      </c>
      <c r="C119" s="71">
        <v>16754183.57</v>
      </c>
      <c r="D119" s="72">
        <v>0</v>
      </c>
      <c r="E119" s="73">
        <v>478999</v>
      </c>
      <c r="F119" s="218">
        <f t="shared" si="31"/>
        <v>479169.65010199999</v>
      </c>
      <c r="G119" s="74">
        <v>2.86</v>
      </c>
      <c r="H119" s="59">
        <f t="shared" si="32"/>
        <v>0</v>
      </c>
      <c r="I119" s="59">
        <f t="shared" si="33"/>
        <v>478999</v>
      </c>
      <c r="K119" s="138">
        <f>ROUND('Adjust Depr Table 1'!S142,2)</f>
        <v>2.4500000000000002</v>
      </c>
      <c r="L119" s="143"/>
      <c r="M119" s="139">
        <f t="shared" si="34"/>
        <v>0</v>
      </c>
      <c r="N119" s="139">
        <f>'Adjust Depr Table 1'!Q142</f>
        <v>411157.30769230769</v>
      </c>
      <c r="O119" s="139">
        <f t="shared" si="35"/>
        <v>411157.30769230769</v>
      </c>
      <c r="P119" s="242"/>
      <c r="Q119" s="242"/>
    </row>
    <row r="120" spans="1:17" s="19" customFormat="1">
      <c r="A120" s="64"/>
      <c r="B120" s="70" t="s">
        <v>85</v>
      </c>
      <c r="C120" s="71">
        <v>57736570.219999999</v>
      </c>
      <c r="D120" s="72">
        <v>0</v>
      </c>
      <c r="E120" s="73">
        <v>1723649</v>
      </c>
      <c r="F120" s="218">
        <f t="shared" si="31"/>
        <v>1726323.449578</v>
      </c>
      <c r="G120" s="74">
        <v>2.99</v>
      </c>
      <c r="H120" s="59">
        <f t="shared" si="32"/>
        <v>0</v>
      </c>
      <c r="I120" s="59">
        <f t="shared" si="33"/>
        <v>1723649</v>
      </c>
      <c r="K120" s="138">
        <f>ROUND('Adjust Depr Table 1'!S143,2)</f>
        <v>2.61</v>
      </c>
      <c r="L120" s="143"/>
      <c r="M120" s="139">
        <f t="shared" si="34"/>
        <v>0</v>
      </c>
      <c r="N120" s="139">
        <f>'Adjust Depr Table 1'!Q143</f>
        <v>1508471.0967741935</v>
      </c>
      <c r="O120" s="139">
        <f t="shared" si="35"/>
        <v>1508471.0967741935</v>
      </c>
      <c r="P120" s="242"/>
      <c r="Q120" s="242"/>
    </row>
    <row r="121" spans="1:17" s="19" customFormat="1">
      <c r="A121" s="64"/>
      <c r="B121" s="70" t="s">
        <v>86</v>
      </c>
      <c r="C121" s="71">
        <v>55010982.469999999</v>
      </c>
      <c r="D121" s="72">
        <v>0</v>
      </c>
      <c r="E121" s="73">
        <v>1517307</v>
      </c>
      <c r="F121" s="218">
        <f t="shared" si="31"/>
        <v>1518303.1161719998</v>
      </c>
      <c r="G121" s="74">
        <v>2.76</v>
      </c>
      <c r="H121" s="59">
        <f t="shared" si="32"/>
        <v>0</v>
      </c>
      <c r="I121" s="59">
        <f t="shared" si="33"/>
        <v>1517307</v>
      </c>
      <c r="K121" s="138">
        <f>ROUND('Adjust Depr Table 1'!S144,2)</f>
        <v>2.4</v>
      </c>
      <c r="L121" s="143"/>
      <c r="M121" s="139">
        <f t="shared" si="34"/>
        <v>0</v>
      </c>
      <c r="N121" s="139">
        <f>'Adjust Depr Table 1'!Q144</f>
        <v>1322335.4516129033</v>
      </c>
      <c r="O121" s="139">
        <f t="shared" si="35"/>
        <v>1322335.4516129033</v>
      </c>
      <c r="P121" s="242"/>
      <c r="Q121" s="242"/>
    </row>
    <row r="122" spans="1:17" s="19" customFormat="1">
      <c r="A122" s="64"/>
      <c r="B122" s="70" t="s">
        <v>87</v>
      </c>
      <c r="C122" s="71">
        <v>354070.8</v>
      </c>
      <c r="D122" s="72">
        <v>0</v>
      </c>
      <c r="E122" s="73">
        <v>12366</v>
      </c>
      <c r="F122" s="218">
        <f t="shared" si="31"/>
        <v>12357.07092</v>
      </c>
      <c r="G122" s="74">
        <v>3.49</v>
      </c>
      <c r="H122" s="59">
        <f t="shared" si="32"/>
        <v>0</v>
      </c>
      <c r="I122" s="59">
        <f t="shared" si="33"/>
        <v>12366</v>
      </c>
      <c r="K122" s="138">
        <f>ROUND('Adjust Depr Table 1'!S145,2)</f>
        <v>3.15</v>
      </c>
      <c r="L122" s="143"/>
      <c r="M122" s="139">
        <f t="shared" si="34"/>
        <v>0</v>
      </c>
      <c r="N122" s="139">
        <f>'Adjust Depr Table 1'!Q145</f>
        <v>11166.315789473685</v>
      </c>
      <c r="O122" s="139">
        <f t="shared" si="35"/>
        <v>11166.315789473685</v>
      </c>
      <c r="P122" s="242"/>
      <c r="Q122" s="242"/>
    </row>
    <row r="123" spans="1:17" s="19" customFormat="1">
      <c r="A123" s="64"/>
      <c r="B123" s="70" t="s">
        <v>88</v>
      </c>
      <c r="C123" s="71">
        <v>300785.96999999997</v>
      </c>
      <c r="D123" s="72">
        <v>0</v>
      </c>
      <c r="E123" s="73">
        <v>9921</v>
      </c>
      <c r="F123" s="218">
        <f t="shared" si="31"/>
        <v>9925.9370099999996</v>
      </c>
      <c r="G123" s="74">
        <v>3.3</v>
      </c>
      <c r="H123" s="59">
        <f t="shared" si="32"/>
        <v>0</v>
      </c>
      <c r="I123" s="59">
        <f t="shared" si="33"/>
        <v>9921</v>
      </c>
      <c r="K123" s="138">
        <f>ROUND('Adjust Depr Table 1'!S146,2)</f>
        <v>2.95</v>
      </c>
      <c r="L123" s="143"/>
      <c r="M123" s="139">
        <f t="shared" si="34"/>
        <v>0</v>
      </c>
      <c r="N123" s="139">
        <f>'Adjust Depr Table 1'!Q146</f>
        <v>8873.4736842105267</v>
      </c>
      <c r="O123" s="139">
        <f t="shared" si="35"/>
        <v>8873.4736842105267</v>
      </c>
      <c r="P123" s="242"/>
      <c r="Q123" s="242"/>
    </row>
    <row r="124" spans="1:17" s="19" customFormat="1">
      <c r="A124" s="64"/>
      <c r="B124" s="70" t="s">
        <v>89</v>
      </c>
      <c r="C124" s="71">
        <v>388128.81</v>
      </c>
      <c r="D124" s="72">
        <v>0</v>
      </c>
      <c r="E124" s="73">
        <v>13819</v>
      </c>
      <c r="F124" s="218">
        <f t="shared" si="31"/>
        <v>13817.385635999999</v>
      </c>
      <c r="G124" s="74">
        <v>3.56</v>
      </c>
      <c r="H124" s="59">
        <f t="shared" si="32"/>
        <v>0</v>
      </c>
      <c r="I124" s="59">
        <f t="shared" si="33"/>
        <v>13819</v>
      </c>
      <c r="K124" s="138">
        <f>ROUND('Adjust Depr Table 1'!S147,2)</f>
        <v>3.23</v>
      </c>
      <c r="L124" s="143"/>
      <c r="M124" s="139">
        <f t="shared" si="34"/>
        <v>0</v>
      </c>
      <c r="N124" s="139">
        <f>'Adjust Depr Table 1'!Q147</f>
        <v>12517.842105263158</v>
      </c>
      <c r="O124" s="139">
        <f t="shared" si="35"/>
        <v>12517.842105263158</v>
      </c>
      <c r="P124" s="242"/>
      <c r="Q124" s="242"/>
    </row>
    <row r="125" spans="1:17" s="19" customFormat="1">
      <c r="A125" s="64"/>
      <c r="B125" s="70" t="s">
        <v>90</v>
      </c>
      <c r="C125" s="71">
        <v>201654.6</v>
      </c>
      <c r="D125" s="72">
        <v>0</v>
      </c>
      <c r="E125" s="73">
        <v>6494</v>
      </c>
      <c r="F125" s="218">
        <f t="shared" si="31"/>
        <v>6493.2781199999999</v>
      </c>
      <c r="G125" s="74">
        <v>3.22</v>
      </c>
      <c r="H125" s="59">
        <f t="shared" si="32"/>
        <v>0</v>
      </c>
      <c r="I125" s="59">
        <f t="shared" si="33"/>
        <v>6494</v>
      </c>
      <c r="K125" s="138">
        <f>ROUND('Adjust Depr Table 1'!S148,2)</f>
        <v>2.9</v>
      </c>
      <c r="L125" s="143"/>
      <c r="M125" s="139">
        <f t="shared" si="34"/>
        <v>0</v>
      </c>
      <c r="N125" s="139">
        <f>'Adjust Depr Table 1'!Q148</f>
        <v>5856</v>
      </c>
      <c r="O125" s="139">
        <f t="shared" si="35"/>
        <v>5856</v>
      </c>
      <c r="P125" s="242"/>
      <c r="Q125" s="242"/>
    </row>
    <row r="126" spans="1:17" s="19" customFormat="1">
      <c r="A126" s="64"/>
      <c r="B126" s="70" t="s">
        <v>91</v>
      </c>
      <c r="C126" s="71">
        <v>275099.08</v>
      </c>
      <c r="D126" s="72">
        <v>0</v>
      </c>
      <c r="E126" s="73">
        <v>8799</v>
      </c>
      <c r="F126" s="218">
        <f t="shared" si="31"/>
        <v>8803.1705600000005</v>
      </c>
      <c r="G126" s="74">
        <v>3.2</v>
      </c>
      <c r="H126" s="59">
        <f t="shared" si="32"/>
        <v>0</v>
      </c>
      <c r="I126" s="59">
        <f t="shared" si="33"/>
        <v>8799</v>
      </c>
      <c r="K126" s="138">
        <f>ROUND('Adjust Depr Table 1'!S149,2)</f>
        <v>2.89</v>
      </c>
      <c r="L126" s="143"/>
      <c r="M126" s="139">
        <f t="shared" si="34"/>
        <v>0</v>
      </c>
      <c r="N126" s="139">
        <f>'Adjust Depr Table 1'!Q149</f>
        <v>7959.391304347826</v>
      </c>
      <c r="O126" s="139">
        <f t="shared" si="35"/>
        <v>7959.391304347826</v>
      </c>
      <c r="P126" s="242"/>
      <c r="Q126" s="242"/>
    </row>
    <row r="127" spans="1:17" s="19" customFormat="1">
      <c r="A127" s="64"/>
      <c r="B127" s="70" t="s">
        <v>92</v>
      </c>
      <c r="C127" s="71">
        <v>2407952.29</v>
      </c>
      <c r="D127" s="72">
        <v>0</v>
      </c>
      <c r="E127" s="73">
        <v>87964</v>
      </c>
      <c r="F127" s="218">
        <f t="shared" si="31"/>
        <v>87890.258585000003</v>
      </c>
      <c r="G127" s="74">
        <v>3.65</v>
      </c>
      <c r="H127" s="59">
        <f t="shared" si="32"/>
        <v>0</v>
      </c>
      <c r="I127" s="59">
        <f t="shared" si="33"/>
        <v>87964</v>
      </c>
      <c r="K127" s="138">
        <f>ROUND('Adjust Depr Table 1'!S150,2)</f>
        <v>3.3</v>
      </c>
      <c r="L127" s="143"/>
      <c r="M127" s="139">
        <f t="shared" si="34"/>
        <v>0</v>
      </c>
      <c r="N127" s="139">
        <f>'Adjust Depr Table 1'!Q150</f>
        <v>79363.608695652176</v>
      </c>
      <c r="O127" s="139">
        <f t="shared" si="35"/>
        <v>79363.608695652176</v>
      </c>
      <c r="P127" s="242"/>
      <c r="Q127" s="242"/>
    </row>
    <row r="128" spans="1:17" s="19" customFormat="1">
      <c r="A128" s="64"/>
      <c r="B128" s="70" t="s">
        <v>93</v>
      </c>
      <c r="C128" s="71">
        <v>46724956.780000001</v>
      </c>
      <c r="D128" s="72">
        <v>0</v>
      </c>
      <c r="E128" s="73">
        <v>1226069</v>
      </c>
      <c r="F128" s="218">
        <f t="shared" si="31"/>
        <v>1224193.867636</v>
      </c>
      <c r="G128" s="74">
        <v>2.62</v>
      </c>
      <c r="H128" s="59">
        <f t="shared" si="32"/>
        <v>0</v>
      </c>
      <c r="I128" s="59">
        <f t="shared" si="33"/>
        <v>1226069</v>
      </c>
      <c r="K128" s="138">
        <f>ROUND('Adjust Depr Table 1'!S151,2)</f>
        <v>2.29</v>
      </c>
      <c r="L128" s="143"/>
      <c r="M128" s="139">
        <f t="shared" si="34"/>
        <v>0</v>
      </c>
      <c r="N128" s="139">
        <f>'Adjust Depr Table 1'!Q151</f>
        <v>1072260.2173913044</v>
      </c>
      <c r="O128" s="139">
        <f t="shared" si="35"/>
        <v>1072260.2173913044</v>
      </c>
      <c r="P128" s="242"/>
      <c r="Q128" s="242"/>
    </row>
    <row r="129" spans="1:17" s="19" customFormat="1">
      <c r="A129" s="64"/>
      <c r="B129" s="70" t="s">
        <v>94</v>
      </c>
      <c r="C129" s="71">
        <v>45508646.350000001</v>
      </c>
      <c r="D129" s="72">
        <v>0</v>
      </c>
      <c r="E129" s="73">
        <v>1216747</v>
      </c>
      <c r="F129" s="218">
        <f t="shared" si="31"/>
        <v>1215080.857545</v>
      </c>
      <c r="G129" s="74">
        <v>2.67</v>
      </c>
      <c r="H129" s="59">
        <f t="shared" si="32"/>
        <v>0</v>
      </c>
      <c r="I129" s="59">
        <f t="shared" si="33"/>
        <v>1216747</v>
      </c>
      <c r="K129" s="138">
        <f>ROUND('Adjust Depr Table 1'!S152,2)</f>
        <v>2.34</v>
      </c>
      <c r="L129" s="143"/>
      <c r="M129" s="139">
        <f t="shared" si="34"/>
        <v>0</v>
      </c>
      <c r="N129" s="139">
        <f>'Adjust Depr Table 1'!Q152</f>
        <v>1066180.2608695652</v>
      </c>
      <c r="O129" s="139">
        <f t="shared" si="35"/>
        <v>1066180.2608695652</v>
      </c>
      <c r="P129" s="242"/>
      <c r="Q129" s="242"/>
    </row>
    <row r="130" spans="1:17" s="19" customFormat="1">
      <c r="A130" s="64"/>
      <c r="B130" s="70" t="s">
        <v>95</v>
      </c>
      <c r="C130" s="75">
        <v>41213903.719999999</v>
      </c>
      <c r="D130" s="76">
        <v>0</v>
      </c>
      <c r="E130" s="77">
        <v>1081589</v>
      </c>
      <c r="F130" s="216">
        <f t="shared" si="31"/>
        <v>1079804.277464</v>
      </c>
      <c r="G130" s="74">
        <v>2.62</v>
      </c>
      <c r="H130" s="63">
        <f t="shared" si="32"/>
        <v>0</v>
      </c>
      <c r="I130" s="63">
        <f t="shared" si="33"/>
        <v>1081589</v>
      </c>
      <c r="K130" s="138">
        <f>ROUND('Adjust Depr Table 1'!S153,2)</f>
        <v>2.2999999999999998</v>
      </c>
      <c r="L130" s="143"/>
      <c r="M130" s="140">
        <f t="shared" si="34"/>
        <v>0</v>
      </c>
      <c r="N130" s="140">
        <f>'Adjust Depr Table 1'!Q153</f>
        <v>945916.91304347827</v>
      </c>
      <c r="O130" s="140">
        <f t="shared" si="35"/>
        <v>945916.91304347827</v>
      </c>
      <c r="P130" s="242"/>
      <c r="Q130" s="242"/>
    </row>
    <row r="131" spans="1:17" s="19" customFormat="1">
      <c r="A131" s="64"/>
      <c r="B131" s="78" t="s">
        <v>100</v>
      </c>
      <c r="C131" s="71">
        <f>SUM(C112:C130)</f>
        <v>406605726.33000004</v>
      </c>
      <c r="D131" s="72">
        <f>SUM(D112:D130)</f>
        <v>0</v>
      </c>
      <c r="E131" s="72">
        <f>SUM(E112:E130)</f>
        <v>11464730</v>
      </c>
      <c r="F131" s="221">
        <f>SUM(F112:F130)</f>
        <v>11463975.235028002</v>
      </c>
      <c r="G131" s="74">
        <f>+ROUND(E131/C131*100,2)</f>
        <v>2.82</v>
      </c>
      <c r="H131" s="72">
        <f>SUM(H112:H130)</f>
        <v>0</v>
      </c>
      <c r="I131" s="72">
        <f>SUM(I112:I130)</f>
        <v>11464730</v>
      </c>
      <c r="K131" s="138"/>
      <c r="L131" s="143"/>
      <c r="M131" s="145">
        <f>SUM(M112:M130)</f>
        <v>0</v>
      </c>
      <c r="N131" s="145">
        <f>SUM(N112:N130)</f>
        <v>9881911.3421253413</v>
      </c>
      <c r="O131" s="145">
        <f>SUM(O112:O130)</f>
        <v>9881911.3421253413</v>
      </c>
      <c r="P131" s="242"/>
      <c r="Q131" s="242"/>
    </row>
    <row r="132" spans="1:17" s="19" customFormat="1">
      <c r="A132" s="64">
        <v>344</v>
      </c>
      <c r="B132" s="65" t="s">
        <v>101</v>
      </c>
      <c r="C132" s="65"/>
      <c r="D132" s="66"/>
      <c r="E132" s="67"/>
      <c r="F132" s="219"/>
      <c r="G132" s="68"/>
      <c r="H132" s="69"/>
      <c r="I132" s="69"/>
      <c r="K132" s="142"/>
      <c r="L132" s="143"/>
      <c r="M132" s="144"/>
      <c r="N132" s="144"/>
      <c r="O132" s="144"/>
      <c r="P132" s="242"/>
      <c r="Q132" s="242"/>
    </row>
    <row r="133" spans="1:17" s="19" customFormat="1">
      <c r="A133" s="64"/>
      <c r="B133" s="70" t="s">
        <v>77</v>
      </c>
      <c r="C133" s="71">
        <v>385287.95</v>
      </c>
      <c r="D133" s="72">
        <v>0</v>
      </c>
      <c r="E133" s="73">
        <v>10596</v>
      </c>
      <c r="F133" s="218">
        <f t="shared" ref="F133:F153" si="36">C133*G133/100</f>
        <v>10595.418625</v>
      </c>
      <c r="G133" s="74">
        <v>2.75</v>
      </c>
      <c r="H133" s="59">
        <f t="shared" ref="H133:H153" si="37">ROUND(D133*(G133/100),0)</f>
        <v>0</v>
      </c>
      <c r="I133" s="59">
        <f t="shared" ref="I133:I153" si="38">E133-H133</f>
        <v>10596</v>
      </c>
      <c r="K133" s="138">
        <f>ROUND('Adjust Depr Table 1'!S158,2)</f>
        <v>2.38</v>
      </c>
      <c r="L133" s="143"/>
      <c r="M133" s="139">
        <f t="shared" ref="M133:M153" si="39">ROUND(D133*(K133/100),0)</f>
        <v>0</v>
      </c>
      <c r="N133" s="139">
        <f>'Adjust Depr Table 1'!Q158</f>
        <v>9175.7419354838712</v>
      </c>
      <c r="O133" s="139">
        <f t="shared" ref="O133:O153" si="40">N133-M133</f>
        <v>9175.7419354838712</v>
      </c>
      <c r="P133" s="242"/>
      <c r="Q133" s="242"/>
    </row>
    <row r="134" spans="1:17" s="19" customFormat="1">
      <c r="A134" s="64"/>
      <c r="B134" s="70" t="s">
        <v>78</v>
      </c>
      <c r="C134" s="71">
        <v>5409806.3600000003</v>
      </c>
      <c r="D134" s="72">
        <v>0</v>
      </c>
      <c r="E134" s="73">
        <v>180024</v>
      </c>
      <c r="F134" s="218">
        <f t="shared" si="36"/>
        <v>180146.55178800001</v>
      </c>
      <c r="G134" s="74">
        <v>3.33</v>
      </c>
      <c r="H134" s="59">
        <f t="shared" si="37"/>
        <v>0</v>
      </c>
      <c r="I134" s="59">
        <f t="shared" si="38"/>
        <v>180024</v>
      </c>
      <c r="K134" s="138">
        <f>ROUND('Adjust Depr Table 1'!S159,2)</f>
        <v>2.79</v>
      </c>
      <c r="L134" s="143"/>
      <c r="M134" s="139">
        <f t="shared" si="39"/>
        <v>0</v>
      </c>
      <c r="N134" s="139">
        <f>'Adjust Depr Table 1'!Q159</f>
        <v>150713.60000000001</v>
      </c>
      <c r="O134" s="139">
        <f t="shared" si="40"/>
        <v>150713.60000000001</v>
      </c>
      <c r="P134" s="242"/>
      <c r="Q134" s="242"/>
    </row>
    <row r="135" spans="1:17" s="19" customFormat="1">
      <c r="A135" s="64"/>
      <c r="B135" s="70" t="s">
        <v>79</v>
      </c>
      <c r="C135" s="71">
        <v>5315973.93</v>
      </c>
      <c r="D135" s="72">
        <v>0</v>
      </c>
      <c r="E135" s="73">
        <v>175512</v>
      </c>
      <c r="F135" s="218">
        <f t="shared" si="36"/>
        <v>175427.13968999998</v>
      </c>
      <c r="G135" s="74">
        <v>3.3</v>
      </c>
      <c r="H135" s="59">
        <f t="shared" si="37"/>
        <v>0</v>
      </c>
      <c r="I135" s="59">
        <f t="shared" si="38"/>
        <v>175512</v>
      </c>
      <c r="K135" s="138">
        <f>ROUND('Adjust Depr Table 1'!S160,2)</f>
        <v>2.77</v>
      </c>
      <c r="L135" s="143"/>
      <c r="M135" s="139">
        <f t="shared" si="39"/>
        <v>0</v>
      </c>
      <c r="N135" s="139">
        <f>'Adjust Depr Table 1'!Q160</f>
        <v>147023.4</v>
      </c>
      <c r="O135" s="139">
        <f t="shared" si="40"/>
        <v>147023.4</v>
      </c>
      <c r="P135" s="242"/>
      <c r="Q135" s="242"/>
    </row>
    <row r="136" spans="1:17" s="19" customFormat="1">
      <c r="A136" s="64"/>
      <c r="B136" s="70" t="s">
        <v>80</v>
      </c>
      <c r="C136" s="71">
        <v>5368828.4000000004</v>
      </c>
      <c r="D136" s="72">
        <v>0</v>
      </c>
      <c r="E136" s="73">
        <v>180444</v>
      </c>
      <c r="F136" s="218">
        <f t="shared" si="36"/>
        <v>180392.63424000001</v>
      </c>
      <c r="G136" s="74">
        <v>3.36</v>
      </c>
      <c r="H136" s="59">
        <f t="shared" si="37"/>
        <v>0</v>
      </c>
      <c r="I136" s="59">
        <f t="shared" si="38"/>
        <v>180444</v>
      </c>
      <c r="K136" s="138">
        <f>ROUND('Adjust Depr Table 1'!S161,2)</f>
        <v>2.82</v>
      </c>
      <c r="L136" s="143"/>
      <c r="M136" s="139">
        <f t="shared" si="39"/>
        <v>0</v>
      </c>
      <c r="N136" s="139">
        <f>'Adjust Depr Table 1'!Q161</f>
        <v>151526.86666666667</v>
      </c>
      <c r="O136" s="139">
        <f t="shared" si="40"/>
        <v>151526.86666666667</v>
      </c>
      <c r="P136" s="242"/>
      <c r="Q136" s="242"/>
    </row>
    <row r="137" spans="1:17" s="19" customFormat="1">
      <c r="A137" s="64"/>
      <c r="B137" s="70" t="s">
        <v>81</v>
      </c>
      <c r="C137" s="71">
        <v>8212342.4100000001</v>
      </c>
      <c r="D137" s="72">
        <v>0</v>
      </c>
      <c r="E137" s="73">
        <v>236372</v>
      </c>
      <c r="F137" s="218">
        <f t="shared" si="36"/>
        <v>236515.461408</v>
      </c>
      <c r="G137" s="74">
        <v>2.88</v>
      </c>
      <c r="H137" s="59">
        <f t="shared" si="37"/>
        <v>0</v>
      </c>
      <c r="I137" s="59">
        <f t="shared" si="38"/>
        <v>236372</v>
      </c>
      <c r="K137" s="138">
        <f>ROUND('Adjust Depr Table 1'!S162,2)</f>
        <v>2.41</v>
      </c>
      <c r="L137" s="143"/>
      <c r="M137" s="139">
        <f t="shared" si="39"/>
        <v>0</v>
      </c>
      <c r="N137" s="139">
        <f>'Adjust Depr Table 1'!Q162</f>
        <v>197688</v>
      </c>
      <c r="O137" s="139">
        <f t="shared" si="40"/>
        <v>197688</v>
      </c>
      <c r="P137" s="242"/>
      <c r="Q137" s="242"/>
    </row>
    <row r="138" spans="1:17" s="19" customFormat="1">
      <c r="A138" s="64"/>
      <c r="B138" s="70" t="s">
        <v>82</v>
      </c>
      <c r="C138" s="71">
        <v>8155918.4000000004</v>
      </c>
      <c r="D138" s="72">
        <v>0</v>
      </c>
      <c r="E138" s="73">
        <v>234816</v>
      </c>
      <c r="F138" s="218">
        <f t="shared" si="36"/>
        <v>234890.44991999998</v>
      </c>
      <c r="G138" s="74">
        <v>2.88</v>
      </c>
      <c r="H138" s="59">
        <f t="shared" si="37"/>
        <v>0</v>
      </c>
      <c r="I138" s="59">
        <f t="shared" si="38"/>
        <v>234816</v>
      </c>
      <c r="K138" s="138">
        <f>ROUND('Adjust Depr Table 1'!S163,2)</f>
        <v>2.41</v>
      </c>
      <c r="L138" s="143"/>
      <c r="M138" s="139">
        <f t="shared" si="39"/>
        <v>0</v>
      </c>
      <c r="N138" s="139">
        <f>'Adjust Depr Table 1'!Q163</f>
        <v>196280.27272727274</v>
      </c>
      <c r="O138" s="139">
        <f t="shared" si="40"/>
        <v>196280.27272727274</v>
      </c>
      <c r="P138" s="242"/>
      <c r="Q138" s="242"/>
    </row>
    <row r="139" spans="1:17" s="19" customFormat="1">
      <c r="A139" s="64"/>
      <c r="B139" s="70" t="s">
        <v>83</v>
      </c>
      <c r="C139" s="71">
        <v>4831725.68</v>
      </c>
      <c r="D139" s="72">
        <v>0</v>
      </c>
      <c r="E139" s="73">
        <v>136522</v>
      </c>
      <c r="F139" s="218">
        <f t="shared" si="36"/>
        <v>136737.836744</v>
      </c>
      <c r="G139" s="74">
        <v>2.83</v>
      </c>
      <c r="H139" s="59">
        <f t="shared" si="37"/>
        <v>0</v>
      </c>
      <c r="I139" s="59">
        <f t="shared" si="38"/>
        <v>136522</v>
      </c>
      <c r="K139" s="138">
        <f>ROUND('Adjust Depr Table 1'!S164,2)</f>
        <v>2.38</v>
      </c>
      <c r="L139" s="143"/>
      <c r="M139" s="139">
        <f t="shared" si="39"/>
        <v>0</v>
      </c>
      <c r="N139" s="139">
        <f>'Adjust Depr Table 1'!Q164</f>
        <v>115068.80769230769</v>
      </c>
      <c r="O139" s="139">
        <f t="shared" si="40"/>
        <v>115068.80769230769</v>
      </c>
      <c r="P139" s="242"/>
      <c r="Q139" s="242"/>
    </row>
    <row r="140" spans="1:17" s="19" customFormat="1">
      <c r="A140" s="64"/>
      <c r="B140" s="70" t="s">
        <v>84</v>
      </c>
      <c r="C140" s="71">
        <v>4838938.32</v>
      </c>
      <c r="D140" s="72">
        <v>0</v>
      </c>
      <c r="E140" s="73">
        <v>136727</v>
      </c>
      <c r="F140" s="218">
        <f t="shared" si="36"/>
        <v>136941.95445600001</v>
      </c>
      <c r="G140" s="74">
        <v>2.83</v>
      </c>
      <c r="H140" s="59">
        <f t="shared" si="37"/>
        <v>0</v>
      </c>
      <c r="I140" s="59">
        <f t="shared" si="38"/>
        <v>136727</v>
      </c>
      <c r="K140" s="138">
        <f>ROUND('Adjust Depr Table 1'!S165,2)</f>
        <v>2.38</v>
      </c>
      <c r="L140" s="143"/>
      <c r="M140" s="139">
        <f t="shared" si="39"/>
        <v>0</v>
      </c>
      <c r="N140" s="139">
        <f>'Adjust Depr Table 1'!Q165</f>
        <v>115241.92307692308</v>
      </c>
      <c r="O140" s="139">
        <f t="shared" si="40"/>
        <v>115241.92307692308</v>
      </c>
      <c r="P140" s="242"/>
      <c r="Q140" s="242"/>
    </row>
    <row r="141" spans="1:17" s="19" customFormat="1">
      <c r="A141" s="64"/>
      <c r="B141" s="70" t="s">
        <v>85</v>
      </c>
      <c r="C141" s="71">
        <v>5428818.3700000001</v>
      </c>
      <c r="D141" s="72">
        <v>0</v>
      </c>
      <c r="E141" s="73">
        <v>168982</v>
      </c>
      <c r="F141" s="218">
        <f t="shared" si="36"/>
        <v>168836.251307</v>
      </c>
      <c r="G141" s="74">
        <v>3.11</v>
      </c>
      <c r="H141" s="59">
        <f t="shared" si="37"/>
        <v>0</v>
      </c>
      <c r="I141" s="59">
        <f t="shared" si="38"/>
        <v>168982</v>
      </c>
      <c r="K141" s="138">
        <f>ROUND('Adjust Depr Table 1'!S166,2)</f>
        <v>2.7</v>
      </c>
      <c r="L141" s="143"/>
      <c r="M141" s="139">
        <f t="shared" si="39"/>
        <v>0</v>
      </c>
      <c r="N141" s="139">
        <f>'Adjust Depr Table 1'!Q166</f>
        <v>146739.5806451613</v>
      </c>
      <c r="O141" s="139">
        <f t="shared" si="40"/>
        <v>146739.5806451613</v>
      </c>
      <c r="P141" s="242"/>
      <c r="Q141" s="242"/>
    </row>
    <row r="142" spans="1:17" s="19" customFormat="1">
      <c r="A142" s="64"/>
      <c r="B142" s="70" t="s">
        <v>86</v>
      </c>
      <c r="C142" s="71">
        <v>4887853.5</v>
      </c>
      <c r="D142" s="72">
        <v>0</v>
      </c>
      <c r="E142" s="73">
        <v>139055</v>
      </c>
      <c r="F142" s="218">
        <f t="shared" si="36"/>
        <v>138815.03940000001</v>
      </c>
      <c r="G142" s="74">
        <v>2.84</v>
      </c>
      <c r="H142" s="59">
        <f t="shared" si="37"/>
        <v>0</v>
      </c>
      <c r="I142" s="59">
        <f t="shared" si="38"/>
        <v>139055</v>
      </c>
      <c r="K142" s="138">
        <f>ROUND('Adjust Depr Table 1'!S167,2)</f>
        <v>2.4500000000000002</v>
      </c>
      <c r="L142" s="143"/>
      <c r="M142" s="139">
        <f t="shared" si="39"/>
        <v>0</v>
      </c>
      <c r="N142" s="139">
        <f>'Adjust Depr Table 1'!Q167</f>
        <v>119711.48387096774</v>
      </c>
      <c r="O142" s="139">
        <f t="shared" si="40"/>
        <v>119711.48387096774</v>
      </c>
      <c r="P142" s="242"/>
      <c r="Q142" s="242"/>
    </row>
    <row r="143" spans="1:17" s="19" customFormat="1">
      <c r="A143" s="64"/>
      <c r="B143" s="70" t="s">
        <v>87</v>
      </c>
      <c r="C143" s="71">
        <v>1098205.33</v>
      </c>
      <c r="D143" s="72">
        <v>0</v>
      </c>
      <c r="E143" s="73">
        <v>35729</v>
      </c>
      <c r="F143" s="218">
        <f t="shared" si="36"/>
        <v>35691.673225000006</v>
      </c>
      <c r="G143" s="74">
        <v>3.25</v>
      </c>
      <c r="H143" s="59">
        <f t="shared" si="37"/>
        <v>0</v>
      </c>
      <c r="I143" s="59">
        <f t="shared" si="38"/>
        <v>35729</v>
      </c>
      <c r="K143" s="138">
        <f>ROUND('Adjust Depr Table 1'!S168,2)</f>
        <v>2.87</v>
      </c>
      <c r="L143" s="143"/>
      <c r="M143" s="139">
        <f t="shared" si="39"/>
        <v>0</v>
      </c>
      <c r="N143" s="139">
        <f>'Adjust Depr Table 1'!Q168</f>
        <v>31563.78947368421</v>
      </c>
      <c r="O143" s="139">
        <f t="shared" si="40"/>
        <v>31563.78947368421</v>
      </c>
      <c r="P143" s="242"/>
      <c r="Q143" s="242"/>
    </row>
    <row r="144" spans="1:17" s="19" customFormat="1">
      <c r="A144" s="64"/>
      <c r="B144" s="70" t="s">
        <v>88</v>
      </c>
      <c r="C144" s="71">
        <v>1963510.74</v>
      </c>
      <c r="D144" s="72">
        <v>0</v>
      </c>
      <c r="E144" s="73">
        <v>65028</v>
      </c>
      <c r="F144" s="218">
        <f t="shared" si="36"/>
        <v>64992.205494000002</v>
      </c>
      <c r="G144" s="74">
        <v>3.31</v>
      </c>
      <c r="H144" s="59">
        <f t="shared" si="37"/>
        <v>0</v>
      </c>
      <c r="I144" s="59">
        <f t="shared" si="38"/>
        <v>65028</v>
      </c>
      <c r="K144" s="138">
        <f>ROUND('Adjust Depr Table 1'!S169,2)</f>
        <v>2.94</v>
      </c>
      <c r="L144" s="143"/>
      <c r="M144" s="139">
        <f t="shared" si="39"/>
        <v>0</v>
      </c>
      <c r="N144" s="139">
        <f>'Adjust Depr Table 1'!Q169</f>
        <v>57672.684210526313</v>
      </c>
      <c r="O144" s="139">
        <f t="shared" si="40"/>
        <v>57672.684210526313</v>
      </c>
      <c r="P144" s="242"/>
      <c r="Q144" s="242"/>
    </row>
    <row r="145" spans="1:17" s="19" customFormat="1">
      <c r="A145" s="64"/>
      <c r="B145" s="70" t="s">
        <v>89</v>
      </c>
      <c r="C145" s="71">
        <v>4525028.84</v>
      </c>
      <c r="D145" s="72">
        <v>0</v>
      </c>
      <c r="E145" s="73">
        <v>185596</v>
      </c>
      <c r="F145" s="218">
        <f t="shared" si="36"/>
        <v>185526.18244</v>
      </c>
      <c r="G145" s="74">
        <v>4.0999999999999996</v>
      </c>
      <c r="H145" s="59">
        <f t="shared" si="37"/>
        <v>0</v>
      </c>
      <c r="I145" s="59">
        <f t="shared" si="38"/>
        <v>185596</v>
      </c>
      <c r="K145" s="138">
        <f>ROUND('Adjust Depr Table 1'!S170,2)</f>
        <v>3.75</v>
      </c>
      <c r="L145" s="143"/>
      <c r="M145" s="139">
        <f t="shared" si="39"/>
        <v>0</v>
      </c>
      <c r="N145" s="139">
        <f>'Adjust Depr Table 1'!Q170</f>
        <v>169661.78947368421</v>
      </c>
      <c r="O145" s="139">
        <f t="shared" si="40"/>
        <v>169661.78947368421</v>
      </c>
      <c r="P145" s="242"/>
      <c r="Q145" s="242"/>
    </row>
    <row r="146" spans="1:17" s="19" customFormat="1">
      <c r="A146" s="64"/>
      <c r="B146" s="70" t="s">
        <v>90</v>
      </c>
      <c r="C146" s="71">
        <v>1285806.3799999999</v>
      </c>
      <c r="D146" s="72">
        <v>0</v>
      </c>
      <c r="E146" s="73">
        <v>41213</v>
      </c>
      <c r="F146" s="218">
        <f t="shared" si="36"/>
        <v>41274.384797999992</v>
      </c>
      <c r="G146" s="74">
        <v>3.21</v>
      </c>
      <c r="H146" s="59">
        <f t="shared" si="37"/>
        <v>0</v>
      </c>
      <c r="I146" s="59">
        <f t="shared" si="38"/>
        <v>41213</v>
      </c>
      <c r="K146" s="138">
        <f>ROUND('Adjust Depr Table 1'!S171,2)</f>
        <v>2.85</v>
      </c>
      <c r="L146" s="143"/>
      <c r="M146" s="139">
        <f t="shared" si="39"/>
        <v>0</v>
      </c>
      <c r="N146" s="139">
        <f>'Adjust Depr Table 1'!Q171</f>
        <v>36671.909090909088</v>
      </c>
      <c r="O146" s="139">
        <f t="shared" si="40"/>
        <v>36671.909090909088</v>
      </c>
      <c r="P146" s="242"/>
      <c r="Q146" s="242"/>
    </row>
    <row r="147" spans="1:17" s="19" customFormat="1">
      <c r="A147" s="64"/>
      <c r="B147" s="70" t="s">
        <v>91</v>
      </c>
      <c r="C147" s="71">
        <v>1680579.61</v>
      </c>
      <c r="D147" s="72">
        <v>0</v>
      </c>
      <c r="E147" s="73">
        <v>53645</v>
      </c>
      <c r="F147" s="218">
        <f t="shared" si="36"/>
        <v>53610.489559000001</v>
      </c>
      <c r="G147" s="74">
        <v>3.19</v>
      </c>
      <c r="H147" s="59">
        <f t="shared" si="37"/>
        <v>0</v>
      </c>
      <c r="I147" s="59">
        <f t="shared" si="38"/>
        <v>53645</v>
      </c>
      <c r="K147" s="138">
        <f>ROUND('Adjust Depr Table 1'!S172,2)</f>
        <v>2.85</v>
      </c>
      <c r="L147" s="143"/>
      <c r="M147" s="139">
        <f t="shared" si="39"/>
        <v>0</v>
      </c>
      <c r="N147" s="139">
        <f>'Adjust Depr Table 1'!Q172</f>
        <v>47822.260869565216</v>
      </c>
      <c r="O147" s="139">
        <f t="shared" si="40"/>
        <v>47822.260869565216</v>
      </c>
      <c r="P147" s="242"/>
      <c r="Q147" s="242"/>
    </row>
    <row r="148" spans="1:17" s="19" customFormat="1">
      <c r="A148" s="64"/>
      <c r="B148" s="70" t="s">
        <v>102</v>
      </c>
      <c r="C148" s="71">
        <v>2993753.87</v>
      </c>
      <c r="D148" s="72">
        <v>0</v>
      </c>
      <c r="E148" s="73">
        <v>101657</v>
      </c>
      <c r="F148" s="218">
        <f t="shared" si="36"/>
        <v>101787.63158</v>
      </c>
      <c r="G148" s="74">
        <v>3.4</v>
      </c>
      <c r="H148" s="59">
        <f t="shared" si="37"/>
        <v>0</v>
      </c>
      <c r="I148" s="59">
        <f t="shared" si="38"/>
        <v>101657</v>
      </c>
      <c r="K148" s="138">
        <f>ROUND('Adjust Depr Table 1'!S173,2)</f>
        <v>3.14</v>
      </c>
      <c r="L148" s="143"/>
      <c r="M148" s="139">
        <f t="shared" si="39"/>
        <v>0</v>
      </c>
      <c r="N148" s="139">
        <f>'Adjust Depr Table 1'!Q173</f>
        <v>93949.037037037036</v>
      </c>
      <c r="O148" s="139">
        <f t="shared" si="40"/>
        <v>93949.037037037036</v>
      </c>
      <c r="P148" s="242"/>
      <c r="Q148" s="242"/>
    </row>
    <row r="149" spans="1:17" s="19" customFormat="1">
      <c r="A149" s="64"/>
      <c r="B149" s="70" t="s">
        <v>92</v>
      </c>
      <c r="C149" s="71">
        <v>17086.14</v>
      </c>
      <c r="D149" s="72">
        <v>0</v>
      </c>
      <c r="E149" s="73">
        <v>534</v>
      </c>
      <c r="F149" s="218">
        <f t="shared" si="36"/>
        <v>534.79618199999993</v>
      </c>
      <c r="G149" s="74">
        <v>3.13</v>
      </c>
      <c r="H149" s="59">
        <f t="shared" si="37"/>
        <v>0</v>
      </c>
      <c r="I149" s="59">
        <f t="shared" si="38"/>
        <v>534</v>
      </c>
      <c r="K149" s="138">
        <f>ROUND('Adjust Depr Table 1'!S174,2)</f>
        <v>2.74</v>
      </c>
      <c r="L149" s="143"/>
      <c r="M149" s="139">
        <f t="shared" si="39"/>
        <v>0</v>
      </c>
      <c r="N149" s="139">
        <f>'Adjust Depr Table 1'!Q174</f>
        <v>468.95652173913044</v>
      </c>
      <c r="O149" s="139">
        <f t="shared" si="40"/>
        <v>468.95652173913044</v>
      </c>
      <c r="P149" s="242"/>
      <c r="Q149" s="242"/>
    </row>
    <row r="150" spans="1:17" s="19" customFormat="1">
      <c r="A150" s="64"/>
      <c r="B150" s="70" t="s">
        <v>93</v>
      </c>
      <c r="C150" s="71">
        <v>7457690.5700000003</v>
      </c>
      <c r="D150" s="72">
        <v>0</v>
      </c>
      <c r="E150" s="73">
        <v>192569</v>
      </c>
      <c r="F150" s="218">
        <f t="shared" si="36"/>
        <v>192408.41670600002</v>
      </c>
      <c r="G150" s="74">
        <v>2.58</v>
      </c>
      <c r="H150" s="59">
        <f t="shared" si="37"/>
        <v>0</v>
      </c>
      <c r="I150" s="59">
        <f t="shared" si="38"/>
        <v>192569</v>
      </c>
      <c r="K150" s="138">
        <f>ROUND('Adjust Depr Table 1'!S175,2)</f>
        <v>2.2200000000000002</v>
      </c>
      <c r="L150" s="143"/>
      <c r="M150" s="139">
        <f t="shared" si="39"/>
        <v>0</v>
      </c>
      <c r="N150" s="139">
        <f>'Adjust Depr Table 1'!Q175</f>
        <v>165723.73913043478</v>
      </c>
      <c r="O150" s="139">
        <f t="shared" si="40"/>
        <v>165723.73913043478</v>
      </c>
      <c r="P150" s="242"/>
      <c r="Q150" s="242"/>
    </row>
    <row r="151" spans="1:17" s="19" customFormat="1">
      <c r="A151" s="64"/>
      <c r="B151" s="70" t="s">
        <v>94</v>
      </c>
      <c r="C151" s="71">
        <v>7457690.5700000003</v>
      </c>
      <c r="D151" s="72">
        <v>0</v>
      </c>
      <c r="E151" s="73">
        <v>194328</v>
      </c>
      <c r="F151" s="218">
        <f t="shared" si="36"/>
        <v>194645.72387699998</v>
      </c>
      <c r="G151" s="74">
        <v>2.61</v>
      </c>
      <c r="H151" s="59">
        <f t="shared" si="37"/>
        <v>0</v>
      </c>
      <c r="I151" s="59">
        <f t="shared" si="38"/>
        <v>194328</v>
      </c>
      <c r="K151" s="138">
        <f>ROUND('Adjust Depr Table 1'!S176,2)</f>
        <v>2.2400000000000002</v>
      </c>
      <c r="L151" s="143"/>
      <c r="M151" s="139">
        <f t="shared" si="39"/>
        <v>0</v>
      </c>
      <c r="N151" s="139">
        <f>'Adjust Depr Table 1'!Q176</f>
        <v>167385.26086956522</v>
      </c>
      <c r="O151" s="139">
        <f t="shared" si="40"/>
        <v>167385.26086956522</v>
      </c>
      <c r="P151" s="242"/>
      <c r="Q151" s="242"/>
    </row>
    <row r="152" spans="1:17" s="19" customFormat="1">
      <c r="A152" s="64"/>
      <c r="B152" s="70" t="s">
        <v>95</v>
      </c>
      <c r="C152" s="71">
        <v>7457690.5700000003</v>
      </c>
      <c r="D152" s="72">
        <v>0</v>
      </c>
      <c r="E152" s="73">
        <v>192583</v>
      </c>
      <c r="F152" s="218">
        <f t="shared" si="36"/>
        <v>192408.41670600002</v>
      </c>
      <c r="G152" s="74">
        <v>2.58</v>
      </c>
      <c r="H152" s="59">
        <f t="shared" si="37"/>
        <v>0</v>
      </c>
      <c r="I152" s="59">
        <f t="shared" si="38"/>
        <v>192583</v>
      </c>
      <c r="K152" s="138">
        <f>ROUND('Adjust Depr Table 1'!S177,2)</f>
        <v>2.2200000000000002</v>
      </c>
      <c r="L152" s="143"/>
      <c r="M152" s="139">
        <f t="shared" si="39"/>
        <v>0</v>
      </c>
      <c r="N152" s="139">
        <f>'Adjust Depr Table 1'!Q177</f>
        <v>165736.52173913043</v>
      </c>
      <c r="O152" s="139">
        <f t="shared" si="40"/>
        <v>165736.52173913043</v>
      </c>
      <c r="P152" s="242"/>
      <c r="Q152" s="242"/>
    </row>
    <row r="153" spans="1:17" s="19" customFormat="1">
      <c r="A153" s="64"/>
      <c r="B153" s="70" t="s">
        <v>96</v>
      </c>
      <c r="C153" s="75">
        <v>15810305.550000001</v>
      </c>
      <c r="D153" s="76">
        <v>0</v>
      </c>
      <c r="E153" s="77">
        <v>665756</v>
      </c>
      <c r="F153" s="216">
        <f t="shared" si="36"/>
        <v>665613.86365499999</v>
      </c>
      <c r="G153" s="74">
        <v>4.21</v>
      </c>
      <c r="H153" s="63">
        <f t="shared" si="37"/>
        <v>0</v>
      </c>
      <c r="I153" s="63">
        <f t="shared" si="38"/>
        <v>665756</v>
      </c>
      <c r="K153" s="138">
        <f>ROUND('Adjust Depr Table 1'!S178,2)</f>
        <v>3.96</v>
      </c>
      <c r="L153" s="143"/>
      <c r="M153" s="140">
        <f t="shared" si="39"/>
        <v>0</v>
      </c>
      <c r="N153" s="140">
        <f>'Adjust Depr Table 1'!Q178</f>
        <v>625304.73913043481</v>
      </c>
      <c r="O153" s="140">
        <f t="shared" si="40"/>
        <v>625304.73913043481</v>
      </c>
      <c r="P153" s="242"/>
      <c r="Q153" s="242"/>
    </row>
    <row r="154" spans="1:17" s="19" customFormat="1">
      <c r="A154" s="64"/>
      <c r="B154" s="78" t="s">
        <v>103</v>
      </c>
      <c r="C154" s="71">
        <f>SUM(C133:C153)</f>
        <v>104582841.48999999</v>
      </c>
      <c r="D154" s="72">
        <f>SUM(D133:D153)</f>
        <v>0</v>
      </c>
      <c r="E154" s="72">
        <f>SUM(E133:E153)</f>
        <v>3327688</v>
      </c>
      <c r="F154" s="221">
        <f>SUM(F133:F153)</f>
        <v>3327792.5218000007</v>
      </c>
      <c r="G154" s="74">
        <f>+ROUND(E154/C154*100,2)</f>
        <v>3.18</v>
      </c>
      <c r="H154" s="72">
        <f>SUM(H133:H153)</f>
        <v>0</v>
      </c>
      <c r="I154" s="72">
        <f>SUM(I133:I153)</f>
        <v>3327688</v>
      </c>
      <c r="K154" s="138"/>
      <c r="L154" s="143"/>
      <c r="M154" s="145">
        <f>SUM(M133:M153)</f>
        <v>0</v>
      </c>
      <c r="N154" s="145">
        <f>SUM(N133:N153)</f>
        <v>2911130.3641614933</v>
      </c>
      <c r="O154" s="145">
        <f>SUM(O133:O153)</f>
        <v>2911130.3641614933</v>
      </c>
      <c r="P154" s="242"/>
      <c r="Q154" s="242"/>
    </row>
    <row r="155" spans="1:17" s="19" customFormat="1">
      <c r="A155" s="64">
        <v>345</v>
      </c>
      <c r="B155" s="65" t="s">
        <v>71</v>
      </c>
      <c r="C155" s="65"/>
      <c r="D155" s="66"/>
      <c r="E155" s="67"/>
      <c r="F155" s="219"/>
      <c r="G155" s="68"/>
      <c r="H155" s="69"/>
      <c r="I155" s="69"/>
      <c r="K155" s="142"/>
      <c r="L155" s="143"/>
      <c r="M155" s="144"/>
      <c r="N155" s="144"/>
      <c r="O155" s="144"/>
      <c r="P155" s="242"/>
      <c r="Q155" s="242"/>
    </row>
    <row r="156" spans="1:17" s="19" customFormat="1">
      <c r="A156" s="64"/>
      <c r="B156" s="70" t="s">
        <v>77</v>
      </c>
      <c r="C156" s="71">
        <v>9876096.8200000003</v>
      </c>
      <c r="D156" s="72">
        <v>0</v>
      </c>
      <c r="E156" s="73">
        <v>228225</v>
      </c>
      <c r="F156" s="218">
        <f t="shared" ref="F156:F175" si="41">C156*G156/100</f>
        <v>228137.83654200003</v>
      </c>
      <c r="G156" s="74">
        <v>2.31</v>
      </c>
      <c r="H156" s="59">
        <f t="shared" ref="H156:H175" si="42">ROUND(D156*(G156/100),0)</f>
        <v>0</v>
      </c>
      <c r="I156" s="59">
        <f t="shared" ref="I156:I175" si="43">E156-H156</f>
        <v>228225</v>
      </c>
      <c r="K156" s="138">
        <f>ROUND('Adjust Depr Table 1'!S183,2)</f>
        <v>1.86</v>
      </c>
      <c r="L156" s="143"/>
      <c r="M156" s="139">
        <f t="shared" ref="M156:M175" si="44">ROUND(D156*(K156/100),0)</f>
        <v>0</v>
      </c>
      <c r="N156" s="139">
        <f>'Adjust Depr Table 1'!Q183</f>
        <v>184004.03225806452</v>
      </c>
      <c r="O156" s="139">
        <f t="shared" ref="O156:O175" si="45">N156-M156</f>
        <v>184004.03225806452</v>
      </c>
      <c r="P156" s="242"/>
      <c r="Q156" s="242"/>
    </row>
    <row r="157" spans="1:17" s="19" customFormat="1">
      <c r="A157" s="64"/>
      <c r="B157" s="70" t="s">
        <v>78</v>
      </c>
      <c r="C157" s="71">
        <v>1039394.43</v>
      </c>
      <c r="D157" s="72">
        <v>0</v>
      </c>
      <c r="E157" s="73">
        <v>34465</v>
      </c>
      <c r="F157" s="218">
        <f t="shared" si="41"/>
        <v>34507.895076000001</v>
      </c>
      <c r="G157" s="74">
        <v>3.32</v>
      </c>
      <c r="H157" s="59">
        <f t="shared" si="42"/>
        <v>0</v>
      </c>
      <c r="I157" s="59">
        <f t="shared" si="43"/>
        <v>34465</v>
      </c>
      <c r="K157" s="138">
        <f>ROUND('Adjust Depr Table 1'!S184,2)</f>
        <v>2.76</v>
      </c>
      <c r="L157" s="143"/>
      <c r="M157" s="139">
        <f t="shared" si="44"/>
        <v>0</v>
      </c>
      <c r="N157" s="139">
        <f>'Adjust Depr Table 1'!Q184</f>
        <v>28706.333333333332</v>
      </c>
      <c r="O157" s="139">
        <f t="shared" si="45"/>
        <v>28706.333333333332</v>
      </c>
      <c r="P157" s="242"/>
      <c r="Q157" s="242"/>
    </row>
    <row r="158" spans="1:17" s="19" customFormat="1">
      <c r="A158" s="64"/>
      <c r="B158" s="70" t="s">
        <v>79</v>
      </c>
      <c r="C158" s="71">
        <v>1039395.53</v>
      </c>
      <c r="D158" s="72">
        <v>0</v>
      </c>
      <c r="E158" s="73">
        <v>33870</v>
      </c>
      <c r="F158" s="218">
        <f t="shared" si="41"/>
        <v>33884.294277999994</v>
      </c>
      <c r="G158" s="74">
        <v>3.26</v>
      </c>
      <c r="H158" s="59">
        <f t="shared" si="42"/>
        <v>0</v>
      </c>
      <c r="I158" s="59">
        <f t="shared" si="43"/>
        <v>33870</v>
      </c>
      <c r="K158" s="138">
        <f>ROUND('Adjust Depr Table 1'!S185,2)</f>
        <v>2.71</v>
      </c>
      <c r="L158" s="143"/>
      <c r="M158" s="139">
        <f t="shared" si="44"/>
        <v>0</v>
      </c>
      <c r="N158" s="139">
        <f>'Adjust Depr Table 1'!Q185</f>
        <v>28162.666666666668</v>
      </c>
      <c r="O158" s="139">
        <f t="shared" si="45"/>
        <v>28162.666666666668</v>
      </c>
      <c r="P158" s="242"/>
      <c r="Q158" s="242"/>
    </row>
    <row r="159" spans="1:17" s="19" customFormat="1">
      <c r="A159" s="64"/>
      <c r="B159" s="70" t="s">
        <v>80</v>
      </c>
      <c r="C159" s="71">
        <v>1039395.53</v>
      </c>
      <c r="D159" s="72">
        <v>0</v>
      </c>
      <c r="E159" s="73">
        <v>34158</v>
      </c>
      <c r="F159" s="218">
        <f t="shared" si="41"/>
        <v>34196.112937000005</v>
      </c>
      <c r="G159" s="74">
        <v>3.29</v>
      </c>
      <c r="H159" s="59">
        <f t="shared" si="42"/>
        <v>0</v>
      </c>
      <c r="I159" s="59">
        <f t="shared" si="43"/>
        <v>34158</v>
      </c>
      <c r="K159" s="138">
        <f>ROUND('Adjust Depr Table 1'!S186,2)</f>
        <v>2.73</v>
      </c>
      <c r="L159" s="143"/>
      <c r="M159" s="139">
        <f t="shared" si="44"/>
        <v>0</v>
      </c>
      <c r="N159" s="139">
        <f>'Adjust Depr Table 1'!Q186</f>
        <v>28425.8</v>
      </c>
      <c r="O159" s="139">
        <f t="shared" si="45"/>
        <v>28425.8</v>
      </c>
      <c r="P159" s="242"/>
      <c r="Q159" s="242"/>
    </row>
    <row r="160" spans="1:17" s="19" customFormat="1">
      <c r="A160" s="64"/>
      <c r="B160" s="70" t="s">
        <v>81</v>
      </c>
      <c r="C160" s="71">
        <v>993996.86</v>
      </c>
      <c r="D160" s="72">
        <v>0</v>
      </c>
      <c r="E160" s="73">
        <v>28629</v>
      </c>
      <c r="F160" s="218">
        <f t="shared" si="41"/>
        <v>28627.109568</v>
      </c>
      <c r="G160" s="74">
        <v>2.88</v>
      </c>
      <c r="H160" s="59">
        <f t="shared" si="42"/>
        <v>0</v>
      </c>
      <c r="I160" s="59">
        <f t="shared" si="43"/>
        <v>28629</v>
      </c>
      <c r="K160" s="138">
        <f>ROUND('Adjust Depr Table 1'!S187,2)</f>
        <v>2.39</v>
      </c>
      <c r="L160" s="143"/>
      <c r="M160" s="139">
        <f t="shared" si="44"/>
        <v>0</v>
      </c>
      <c r="N160" s="139">
        <f>'Adjust Depr Table 1'!Q187</f>
        <v>23790.045454545456</v>
      </c>
      <c r="O160" s="139">
        <f t="shared" si="45"/>
        <v>23790.045454545456</v>
      </c>
      <c r="P160" s="242"/>
      <c r="Q160" s="242"/>
    </row>
    <row r="161" spans="1:17" s="19" customFormat="1">
      <c r="A161" s="64"/>
      <c r="B161" s="70" t="s">
        <v>82</v>
      </c>
      <c r="C161" s="71">
        <v>993996.86</v>
      </c>
      <c r="D161" s="72">
        <v>0</v>
      </c>
      <c r="E161" s="73">
        <v>28726</v>
      </c>
      <c r="F161" s="218">
        <f t="shared" si="41"/>
        <v>28726.509254000001</v>
      </c>
      <c r="G161" s="74">
        <v>2.89</v>
      </c>
      <c r="H161" s="59">
        <f t="shared" si="42"/>
        <v>0</v>
      </c>
      <c r="I161" s="59">
        <f t="shared" si="43"/>
        <v>28726</v>
      </c>
      <c r="K161" s="138">
        <f>ROUND('Adjust Depr Table 1'!S188,2)</f>
        <v>2.4</v>
      </c>
      <c r="L161" s="143"/>
      <c r="M161" s="139">
        <f t="shared" si="44"/>
        <v>0</v>
      </c>
      <c r="N161" s="139">
        <f>'Adjust Depr Table 1'!Q188</f>
        <v>23876.636363636364</v>
      </c>
      <c r="O161" s="139">
        <f t="shared" si="45"/>
        <v>23876.636363636364</v>
      </c>
      <c r="P161" s="242"/>
      <c r="Q161" s="242"/>
    </row>
    <row r="162" spans="1:17" s="19" customFormat="1">
      <c r="A162" s="64"/>
      <c r="B162" s="70" t="s">
        <v>83</v>
      </c>
      <c r="C162" s="71">
        <v>1251472.92</v>
      </c>
      <c r="D162" s="72">
        <v>0</v>
      </c>
      <c r="E162" s="73">
        <v>36166</v>
      </c>
      <c r="F162" s="218">
        <f t="shared" si="41"/>
        <v>36167.567387999996</v>
      </c>
      <c r="G162" s="74">
        <v>2.89</v>
      </c>
      <c r="H162" s="59">
        <f t="shared" si="42"/>
        <v>0</v>
      </c>
      <c r="I162" s="59">
        <f t="shared" si="43"/>
        <v>36166</v>
      </c>
      <c r="K162" s="138">
        <f>ROUND('Adjust Depr Table 1'!S189,2)</f>
        <v>2.44</v>
      </c>
      <c r="L162" s="143"/>
      <c r="M162" s="139">
        <f t="shared" si="44"/>
        <v>0</v>
      </c>
      <c r="N162" s="139">
        <f>'Adjust Depr Table 1'!Q189</f>
        <v>30526.884615384617</v>
      </c>
      <c r="O162" s="139">
        <f t="shared" si="45"/>
        <v>30526.884615384617</v>
      </c>
      <c r="P162" s="242"/>
      <c r="Q162" s="242"/>
    </row>
    <row r="163" spans="1:17" s="19" customFormat="1">
      <c r="A163" s="64"/>
      <c r="B163" s="70" t="s">
        <v>84</v>
      </c>
      <c r="C163" s="71">
        <v>1220275.5900000001</v>
      </c>
      <c r="D163" s="72">
        <v>0</v>
      </c>
      <c r="E163" s="73">
        <v>35265</v>
      </c>
      <c r="F163" s="218">
        <f t="shared" si="41"/>
        <v>35265.964551000005</v>
      </c>
      <c r="G163" s="74">
        <v>2.89</v>
      </c>
      <c r="H163" s="59">
        <f t="shared" si="42"/>
        <v>0</v>
      </c>
      <c r="I163" s="59">
        <f t="shared" si="43"/>
        <v>35265</v>
      </c>
      <c r="K163" s="138">
        <f>ROUND('Adjust Depr Table 1'!S190,2)</f>
        <v>2.44</v>
      </c>
      <c r="L163" s="143"/>
      <c r="M163" s="139">
        <f t="shared" si="44"/>
        <v>0</v>
      </c>
      <c r="N163" s="139">
        <f>'Adjust Depr Table 1'!Q190</f>
        <v>29766.26923076923</v>
      </c>
      <c r="O163" s="139">
        <f t="shared" si="45"/>
        <v>29766.26923076923</v>
      </c>
      <c r="P163" s="242"/>
      <c r="Q163" s="242"/>
    </row>
    <row r="164" spans="1:17" s="19" customFormat="1">
      <c r="A164" s="64"/>
      <c r="B164" s="70" t="s">
        <v>85</v>
      </c>
      <c r="C164" s="71">
        <v>12040203.140000001</v>
      </c>
      <c r="D164" s="72">
        <v>0</v>
      </c>
      <c r="E164" s="73">
        <v>365915</v>
      </c>
      <c r="F164" s="218">
        <f t="shared" si="41"/>
        <v>366022.17545600003</v>
      </c>
      <c r="G164" s="74">
        <v>3.04</v>
      </c>
      <c r="H164" s="59">
        <f t="shared" si="42"/>
        <v>0</v>
      </c>
      <c r="I164" s="59">
        <f t="shared" si="43"/>
        <v>365915</v>
      </c>
      <c r="K164" s="138">
        <f>ROUND('Adjust Depr Table 1'!S191,2)</f>
        <v>2.61</v>
      </c>
      <c r="L164" s="143"/>
      <c r="M164" s="139">
        <f t="shared" si="44"/>
        <v>0</v>
      </c>
      <c r="N164" s="139">
        <f>'Adjust Depr Table 1'!Q191</f>
        <v>314495.70967741933</v>
      </c>
      <c r="O164" s="139">
        <f t="shared" si="45"/>
        <v>314495.70967741933</v>
      </c>
      <c r="P164" s="242"/>
      <c r="Q164" s="242"/>
    </row>
    <row r="165" spans="1:17" s="19" customFormat="1">
      <c r="A165" s="64"/>
      <c r="B165" s="70" t="s">
        <v>86</v>
      </c>
      <c r="C165" s="71">
        <v>1879693.27</v>
      </c>
      <c r="D165" s="72">
        <v>0</v>
      </c>
      <c r="E165" s="73">
        <v>52810</v>
      </c>
      <c r="F165" s="218">
        <f t="shared" si="41"/>
        <v>52819.380886999999</v>
      </c>
      <c r="G165" s="74">
        <v>2.81</v>
      </c>
      <c r="H165" s="59">
        <f t="shared" si="42"/>
        <v>0</v>
      </c>
      <c r="I165" s="59">
        <f t="shared" si="43"/>
        <v>52810</v>
      </c>
      <c r="K165" s="138">
        <f>ROUND('Adjust Depr Table 1'!S192,2)</f>
        <v>2.4</v>
      </c>
      <c r="L165" s="143"/>
      <c r="M165" s="139">
        <f t="shared" si="44"/>
        <v>0</v>
      </c>
      <c r="N165" s="139">
        <f>'Adjust Depr Table 1'!Q192</f>
        <v>45205.516129032258</v>
      </c>
      <c r="O165" s="139">
        <f t="shared" si="45"/>
        <v>45205.516129032258</v>
      </c>
      <c r="P165" s="242"/>
      <c r="Q165" s="242"/>
    </row>
    <row r="166" spans="1:17" s="19" customFormat="1">
      <c r="A166" s="64"/>
      <c r="B166" s="70" t="s">
        <v>87</v>
      </c>
      <c r="C166" s="71">
        <v>344891.29</v>
      </c>
      <c r="D166" s="72">
        <v>0</v>
      </c>
      <c r="E166" s="73">
        <v>11575</v>
      </c>
      <c r="F166" s="218">
        <f t="shared" si="41"/>
        <v>11588.347344</v>
      </c>
      <c r="G166" s="74">
        <v>3.36</v>
      </c>
      <c r="H166" s="59">
        <f t="shared" si="42"/>
        <v>0</v>
      </c>
      <c r="I166" s="59">
        <f t="shared" si="43"/>
        <v>11575</v>
      </c>
      <c r="K166" s="138">
        <f>ROUND('Adjust Depr Table 1'!S193,2)</f>
        <v>2.97</v>
      </c>
      <c r="L166" s="143"/>
      <c r="M166" s="139">
        <f t="shared" si="44"/>
        <v>0</v>
      </c>
      <c r="N166" s="139">
        <f>'Adjust Depr Table 1'!Q193</f>
        <v>10237.473684210527</v>
      </c>
      <c r="O166" s="139">
        <f t="shared" si="45"/>
        <v>10237.473684210527</v>
      </c>
      <c r="P166" s="242"/>
      <c r="Q166" s="242"/>
    </row>
    <row r="167" spans="1:17" s="19" customFormat="1">
      <c r="A167" s="64"/>
      <c r="B167" s="70" t="s">
        <v>88</v>
      </c>
      <c r="C167" s="71">
        <v>386164.65</v>
      </c>
      <c r="D167" s="72">
        <v>0</v>
      </c>
      <c r="E167" s="73">
        <v>12961</v>
      </c>
      <c r="F167" s="218">
        <f t="shared" si="41"/>
        <v>12975.132239999999</v>
      </c>
      <c r="G167" s="74">
        <v>3.36</v>
      </c>
      <c r="H167" s="59">
        <f t="shared" si="42"/>
        <v>0</v>
      </c>
      <c r="I167" s="59">
        <f t="shared" si="43"/>
        <v>12961</v>
      </c>
      <c r="K167" s="138">
        <f>ROUND('Adjust Depr Table 1'!S194,2)</f>
        <v>2.97</v>
      </c>
      <c r="L167" s="143"/>
      <c r="M167" s="139">
        <f t="shared" si="44"/>
        <v>0</v>
      </c>
      <c r="N167" s="139">
        <f>'Adjust Depr Table 1'!Q194</f>
        <v>11462.631578947368</v>
      </c>
      <c r="O167" s="139">
        <f t="shared" si="45"/>
        <v>11462.631578947368</v>
      </c>
      <c r="P167" s="242"/>
      <c r="Q167" s="242"/>
    </row>
    <row r="168" spans="1:17" s="19" customFormat="1">
      <c r="A168" s="64"/>
      <c r="B168" s="70" t="s">
        <v>89</v>
      </c>
      <c r="C168" s="71">
        <v>357452.26</v>
      </c>
      <c r="D168" s="72">
        <v>0</v>
      </c>
      <c r="E168" s="73">
        <v>11997</v>
      </c>
      <c r="F168" s="218">
        <f t="shared" si="41"/>
        <v>12010.395936000001</v>
      </c>
      <c r="G168" s="74">
        <v>3.36</v>
      </c>
      <c r="H168" s="59">
        <f t="shared" si="42"/>
        <v>0</v>
      </c>
      <c r="I168" s="59">
        <f t="shared" si="43"/>
        <v>11997</v>
      </c>
      <c r="K168" s="138">
        <f>ROUND('Adjust Depr Table 1'!S195,2)</f>
        <v>2.97</v>
      </c>
      <c r="L168" s="143"/>
      <c r="M168" s="139">
        <f t="shared" si="44"/>
        <v>0</v>
      </c>
      <c r="N168" s="139">
        <f>'Adjust Depr Table 1'!Q195</f>
        <v>10610.315789473685</v>
      </c>
      <c r="O168" s="139">
        <f t="shared" si="45"/>
        <v>10610.315789473685</v>
      </c>
      <c r="P168" s="242"/>
      <c r="Q168" s="242"/>
    </row>
    <row r="169" spans="1:17" s="19" customFormat="1">
      <c r="A169" s="64"/>
      <c r="B169" s="70" t="s">
        <v>90</v>
      </c>
      <c r="C169" s="71">
        <v>452676.95</v>
      </c>
      <c r="D169" s="72">
        <v>0</v>
      </c>
      <c r="E169" s="73">
        <v>14838</v>
      </c>
      <c r="F169" s="218">
        <f t="shared" si="41"/>
        <v>14847.803959999999</v>
      </c>
      <c r="G169" s="74">
        <v>3.28</v>
      </c>
      <c r="H169" s="59">
        <f t="shared" si="42"/>
        <v>0</v>
      </c>
      <c r="I169" s="59">
        <f t="shared" si="43"/>
        <v>14838</v>
      </c>
      <c r="K169" s="138">
        <f>ROUND('Adjust Depr Table 1'!S196,2)</f>
        <v>2.92</v>
      </c>
      <c r="L169" s="143"/>
      <c r="M169" s="139">
        <f t="shared" si="44"/>
        <v>0</v>
      </c>
      <c r="N169" s="139">
        <f>'Adjust Depr Table 1'!Q196</f>
        <v>13212.90909090909</v>
      </c>
      <c r="O169" s="139">
        <f t="shared" si="45"/>
        <v>13212.90909090909</v>
      </c>
      <c r="P169" s="242"/>
      <c r="Q169" s="242"/>
    </row>
    <row r="170" spans="1:17" s="19" customFormat="1">
      <c r="A170" s="64"/>
      <c r="B170" s="70" t="s">
        <v>91</v>
      </c>
      <c r="C170" s="71">
        <v>406784.25</v>
      </c>
      <c r="D170" s="72">
        <v>0</v>
      </c>
      <c r="E170" s="73">
        <v>13247</v>
      </c>
      <c r="F170" s="218">
        <f t="shared" si="41"/>
        <v>13261.16655</v>
      </c>
      <c r="G170" s="74">
        <v>3.26</v>
      </c>
      <c r="H170" s="59">
        <f t="shared" si="42"/>
        <v>0</v>
      </c>
      <c r="I170" s="59">
        <f t="shared" si="43"/>
        <v>13247</v>
      </c>
      <c r="K170" s="138">
        <f>ROUND('Adjust Depr Table 1'!S197,2)</f>
        <v>2.9</v>
      </c>
      <c r="L170" s="143"/>
      <c r="M170" s="139">
        <f t="shared" si="44"/>
        <v>0</v>
      </c>
      <c r="N170" s="139">
        <f>'Adjust Depr Table 1'!Q197</f>
        <v>11816.347826086956</v>
      </c>
      <c r="O170" s="139">
        <f t="shared" si="45"/>
        <v>11816.347826086956</v>
      </c>
      <c r="P170" s="242"/>
      <c r="Q170" s="242"/>
    </row>
    <row r="171" spans="1:17" s="19" customFormat="1">
      <c r="A171" s="64"/>
      <c r="B171" s="70" t="s">
        <v>92</v>
      </c>
      <c r="C171" s="71">
        <v>3028262.11</v>
      </c>
      <c r="D171" s="72">
        <v>0</v>
      </c>
      <c r="E171" s="73">
        <v>85436</v>
      </c>
      <c r="F171" s="218">
        <f t="shared" si="41"/>
        <v>85396.991502000004</v>
      </c>
      <c r="G171" s="74">
        <v>2.82</v>
      </c>
      <c r="H171" s="59">
        <f t="shared" si="42"/>
        <v>0</v>
      </c>
      <c r="I171" s="59">
        <f t="shared" si="43"/>
        <v>85436</v>
      </c>
      <c r="K171" s="138">
        <f>ROUND('Adjust Depr Table 1'!S198,2)</f>
        <v>2.4500000000000002</v>
      </c>
      <c r="L171" s="143"/>
      <c r="M171" s="139">
        <f t="shared" si="44"/>
        <v>0</v>
      </c>
      <c r="N171" s="139">
        <f>'Adjust Depr Table 1'!Q198</f>
        <v>74141.391304347824</v>
      </c>
      <c r="O171" s="139">
        <f t="shared" si="45"/>
        <v>74141.391304347824</v>
      </c>
      <c r="P171" s="242"/>
      <c r="Q171" s="242"/>
    </row>
    <row r="172" spans="1:17" s="19" customFormat="1">
      <c r="A172" s="64"/>
      <c r="B172" s="70" t="s">
        <v>93</v>
      </c>
      <c r="C172" s="71">
        <v>386034.41</v>
      </c>
      <c r="D172" s="72">
        <v>0</v>
      </c>
      <c r="E172" s="73">
        <v>10310</v>
      </c>
      <c r="F172" s="218">
        <f t="shared" si="41"/>
        <v>10307.118746999999</v>
      </c>
      <c r="G172" s="74">
        <v>2.67</v>
      </c>
      <c r="H172" s="59">
        <f t="shared" si="42"/>
        <v>0</v>
      </c>
      <c r="I172" s="59">
        <f t="shared" si="43"/>
        <v>10310</v>
      </c>
      <c r="K172" s="138">
        <f>ROUND('Adjust Depr Table 1'!S199,2)</f>
        <v>2.31</v>
      </c>
      <c r="L172" s="143"/>
      <c r="M172" s="139">
        <f t="shared" si="44"/>
        <v>0</v>
      </c>
      <c r="N172" s="139">
        <f>'Adjust Depr Table 1'!Q199</f>
        <v>8901.9130434782601</v>
      </c>
      <c r="O172" s="139">
        <f t="shared" si="45"/>
        <v>8901.9130434782601</v>
      </c>
      <c r="P172" s="242"/>
      <c r="Q172" s="242"/>
    </row>
    <row r="173" spans="1:17" s="19" customFormat="1">
      <c r="A173" s="64"/>
      <c r="B173" s="70" t="s">
        <v>94</v>
      </c>
      <c r="C173" s="71">
        <v>386034.41</v>
      </c>
      <c r="D173" s="72">
        <v>0</v>
      </c>
      <c r="E173" s="73">
        <v>10398</v>
      </c>
      <c r="F173" s="218">
        <f t="shared" si="41"/>
        <v>10384.325628999999</v>
      </c>
      <c r="G173" s="74">
        <v>2.69</v>
      </c>
      <c r="H173" s="59">
        <f t="shared" si="42"/>
        <v>0</v>
      </c>
      <c r="I173" s="59">
        <f t="shared" si="43"/>
        <v>10398</v>
      </c>
      <c r="K173" s="138">
        <f>ROUND('Adjust Depr Table 1'!S200,2)</f>
        <v>2.33</v>
      </c>
      <c r="L173" s="143"/>
      <c r="M173" s="139">
        <f t="shared" si="44"/>
        <v>0</v>
      </c>
      <c r="N173" s="139">
        <f>'Adjust Depr Table 1'!Q200</f>
        <v>8984.565217391304</v>
      </c>
      <c r="O173" s="139">
        <f t="shared" si="45"/>
        <v>8984.565217391304</v>
      </c>
      <c r="P173" s="242"/>
      <c r="Q173" s="242"/>
    </row>
    <row r="174" spans="1:17" s="19" customFormat="1">
      <c r="A174" s="64"/>
      <c r="B174" s="70" t="s">
        <v>95</v>
      </c>
      <c r="C174" s="71">
        <v>386034.41</v>
      </c>
      <c r="D174" s="72">
        <v>0</v>
      </c>
      <c r="E174" s="73">
        <v>10311</v>
      </c>
      <c r="F174" s="218">
        <f t="shared" si="41"/>
        <v>10307.118746999999</v>
      </c>
      <c r="G174" s="74">
        <v>2.67</v>
      </c>
      <c r="H174" s="59">
        <f t="shared" si="42"/>
        <v>0</v>
      </c>
      <c r="I174" s="59">
        <f t="shared" si="43"/>
        <v>10311</v>
      </c>
      <c r="K174" s="138">
        <f>ROUND('Adjust Depr Table 1'!S201,2)</f>
        <v>2.31</v>
      </c>
      <c r="L174" s="143"/>
      <c r="M174" s="139">
        <f t="shared" si="44"/>
        <v>0</v>
      </c>
      <c r="N174" s="139">
        <f>'Adjust Depr Table 1'!Q201</f>
        <v>8902.565217391304</v>
      </c>
      <c r="O174" s="139">
        <f t="shared" si="45"/>
        <v>8902.565217391304</v>
      </c>
      <c r="P174" s="242"/>
      <c r="Q174" s="242"/>
    </row>
    <row r="175" spans="1:17" s="19" customFormat="1">
      <c r="A175" s="64"/>
      <c r="B175" s="70" t="s">
        <v>96</v>
      </c>
      <c r="C175" s="75">
        <v>779800</v>
      </c>
      <c r="D175" s="76">
        <v>0</v>
      </c>
      <c r="E175" s="77">
        <v>32964</v>
      </c>
      <c r="F175" s="216">
        <f t="shared" si="41"/>
        <v>32985.540000000008</v>
      </c>
      <c r="G175" s="74">
        <v>4.2300000000000004</v>
      </c>
      <c r="H175" s="63">
        <f t="shared" si="42"/>
        <v>0</v>
      </c>
      <c r="I175" s="63">
        <f t="shared" si="43"/>
        <v>32964</v>
      </c>
      <c r="K175" s="138">
        <f>ROUND('Adjust Depr Table 1'!S202,2)</f>
        <v>3.97</v>
      </c>
      <c r="L175" s="143"/>
      <c r="M175" s="140">
        <f t="shared" si="44"/>
        <v>0</v>
      </c>
      <c r="N175" s="140">
        <f>'Adjust Depr Table 1'!Q202</f>
        <v>30962.217391304348</v>
      </c>
      <c r="O175" s="140">
        <f t="shared" si="45"/>
        <v>30962.217391304348</v>
      </c>
      <c r="P175" s="242"/>
      <c r="Q175" s="242"/>
    </row>
    <row r="176" spans="1:17" s="19" customFormat="1">
      <c r="A176" s="64"/>
      <c r="B176" s="78" t="s">
        <v>72</v>
      </c>
      <c r="C176" s="71">
        <f>SUM(C156:C175)</f>
        <v>38288055.68999999</v>
      </c>
      <c r="D176" s="72">
        <f>SUM(D156:D175)</f>
        <v>0</v>
      </c>
      <c r="E176" s="72">
        <f>SUM(E156:E175)</f>
        <v>1092266</v>
      </c>
      <c r="F176" s="221">
        <f>SUM(F156:F175)</f>
        <v>1092418.7865919999</v>
      </c>
      <c r="G176" s="74">
        <f>+ROUND(E176/C176*100,2)</f>
        <v>2.85</v>
      </c>
      <c r="H176" s="72">
        <f>SUM(H156:H175)</f>
        <v>0</v>
      </c>
      <c r="I176" s="72">
        <f>SUM(I156:I175)</f>
        <v>1092266</v>
      </c>
      <c r="K176" s="138"/>
      <c r="L176" s="143"/>
      <c r="M176" s="145">
        <f>SUM(M156:M175)</f>
        <v>0</v>
      </c>
      <c r="N176" s="145">
        <f>SUM(N156:N175)</f>
        <v>926192.22387239255</v>
      </c>
      <c r="O176" s="145">
        <f>SUM(O156:O175)</f>
        <v>926192.22387239255</v>
      </c>
      <c r="P176" s="242"/>
      <c r="Q176" s="242"/>
    </row>
    <row r="177" spans="1:17" s="19" customFormat="1">
      <c r="A177" s="64">
        <v>346</v>
      </c>
      <c r="B177" s="65" t="s">
        <v>73</v>
      </c>
      <c r="C177" s="65"/>
      <c r="D177" s="66"/>
      <c r="E177" s="67"/>
      <c r="F177" s="219"/>
      <c r="G177" s="68"/>
      <c r="H177" s="69"/>
      <c r="I177" s="69"/>
      <c r="K177" s="142"/>
      <c r="L177" s="143"/>
      <c r="M177" s="144"/>
      <c r="N177" s="144"/>
      <c r="O177" s="144"/>
      <c r="P177" s="242"/>
      <c r="Q177" s="242"/>
    </row>
    <row r="178" spans="1:17" s="19" customFormat="1">
      <c r="A178" s="64"/>
      <c r="B178" s="70" t="s">
        <v>77</v>
      </c>
      <c r="C178" s="71">
        <v>15528635.619999999</v>
      </c>
      <c r="D178" s="72">
        <v>0</v>
      </c>
      <c r="E178" s="73">
        <v>439927</v>
      </c>
      <c r="F178" s="218">
        <f t="shared" ref="F178:F183" si="46">C178*G178/100</f>
        <v>439460.38804599998</v>
      </c>
      <c r="G178" s="74">
        <v>2.83</v>
      </c>
      <c r="H178" s="59">
        <f t="shared" ref="H178:H183" si="47">ROUND(D178*(G178/100),0)</f>
        <v>0</v>
      </c>
      <c r="I178" s="59">
        <f t="shared" ref="I178:I183" si="48">E178-H178</f>
        <v>439927</v>
      </c>
      <c r="K178" s="138">
        <f>ROUND('Adjust Depr Table 1'!S207,2)</f>
        <v>2.29</v>
      </c>
      <c r="L178" s="143"/>
      <c r="M178" s="139">
        <f t="shared" ref="M178:M183" si="49">ROUND(D178*(K178/100),0)</f>
        <v>0</v>
      </c>
      <c r="N178" s="139">
        <f>'Adjust Depr Table 1'!Q207</f>
        <v>355211.22580645164</v>
      </c>
      <c r="O178" s="139">
        <f t="shared" ref="O178:O183" si="50">N178-M178</f>
        <v>355211.22580645164</v>
      </c>
      <c r="P178" s="242"/>
      <c r="Q178" s="242"/>
    </row>
    <row r="179" spans="1:17" s="19" customFormat="1">
      <c r="A179" s="64"/>
      <c r="B179" s="70" t="s">
        <v>87</v>
      </c>
      <c r="C179" s="71">
        <v>91253.04</v>
      </c>
      <c r="D179" s="72">
        <v>0</v>
      </c>
      <c r="E179" s="73">
        <v>3194</v>
      </c>
      <c r="F179" s="218">
        <f t="shared" si="46"/>
        <v>3193.8563999999997</v>
      </c>
      <c r="G179" s="74">
        <v>3.5</v>
      </c>
      <c r="H179" s="59">
        <f t="shared" si="47"/>
        <v>0</v>
      </c>
      <c r="I179" s="59">
        <f t="shared" si="48"/>
        <v>3194</v>
      </c>
      <c r="K179" s="138">
        <f>ROUND('Adjust Depr Table 1'!S208,2)</f>
        <v>2.96</v>
      </c>
      <c r="L179" s="143"/>
      <c r="M179" s="139">
        <f t="shared" si="49"/>
        <v>0</v>
      </c>
      <c r="N179" s="139">
        <f>'Adjust Depr Table 1'!Q208</f>
        <v>2699.9473684210525</v>
      </c>
      <c r="O179" s="139">
        <f t="shared" si="50"/>
        <v>2699.9473684210525</v>
      </c>
      <c r="P179" s="242"/>
      <c r="Q179" s="242"/>
    </row>
    <row r="180" spans="1:17" s="19" customFormat="1">
      <c r="A180" s="64"/>
      <c r="B180" s="70" t="s">
        <v>88</v>
      </c>
      <c r="C180" s="71">
        <v>103431.55</v>
      </c>
      <c r="D180" s="72">
        <v>0</v>
      </c>
      <c r="E180" s="73">
        <v>4555</v>
      </c>
      <c r="F180" s="218">
        <f t="shared" si="46"/>
        <v>4550.9882000000007</v>
      </c>
      <c r="G180" s="74">
        <v>4.4000000000000004</v>
      </c>
      <c r="H180" s="59">
        <f t="shared" si="47"/>
        <v>0</v>
      </c>
      <c r="I180" s="59">
        <f t="shared" si="48"/>
        <v>4555</v>
      </c>
      <c r="K180" s="138">
        <f>ROUND('Adjust Depr Table 1'!S209,2)</f>
        <v>4.0599999999999996</v>
      </c>
      <c r="L180" s="143"/>
      <c r="M180" s="139">
        <f t="shared" si="49"/>
        <v>0</v>
      </c>
      <c r="N180" s="139">
        <f>'Adjust Depr Table 1'!Q209</f>
        <v>4202</v>
      </c>
      <c r="O180" s="139">
        <f t="shared" si="50"/>
        <v>4202</v>
      </c>
      <c r="P180" s="242"/>
      <c r="Q180" s="242"/>
    </row>
    <row r="181" spans="1:17" s="19" customFormat="1">
      <c r="A181" s="64"/>
      <c r="B181" s="70" t="s">
        <v>89</v>
      </c>
      <c r="C181" s="71">
        <v>60998.54</v>
      </c>
      <c r="D181" s="72">
        <v>0</v>
      </c>
      <c r="E181" s="73">
        <v>2092</v>
      </c>
      <c r="F181" s="218">
        <f t="shared" si="46"/>
        <v>2092.249922</v>
      </c>
      <c r="G181" s="74">
        <v>3.43</v>
      </c>
      <c r="H181" s="59">
        <f t="shared" si="47"/>
        <v>0</v>
      </c>
      <c r="I181" s="59">
        <f t="shared" si="48"/>
        <v>2092</v>
      </c>
      <c r="K181" s="138">
        <f>ROUND('Adjust Depr Table 1'!S210,2)</f>
        <v>2.85</v>
      </c>
      <c r="L181" s="143"/>
      <c r="M181" s="139">
        <f t="shared" si="49"/>
        <v>0</v>
      </c>
      <c r="N181" s="139">
        <f>'Adjust Depr Table 1'!Q210</f>
        <v>1738.6315789473683</v>
      </c>
      <c r="O181" s="139">
        <f t="shared" si="50"/>
        <v>1738.6315789473683</v>
      </c>
      <c r="P181" s="242"/>
      <c r="Q181" s="242"/>
    </row>
    <row r="182" spans="1:17" s="19" customFormat="1">
      <c r="A182" s="64"/>
      <c r="B182" s="70" t="s">
        <v>90</v>
      </c>
      <c r="C182" s="71">
        <v>63896.29</v>
      </c>
      <c r="D182" s="72">
        <v>0</v>
      </c>
      <c r="E182" s="73">
        <v>2135</v>
      </c>
      <c r="F182" s="218">
        <f t="shared" si="46"/>
        <v>2134.136086</v>
      </c>
      <c r="G182" s="74">
        <v>3.34</v>
      </c>
      <c r="H182" s="59">
        <f t="shared" si="47"/>
        <v>0</v>
      </c>
      <c r="I182" s="59">
        <f t="shared" si="48"/>
        <v>2135</v>
      </c>
      <c r="K182" s="138">
        <f>ROUND('Adjust Depr Table 1'!S211,2)</f>
        <v>2.83</v>
      </c>
      <c r="L182" s="143"/>
      <c r="M182" s="139">
        <f t="shared" si="49"/>
        <v>0</v>
      </c>
      <c r="N182" s="139">
        <f>'Adjust Depr Table 1'!Q211</f>
        <v>1806.2727272727273</v>
      </c>
      <c r="O182" s="139">
        <f t="shared" si="50"/>
        <v>1806.2727272727273</v>
      </c>
      <c r="P182" s="242"/>
      <c r="Q182" s="242"/>
    </row>
    <row r="183" spans="1:17" s="19" customFormat="1">
      <c r="A183" s="64"/>
      <c r="B183" s="70" t="s">
        <v>91</v>
      </c>
      <c r="C183" s="75">
        <v>141993.37</v>
      </c>
      <c r="D183" s="76">
        <v>0</v>
      </c>
      <c r="E183" s="77">
        <v>5398</v>
      </c>
      <c r="F183" s="216">
        <f t="shared" si="46"/>
        <v>5395.7480599999999</v>
      </c>
      <c r="G183" s="74">
        <v>3.8</v>
      </c>
      <c r="H183" s="63">
        <f t="shared" si="47"/>
        <v>0</v>
      </c>
      <c r="I183" s="63">
        <f t="shared" si="48"/>
        <v>5398</v>
      </c>
      <c r="K183" s="138">
        <f>ROUND('Adjust Depr Table 1'!S212,2)</f>
        <v>3.45</v>
      </c>
      <c r="L183" s="143"/>
      <c r="M183" s="140">
        <f t="shared" si="49"/>
        <v>0</v>
      </c>
      <c r="N183" s="140">
        <f>'Adjust Depr Table 1'!Q212</f>
        <v>4900.391304347826</v>
      </c>
      <c r="O183" s="140">
        <f t="shared" si="50"/>
        <v>4900.391304347826</v>
      </c>
      <c r="P183" s="242"/>
      <c r="Q183" s="242"/>
    </row>
    <row r="184" spans="1:17" s="19" customFormat="1">
      <c r="A184" s="64"/>
      <c r="B184" s="78" t="s">
        <v>74</v>
      </c>
      <c r="C184" s="75">
        <f>SUM(C178:C183)</f>
        <v>15990208.409999996</v>
      </c>
      <c r="D184" s="76">
        <f>SUM(D178:D183)</f>
        <v>0</v>
      </c>
      <c r="E184" s="76">
        <f>SUM(E178:E183)</f>
        <v>457301</v>
      </c>
      <c r="F184" s="222">
        <f>SUM(F178:F183)</f>
        <v>456827.366714</v>
      </c>
      <c r="G184" s="74">
        <f>+ROUND(E184/C184*100,2)</f>
        <v>2.86</v>
      </c>
      <c r="H184" s="76">
        <f>SUM(H178:H183)</f>
        <v>0</v>
      </c>
      <c r="I184" s="76">
        <f>SUM(I178:I183)</f>
        <v>457301</v>
      </c>
      <c r="K184" s="138"/>
      <c r="L184" s="143"/>
      <c r="M184" s="146">
        <f>SUM(M178:M183)</f>
        <v>0</v>
      </c>
      <c r="N184" s="146">
        <f>SUM(N178:N183)</f>
        <v>370558.46878544061</v>
      </c>
      <c r="O184" s="146">
        <f>SUM(O178:O183)</f>
        <v>370558.46878544061</v>
      </c>
      <c r="P184" s="242"/>
      <c r="Q184" s="242"/>
    </row>
    <row r="185" spans="1:17" ht="15.75">
      <c r="A185" s="23"/>
      <c r="B185" s="79"/>
      <c r="C185" s="71"/>
      <c r="D185" s="72"/>
      <c r="E185" s="73"/>
      <c r="F185" s="220"/>
      <c r="G185" s="49"/>
      <c r="H185" s="44"/>
      <c r="I185" s="44"/>
      <c r="K185" s="137"/>
      <c r="L185" s="126"/>
      <c r="M185" s="135"/>
      <c r="N185" s="135"/>
      <c r="O185" s="135"/>
      <c r="P185" s="241"/>
      <c r="Q185" s="241"/>
    </row>
    <row r="186" spans="1:17" ht="15.75">
      <c r="A186" s="80"/>
      <c r="B186" s="81" t="s">
        <v>104</v>
      </c>
      <c r="C186" s="82">
        <f>C100+C110+C131+C154+C176+C184</f>
        <v>639379853.02999997</v>
      </c>
      <c r="D186" s="83">
        <f>D100+D110+D131+D154+D176+D184</f>
        <v>0</v>
      </c>
      <c r="E186" s="83">
        <f>E100+E110+E131+E154+E176+E184</f>
        <v>18378213</v>
      </c>
      <c r="F186" s="223">
        <f>F100+F110+F131+F154+F176+F184</f>
        <v>18375965.937548004</v>
      </c>
      <c r="G186" s="84">
        <f>+ROUND(E186/C186*100,2)</f>
        <v>2.87</v>
      </c>
      <c r="H186" s="83">
        <f>H100+H110+H131+H154+H176+H184</f>
        <v>0</v>
      </c>
      <c r="I186" s="83">
        <f>I100+I110+I131+I154+I176+I184</f>
        <v>18378213</v>
      </c>
      <c r="K186" s="134"/>
      <c r="L186" s="126"/>
      <c r="M186" s="147">
        <f>M100+M110+M131+M154+M176+M184</f>
        <v>0</v>
      </c>
      <c r="N186" s="147">
        <f>N100+N110+N131+N154+N176+N184</f>
        <v>15796680.353175119</v>
      </c>
      <c r="O186" s="147">
        <f>O100+O110+O131+O154+O176+O184</f>
        <v>15796680.353175119</v>
      </c>
      <c r="P186" s="241"/>
      <c r="Q186" s="241"/>
    </row>
    <row r="187" spans="1:17" s="19" customFormat="1">
      <c r="A187" s="85"/>
      <c r="B187" s="86"/>
      <c r="C187" s="87"/>
      <c r="D187" s="88"/>
      <c r="E187" s="89"/>
      <c r="F187" s="224"/>
      <c r="G187" s="74"/>
      <c r="H187" s="69"/>
      <c r="I187" s="69"/>
      <c r="K187" s="138"/>
      <c r="L187" s="143"/>
      <c r="M187" s="144"/>
      <c r="N187" s="144"/>
      <c r="O187" s="144"/>
      <c r="P187" s="242"/>
      <c r="Q187" s="242"/>
    </row>
    <row r="188" spans="1:17" ht="15.75">
      <c r="A188" s="80"/>
      <c r="B188" s="24" t="s">
        <v>105</v>
      </c>
      <c r="C188" s="87"/>
      <c r="D188" s="88"/>
      <c r="E188" s="46"/>
      <c r="F188" s="217"/>
      <c r="G188" s="49"/>
      <c r="H188" s="44"/>
      <c r="I188" s="44"/>
      <c r="K188" s="137"/>
      <c r="L188" s="126"/>
      <c r="M188" s="135"/>
      <c r="N188" s="135"/>
      <c r="O188" s="135"/>
      <c r="P188" s="241"/>
      <c r="Q188" s="241"/>
    </row>
    <row r="189" spans="1:17" ht="15.75">
      <c r="A189" s="80"/>
      <c r="B189" s="48"/>
      <c r="C189" s="87"/>
      <c r="D189" s="88"/>
      <c r="E189" s="46"/>
      <c r="F189" s="217"/>
      <c r="G189" s="49"/>
      <c r="H189" s="44"/>
      <c r="I189" s="44"/>
      <c r="K189" s="137"/>
      <c r="L189" s="126"/>
      <c r="M189" s="135"/>
      <c r="N189" s="135"/>
      <c r="O189" s="135"/>
      <c r="P189" s="241"/>
      <c r="Q189" s="241"/>
    </row>
    <row r="190" spans="1:17">
      <c r="A190" s="80">
        <v>353</v>
      </c>
      <c r="B190" s="18" t="s">
        <v>106</v>
      </c>
      <c r="C190" s="71">
        <v>269766938.30000001</v>
      </c>
      <c r="D190" s="72">
        <v>18351642</v>
      </c>
      <c r="E190" s="73">
        <v>5872454</v>
      </c>
      <c r="F190" s="218">
        <f t="shared" ref="F190:F195" si="51">C190*G190/100</f>
        <v>5880919.2549400004</v>
      </c>
      <c r="G190" s="74">
        <v>2.1800000000000002</v>
      </c>
      <c r="H190" s="59">
        <f t="shared" ref="H190:H195" si="52">ROUND(D190*(G190/100),0)</f>
        <v>400066</v>
      </c>
      <c r="I190" s="59">
        <f t="shared" ref="I190:I195" si="53">E190-H190</f>
        <v>5472388</v>
      </c>
      <c r="K190" s="138">
        <f>ROUND('Adjust Depr Table 1'!S220,2)</f>
        <v>2.1800000000000002</v>
      </c>
      <c r="L190" s="126"/>
      <c r="M190" s="139">
        <f t="shared" ref="M190:M195" si="54">ROUND(D190*(K190/100),0)</f>
        <v>400066</v>
      </c>
      <c r="N190" s="139">
        <f>'Adjust Depr Table 1'!Q220</f>
        <v>5872454</v>
      </c>
      <c r="O190" s="139">
        <f t="shared" ref="O190:O195" si="55">N190-M190</f>
        <v>5472388</v>
      </c>
      <c r="P190" s="241"/>
      <c r="Q190" s="241" t="str">
        <f>IF(C190-D190&lt;1,0,"No")</f>
        <v>No</v>
      </c>
    </row>
    <row r="191" spans="1:17">
      <c r="A191" s="80">
        <v>353.1</v>
      </c>
      <c r="B191" s="18" t="s">
        <v>107</v>
      </c>
      <c r="C191" s="71">
        <v>9476611.1600000001</v>
      </c>
      <c r="D191" s="72">
        <v>0</v>
      </c>
      <c r="E191" s="73">
        <v>598296</v>
      </c>
      <c r="F191" s="218">
        <f t="shared" si="51"/>
        <v>597974.16419599997</v>
      </c>
      <c r="G191" s="74">
        <v>6.31</v>
      </c>
      <c r="H191" s="59">
        <f t="shared" si="52"/>
        <v>0</v>
      </c>
      <c r="I191" s="59">
        <f t="shared" si="53"/>
        <v>598296</v>
      </c>
      <c r="K191" s="138">
        <f>ROUND('Adjust Depr Table 1'!S221,2)</f>
        <v>6.31</v>
      </c>
      <c r="L191" s="126"/>
      <c r="M191" s="139">
        <f t="shared" si="54"/>
        <v>0</v>
      </c>
      <c r="N191" s="139">
        <f>'Adjust Depr Table 1'!Q221</f>
        <v>598296</v>
      </c>
      <c r="O191" s="139">
        <f t="shared" si="55"/>
        <v>598296</v>
      </c>
      <c r="P191" s="241"/>
      <c r="Q191" s="241"/>
    </row>
    <row r="192" spans="1:17">
      <c r="A192" s="80">
        <v>354</v>
      </c>
      <c r="B192" s="18" t="s">
        <v>108</v>
      </c>
      <c r="C192" s="71">
        <v>3853520.91</v>
      </c>
      <c r="D192" s="72">
        <v>0</v>
      </c>
      <c r="E192" s="73">
        <v>63799</v>
      </c>
      <c r="F192" s="218">
        <f t="shared" si="51"/>
        <v>63968.447106</v>
      </c>
      <c r="G192" s="74">
        <v>1.66</v>
      </c>
      <c r="H192" s="59">
        <f t="shared" si="52"/>
        <v>0</v>
      </c>
      <c r="I192" s="59">
        <f t="shared" si="53"/>
        <v>63799</v>
      </c>
      <c r="K192" s="138">
        <f>ROUND('Adjust Depr Table 1'!S222,2)</f>
        <v>1.66</v>
      </c>
      <c r="L192" s="126"/>
      <c r="M192" s="139">
        <f t="shared" si="54"/>
        <v>0</v>
      </c>
      <c r="N192" s="139">
        <f>'Adjust Depr Table 1'!Q222</f>
        <v>63799</v>
      </c>
      <c r="O192" s="139">
        <f t="shared" si="55"/>
        <v>63799</v>
      </c>
      <c r="P192" s="241"/>
      <c r="Q192" s="241"/>
    </row>
    <row r="193" spans="1:17">
      <c r="A193" s="80">
        <v>355</v>
      </c>
      <c r="B193" s="18" t="s">
        <v>109</v>
      </c>
      <c r="C193" s="71">
        <v>166166560.00999999</v>
      </c>
      <c r="D193" s="72">
        <v>0</v>
      </c>
      <c r="E193" s="73">
        <v>4693496</v>
      </c>
      <c r="F193" s="218">
        <f t="shared" si="51"/>
        <v>4685896.9922819994</v>
      </c>
      <c r="G193" s="74">
        <v>2.82</v>
      </c>
      <c r="H193" s="59">
        <f t="shared" si="52"/>
        <v>0</v>
      </c>
      <c r="I193" s="59">
        <f t="shared" si="53"/>
        <v>4693496</v>
      </c>
      <c r="K193" s="138">
        <f>ROUND('Adjust Depr Table 1'!S223,2)</f>
        <v>2.82</v>
      </c>
      <c r="L193" s="126"/>
      <c r="M193" s="139">
        <f t="shared" si="54"/>
        <v>0</v>
      </c>
      <c r="N193" s="139">
        <f>'Adjust Depr Table 1'!Q223</f>
        <v>4693496</v>
      </c>
      <c r="O193" s="139">
        <f t="shared" si="55"/>
        <v>4693496</v>
      </c>
      <c r="P193" s="241"/>
      <c r="Q193" s="241"/>
    </row>
    <row r="194" spans="1:17">
      <c r="A194" s="80">
        <v>356</v>
      </c>
      <c r="B194" s="18" t="s">
        <v>110</v>
      </c>
      <c r="C194" s="71">
        <v>139611652.81999999</v>
      </c>
      <c r="D194" s="72">
        <v>0</v>
      </c>
      <c r="E194" s="73">
        <v>4043353</v>
      </c>
      <c r="F194" s="218">
        <f t="shared" si="51"/>
        <v>4048737.9317799998</v>
      </c>
      <c r="G194" s="74">
        <v>2.9</v>
      </c>
      <c r="H194" s="59">
        <f t="shared" si="52"/>
        <v>0</v>
      </c>
      <c r="I194" s="59">
        <f t="shared" si="53"/>
        <v>4043353</v>
      </c>
      <c r="K194" s="138">
        <f>ROUND('Adjust Depr Table 1'!S224,2)</f>
        <v>2.9</v>
      </c>
      <c r="L194" s="126"/>
      <c r="M194" s="139">
        <f t="shared" si="54"/>
        <v>0</v>
      </c>
      <c r="N194" s="139">
        <f>'Adjust Depr Table 1'!Q224</f>
        <v>4043353.0000000005</v>
      </c>
      <c r="O194" s="139">
        <f t="shared" si="55"/>
        <v>4043353.0000000005</v>
      </c>
      <c r="P194" s="241"/>
      <c r="Q194" s="241"/>
    </row>
    <row r="195" spans="1:17">
      <c r="A195" s="80">
        <v>359</v>
      </c>
      <c r="B195" s="18" t="s">
        <v>111</v>
      </c>
      <c r="C195" s="71">
        <v>23287.65</v>
      </c>
      <c r="D195" s="76">
        <v>0</v>
      </c>
      <c r="E195" s="73">
        <v>446</v>
      </c>
      <c r="F195" s="218">
        <f t="shared" si="51"/>
        <v>447.12288000000001</v>
      </c>
      <c r="G195" s="74">
        <v>1.92</v>
      </c>
      <c r="H195" s="63">
        <f t="shared" si="52"/>
        <v>0</v>
      </c>
      <c r="I195" s="63">
        <f t="shared" si="53"/>
        <v>446</v>
      </c>
      <c r="K195" s="138">
        <f>ROUND('Adjust Depr Table 1'!S225,2)</f>
        <v>1.92</v>
      </c>
      <c r="L195" s="126"/>
      <c r="M195" s="140">
        <f t="shared" si="54"/>
        <v>0</v>
      </c>
      <c r="N195" s="140">
        <f>'Adjust Depr Table 1'!Q225</f>
        <v>446</v>
      </c>
      <c r="O195" s="140">
        <f t="shared" si="55"/>
        <v>446</v>
      </c>
      <c r="P195" s="241"/>
      <c r="Q195" s="241"/>
    </row>
    <row r="196" spans="1:17">
      <c r="A196" s="80"/>
      <c r="C196" s="90"/>
      <c r="D196" s="72"/>
      <c r="E196" s="91"/>
      <c r="F196" s="225"/>
      <c r="G196" s="49"/>
      <c r="H196" s="44"/>
      <c r="I196" s="44"/>
      <c r="K196" s="137"/>
      <c r="L196" s="126"/>
      <c r="M196" s="135"/>
      <c r="N196" s="135"/>
      <c r="O196" s="135"/>
      <c r="P196" s="241"/>
      <c r="Q196" s="241"/>
    </row>
    <row r="197" spans="1:17" ht="15.75">
      <c r="A197" s="80"/>
      <c r="B197" s="81" t="s">
        <v>112</v>
      </c>
      <c r="C197" s="82">
        <f>SUM(C190:C195)</f>
        <v>588898570.85000002</v>
      </c>
      <c r="D197" s="92">
        <f>SUM(D190:D195)</f>
        <v>18351642</v>
      </c>
      <c r="E197" s="92">
        <f>SUM(E190:E195)</f>
        <v>15271844</v>
      </c>
      <c r="F197" s="226">
        <f>SUM(F190:F195)</f>
        <v>15277943.913184</v>
      </c>
      <c r="G197" s="84">
        <f>+ROUND(E197/C197*100,2)</f>
        <v>2.59</v>
      </c>
      <c r="H197" s="92">
        <f>SUM(H190:H195)</f>
        <v>400066</v>
      </c>
      <c r="I197" s="92">
        <f>SUM(I190:I195)</f>
        <v>14871778</v>
      </c>
      <c r="K197" s="134"/>
      <c r="L197" s="126"/>
      <c r="M197" s="148">
        <f>SUM(M190:M195)</f>
        <v>400066</v>
      </c>
      <c r="N197" s="148">
        <f>SUM(N190:N195)</f>
        <v>15271844</v>
      </c>
      <c r="O197" s="148">
        <f>SUM(O190:O195)</f>
        <v>14871778</v>
      </c>
      <c r="P197" s="241"/>
      <c r="Q197" s="241"/>
    </row>
    <row r="198" spans="1:17">
      <c r="A198" s="80"/>
      <c r="C198" s="87"/>
      <c r="D198" s="88"/>
      <c r="E198" s="46"/>
      <c r="F198" s="217"/>
      <c r="G198" s="49"/>
      <c r="H198" s="44"/>
      <c r="I198" s="44"/>
      <c r="K198" s="137"/>
      <c r="L198" s="126"/>
      <c r="M198" s="135"/>
      <c r="N198" s="135"/>
      <c r="O198" s="135"/>
      <c r="P198" s="241"/>
      <c r="Q198" s="241"/>
    </row>
    <row r="199" spans="1:17" ht="15.75">
      <c r="A199" s="80"/>
      <c r="B199" s="24" t="s">
        <v>113</v>
      </c>
      <c r="C199" s="87"/>
      <c r="D199" s="88"/>
      <c r="E199" s="46"/>
      <c r="F199" s="217"/>
      <c r="G199" s="49"/>
      <c r="H199" s="44"/>
      <c r="I199" s="44"/>
      <c r="K199" s="137"/>
      <c r="L199" s="126"/>
      <c r="M199" s="135"/>
      <c r="N199" s="135"/>
      <c r="O199" s="135"/>
      <c r="P199" s="241"/>
      <c r="Q199" s="241"/>
    </row>
    <row r="200" spans="1:17" ht="15.75">
      <c r="A200" s="80"/>
      <c r="B200" s="48"/>
      <c r="C200" s="87"/>
      <c r="D200" s="88"/>
      <c r="E200" s="46"/>
      <c r="F200" s="217"/>
      <c r="G200" s="49"/>
      <c r="H200" s="44"/>
      <c r="I200" s="44"/>
      <c r="K200" s="137"/>
      <c r="L200" s="126"/>
      <c r="M200" s="135"/>
      <c r="N200" s="135"/>
      <c r="O200" s="135"/>
      <c r="P200" s="241"/>
      <c r="Q200" s="241"/>
    </row>
    <row r="201" spans="1:17">
      <c r="A201" s="80">
        <v>362</v>
      </c>
      <c r="B201" s="18" t="s">
        <v>106</v>
      </c>
      <c r="C201" s="71">
        <v>228725585.62</v>
      </c>
      <c r="D201" s="72">
        <v>0</v>
      </c>
      <c r="E201" s="73">
        <v>5817664</v>
      </c>
      <c r="F201" s="218">
        <f>C201*G201/100</f>
        <v>5809629.8747479999</v>
      </c>
      <c r="G201" s="74">
        <v>2.54</v>
      </c>
      <c r="H201" s="59">
        <f>ROUND(D201*(G201/100),0)</f>
        <v>0</v>
      </c>
      <c r="I201" s="59">
        <f>E201-H201</f>
        <v>5817664</v>
      </c>
      <c r="K201" s="138">
        <f>ROUND('Adjust Depr Table 1'!S231,2)</f>
        <v>2.54</v>
      </c>
      <c r="L201" s="126"/>
      <c r="M201" s="139">
        <f>ROUND(D201*(K201/100),0)</f>
        <v>0</v>
      </c>
      <c r="N201" s="139">
        <f>'Adjust Depr Table 1'!Q231</f>
        <v>5817664</v>
      </c>
      <c r="O201" s="139">
        <f>N201-M201</f>
        <v>5817664</v>
      </c>
      <c r="P201" s="241"/>
      <c r="Q201" s="241"/>
    </row>
    <row r="202" spans="1:17">
      <c r="A202" s="80">
        <v>362.1</v>
      </c>
      <c r="B202" s="18" t="s">
        <v>114</v>
      </c>
      <c r="C202" s="71">
        <v>7252060.3200000003</v>
      </c>
      <c r="D202" s="72">
        <v>0</v>
      </c>
      <c r="E202" s="73">
        <v>138662</v>
      </c>
      <c r="F202" s="218">
        <f>C202*G202/100</f>
        <v>138514.35211199999</v>
      </c>
      <c r="G202" s="74">
        <v>1.91</v>
      </c>
      <c r="H202" s="59">
        <f>ROUND(D202*(G202/100),0)</f>
        <v>0</v>
      </c>
      <c r="I202" s="59">
        <f>E202-H202</f>
        <v>138662</v>
      </c>
      <c r="K202" s="138">
        <f>ROUND('Adjust Depr Table 1'!S232,2)</f>
        <v>1.91</v>
      </c>
      <c r="L202" s="126"/>
      <c r="M202" s="139">
        <f>ROUND(D202*(K202/100),0)</f>
        <v>0</v>
      </c>
      <c r="N202" s="139">
        <f>'Adjust Depr Table 1'!Q232</f>
        <v>138662</v>
      </c>
      <c r="O202" s="139">
        <f>N202-M202</f>
        <v>138662</v>
      </c>
      <c r="P202" s="241"/>
      <c r="Q202" s="241"/>
    </row>
    <row r="203" spans="1:17">
      <c r="A203" s="80">
        <v>368</v>
      </c>
      <c r="B203" s="18" t="s">
        <v>115</v>
      </c>
      <c r="C203" s="71">
        <v>2413995.98</v>
      </c>
      <c r="D203" s="76">
        <v>0</v>
      </c>
      <c r="E203" s="73">
        <v>26958</v>
      </c>
      <c r="F203" s="218">
        <f>C203*G203/100</f>
        <v>27036.754976000004</v>
      </c>
      <c r="G203" s="74">
        <v>1.1200000000000001</v>
      </c>
      <c r="H203" s="63">
        <f>ROUND(D203*(G203/100),0)</f>
        <v>0</v>
      </c>
      <c r="I203" s="63">
        <f>E203-H203</f>
        <v>26958</v>
      </c>
      <c r="K203" s="138">
        <f>ROUND('Adjust Depr Table 1'!S233,2)</f>
        <v>1.1200000000000001</v>
      </c>
      <c r="L203" s="126"/>
      <c r="M203" s="140">
        <f>ROUND(D203*(K203/100),0)</f>
        <v>0</v>
      </c>
      <c r="N203" s="140">
        <f>'Adjust Depr Table 1'!Q233</f>
        <v>26958</v>
      </c>
      <c r="O203" s="140">
        <f>N203-M203</f>
        <v>26958</v>
      </c>
      <c r="P203" s="241"/>
      <c r="Q203" s="241"/>
    </row>
    <row r="204" spans="1:17">
      <c r="A204" s="80"/>
      <c r="C204" s="90"/>
      <c r="D204" s="72"/>
      <c r="E204" s="91"/>
      <c r="F204" s="225"/>
      <c r="G204" s="49"/>
      <c r="H204" s="44"/>
      <c r="I204" s="44"/>
      <c r="K204" s="137"/>
      <c r="L204" s="126"/>
      <c r="M204" s="135"/>
      <c r="N204" s="135"/>
      <c r="O204" s="135"/>
      <c r="P204" s="241"/>
      <c r="Q204" s="241"/>
    </row>
    <row r="205" spans="1:17" ht="15.75">
      <c r="A205" s="80"/>
      <c r="B205" s="81" t="s">
        <v>116</v>
      </c>
      <c r="C205" s="82">
        <f>SUM(C201:C203)</f>
        <v>238391641.91999999</v>
      </c>
      <c r="D205" s="92">
        <f>SUM(D201:D203)</f>
        <v>0</v>
      </c>
      <c r="E205" s="92">
        <f>SUM(E201:E203)</f>
        <v>5983284</v>
      </c>
      <c r="F205" s="226">
        <f>SUM(F201:F203)</f>
        <v>5975180.9818359995</v>
      </c>
      <c r="G205" s="84">
        <f>+ROUND(E205/C205*100,2)</f>
        <v>2.5099999999999998</v>
      </c>
      <c r="H205" s="92">
        <f>SUM(H201:H203)</f>
        <v>0</v>
      </c>
      <c r="I205" s="92">
        <f>SUM(I201:I203)</f>
        <v>5983284</v>
      </c>
      <c r="K205" s="134"/>
      <c r="L205" s="126"/>
      <c r="M205" s="148">
        <f>SUM(M201:M203)</f>
        <v>0</v>
      </c>
      <c r="N205" s="148">
        <f>SUM(N201:N203)</f>
        <v>5983284</v>
      </c>
      <c r="O205" s="148">
        <f>SUM(O201:O203)</f>
        <v>5983284</v>
      </c>
      <c r="P205" s="241"/>
      <c r="Q205" s="241"/>
    </row>
    <row r="206" spans="1:17">
      <c r="A206" s="80"/>
      <c r="C206" s="87"/>
      <c r="D206" s="88"/>
      <c r="E206" s="46"/>
      <c r="F206" s="217"/>
      <c r="G206" s="49"/>
      <c r="H206" s="44"/>
      <c r="I206" s="44"/>
      <c r="K206" s="137"/>
      <c r="L206" s="126"/>
      <c r="M206" s="135"/>
      <c r="N206" s="135"/>
      <c r="O206" s="135"/>
      <c r="P206" s="241"/>
      <c r="Q206" s="241"/>
    </row>
    <row r="207" spans="1:17" ht="15.75">
      <c r="A207" s="80"/>
      <c r="B207" s="24" t="s">
        <v>117</v>
      </c>
      <c r="C207" s="87"/>
      <c r="D207" s="88"/>
      <c r="E207" s="46"/>
      <c r="F207" s="217"/>
      <c r="G207" s="49"/>
      <c r="H207" s="44"/>
      <c r="I207" s="44"/>
      <c r="K207" s="137"/>
      <c r="L207" s="126"/>
      <c r="M207" s="135"/>
      <c r="N207" s="135"/>
      <c r="O207" s="135"/>
      <c r="P207" s="241"/>
      <c r="Q207" s="241"/>
    </row>
    <row r="208" spans="1:17" ht="15.75">
      <c r="A208" s="80"/>
      <c r="B208" s="48"/>
      <c r="C208" s="87"/>
      <c r="D208" s="88"/>
      <c r="E208" s="46"/>
      <c r="F208" s="217"/>
      <c r="G208" s="49"/>
      <c r="H208" s="44"/>
      <c r="I208" s="44"/>
      <c r="K208" s="137"/>
      <c r="L208" s="126"/>
      <c r="M208" s="135"/>
      <c r="N208" s="135"/>
      <c r="O208" s="135"/>
      <c r="P208" s="241"/>
      <c r="Q208" s="241"/>
    </row>
    <row r="209" spans="1:17">
      <c r="A209" s="80">
        <v>390</v>
      </c>
      <c r="B209" s="86" t="s">
        <v>118</v>
      </c>
      <c r="C209" s="71">
        <v>17176820.18</v>
      </c>
      <c r="D209" s="72">
        <v>0</v>
      </c>
      <c r="E209" s="73">
        <v>170358</v>
      </c>
      <c r="F209" s="218">
        <f>C209*G209/100</f>
        <v>170050.51978199999</v>
      </c>
      <c r="G209" s="74">
        <v>0.99</v>
      </c>
      <c r="H209" s="59">
        <f>ROUND(D209*(G209/100),0)</f>
        <v>0</v>
      </c>
      <c r="I209" s="59">
        <f>E209-H209</f>
        <v>170358</v>
      </c>
      <c r="K209" s="138">
        <v>0.99</v>
      </c>
      <c r="L209" s="126"/>
      <c r="M209" s="139">
        <f>ROUND(D209*(K209/100),0)</f>
        <v>0</v>
      </c>
      <c r="N209" s="139">
        <f>'Adjust Depr Table 1'!Q239</f>
        <v>170358</v>
      </c>
      <c r="O209" s="139">
        <f>N209-M209</f>
        <v>170358</v>
      </c>
      <c r="P209" s="241"/>
      <c r="Q209" s="241"/>
    </row>
    <row r="210" spans="1:17">
      <c r="A210" s="80">
        <v>391</v>
      </c>
      <c r="B210" s="94" t="s">
        <v>119</v>
      </c>
      <c r="C210" s="71"/>
      <c r="D210" s="72"/>
      <c r="E210" s="73"/>
      <c r="F210" s="220"/>
      <c r="G210" s="74"/>
      <c r="H210" s="44"/>
      <c r="I210" s="44"/>
      <c r="K210" s="138"/>
      <c r="L210" s="126"/>
      <c r="M210" s="135"/>
      <c r="N210" s="135"/>
      <c r="O210" s="135"/>
      <c r="P210" s="241"/>
      <c r="Q210" s="241"/>
    </row>
    <row r="211" spans="1:17">
      <c r="A211" s="80"/>
      <c r="B211" s="95" t="s">
        <v>120</v>
      </c>
      <c r="C211" s="55">
        <v>2016677.53</v>
      </c>
      <c r="D211" s="56">
        <v>0</v>
      </c>
      <c r="E211" s="57">
        <v>0</v>
      </c>
      <c r="F211" s="218">
        <f>C211*G211/100</f>
        <v>0</v>
      </c>
      <c r="G211" s="58">
        <v>0</v>
      </c>
      <c r="H211" s="59">
        <f>ROUND(D211*(G211/100),0)</f>
        <v>0</v>
      </c>
      <c r="I211" s="59">
        <f>E211-H211</f>
        <v>0</v>
      </c>
      <c r="K211" s="138">
        <v>0</v>
      </c>
      <c r="L211" s="126"/>
      <c r="M211" s="139">
        <f>ROUND(D211*(K211/100),0)</f>
        <v>0</v>
      </c>
      <c r="N211" s="139">
        <f>'Adjust Depr Table 1'!Q242</f>
        <v>0</v>
      </c>
      <c r="O211" s="139">
        <f>N211-M211</f>
        <v>0</v>
      </c>
      <c r="P211" s="241"/>
      <c r="Q211" s="241"/>
    </row>
    <row r="212" spans="1:17">
      <c r="A212" s="80"/>
      <c r="B212" s="95" t="s">
        <v>121</v>
      </c>
      <c r="C212" s="60">
        <v>9301032.1600000001</v>
      </c>
      <c r="D212" s="61">
        <v>0</v>
      </c>
      <c r="E212" s="62">
        <v>465074</v>
      </c>
      <c r="F212" s="216">
        <f>C212*G212/100</f>
        <v>465051.60799999995</v>
      </c>
      <c r="G212" s="58">
        <v>5</v>
      </c>
      <c r="H212" s="63">
        <f>ROUND(D212*(G212/100),0)</f>
        <v>0</v>
      </c>
      <c r="I212" s="63">
        <f>E212-H212</f>
        <v>465074</v>
      </c>
      <c r="K212" s="138">
        <v>5</v>
      </c>
      <c r="L212" s="126"/>
      <c r="M212" s="140">
        <f>ROUND(D212*(K212/100),0)</f>
        <v>0</v>
      </c>
      <c r="N212" s="140">
        <f>'Adjust Depr Table 1'!Q243</f>
        <v>465074</v>
      </c>
      <c r="O212" s="140">
        <f>N212-M212</f>
        <v>465074</v>
      </c>
      <c r="P212" s="241"/>
      <c r="Q212" s="241"/>
    </row>
    <row r="213" spans="1:17">
      <c r="A213" s="80"/>
      <c r="B213" s="37" t="s">
        <v>122</v>
      </c>
      <c r="C213" s="55">
        <f>C211+C212</f>
        <v>11317709.689999999</v>
      </c>
      <c r="D213" s="56">
        <f>D211+D212</f>
        <v>0</v>
      </c>
      <c r="E213" s="56">
        <f>E211+E212</f>
        <v>465074</v>
      </c>
      <c r="F213" s="227">
        <f>F211+F212</f>
        <v>465051.60799999995</v>
      </c>
      <c r="G213" s="58">
        <f>+ROUND(E213/C213*100,2)</f>
        <v>4.1100000000000003</v>
      </c>
      <c r="H213" s="56">
        <f>H211+H212</f>
        <v>0</v>
      </c>
      <c r="I213" s="56">
        <f>I211+I212</f>
        <v>465074</v>
      </c>
      <c r="K213" s="138"/>
      <c r="L213" s="126"/>
      <c r="M213" s="149">
        <f>M211+M212</f>
        <v>0</v>
      </c>
      <c r="N213" s="149">
        <f>N211+N212</f>
        <v>465074</v>
      </c>
      <c r="O213" s="149">
        <f>O211+O212</f>
        <v>465074</v>
      </c>
      <c r="P213" s="241"/>
      <c r="Q213" s="241"/>
    </row>
    <row r="214" spans="1:17">
      <c r="A214" s="80">
        <v>391.1</v>
      </c>
      <c r="B214" s="94" t="s">
        <v>123</v>
      </c>
      <c r="C214" s="71"/>
      <c r="D214" s="72"/>
      <c r="E214" s="73"/>
      <c r="F214" s="220"/>
      <c r="G214" s="74"/>
      <c r="H214" s="44"/>
      <c r="I214" s="44"/>
      <c r="K214" s="138"/>
      <c r="L214" s="126"/>
      <c r="M214" s="135"/>
      <c r="N214" s="135"/>
      <c r="O214" s="135"/>
      <c r="P214" s="241"/>
      <c r="Q214" s="241"/>
    </row>
    <row r="215" spans="1:17">
      <c r="A215" s="80"/>
      <c r="B215" s="95" t="s">
        <v>120</v>
      </c>
      <c r="C215" s="55">
        <v>2771805.14</v>
      </c>
      <c r="D215" s="56">
        <v>0</v>
      </c>
      <c r="E215" s="57">
        <v>0</v>
      </c>
      <c r="F215" s="218">
        <f>C215*G215/100</f>
        <v>0</v>
      </c>
      <c r="G215" s="58">
        <v>0</v>
      </c>
      <c r="H215" s="59">
        <f>ROUND(D215*(G215/100),0)</f>
        <v>0</v>
      </c>
      <c r="I215" s="59">
        <f>E215-H215</f>
        <v>0</v>
      </c>
      <c r="K215" s="138">
        <v>0</v>
      </c>
      <c r="L215" s="126"/>
      <c r="M215" s="139">
        <f>ROUND(D215*(K215/100),0)</f>
        <v>0</v>
      </c>
      <c r="N215" s="139">
        <f>ROUND(E215*(L215/100),0)</f>
        <v>0</v>
      </c>
      <c r="O215" s="139">
        <f>N215-M215</f>
        <v>0</v>
      </c>
      <c r="P215" s="241"/>
      <c r="Q215" s="241"/>
    </row>
    <row r="216" spans="1:17">
      <c r="A216" s="80"/>
      <c r="B216" s="95" t="s">
        <v>121</v>
      </c>
      <c r="C216" s="60">
        <v>14526688.529999999</v>
      </c>
      <c r="D216" s="61">
        <v>0</v>
      </c>
      <c r="E216" s="62">
        <v>968596</v>
      </c>
      <c r="F216" s="216">
        <f>C216*G216/100</f>
        <v>968930.12495099986</v>
      </c>
      <c r="G216" s="58">
        <v>6.67</v>
      </c>
      <c r="H216" s="63">
        <f>ROUND(D216*(G216/100),0)</f>
        <v>0</v>
      </c>
      <c r="I216" s="63">
        <f>E216-H216</f>
        <v>968596</v>
      </c>
      <c r="K216" s="138">
        <v>6.67</v>
      </c>
      <c r="L216" s="126"/>
      <c r="M216" s="140">
        <f>ROUND(D216*(K216/100),0)</f>
        <v>0</v>
      </c>
      <c r="N216" s="140">
        <f>'Adjust Depr Table 1'!Q249</f>
        <v>968596</v>
      </c>
      <c r="O216" s="140">
        <f>N216-M216</f>
        <v>968596</v>
      </c>
      <c r="P216" s="241"/>
      <c r="Q216" s="241"/>
    </row>
    <row r="217" spans="1:17">
      <c r="A217" s="80"/>
      <c r="B217" s="37" t="s">
        <v>124</v>
      </c>
      <c r="C217" s="55">
        <f>C215+C216</f>
        <v>17298493.669999998</v>
      </c>
      <c r="D217" s="56">
        <f>D215+D216</f>
        <v>0</v>
      </c>
      <c r="E217" s="56">
        <f>E215+E216</f>
        <v>968596</v>
      </c>
      <c r="F217" s="227">
        <f>F215+F216</f>
        <v>968930.12495099986</v>
      </c>
      <c r="G217" s="58">
        <f>+ROUND(E217/C217*100,2)</f>
        <v>5.6</v>
      </c>
      <c r="H217" s="56">
        <f>H215+H216</f>
        <v>0</v>
      </c>
      <c r="I217" s="56">
        <f>I215+I216</f>
        <v>968596</v>
      </c>
      <c r="K217" s="138"/>
      <c r="L217" s="126"/>
      <c r="M217" s="149">
        <f>M215+M216</f>
        <v>0</v>
      </c>
      <c r="N217" s="149">
        <f>N215+N216</f>
        <v>968596</v>
      </c>
      <c r="O217" s="149">
        <f>O215+O216</f>
        <v>968596</v>
      </c>
      <c r="P217" s="241"/>
      <c r="Q217" s="241"/>
    </row>
    <row r="218" spans="1:17">
      <c r="A218" s="80">
        <v>392</v>
      </c>
      <c r="B218" s="94" t="s">
        <v>125</v>
      </c>
      <c r="C218" s="71">
        <v>17294828.559999999</v>
      </c>
      <c r="D218" s="72">
        <v>0</v>
      </c>
      <c r="E218" s="73">
        <v>1010178</v>
      </c>
      <c r="F218" s="218">
        <f>C218*G218/100</f>
        <v>1010017.9879039999</v>
      </c>
      <c r="G218" s="74">
        <v>5.84</v>
      </c>
      <c r="H218" s="59">
        <f>ROUND(D218*(G218/100),0)</f>
        <v>0</v>
      </c>
      <c r="I218" s="59">
        <f>E218-H218</f>
        <v>1010178</v>
      </c>
      <c r="K218" s="138">
        <v>5.84</v>
      </c>
      <c r="L218" s="126"/>
      <c r="M218" s="139">
        <f>ROUND(I218*(L218/100),0)</f>
        <v>0</v>
      </c>
      <c r="N218" s="139">
        <f>'Adjust Depr Table 1'!Q253</f>
        <v>1010178</v>
      </c>
      <c r="O218" s="139">
        <f>N218-M218</f>
        <v>1010178</v>
      </c>
      <c r="P218" s="241"/>
      <c r="Q218" s="241"/>
    </row>
    <row r="219" spans="1:17">
      <c r="A219" s="80">
        <v>393</v>
      </c>
      <c r="B219" s="86" t="s">
        <v>126</v>
      </c>
      <c r="C219" s="71">
        <v>132973.46</v>
      </c>
      <c r="D219" s="72">
        <v>0</v>
      </c>
      <c r="E219" s="73">
        <v>5318</v>
      </c>
      <c r="F219" s="218">
        <f>C219*G219/100</f>
        <v>5318.9384</v>
      </c>
      <c r="G219" s="74">
        <v>4</v>
      </c>
      <c r="H219" s="59">
        <f>ROUND(D219*(G219/100),0)</f>
        <v>0</v>
      </c>
      <c r="I219" s="59">
        <f>E219-H219</f>
        <v>5318</v>
      </c>
      <c r="K219" s="138">
        <v>4</v>
      </c>
      <c r="L219" s="126"/>
      <c r="M219" s="139">
        <f>ROUND(I219*(L219/100),0)</f>
        <v>0</v>
      </c>
      <c r="N219" s="139">
        <f>'Adjust Depr Table 1'!Q254</f>
        <v>5318</v>
      </c>
      <c r="O219" s="139">
        <f>N219-M219</f>
        <v>5318</v>
      </c>
      <c r="P219" s="241"/>
      <c r="Q219" s="241"/>
    </row>
    <row r="220" spans="1:17">
      <c r="A220" s="80">
        <v>394</v>
      </c>
      <c r="B220" s="96" t="s">
        <v>127</v>
      </c>
      <c r="C220" s="71"/>
      <c r="D220" s="72"/>
      <c r="E220" s="73"/>
      <c r="F220" s="220"/>
      <c r="G220" s="74"/>
      <c r="H220" s="44"/>
      <c r="I220" s="44"/>
      <c r="K220" s="138"/>
      <c r="L220" s="126"/>
      <c r="M220" s="135"/>
      <c r="N220" s="135"/>
      <c r="O220" s="135"/>
      <c r="P220" s="241"/>
      <c r="Q220" s="241"/>
    </row>
    <row r="221" spans="1:17">
      <c r="A221" s="80"/>
      <c r="B221" s="95" t="s">
        <v>120</v>
      </c>
      <c r="C221" s="55">
        <v>772161.33</v>
      </c>
      <c r="D221" s="56">
        <v>0</v>
      </c>
      <c r="E221" s="57">
        <v>0</v>
      </c>
      <c r="F221" s="218">
        <f>C221*G221/100</f>
        <v>0</v>
      </c>
      <c r="G221" s="58">
        <v>0</v>
      </c>
      <c r="H221" s="59">
        <f>ROUND(D221*(G221/100),0)</f>
        <v>0</v>
      </c>
      <c r="I221" s="59">
        <f>E221-H221</f>
        <v>0</v>
      </c>
      <c r="K221" s="138">
        <v>0</v>
      </c>
      <c r="L221" s="126"/>
      <c r="M221" s="139">
        <f>ROUND(I221*(L221/100),0)</f>
        <v>0</v>
      </c>
      <c r="N221" s="139">
        <f>'Adjust Depr Table 1'!Q257</f>
        <v>0</v>
      </c>
      <c r="O221" s="139">
        <f>N221-M221</f>
        <v>0</v>
      </c>
      <c r="P221" s="241"/>
      <c r="Q221" s="241"/>
    </row>
    <row r="222" spans="1:17">
      <c r="A222" s="80"/>
      <c r="B222" s="95" t="s">
        <v>121</v>
      </c>
      <c r="C222" s="60">
        <v>1540988.46</v>
      </c>
      <c r="D222" s="61">
        <v>0</v>
      </c>
      <c r="E222" s="62">
        <v>77077</v>
      </c>
      <c r="F222" s="216">
        <f>C222*G222/100</f>
        <v>77049.422999999995</v>
      </c>
      <c r="G222" s="58">
        <v>5</v>
      </c>
      <c r="H222" s="63">
        <f>ROUND(D222*(G222/100),0)</f>
        <v>0</v>
      </c>
      <c r="I222" s="63">
        <f>E222-H222</f>
        <v>77077</v>
      </c>
      <c r="K222" s="138">
        <v>5</v>
      </c>
      <c r="L222" s="126"/>
      <c r="M222" s="140">
        <f>ROUND(I222*(L222/100),0)</f>
        <v>0</v>
      </c>
      <c r="N222" s="140">
        <f>'Adjust Depr Table 1'!Q258</f>
        <v>77077</v>
      </c>
      <c r="O222" s="140">
        <f>N222-M222</f>
        <v>77077</v>
      </c>
      <c r="P222" s="241"/>
      <c r="Q222" s="241"/>
    </row>
    <row r="223" spans="1:17">
      <c r="A223" s="80"/>
      <c r="B223" s="37" t="s">
        <v>128</v>
      </c>
      <c r="C223" s="55">
        <f>C221+C222</f>
        <v>2313149.79</v>
      </c>
      <c r="D223" s="56">
        <f>D221+D222</f>
        <v>0</v>
      </c>
      <c r="E223" s="56">
        <f>E221+E222</f>
        <v>77077</v>
      </c>
      <c r="F223" s="227">
        <f>F221+F222</f>
        <v>77049.422999999995</v>
      </c>
      <c r="G223" s="58">
        <f>+ROUND(E223/C223*100,2)</f>
        <v>3.33</v>
      </c>
      <c r="H223" s="56">
        <f>H221+H222</f>
        <v>0</v>
      </c>
      <c r="I223" s="56">
        <f>I221+I222</f>
        <v>77077</v>
      </c>
      <c r="K223" s="138"/>
      <c r="L223" s="126"/>
      <c r="M223" s="149">
        <f>M221+M222</f>
        <v>0</v>
      </c>
      <c r="N223" s="149">
        <f>N221+N222</f>
        <v>77077</v>
      </c>
      <c r="O223" s="149">
        <f>O221+O222</f>
        <v>77077</v>
      </c>
      <c r="P223" s="241"/>
      <c r="Q223" s="241"/>
    </row>
    <row r="224" spans="1:17">
      <c r="A224" s="80">
        <v>395</v>
      </c>
      <c r="B224" s="86" t="s">
        <v>129</v>
      </c>
      <c r="C224" s="55"/>
      <c r="D224" s="56"/>
      <c r="E224" s="57"/>
      <c r="F224" s="218"/>
      <c r="G224" s="58"/>
      <c r="H224" s="44"/>
      <c r="I224" s="44"/>
      <c r="K224" s="138"/>
      <c r="L224" s="126"/>
      <c r="M224" s="135"/>
      <c r="N224" s="135"/>
      <c r="O224" s="135"/>
      <c r="P224" s="241"/>
      <c r="Q224" s="241"/>
    </row>
    <row r="225" spans="1:17">
      <c r="A225" s="80"/>
      <c r="B225" s="95" t="s">
        <v>120</v>
      </c>
      <c r="C225" s="55">
        <v>1251278.95</v>
      </c>
      <c r="D225" s="56">
        <v>0</v>
      </c>
      <c r="E225" s="57">
        <v>0</v>
      </c>
      <c r="F225" s="218">
        <f>C225*G225/100</f>
        <v>0</v>
      </c>
      <c r="G225" s="58">
        <v>0</v>
      </c>
      <c r="H225" s="59">
        <f>ROUND(D225*(G225/100),0)</f>
        <v>0</v>
      </c>
      <c r="I225" s="59">
        <f>E225-H225</f>
        <v>0</v>
      </c>
      <c r="K225" s="138">
        <v>0</v>
      </c>
      <c r="L225" s="126"/>
      <c r="M225" s="139">
        <f>ROUND(I225*(L225/100),0)</f>
        <v>0</v>
      </c>
      <c r="N225" s="139">
        <f>'Adjust Depr Table 1'!Q263</f>
        <v>0</v>
      </c>
      <c r="O225" s="139">
        <f>N225-M225</f>
        <v>0</v>
      </c>
      <c r="P225" s="241"/>
      <c r="Q225" s="241"/>
    </row>
    <row r="226" spans="1:17">
      <c r="A226" s="80"/>
      <c r="B226" s="95" t="s">
        <v>121</v>
      </c>
      <c r="C226" s="60">
        <v>4059896.75</v>
      </c>
      <c r="D226" s="61">
        <v>0</v>
      </c>
      <c r="E226" s="62">
        <v>203000</v>
      </c>
      <c r="F226" s="216">
        <f>C226*G226/100</f>
        <v>202994.83749999999</v>
      </c>
      <c r="G226" s="58">
        <v>5</v>
      </c>
      <c r="H226" s="63">
        <f>ROUND(D226*(G226/100),0)</f>
        <v>0</v>
      </c>
      <c r="I226" s="63">
        <f>E226-H226</f>
        <v>203000</v>
      </c>
      <c r="K226" s="138">
        <v>5</v>
      </c>
      <c r="L226" s="126"/>
      <c r="M226" s="140">
        <f>ROUND(I226*(L226/100),0)</f>
        <v>0</v>
      </c>
      <c r="N226" s="140">
        <f>'Adjust Depr Table 1'!Q264</f>
        <v>203000</v>
      </c>
      <c r="O226" s="140">
        <f>N226-M226</f>
        <v>203000</v>
      </c>
      <c r="P226" s="241"/>
      <c r="Q226" s="241"/>
    </row>
    <row r="227" spans="1:17">
      <c r="A227" s="80"/>
      <c r="B227" s="37" t="s">
        <v>130</v>
      </c>
      <c r="C227" s="55">
        <f>C225+C226</f>
        <v>5311175.7</v>
      </c>
      <c r="D227" s="56">
        <f>D225+D226</f>
        <v>0</v>
      </c>
      <c r="E227" s="56">
        <f>E225+E226</f>
        <v>203000</v>
      </c>
      <c r="F227" s="227">
        <f>F225+F226</f>
        <v>202994.83749999999</v>
      </c>
      <c r="G227" s="58">
        <f>+ROUND(E227/C227*100,2)</f>
        <v>3.82</v>
      </c>
      <c r="H227" s="56">
        <f>H225+H226</f>
        <v>0</v>
      </c>
      <c r="I227" s="56">
        <f>I225+I226</f>
        <v>203000</v>
      </c>
      <c r="K227" s="138"/>
      <c r="L227" s="126"/>
      <c r="M227" s="149">
        <f>M225+M226</f>
        <v>0</v>
      </c>
      <c r="N227" s="149">
        <f>N225+N226</f>
        <v>203000</v>
      </c>
      <c r="O227" s="149">
        <f>O225+O226</f>
        <v>203000</v>
      </c>
      <c r="P227" s="241"/>
      <c r="Q227" s="241"/>
    </row>
    <row r="228" spans="1:17">
      <c r="A228" s="80">
        <v>396</v>
      </c>
      <c r="B228" s="19" t="s">
        <v>131</v>
      </c>
      <c r="C228" s="71">
        <v>20685598.48</v>
      </c>
      <c r="D228" s="72">
        <v>0</v>
      </c>
      <c r="E228" s="73">
        <v>416907</v>
      </c>
      <c r="F228" s="218">
        <f>C228*G228/100</f>
        <v>417849.08929600002</v>
      </c>
      <c r="G228" s="74">
        <v>2.02</v>
      </c>
      <c r="H228" s="59">
        <f>ROUND(D228*(G228/100),0)</f>
        <v>0</v>
      </c>
      <c r="I228" s="59">
        <f>E228-H228</f>
        <v>416907</v>
      </c>
      <c r="K228" s="138">
        <v>2.02</v>
      </c>
      <c r="L228" s="126"/>
      <c r="M228" s="139">
        <f>ROUND(I228*(L228/100),0)</f>
        <v>0</v>
      </c>
      <c r="N228" s="139">
        <f>'Adjust Depr Table 1'!Q268</f>
        <v>416907</v>
      </c>
      <c r="O228" s="139">
        <f>N228-M228</f>
        <v>416907</v>
      </c>
      <c r="P228" s="241"/>
      <c r="Q228" s="241"/>
    </row>
    <row r="229" spans="1:17">
      <c r="A229" s="80">
        <v>397</v>
      </c>
      <c r="B229" s="19" t="s">
        <v>132</v>
      </c>
      <c r="C229" s="71"/>
      <c r="D229" s="72"/>
      <c r="E229" s="73"/>
      <c r="F229" s="220"/>
      <c r="G229" s="74"/>
      <c r="H229" s="44"/>
      <c r="I229" s="44"/>
      <c r="K229" s="138"/>
      <c r="L229" s="126"/>
      <c r="M229" s="135"/>
      <c r="N229" s="135"/>
      <c r="O229" s="135"/>
      <c r="P229" s="241"/>
      <c r="Q229" s="241"/>
    </row>
    <row r="230" spans="1:17">
      <c r="A230" s="80"/>
      <c r="B230" s="95" t="s">
        <v>120</v>
      </c>
      <c r="C230" s="55">
        <v>23276736.879999999</v>
      </c>
      <c r="D230" s="56">
        <v>0</v>
      </c>
      <c r="E230" s="57">
        <v>0</v>
      </c>
      <c r="F230" s="218">
        <f>C230*G230/100</f>
        <v>0</v>
      </c>
      <c r="G230" s="58">
        <v>0</v>
      </c>
      <c r="H230" s="59">
        <f>ROUND(D230*(G230/100),0)</f>
        <v>0</v>
      </c>
      <c r="I230" s="59">
        <f>E230-H230</f>
        <v>0</v>
      </c>
      <c r="K230" s="138">
        <v>0</v>
      </c>
      <c r="L230" s="126"/>
      <c r="M230" s="139">
        <f>ROUND(I230*(L230/100),0)</f>
        <v>0</v>
      </c>
      <c r="N230" s="139">
        <f>'Adjust Depr Table 1'!Q271</f>
        <v>0</v>
      </c>
      <c r="O230" s="139">
        <f>N230-M230</f>
        <v>0</v>
      </c>
      <c r="P230" s="241"/>
      <c r="Q230" s="241"/>
    </row>
    <row r="231" spans="1:17">
      <c r="A231" s="80"/>
      <c r="B231" s="95" t="s">
        <v>121</v>
      </c>
      <c r="C231" s="60">
        <v>23514697.870000001</v>
      </c>
      <c r="D231" s="61">
        <v>0</v>
      </c>
      <c r="E231" s="62">
        <v>1569449</v>
      </c>
      <c r="F231" s="216">
        <f>C231*G231/100</f>
        <v>1568430.3479289999</v>
      </c>
      <c r="G231" s="58">
        <v>6.67</v>
      </c>
      <c r="H231" s="63">
        <f>ROUND(D231*(G231/100),0)</f>
        <v>0</v>
      </c>
      <c r="I231" s="63">
        <f>E231-H231</f>
        <v>1569449</v>
      </c>
      <c r="K231" s="138">
        <v>6.67</v>
      </c>
      <c r="L231" s="126"/>
      <c r="M231" s="140">
        <f>ROUND(I231*(L231/100),0)</f>
        <v>0</v>
      </c>
      <c r="N231" s="140">
        <f>'Adjust Depr Table 1'!Q272</f>
        <v>1569449</v>
      </c>
      <c r="O231" s="140">
        <f>N231-M231</f>
        <v>1569449</v>
      </c>
      <c r="P231" s="241"/>
      <c r="Q231" s="241"/>
    </row>
    <row r="232" spans="1:17">
      <c r="A232" s="80"/>
      <c r="B232" s="37" t="s">
        <v>133</v>
      </c>
      <c r="C232" s="55">
        <f>C230+C231</f>
        <v>46791434.75</v>
      </c>
      <c r="D232" s="56">
        <f>D230+D231</f>
        <v>0</v>
      </c>
      <c r="E232" s="56">
        <f>E230+E231</f>
        <v>1569449</v>
      </c>
      <c r="F232" s="227">
        <f>F230+F231</f>
        <v>1568430.3479289999</v>
      </c>
      <c r="G232" s="58">
        <f>+ROUND(E232/C232*100,2)</f>
        <v>3.35</v>
      </c>
      <c r="H232" s="56">
        <f>H230+H231</f>
        <v>0</v>
      </c>
      <c r="I232" s="56">
        <f>I230+I231</f>
        <v>1569449</v>
      </c>
      <c r="K232" s="138"/>
      <c r="L232" s="126"/>
      <c r="M232" s="149">
        <f>M230+M231</f>
        <v>0</v>
      </c>
      <c r="N232" s="149">
        <f>N230+N231</f>
        <v>1569449</v>
      </c>
      <c r="O232" s="149">
        <f>O230+O231</f>
        <v>1569449</v>
      </c>
      <c r="P232" s="241"/>
      <c r="Q232" s="241"/>
    </row>
    <row r="233" spans="1:17">
      <c r="A233" s="80">
        <v>397.1</v>
      </c>
      <c r="B233" s="19" t="s">
        <v>134</v>
      </c>
      <c r="C233" s="71">
        <v>642538.48</v>
      </c>
      <c r="D233" s="72">
        <v>0</v>
      </c>
      <c r="E233" s="73">
        <v>0</v>
      </c>
      <c r="F233" s="218">
        <f>C233*G233/100</f>
        <v>0</v>
      </c>
      <c r="G233" s="74">
        <v>0</v>
      </c>
      <c r="H233" s="59">
        <f>ROUND(D233*(G233/100),0)</f>
        <v>0</v>
      </c>
      <c r="I233" s="59">
        <f>E233-H233</f>
        <v>0</v>
      </c>
      <c r="K233" s="138">
        <v>0</v>
      </c>
      <c r="L233" s="126"/>
      <c r="M233" s="139">
        <f>ROUND(I233*(L233/100),0)</f>
        <v>0</v>
      </c>
      <c r="N233" s="139">
        <f>ROUND(J233*(M233/100),0)</f>
        <v>0</v>
      </c>
      <c r="O233" s="139">
        <f>N233-M233</f>
        <v>0</v>
      </c>
      <c r="P233" s="241"/>
      <c r="Q233" s="241"/>
    </row>
    <row r="234" spans="1:17">
      <c r="A234" s="80">
        <v>398</v>
      </c>
      <c r="B234" s="19" t="s">
        <v>135</v>
      </c>
      <c r="C234" s="71"/>
      <c r="D234" s="72"/>
      <c r="E234" s="73"/>
      <c r="F234" s="220"/>
      <c r="G234" s="74"/>
      <c r="H234" s="44"/>
      <c r="I234" s="44"/>
      <c r="K234" s="138"/>
      <c r="L234" s="126"/>
      <c r="M234" s="135"/>
      <c r="N234" s="135"/>
      <c r="O234" s="135"/>
      <c r="P234" s="241"/>
      <c r="Q234" s="241"/>
    </row>
    <row r="235" spans="1:17">
      <c r="A235" s="80"/>
      <c r="B235" s="95" t="s">
        <v>120</v>
      </c>
      <c r="C235" s="55">
        <v>413882.29</v>
      </c>
      <c r="D235" s="56">
        <v>0</v>
      </c>
      <c r="E235" s="57">
        <v>0</v>
      </c>
      <c r="F235" s="218">
        <f>C235*G235/100</f>
        <v>0</v>
      </c>
      <c r="G235" s="58">
        <v>0</v>
      </c>
      <c r="H235" s="59">
        <f>ROUND(D235*(G235/100),0)</f>
        <v>0</v>
      </c>
      <c r="I235" s="59">
        <f>E235-H235</f>
        <v>0</v>
      </c>
      <c r="K235" s="138">
        <v>0</v>
      </c>
      <c r="L235" s="126"/>
      <c r="M235" s="139">
        <f>ROUND(I235*(L235/100),0)</f>
        <v>0</v>
      </c>
      <c r="N235" s="139">
        <f>'Adjust Depr Table 1'!Q279</f>
        <v>0</v>
      </c>
      <c r="O235" s="139">
        <f>N235-M235</f>
        <v>0</v>
      </c>
      <c r="P235" s="241"/>
      <c r="Q235" s="241"/>
    </row>
    <row r="236" spans="1:17">
      <c r="A236" s="80"/>
      <c r="B236" s="95" t="s">
        <v>121</v>
      </c>
      <c r="C236" s="60">
        <v>2014590.63</v>
      </c>
      <c r="D236" s="61">
        <v>0</v>
      </c>
      <c r="E236" s="62">
        <v>100721</v>
      </c>
      <c r="F236" s="216">
        <f>C236*G236/100</f>
        <v>100729.53149999998</v>
      </c>
      <c r="G236" s="58">
        <v>5</v>
      </c>
      <c r="H236" s="63">
        <f>ROUND(D236*(G236/100),0)</f>
        <v>0</v>
      </c>
      <c r="I236" s="63">
        <f>E236-H236</f>
        <v>100721</v>
      </c>
      <c r="K236" s="138">
        <v>5</v>
      </c>
      <c r="L236" s="126"/>
      <c r="M236" s="140">
        <f>ROUND(I236*(L236/100),0)</f>
        <v>0</v>
      </c>
      <c r="N236" s="140">
        <f>'Adjust Depr Table 1'!Q280</f>
        <v>100721</v>
      </c>
      <c r="O236" s="140">
        <f>N236-M236</f>
        <v>100721</v>
      </c>
      <c r="P236" s="241"/>
      <c r="Q236" s="241"/>
    </row>
    <row r="237" spans="1:17">
      <c r="A237" s="80"/>
      <c r="B237" s="50" t="s">
        <v>136</v>
      </c>
      <c r="C237" s="60">
        <f>C235+C236</f>
        <v>2428472.92</v>
      </c>
      <c r="D237" s="61">
        <f>D235+D236</f>
        <v>0</v>
      </c>
      <c r="E237" s="61">
        <f>E235+E236</f>
        <v>100721</v>
      </c>
      <c r="F237" s="222">
        <f>F235+F236</f>
        <v>100729.53149999998</v>
      </c>
      <c r="G237" s="58">
        <f>+ROUND(E237/C237*100,2)</f>
        <v>4.1500000000000004</v>
      </c>
      <c r="H237" s="61">
        <f>H235+H236</f>
        <v>0</v>
      </c>
      <c r="I237" s="61">
        <f>I235+I236</f>
        <v>100721</v>
      </c>
      <c r="K237" s="138"/>
      <c r="L237" s="126"/>
      <c r="M237" s="146">
        <f>M235+M236</f>
        <v>0</v>
      </c>
      <c r="N237" s="146">
        <f>N235+N236</f>
        <v>100721</v>
      </c>
      <c r="O237" s="146">
        <f>O235+O236</f>
        <v>100721</v>
      </c>
      <c r="P237" s="241"/>
      <c r="Q237" s="241"/>
    </row>
    <row r="238" spans="1:17">
      <c r="A238" s="80"/>
      <c r="B238" s="19"/>
      <c r="C238" s="71"/>
      <c r="D238" s="72"/>
      <c r="E238" s="73"/>
      <c r="F238" s="220"/>
      <c r="G238" s="74"/>
      <c r="H238" s="44"/>
      <c r="I238" s="44"/>
      <c r="K238" s="138"/>
      <c r="L238" s="126"/>
      <c r="M238" s="135"/>
      <c r="N238" s="135"/>
      <c r="O238" s="135"/>
      <c r="P238" s="241"/>
      <c r="Q238" s="241"/>
    </row>
    <row r="239" spans="1:17" ht="15.75">
      <c r="A239" s="23"/>
      <c r="B239" s="81" t="s">
        <v>137</v>
      </c>
      <c r="C239" s="82">
        <f>C209+C213+C217+C218+C219+C223+C227+C228+C232+C233+C237</f>
        <v>141393195.67999998</v>
      </c>
      <c r="D239" s="83">
        <f>D209+D213+D217+D218+D219+D223+D227+D228+D232+D233+D237</f>
        <v>0</v>
      </c>
      <c r="E239" s="83">
        <f>E209+E213+E217+E218+E219+E223+E227+E228+E232+E233+E237</f>
        <v>4986678</v>
      </c>
      <c r="F239" s="223">
        <f>F209+F213+F217+F218+F219+F223+F227+F228+F232+F233+F237</f>
        <v>4986422.4082619986</v>
      </c>
      <c r="G239" s="84">
        <f>+ROUND(E239/C239*100,2)</f>
        <v>3.53</v>
      </c>
      <c r="H239" s="83">
        <f>H209+H213+H217+H218+H219+H223+H227+H228+H232+H233+H237</f>
        <v>0</v>
      </c>
      <c r="I239" s="83">
        <f>I209+I213+I217+I218+I219+I223+I227+I228+I232+I233+I237</f>
        <v>4986678</v>
      </c>
      <c r="K239" s="134"/>
      <c r="L239" s="126"/>
      <c r="M239" s="147">
        <f>M209+M213+M217+M218+M219+M223+M227+M228+M232+M233+M237</f>
        <v>0</v>
      </c>
      <c r="N239" s="147">
        <f>N209+N213+N217+N218+N219+N223+N227+N228+N232+N233+N237</f>
        <v>4986678</v>
      </c>
      <c r="O239" s="147">
        <f>O209+O213+O217+O218+O219+O223+O227+O228+O232+O233+O237</f>
        <v>4986678</v>
      </c>
      <c r="P239" s="241"/>
      <c r="Q239" s="241"/>
    </row>
    <row r="240" spans="1:17" ht="16.5" thickBot="1">
      <c r="A240" s="23"/>
      <c r="B240" s="81" t="s">
        <v>138</v>
      </c>
      <c r="C240" s="97"/>
      <c r="D240" s="98">
        <f>D9+D75+D186+D197+D205+D239</f>
        <v>979739760.53999996</v>
      </c>
      <c r="E240" s="99"/>
      <c r="F240" s="228"/>
      <c r="G240" s="84"/>
      <c r="H240" s="99"/>
      <c r="I240" s="99"/>
      <c r="K240" s="134"/>
      <c r="L240" s="126"/>
      <c r="M240" s="150"/>
      <c r="N240" s="150"/>
      <c r="O240" s="150"/>
      <c r="P240" s="241"/>
      <c r="Q240" s="241"/>
    </row>
    <row r="241" spans="1:17" ht="17.25" thickTop="1" thickBot="1">
      <c r="A241" s="100"/>
      <c r="B241" s="101"/>
      <c r="C241" s="102"/>
      <c r="D241" s="103"/>
      <c r="E241" s="104"/>
      <c r="F241" s="229"/>
      <c r="G241" s="84"/>
      <c r="H241" s="44"/>
      <c r="I241" s="44"/>
      <c r="K241" s="134"/>
      <c r="L241" s="126"/>
      <c r="M241" s="135"/>
      <c r="N241" s="135"/>
      <c r="O241" s="135"/>
      <c r="P241" s="241"/>
      <c r="Q241" s="241"/>
    </row>
    <row r="242" spans="1:17" ht="15.75">
      <c r="A242" s="37"/>
      <c r="B242" s="38" t="s">
        <v>139</v>
      </c>
      <c r="C242" s="105"/>
      <c r="D242" s="106"/>
      <c r="E242" s="107"/>
      <c r="F242" s="230"/>
      <c r="G242" s="84"/>
      <c r="H242" s="44"/>
      <c r="I242" s="44"/>
      <c r="K242" s="134"/>
      <c r="L242" s="126"/>
      <c r="M242" s="135"/>
      <c r="N242" s="135"/>
      <c r="O242" s="135"/>
      <c r="P242" s="241"/>
      <c r="Q242" s="241"/>
    </row>
    <row r="243" spans="1:17" ht="15.75">
      <c r="A243" s="37"/>
      <c r="B243" s="108"/>
      <c r="C243" s="105"/>
      <c r="D243" s="106"/>
      <c r="E243" s="107"/>
      <c r="F243" s="230"/>
      <c r="G243" s="84"/>
      <c r="H243" s="44"/>
      <c r="I243" s="44"/>
      <c r="K243" s="134"/>
      <c r="L243" s="126"/>
      <c r="M243" s="135"/>
      <c r="N243" s="135"/>
      <c r="O243" s="135"/>
      <c r="P243" s="241"/>
      <c r="Q243" s="241"/>
    </row>
    <row r="244" spans="1:17" ht="15.75">
      <c r="A244" s="109">
        <v>391</v>
      </c>
      <c r="B244" s="37" t="s">
        <v>119</v>
      </c>
      <c r="C244" s="105"/>
      <c r="D244" s="56">
        <v>1216907</v>
      </c>
      <c r="E244" s="110">
        <f>-D244/10</f>
        <v>-121690.7</v>
      </c>
      <c r="F244" s="231">
        <f>E244</f>
        <v>-121690.7</v>
      </c>
      <c r="G244" s="74"/>
      <c r="H244" s="59">
        <f t="shared" ref="H244:H250" si="56">ROUND(D244*(G244/100),0)</f>
        <v>0</v>
      </c>
      <c r="I244" s="67">
        <f t="shared" ref="I244:I250" si="57">E244-H244</f>
        <v>-121690.7</v>
      </c>
      <c r="K244" s="138"/>
      <c r="L244" s="126"/>
      <c r="M244" s="139">
        <f t="shared" ref="M244:M250" si="58">ROUND(I244*(L244/100),0)</f>
        <v>0</v>
      </c>
      <c r="N244" s="139">
        <f>'Adjust Depr Table 1'!Q288</f>
        <v>-121690.7</v>
      </c>
      <c r="O244" s="139">
        <f t="shared" ref="O244:O250" si="59">N244-M244</f>
        <v>-121690.7</v>
      </c>
      <c r="P244" s="241"/>
      <c r="Q244" s="241"/>
    </row>
    <row r="245" spans="1:17" ht="15.75">
      <c r="A245" s="109">
        <v>391.1</v>
      </c>
      <c r="B245" s="37" t="s">
        <v>123</v>
      </c>
      <c r="C245" s="105"/>
      <c r="D245" s="56">
        <v>6179000</v>
      </c>
      <c r="E245" s="111">
        <f t="shared" ref="E245:E250" si="60">-D245/10</f>
        <v>-617900</v>
      </c>
      <c r="F245" s="231">
        <f t="shared" ref="F245:F250" si="61">E245</f>
        <v>-617900</v>
      </c>
      <c r="G245" s="74"/>
      <c r="H245" s="59">
        <f t="shared" si="56"/>
        <v>0</v>
      </c>
      <c r="I245" s="67">
        <f t="shared" si="57"/>
        <v>-617900</v>
      </c>
      <c r="K245" s="138"/>
      <c r="L245" s="126"/>
      <c r="M245" s="139">
        <f t="shared" si="58"/>
        <v>0</v>
      </c>
      <c r="N245" s="139">
        <f>'Adjust Depr Table 1'!Q289</f>
        <v>-617900</v>
      </c>
      <c r="O245" s="139">
        <f t="shared" si="59"/>
        <v>-617900</v>
      </c>
      <c r="P245" s="241"/>
      <c r="Q245" s="241"/>
    </row>
    <row r="246" spans="1:17" ht="15.75">
      <c r="A246" s="109">
        <v>393</v>
      </c>
      <c r="B246" s="112" t="s">
        <v>126</v>
      </c>
      <c r="C246" s="105"/>
      <c r="D246" s="56">
        <v>31577</v>
      </c>
      <c r="E246" s="111">
        <f t="shared" si="60"/>
        <v>-3157.7</v>
      </c>
      <c r="F246" s="231">
        <f t="shared" si="61"/>
        <v>-3157.7</v>
      </c>
      <c r="G246" s="74"/>
      <c r="H246" s="59">
        <f t="shared" si="56"/>
        <v>0</v>
      </c>
      <c r="I246" s="67">
        <f t="shared" si="57"/>
        <v>-3157.7</v>
      </c>
      <c r="K246" s="138"/>
      <c r="L246" s="126"/>
      <c r="M246" s="139">
        <f t="shared" si="58"/>
        <v>0</v>
      </c>
      <c r="N246" s="139">
        <f>'Adjust Depr Table 1'!Q290</f>
        <v>-3157.7</v>
      </c>
      <c r="O246" s="139">
        <f t="shared" si="59"/>
        <v>-3157.7</v>
      </c>
      <c r="P246" s="241"/>
      <c r="Q246" s="241"/>
    </row>
    <row r="247" spans="1:17" ht="15.75">
      <c r="A247" s="109">
        <v>394</v>
      </c>
      <c r="B247" s="113" t="s">
        <v>127</v>
      </c>
      <c r="C247" s="105"/>
      <c r="D247" s="56">
        <v>424910</v>
      </c>
      <c r="E247" s="111">
        <f t="shared" si="60"/>
        <v>-42491</v>
      </c>
      <c r="F247" s="231">
        <f t="shared" si="61"/>
        <v>-42491</v>
      </c>
      <c r="G247" s="74"/>
      <c r="H247" s="59">
        <f t="shared" si="56"/>
        <v>0</v>
      </c>
      <c r="I247" s="67">
        <f t="shared" si="57"/>
        <v>-42491</v>
      </c>
      <c r="K247" s="138"/>
      <c r="L247" s="126"/>
      <c r="M247" s="139">
        <f t="shared" si="58"/>
        <v>0</v>
      </c>
      <c r="N247" s="139">
        <f>'Adjust Depr Table 1'!Q291</f>
        <v>-42491</v>
      </c>
      <c r="O247" s="139">
        <f t="shared" si="59"/>
        <v>-42491</v>
      </c>
      <c r="P247" s="241"/>
      <c r="Q247" s="241"/>
    </row>
    <row r="248" spans="1:17" ht="15.75">
      <c r="A248" s="109">
        <v>395</v>
      </c>
      <c r="B248" s="112" t="s">
        <v>129</v>
      </c>
      <c r="C248" s="105"/>
      <c r="D248" s="56">
        <v>735653</v>
      </c>
      <c r="E248" s="111">
        <f t="shared" si="60"/>
        <v>-73565.3</v>
      </c>
      <c r="F248" s="231">
        <f t="shared" si="61"/>
        <v>-73565.3</v>
      </c>
      <c r="G248" s="74"/>
      <c r="H248" s="59">
        <f t="shared" si="56"/>
        <v>0</v>
      </c>
      <c r="I248" s="67">
        <f t="shared" si="57"/>
        <v>-73565.3</v>
      </c>
      <c r="K248" s="138"/>
      <c r="L248" s="126"/>
      <c r="M248" s="139">
        <f t="shared" si="58"/>
        <v>0</v>
      </c>
      <c r="N248" s="139">
        <f>'Adjust Depr Table 1'!Q292</f>
        <v>-73565.3</v>
      </c>
      <c r="O248" s="139">
        <f t="shared" si="59"/>
        <v>-73565.3</v>
      </c>
      <c r="P248" s="241"/>
      <c r="Q248" s="241"/>
    </row>
    <row r="249" spans="1:17" ht="15.75">
      <c r="A249" s="109">
        <v>397</v>
      </c>
      <c r="B249" s="50" t="s">
        <v>132</v>
      </c>
      <c r="C249" s="105"/>
      <c r="D249" s="56">
        <v>9419253</v>
      </c>
      <c r="E249" s="111">
        <f t="shared" si="60"/>
        <v>-941925.3</v>
      </c>
      <c r="F249" s="231">
        <f t="shared" si="61"/>
        <v>-941925.3</v>
      </c>
      <c r="G249" s="74"/>
      <c r="H249" s="59">
        <f t="shared" si="56"/>
        <v>0</v>
      </c>
      <c r="I249" s="67">
        <f t="shared" si="57"/>
        <v>-941925.3</v>
      </c>
      <c r="K249" s="138"/>
      <c r="L249" s="126"/>
      <c r="M249" s="139">
        <f t="shared" si="58"/>
        <v>0</v>
      </c>
      <c r="N249" s="139">
        <f>'Adjust Depr Table 1'!Q293</f>
        <v>-941925.3</v>
      </c>
      <c r="O249" s="139">
        <f t="shared" si="59"/>
        <v>-941925.3</v>
      </c>
      <c r="P249" s="241"/>
      <c r="Q249" s="241"/>
    </row>
    <row r="250" spans="1:17" ht="15.75">
      <c r="A250" s="109">
        <v>398</v>
      </c>
      <c r="B250" s="50" t="s">
        <v>135</v>
      </c>
      <c r="C250" s="105"/>
      <c r="D250" s="61">
        <v>1095737</v>
      </c>
      <c r="E250" s="114">
        <f t="shared" si="60"/>
        <v>-109573.7</v>
      </c>
      <c r="F250" s="237">
        <f t="shared" si="61"/>
        <v>-109573.7</v>
      </c>
      <c r="G250" s="74"/>
      <c r="H250" s="63">
        <f t="shared" si="56"/>
        <v>0</v>
      </c>
      <c r="I250" s="115">
        <f t="shared" si="57"/>
        <v>-109573.7</v>
      </c>
      <c r="K250" s="138"/>
      <c r="L250" s="126"/>
      <c r="M250" s="140">
        <f t="shared" si="58"/>
        <v>0</v>
      </c>
      <c r="N250" s="140">
        <f>'Adjust Depr Table 1'!Q294</f>
        <v>-109573.7</v>
      </c>
      <c r="O250" s="140">
        <f t="shared" si="59"/>
        <v>-109573.7</v>
      </c>
      <c r="P250" s="241"/>
      <c r="Q250" s="241"/>
    </row>
    <row r="251" spans="1:17" ht="15.75">
      <c r="A251" s="37"/>
      <c r="B251" s="108"/>
      <c r="C251" s="105"/>
      <c r="D251" s="56"/>
      <c r="E251" s="107"/>
      <c r="F251" s="230"/>
      <c r="G251" s="74"/>
      <c r="H251" s="69"/>
      <c r="I251" s="69"/>
      <c r="K251" s="138"/>
      <c r="L251" s="126"/>
      <c r="M251" s="144"/>
      <c r="N251" s="144"/>
      <c r="O251" s="144"/>
      <c r="P251" s="241"/>
      <c r="Q251" s="241"/>
    </row>
    <row r="252" spans="1:17" ht="16.5" thickBot="1">
      <c r="A252" s="37"/>
      <c r="B252" s="108" t="s">
        <v>140</v>
      </c>
      <c r="C252" s="105"/>
      <c r="D252" s="116">
        <f>SUM(D244:D250)</f>
        <v>19103037</v>
      </c>
      <c r="E252" s="117">
        <f>SUBTOTAL(9,E244:E251)</f>
        <v>-1910303.7</v>
      </c>
      <c r="F252" s="232">
        <f>SUBTOTAL(9,F244:F251)</f>
        <v>-1910303.7</v>
      </c>
      <c r="G252" s="74"/>
      <c r="H252" s="117">
        <f>SUBTOTAL(9,H244:H251)</f>
        <v>0</v>
      </c>
      <c r="I252" s="117">
        <f>SUBTOTAL(9,I244:I251)</f>
        <v>-1910303.7</v>
      </c>
      <c r="K252" s="138"/>
      <c r="L252" s="126"/>
      <c r="M252" s="151">
        <f>SUBTOTAL(9,M244:M251)</f>
        <v>0</v>
      </c>
      <c r="N252" s="151">
        <f>SUBTOTAL(9,N244:N251)</f>
        <v>-1910303.7</v>
      </c>
      <c r="O252" s="151">
        <f>SUBTOTAL(9,O244:O251)</f>
        <v>-1910303.7</v>
      </c>
      <c r="P252" s="241"/>
      <c r="Q252" s="241"/>
    </row>
    <row r="253" spans="1:17" ht="16.5" thickTop="1">
      <c r="A253" s="23"/>
      <c r="B253" s="81"/>
      <c r="C253" s="118"/>
      <c r="D253" s="119"/>
      <c r="E253" s="120"/>
      <c r="F253" s="233"/>
      <c r="G253" s="49"/>
      <c r="H253" s="44"/>
      <c r="I253" s="44"/>
      <c r="K253" s="137"/>
      <c r="L253" s="126"/>
      <c r="M253" s="135"/>
      <c r="N253" s="135"/>
      <c r="O253" s="135"/>
      <c r="P253" s="241"/>
      <c r="Q253" s="241"/>
    </row>
    <row r="254" spans="1:17" ht="16.5" thickBot="1">
      <c r="A254" s="23"/>
      <c r="B254" s="81" t="s">
        <v>141</v>
      </c>
      <c r="C254" s="121">
        <f>C9+C75+C186+C197+C205+C239</f>
        <v>4037004423.8900003</v>
      </c>
      <c r="D254" s="122"/>
      <c r="E254" s="123">
        <f>E9+E75+E186+E197+E205+E239+E252</f>
        <v>129084263.3</v>
      </c>
      <c r="F254" s="234">
        <f>F9+F75+F186+F197+F205+F239+F252</f>
        <v>129081435.51607302</v>
      </c>
      <c r="G254" s="84">
        <f>+ROUND(E254/C254*100,2)</f>
        <v>3.2</v>
      </c>
      <c r="H254" s="123">
        <f>H9+H75+H186+H197+H205+H239+H252</f>
        <v>39755316</v>
      </c>
      <c r="I254" s="123">
        <f>I9+I75+I186+I197+I205+I239+I252</f>
        <v>89328947.299999997</v>
      </c>
      <c r="K254" s="134"/>
      <c r="L254" s="126"/>
      <c r="M254" s="152">
        <f>M9+M75+M186+M197+M205+M239+M252</f>
        <v>33234059</v>
      </c>
      <c r="N254" s="152">
        <f>N9+N75+N186+N197+N205+N239+N252</f>
        <v>110500198.38820532</v>
      </c>
      <c r="O254" s="152">
        <f>O9+O75+O186+O197+O205+O239+O252</f>
        <v>77266139.388205305</v>
      </c>
      <c r="P254" s="241"/>
      <c r="Q254" s="241"/>
    </row>
    <row r="255" spans="1:17" ht="16.5" thickTop="1">
      <c r="A255" s="23"/>
      <c r="B255" s="93"/>
      <c r="C255" s="118"/>
      <c r="D255" s="119"/>
      <c r="E255" s="120"/>
      <c r="F255" s="93"/>
      <c r="G255" s="49"/>
      <c r="H255" s="44"/>
      <c r="I255" s="44"/>
      <c r="K255" s="126"/>
      <c r="L255" s="126"/>
      <c r="M255" s="135"/>
      <c r="N255" s="135"/>
      <c r="O255" s="135"/>
      <c r="P255" s="241"/>
      <c r="Q255" s="241"/>
    </row>
    <row r="256" spans="1:17" ht="15.75">
      <c r="A256" s="23"/>
      <c r="B256" s="124" t="s">
        <v>142</v>
      </c>
      <c r="C256" s="118"/>
      <c r="D256" s="119"/>
      <c r="E256" s="120"/>
      <c r="F256" s="93"/>
      <c r="G256" s="49"/>
      <c r="H256" s="44"/>
      <c r="I256" s="44"/>
      <c r="K256" s="126"/>
      <c r="L256" s="126"/>
      <c r="M256" s="135"/>
      <c r="N256" s="135"/>
      <c r="O256" s="135"/>
      <c r="P256" s="241"/>
      <c r="Q256" s="241"/>
    </row>
    <row r="257" spans="1:17" ht="15.75">
      <c r="A257" s="23"/>
      <c r="B257" s="93"/>
      <c r="C257" s="118"/>
      <c r="D257" s="119"/>
      <c r="E257" s="120"/>
      <c r="F257" s="93"/>
      <c r="G257" s="49"/>
      <c r="H257" s="44"/>
      <c r="I257" s="44"/>
      <c r="K257" s="126"/>
      <c r="L257" s="126"/>
      <c r="M257" s="135" t="s">
        <v>223</v>
      </c>
      <c r="N257" s="135"/>
      <c r="O257" s="238">
        <f>I254</f>
        <v>89328947.299999997</v>
      </c>
      <c r="P257" s="241"/>
      <c r="Q257" s="241"/>
    </row>
    <row r="258" spans="1:17" ht="15.75">
      <c r="A258" s="80">
        <v>301</v>
      </c>
      <c r="B258" s="19" t="s">
        <v>143</v>
      </c>
      <c r="C258" s="87">
        <v>5040.43</v>
      </c>
      <c r="D258" s="87"/>
      <c r="E258" s="120"/>
      <c r="F258" s="93"/>
      <c r="G258" s="49"/>
      <c r="H258" s="23"/>
      <c r="I258" s="23"/>
      <c r="K258" s="126"/>
      <c r="L258" s="126"/>
      <c r="M258" s="133"/>
      <c r="N258" s="133"/>
      <c r="O258" s="133"/>
      <c r="P258" s="241"/>
      <c r="Q258" s="241"/>
    </row>
    <row r="259" spans="1:17" ht="16.5" thickBot="1">
      <c r="A259" s="109">
        <v>310</v>
      </c>
      <c r="B259" s="50" t="s">
        <v>144</v>
      </c>
      <c r="C259" s="55">
        <v>6916766.1399999997</v>
      </c>
      <c r="D259" s="55"/>
      <c r="E259" s="120"/>
      <c r="F259" s="93"/>
      <c r="G259" s="49"/>
      <c r="H259" s="23"/>
      <c r="I259" s="23"/>
      <c r="K259" s="126" t="s">
        <v>748</v>
      </c>
      <c r="L259" s="126"/>
      <c r="M259" s="284" t="s">
        <v>646</v>
      </c>
      <c r="N259" s="133"/>
      <c r="O259" s="239">
        <f>O254-O257</f>
        <v>-12062807.911794692</v>
      </c>
      <c r="P259" s="241"/>
      <c r="Q259" s="241"/>
    </row>
    <row r="260" spans="1:17" ht="16.5" thickTop="1">
      <c r="A260" s="80">
        <v>340</v>
      </c>
      <c r="B260" s="19" t="s">
        <v>144</v>
      </c>
      <c r="C260" s="87">
        <v>5964035.6900000004</v>
      </c>
      <c r="D260" s="87"/>
      <c r="E260" s="120"/>
      <c r="F260" s="93"/>
      <c r="G260" s="49"/>
      <c r="H260" s="23"/>
      <c r="I260" s="23"/>
      <c r="M260" s="23"/>
      <c r="N260" s="23"/>
      <c r="O260" s="23"/>
    </row>
    <row r="261" spans="1:17" ht="15.75">
      <c r="A261" s="80">
        <v>350</v>
      </c>
      <c r="B261" s="19" t="s">
        <v>144</v>
      </c>
      <c r="C261" s="87">
        <v>5771527.6600000001</v>
      </c>
      <c r="D261" s="87"/>
      <c r="E261" s="120"/>
      <c r="F261" s="93"/>
      <c r="G261" s="49"/>
      <c r="H261" s="23"/>
      <c r="I261" s="23"/>
    </row>
    <row r="262" spans="1:17" ht="15.75">
      <c r="A262" s="80">
        <v>350.1</v>
      </c>
      <c r="B262" s="19" t="s">
        <v>46</v>
      </c>
      <c r="C262" s="87">
        <v>55719148.420000002</v>
      </c>
      <c r="D262" s="87"/>
      <c r="E262" s="120"/>
      <c r="F262" s="93"/>
      <c r="G262" s="49"/>
      <c r="H262" s="23"/>
      <c r="I262" s="23"/>
    </row>
    <row r="263" spans="1:17" ht="16.5" thickBot="1">
      <c r="A263" s="80">
        <v>360</v>
      </c>
      <c r="B263" s="19" t="s">
        <v>144</v>
      </c>
      <c r="C263" s="87">
        <v>10115251.35</v>
      </c>
      <c r="D263" s="87"/>
      <c r="E263" s="120"/>
      <c r="F263" s="93"/>
      <c r="G263" s="49"/>
      <c r="H263" s="23"/>
      <c r="I263" s="23"/>
      <c r="K263" s="18" t="s">
        <v>749</v>
      </c>
      <c r="M263" s="181" t="s">
        <v>646</v>
      </c>
      <c r="O263" s="349">
        <f>M254-H254</f>
        <v>-6521257</v>
      </c>
    </row>
    <row r="264" spans="1:17" ht="16.5" thickTop="1">
      <c r="A264" s="80">
        <v>389</v>
      </c>
      <c r="B264" s="19" t="s">
        <v>144</v>
      </c>
      <c r="C264" s="87">
        <v>1381311.62</v>
      </c>
      <c r="D264" s="87"/>
      <c r="E264" s="120"/>
      <c r="F264" s="93"/>
      <c r="G264" s="49"/>
      <c r="H264" s="23"/>
      <c r="I264" s="23"/>
    </row>
    <row r="265" spans="1:17" ht="15.75">
      <c r="A265" s="80">
        <v>389.1</v>
      </c>
      <c r="B265" s="19" t="s">
        <v>46</v>
      </c>
      <c r="C265" s="75">
        <v>454290.88</v>
      </c>
      <c r="D265" s="71"/>
      <c r="E265" s="120"/>
      <c r="F265" s="93"/>
      <c r="G265" s="49"/>
      <c r="H265" s="23"/>
      <c r="I265" s="23"/>
    </row>
    <row r="266" spans="1:17" ht="15.75">
      <c r="A266" s="23"/>
      <c r="B266" s="93"/>
      <c r="C266" s="118"/>
      <c r="D266" s="118"/>
      <c r="E266" s="104"/>
      <c r="F266" s="93"/>
      <c r="G266" s="49"/>
      <c r="H266" s="23"/>
      <c r="I266" s="23"/>
    </row>
    <row r="267" spans="1:17" ht="15.75">
      <c r="A267" s="23"/>
      <c r="B267" s="81" t="s">
        <v>145</v>
      </c>
      <c r="C267" s="82">
        <f>SUM(C258:C265)</f>
        <v>86327372.189999998</v>
      </c>
      <c r="D267" s="97"/>
      <c r="E267" s="104"/>
      <c r="F267" s="93"/>
      <c r="G267" s="49"/>
      <c r="H267" s="23"/>
      <c r="I267" s="23"/>
    </row>
    <row r="268" spans="1:17" ht="15.75">
      <c r="A268" s="23"/>
      <c r="B268" s="93"/>
      <c r="C268" s="118"/>
      <c r="D268" s="118"/>
      <c r="E268" s="104"/>
      <c r="F268" s="93"/>
      <c r="G268" s="49"/>
      <c r="H268" s="23"/>
      <c r="I268" s="23"/>
    </row>
    <row r="269" spans="1:17" ht="16.5" thickBot="1">
      <c r="A269" s="23"/>
      <c r="B269" s="81" t="s">
        <v>146</v>
      </c>
      <c r="C269" s="121">
        <f>C254+C267</f>
        <v>4123331796.0800004</v>
      </c>
      <c r="D269" s="97"/>
      <c r="E269" s="104"/>
      <c r="F269" s="93"/>
      <c r="G269" s="49"/>
      <c r="H269" s="23"/>
      <c r="I269" s="23"/>
    </row>
    <row r="270" spans="1:17" ht="16.5" thickTop="1">
      <c r="A270" s="23"/>
      <c r="B270" s="81"/>
      <c r="C270" s="87"/>
      <c r="D270" s="87"/>
      <c r="E270" s="104"/>
      <c r="F270" s="93"/>
      <c r="G270" s="49"/>
      <c r="H270" s="23"/>
      <c r="I270" s="23"/>
    </row>
  </sheetData>
  <printOptions horizontalCentered="1"/>
  <pageMargins left="1" right="0.5" top="1" bottom="0.75" header="0.5" footer="0.5"/>
  <pageSetup scale="33" fitToHeight="0" orientation="landscape" r:id="rId1"/>
  <rowBreaks count="3" manualBreakCount="3">
    <brk id="51" max="20" man="1"/>
    <brk id="110" max="20" man="1"/>
    <brk id="228"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0"/>
  <sheetViews>
    <sheetView topLeftCell="C230" zoomScale="80" zoomScaleNormal="80" workbookViewId="0">
      <selection activeCell="O75" sqref="O75"/>
    </sheetView>
  </sheetViews>
  <sheetFormatPr defaultColWidth="12.5703125" defaultRowHeight="15"/>
  <cols>
    <col min="1" max="1" width="10" style="18" customWidth="1"/>
    <col min="2" max="2" width="77.7109375" style="18" customWidth="1"/>
    <col min="3" max="4" width="24.140625" style="18" customWidth="1"/>
    <col min="5" max="5" width="24.140625" style="20" customWidth="1"/>
    <col min="6" max="6" width="17.140625" style="18" customWidth="1"/>
    <col min="7" max="7" width="17.7109375" style="18" customWidth="1"/>
    <col min="8" max="9" width="24.140625" style="18" customWidth="1"/>
    <col min="10" max="10" width="12.5703125" style="18"/>
    <col min="11" max="11" width="18.28515625" style="18" customWidth="1"/>
    <col min="12" max="12" width="2.42578125" style="18" customWidth="1"/>
    <col min="13" max="14" width="23" style="18" customWidth="1"/>
    <col min="15" max="15" width="24" style="18" customWidth="1"/>
    <col min="16" max="16384" width="12.5703125" style="18"/>
  </cols>
  <sheetData>
    <row r="1" spans="1:17">
      <c r="B1" s="19" t="s">
        <v>28</v>
      </c>
      <c r="K1" s="126"/>
      <c r="L1" s="126"/>
      <c r="M1" s="126"/>
      <c r="N1" s="126"/>
      <c r="O1" s="126"/>
    </row>
    <row r="2" spans="1:17" ht="15.75">
      <c r="A2" s="21"/>
      <c r="B2" s="22"/>
      <c r="C2" s="22"/>
      <c r="D2" s="22"/>
      <c r="E2" s="236" t="s">
        <v>221</v>
      </c>
      <c r="F2" s="235" t="s">
        <v>220</v>
      </c>
      <c r="H2" s="125" t="s">
        <v>147</v>
      </c>
      <c r="I2" s="125" t="s">
        <v>147</v>
      </c>
      <c r="K2" s="127" t="s">
        <v>222</v>
      </c>
      <c r="L2" s="126"/>
      <c r="M2" s="128" t="s">
        <v>644</v>
      </c>
      <c r="N2" s="128" t="s">
        <v>644</v>
      </c>
      <c r="O2" s="128" t="s">
        <v>644</v>
      </c>
    </row>
    <row r="3" spans="1:17" ht="15.75">
      <c r="A3" s="23"/>
      <c r="B3" s="24"/>
      <c r="C3" s="25" t="s">
        <v>29</v>
      </c>
      <c r="D3" s="25" t="s">
        <v>30</v>
      </c>
      <c r="E3" s="26" t="s">
        <v>31</v>
      </c>
      <c r="F3" s="213" t="s">
        <v>31</v>
      </c>
      <c r="G3" s="26"/>
      <c r="H3" s="25" t="s">
        <v>31</v>
      </c>
      <c r="I3" s="25" t="s">
        <v>31</v>
      </c>
      <c r="K3" s="128" t="s">
        <v>644</v>
      </c>
      <c r="L3" s="126"/>
      <c r="M3" s="128" t="s">
        <v>31</v>
      </c>
      <c r="N3" s="128" t="s">
        <v>31</v>
      </c>
      <c r="O3" s="128" t="s">
        <v>31</v>
      </c>
    </row>
    <row r="4" spans="1:17" ht="15.75">
      <c r="A4" s="23"/>
      <c r="B4" s="28"/>
      <c r="C4" s="25" t="s">
        <v>32</v>
      </c>
      <c r="D4" s="25" t="s">
        <v>33</v>
      </c>
      <c r="E4" s="26" t="s">
        <v>34</v>
      </c>
      <c r="F4" s="213" t="s">
        <v>34</v>
      </c>
      <c r="G4" s="26" t="s">
        <v>35</v>
      </c>
      <c r="H4" s="25" t="s">
        <v>34</v>
      </c>
      <c r="I4" s="25" t="s">
        <v>34</v>
      </c>
      <c r="K4" s="129" t="s">
        <v>35</v>
      </c>
      <c r="L4" s="126"/>
      <c r="M4" s="128" t="s">
        <v>34</v>
      </c>
      <c r="N4" s="128" t="s">
        <v>34</v>
      </c>
      <c r="O4" s="128" t="s">
        <v>34</v>
      </c>
      <c r="P4" s="241"/>
      <c r="Q4" s="241" t="s">
        <v>224</v>
      </c>
    </row>
    <row r="5" spans="1:17">
      <c r="A5" s="29"/>
      <c r="B5" s="30" t="s">
        <v>36</v>
      </c>
      <c r="C5" s="31" t="s">
        <v>37</v>
      </c>
      <c r="D5" s="31" t="s">
        <v>38</v>
      </c>
      <c r="E5" s="32" t="s">
        <v>39</v>
      </c>
      <c r="F5" s="214" t="s">
        <v>39</v>
      </c>
      <c r="G5" s="33" t="s">
        <v>40</v>
      </c>
      <c r="H5" s="30" t="s">
        <v>41</v>
      </c>
      <c r="I5" s="30" t="s">
        <v>42</v>
      </c>
      <c r="K5" s="130" t="s">
        <v>40</v>
      </c>
      <c r="L5" s="126"/>
      <c r="M5" s="131" t="s">
        <v>41</v>
      </c>
      <c r="N5" s="131" t="s">
        <v>39</v>
      </c>
      <c r="O5" s="131" t="s">
        <v>42</v>
      </c>
      <c r="P5" s="241"/>
      <c r="Q5" s="241" t="s">
        <v>225</v>
      </c>
    </row>
    <row r="6" spans="1:17" ht="15.75">
      <c r="A6" s="23"/>
      <c r="B6" s="34"/>
      <c r="C6" s="35"/>
      <c r="D6" s="35"/>
      <c r="E6" s="36"/>
      <c r="F6" s="215"/>
      <c r="G6" s="35"/>
      <c r="H6" s="23"/>
      <c r="I6" s="23"/>
      <c r="K6" s="132"/>
      <c r="L6" s="126"/>
      <c r="M6" s="133"/>
      <c r="N6" s="133"/>
      <c r="O6" s="133"/>
      <c r="P6" s="241"/>
      <c r="Q6" s="241"/>
    </row>
    <row r="7" spans="1:17" ht="15.75">
      <c r="A7" s="37"/>
      <c r="B7" s="38" t="s">
        <v>43</v>
      </c>
      <c r="C7" s="35"/>
      <c r="D7" s="35"/>
      <c r="E7" s="36"/>
      <c r="F7" s="215"/>
      <c r="G7" s="35"/>
      <c r="H7" s="23"/>
      <c r="I7" s="23"/>
      <c r="K7" s="132"/>
      <c r="L7" s="126"/>
      <c r="M7" s="133"/>
      <c r="N7" s="133"/>
      <c r="O7" s="133"/>
      <c r="P7" s="241"/>
      <c r="Q7" s="241"/>
    </row>
    <row r="8" spans="1:17" ht="15.75">
      <c r="A8" s="37"/>
      <c r="B8" s="39"/>
      <c r="C8" s="35"/>
      <c r="D8" s="40"/>
      <c r="E8" s="36"/>
      <c r="F8" s="215"/>
      <c r="G8" s="35"/>
      <c r="H8" s="23"/>
      <c r="I8" s="23"/>
      <c r="K8" s="132"/>
      <c r="L8" s="126"/>
      <c r="M8" s="133"/>
      <c r="N8" s="133"/>
      <c r="O8" s="133"/>
      <c r="P8" s="241"/>
      <c r="Q8" s="241"/>
    </row>
    <row r="9" spans="1:17">
      <c r="A9" s="41">
        <v>303</v>
      </c>
      <c r="B9" s="50" t="s">
        <v>44</v>
      </c>
      <c r="C9" s="60">
        <v>2333311.0499999998</v>
      </c>
      <c r="D9" s="61">
        <v>0</v>
      </c>
      <c r="E9" s="62">
        <v>266398</v>
      </c>
      <c r="F9" s="216">
        <v>266398</v>
      </c>
      <c r="G9" s="58">
        <v>11.42</v>
      </c>
      <c r="H9" s="63">
        <f>ROUND(D9*(G9/100),0)</f>
        <v>0</v>
      </c>
      <c r="I9" s="63">
        <f>E9-H9</f>
        <v>266398</v>
      </c>
      <c r="J9" s="19"/>
      <c r="K9" s="138">
        <f>ROUND('Adjust Depr Table 2'!S15,2)</f>
        <v>11.42</v>
      </c>
      <c r="L9" s="143"/>
      <c r="M9" s="140">
        <f>ROUND(D9*(K9/100),0)</f>
        <v>0</v>
      </c>
      <c r="N9" s="140">
        <f>'Adjust Depr Table 2'!Q15</f>
        <v>266398</v>
      </c>
      <c r="O9" s="140">
        <f>N9-M9</f>
        <v>266398</v>
      </c>
      <c r="P9" s="241"/>
      <c r="Q9" s="241" t="str">
        <f>IF(C9-D9&lt;1,0,"No")</f>
        <v>No</v>
      </c>
    </row>
    <row r="10" spans="1:17" ht="15.75">
      <c r="A10" s="37"/>
      <c r="B10" s="39"/>
      <c r="C10" s="35"/>
      <c r="D10" s="40"/>
      <c r="E10" s="36"/>
      <c r="F10" s="215"/>
      <c r="G10" s="35"/>
      <c r="H10" s="44"/>
      <c r="I10" s="44"/>
      <c r="K10" s="132"/>
      <c r="L10" s="126"/>
      <c r="M10" s="135"/>
      <c r="N10" s="135"/>
      <c r="O10" s="135"/>
      <c r="P10" s="241"/>
      <c r="Q10" s="241"/>
    </row>
    <row r="11" spans="1:17" ht="15.75">
      <c r="A11" s="23"/>
      <c r="B11" s="24" t="s">
        <v>45</v>
      </c>
      <c r="D11" s="45"/>
      <c r="E11" s="46"/>
      <c r="F11" s="217"/>
      <c r="G11" s="47"/>
      <c r="H11" s="44"/>
      <c r="I11" s="44"/>
      <c r="K11" s="136"/>
      <c r="L11" s="126"/>
      <c r="M11" s="135"/>
      <c r="N11" s="135"/>
      <c r="O11" s="135"/>
      <c r="P11" s="241"/>
      <c r="Q11" s="241"/>
    </row>
    <row r="12" spans="1:17" ht="15.75">
      <c r="A12" s="23"/>
      <c r="B12" s="48"/>
      <c r="D12" s="45"/>
      <c r="E12" s="46"/>
      <c r="F12" s="217"/>
      <c r="G12" s="49"/>
      <c r="H12" s="44"/>
      <c r="I12" s="44"/>
      <c r="K12" s="137"/>
      <c r="L12" s="126"/>
      <c r="M12" s="135"/>
      <c r="N12" s="135"/>
      <c r="O12" s="135"/>
      <c r="P12" s="241"/>
      <c r="Q12" s="241"/>
    </row>
    <row r="13" spans="1:17">
      <c r="A13" s="41">
        <v>310.10000000000002</v>
      </c>
      <c r="B13" s="50" t="s">
        <v>46</v>
      </c>
      <c r="C13" s="37"/>
      <c r="D13" s="51"/>
      <c r="E13" s="52"/>
      <c r="F13" s="217"/>
      <c r="G13" s="53"/>
      <c r="H13" s="44"/>
      <c r="I13" s="44"/>
      <c r="K13" s="137"/>
      <c r="L13" s="126"/>
      <c r="M13" s="135"/>
      <c r="N13" s="135"/>
      <c r="O13" s="135"/>
      <c r="P13" s="241"/>
      <c r="Q13" s="241"/>
    </row>
    <row r="14" spans="1:17">
      <c r="A14" s="37"/>
      <c r="B14" s="54" t="s">
        <v>47</v>
      </c>
      <c r="C14" s="55">
        <v>5325571.5599999996</v>
      </c>
      <c r="D14" s="240">
        <v>5325572</v>
      </c>
      <c r="E14" s="57">
        <v>507197</v>
      </c>
      <c r="F14" s="218">
        <f>C14*G14/100</f>
        <v>506994.41251199989</v>
      </c>
      <c r="G14" s="58">
        <v>9.52</v>
      </c>
      <c r="H14" s="59">
        <f>ROUND(D14*(G14/100),0)+203</f>
        <v>507197</v>
      </c>
      <c r="I14" s="59">
        <f>E14-H14</f>
        <v>0</v>
      </c>
      <c r="K14" s="138">
        <f>ROUND('Adjust Depr Table 2'!S22,2)</f>
        <v>9.09</v>
      </c>
      <c r="L14" s="126"/>
      <c r="M14" s="139">
        <f>ROUND(D14*(K14/100),0)+49</f>
        <v>484143</v>
      </c>
      <c r="N14" s="139">
        <f>'Adjust Depr Table 2'!Q22</f>
        <v>484142.90909090912</v>
      </c>
      <c r="O14" s="243">
        <f>N14-M14</f>
        <v>-9.0909090882632881E-2</v>
      </c>
      <c r="P14" s="241"/>
      <c r="Q14" s="241">
        <f>IF(C14-D14&lt;1,0,"No")</f>
        <v>0</v>
      </c>
    </row>
    <row r="15" spans="1:17">
      <c r="A15" s="37"/>
      <c r="B15" s="54" t="s">
        <v>48</v>
      </c>
      <c r="C15" s="55">
        <v>480134.08</v>
      </c>
      <c r="D15" s="56">
        <v>0</v>
      </c>
      <c r="E15" s="57">
        <v>45727</v>
      </c>
      <c r="F15" s="218">
        <f>C15*G15/100</f>
        <v>45708.764415999998</v>
      </c>
      <c r="G15" s="58">
        <v>9.52</v>
      </c>
      <c r="H15" s="59">
        <f>ROUND(D15*(G15/100),0)</f>
        <v>0</v>
      </c>
      <c r="I15" s="59">
        <f>E15-H15</f>
        <v>45727</v>
      </c>
      <c r="K15" s="138">
        <f>ROUND('Adjust Depr Table 2'!S23,2)</f>
        <v>9.09</v>
      </c>
      <c r="L15" s="126"/>
      <c r="M15" s="139">
        <f>ROUND(D15*(K15/100),0)</f>
        <v>0</v>
      </c>
      <c r="N15" s="139">
        <f>'Adjust Depr Table 2'!Q23</f>
        <v>43648.545454545456</v>
      </c>
      <c r="O15" s="139">
        <f>N15-M15</f>
        <v>43648.545454545456</v>
      </c>
      <c r="P15" s="241"/>
      <c r="Q15" s="241" t="str">
        <f>IF(C15-D15&lt;1,0,"No")</f>
        <v>No</v>
      </c>
    </row>
    <row r="16" spans="1:17">
      <c r="A16" s="37"/>
      <c r="B16" s="54" t="s">
        <v>49</v>
      </c>
      <c r="C16" s="55">
        <v>20170029.309999999</v>
      </c>
      <c r="D16" s="56">
        <f>6046318.51+3382670.46+3272456.82+4743885.04-2321.29</f>
        <v>17443009.539999999</v>
      </c>
      <c r="E16" s="57">
        <v>683730</v>
      </c>
      <c r="F16" s="218">
        <f>C16*G16/100</f>
        <v>683763.993609</v>
      </c>
      <c r="G16" s="58">
        <v>3.39</v>
      </c>
      <c r="H16" s="59">
        <f>ROUND(D16*(G16/100),0)</f>
        <v>591318</v>
      </c>
      <c r="I16" s="59">
        <f>E16-H16</f>
        <v>92412</v>
      </c>
      <c r="K16" s="138">
        <f>ROUND('Adjust Depr Table 2'!S24,2)</f>
        <v>3.33</v>
      </c>
      <c r="L16" s="126"/>
      <c r="M16" s="139">
        <f>ROUND(D16*(K16/100),0)</f>
        <v>580852</v>
      </c>
      <c r="N16" s="139">
        <f>'Adjust Depr Table 2'!Q24</f>
        <v>672334.3</v>
      </c>
      <c r="O16" s="139">
        <f>N16-M16</f>
        <v>91482.300000000047</v>
      </c>
      <c r="P16" s="241"/>
      <c r="Q16" s="241" t="str">
        <f>IF(C16-D16&lt;1,0,"No")</f>
        <v>No</v>
      </c>
    </row>
    <row r="17" spans="1:17">
      <c r="A17" s="37"/>
      <c r="B17" s="54" t="s">
        <v>50</v>
      </c>
      <c r="C17" s="55">
        <v>1050779.8600000001</v>
      </c>
      <c r="D17" s="56">
        <v>1050780</v>
      </c>
      <c r="E17" s="57">
        <v>35620</v>
      </c>
      <c r="F17" s="218">
        <f>C17*G17/100</f>
        <v>35621.437254000004</v>
      </c>
      <c r="G17" s="58">
        <v>3.39</v>
      </c>
      <c r="H17" s="59">
        <f>ROUND(D17*(G17/100),0)-1</f>
        <v>35620</v>
      </c>
      <c r="I17" s="59">
        <f>E17-H17</f>
        <v>0</v>
      </c>
      <c r="K17" s="138">
        <f>ROUND('Adjust Depr Table 2'!S25,2)</f>
        <v>3.33</v>
      </c>
      <c r="L17" s="126"/>
      <c r="M17" s="139">
        <f>ROUND(D17*(K17/100),0)+35</f>
        <v>35026</v>
      </c>
      <c r="N17" s="139">
        <f>'Adjust Depr Table 2'!Q25</f>
        <v>35026</v>
      </c>
      <c r="O17" s="243">
        <f>N17-M17</f>
        <v>0</v>
      </c>
      <c r="P17" s="241"/>
      <c r="Q17" s="241">
        <f>IF(C17-D17&lt;1,0,"No")</f>
        <v>0</v>
      </c>
    </row>
    <row r="18" spans="1:17">
      <c r="A18" s="37"/>
      <c r="B18" s="54" t="s">
        <v>51</v>
      </c>
      <c r="C18" s="60">
        <v>6050424.8700000001</v>
      </c>
      <c r="D18" s="61">
        <v>6050425</v>
      </c>
      <c r="E18" s="62">
        <v>705883</v>
      </c>
      <c r="F18" s="216">
        <f>C18*G18/100</f>
        <v>706084.58232899988</v>
      </c>
      <c r="G18" s="58">
        <v>11.67</v>
      </c>
      <c r="H18" s="63">
        <f>ROUND(D18*(G18/100),0)-202</f>
        <v>705883</v>
      </c>
      <c r="I18" s="63">
        <f>E18-H18</f>
        <v>0</v>
      </c>
      <c r="K18" s="138">
        <f>ROUND('Adjust Depr Table 2'!S26,2)</f>
        <v>10.83</v>
      </c>
      <c r="L18" s="126"/>
      <c r="M18" s="140">
        <f>ROUND(D18*(K18/100),0)+202</f>
        <v>655463</v>
      </c>
      <c r="N18" s="140">
        <f>'Adjust Depr Table 2'!Q26</f>
        <v>655462.71428571432</v>
      </c>
      <c r="O18" s="244">
        <f>N18-M18</f>
        <v>-0.28571428568102419</v>
      </c>
      <c r="P18" s="241"/>
      <c r="Q18" s="241">
        <f>IF(C18-D18&lt;1,0,"No")</f>
        <v>0</v>
      </c>
    </row>
    <row r="19" spans="1:17">
      <c r="A19" s="23"/>
      <c r="B19" s="50" t="s">
        <v>52</v>
      </c>
      <c r="C19" s="55">
        <f>SUM(C14:C18)</f>
        <v>33076939.68</v>
      </c>
      <c r="D19" s="57">
        <f>SUM(D14:D18)</f>
        <v>29869786.539999999</v>
      </c>
      <c r="E19" s="57">
        <f>SUM(E14:E18)</f>
        <v>1978157</v>
      </c>
      <c r="F19" s="218">
        <f>SUM(F14:F18)</f>
        <v>1978173.1901199999</v>
      </c>
      <c r="G19" s="58">
        <f>+ROUND(E19/C19*100,2)</f>
        <v>5.98</v>
      </c>
      <c r="H19" s="57">
        <f>SUM(H14:H18)</f>
        <v>1840018</v>
      </c>
      <c r="I19" s="57">
        <f>SUM(I14:I18)</f>
        <v>138139</v>
      </c>
      <c r="K19" s="138"/>
      <c r="L19" s="126"/>
      <c r="M19" s="141">
        <f>SUM(M14:M18)</f>
        <v>1755484</v>
      </c>
      <c r="N19" s="141">
        <f>SUM(N14:N18)</f>
        <v>1890614.468831169</v>
      </c>
      <c r="O19" s="141">
        <f>SUM(O14:O18)</f>
        <v>135130.46883116895</v>
      </c>
      <c r="P19" s="241"/>
      <c r="Q19" s="241"/>
    </row>
    <row r="20" spans="1:17" s="19" customFormat="1">
      <c r="A20" s="64">
        <v>311</v>
      </c>
      <c r="B20" s="65" t="s">
        <v>53</v>
      </c>
      <c r="C20" s="65"/>
      <c r="D20" s="66"/>
      <c r="E20" s="67"/>
      <c r="F20" s="219"/>
      <c r="G20" s="68"/>
      <c r="H20" s="69"/>
      <c r="I20" s="69"/>
      <c r="K20" s="142"/>
      <c r="L20" s="143"/>
      <c r="M20" s="144"/>
      <c r="N20" s="144"/>
      <c r="O20" s="144"/>
      <c r="P20" s="242"/>
      <c r="Q20" s="242"/>
    </row>
    <row r="21" spans="1:17" s="19" customFormat="1">
      <c r="A21" s="64"/>
      <c r="B21" s="70" t="s">
        <v>54</v>
      </c>
      <c r="C21" s="71">
        <v>619445.56000000006</v>
      </c>
      <c r="D21" s="72">
        <v>0</v>
      </c>
      <c r="E21" s="73">
        <v>11477</v>
      </c>
      <c r="F21" s="218">
        <f t="shared" ref="F21:F30" si="0">C21*G21/100</f>
        <v>11459.74286</v>
      </c>
      <c r="G21" s="74">
        <v>1.85</v>
      </c>
      <c r="H21" s="59">
        <f>ROUND(D21*(G21/100),0)</f>
        <v>0</v>
      </c>
      <c r="I21" s="59">
        <f t="shared" ref="I21:I30" si="1">E21-H21</f>
        <v>11477</v>
      </c>
      <c r="K21" s="138">
        <f>ROUND('Adjust Depr Table 2'!S31,2)</f>
        <v>1.73</v>
      </c>
      <c r="L21" s="143"/>
      <c r="M21" s="139">
        <f>ROUND(D21*(K21/100),0)</f>
        <v>0</v>
      </c>
      <c r="N21" s="139">
        <f>'Adjust Depr Table 2'!Q31</f>
        <v>10742.454545454546</v>
      </c>
      <c r="O21" s="139">
        <f t="shared" ref="O21:O30" si="2">N21-M21</f>
        <v>10742.454545454546</v>
      </c>
      <c r="P21" s="242"/>
      <c r="Q21" s="241" t="str">
        <f t="shared" ref="Q21:Q30" si="3">IF(C21-D21&lt;1,0,"No")</f>
        <v>No</v>
      </c>
    </row>
    <row r="22" spans="1:17" s="19" customFormat="1">
      <c r="A22" s="64"/>
      <c r="B22" s="70" t="s">
        <v>55</v>
      </c>
      <c r="C22" s="71">
        <v>11599889.130000001</v>
      </c>
      <c r="D22" s="72">
        <v>1242055</v>
      </c>
      <c r="E22" s="73">
        <v>372847</v>
      </c>
      <c r="F22" s="218">
        <f t="shared" si="0"/>
        <v>372356.44107300008</v>
      </c>
      <c r="G22" s="74">
        <v>3.21</v>
      </c>
      <c r="H22" s="59">
        <f>ROUND(D22*(G22/100),0)</f>
        <v>39870</v>
      </c>
      <c r="I22" s="59">
        <f t="shared" si="1"/>
        <v>332977</v>
      </c>
      <c r="K22" s="138">
        <f>ROUND('Adjust Depr Table 2'!S32,2)</f>
        <v>2.56</v>
      </c>
      <c r="L22" s="143"/>
      <c r="M22" s="139">
        <f>ROUND(D22*(K22/100),0)</f>
        <v>31797</v>
      </c>
      <c r="N22" s="139">
        <f>'Adjust Depr Table 2'!Q32</f>
        <v>296920.27272727271</v>
      </c>
      <c r="O22" s="139">
        <f t="shared" si="2"/>
        <v>265123.27272727271</v>
      </c>
      <c r="P22" s="242"/>
      <c r="Q22" s="241" t="str">
        <f t="shared" si="3"/>
        <v>No</v>
      </c>
    </row>
    <row r="23" spans="1:17" s="19" customFormat="1">
      <c r="A23" s="64"/>
      <c r="B23" s="70" t="s">
        <v>56</v>
      </c>
      <c r="C23" s="71">
        <v>16839214.859999999</v>
      </c>
      <c r="D23" s="72">
        <v>16839215</v>
      </c>
      <c r="E23" s="73">
        <v>969322</v>
      </c>
      <c r="F23" s="218">
        <f t="shared" si="0"/>
        <v>969938.77593599993</v>
      </c>
      <c r="G23" s="74">
        <v>5.76</v>
      </c>
      <c r="H23" s="59">
        <f>ROUND(D23*(G23/100),0)-617</f>
        <v>969322</v>
      </c>
      <c r="I23" s="59">
        <f t="shared" si="1"/>
        <v>0</v>
      </c>
      <c r="K23" s="138">
        <f>ROUND('Adjust Depr Table 2'!S33,2)</f>
        <v>5.0199999999999996</v>
      </c>
      <c r="L23" s="143"/>
      <c r="M23" s="139">
        <f>ROUND(D23*(K23/100),0)+748</f>
        <v>846077</v>
      </c>
      <c r="N23" s="139">
        <f>'Adjust Depr Table 2'!Q33</f>
        <v>846076.81818181823</v>
      </c>
      <c r="O23" s="243">
        <f t="shared" si="2"/>
        <v>-0.18181818176526576</v>
      </c>
      <c r="P23" s="242"/>
      <c r="Q23" s="241">
        <f t="shared" si="3"/>
        <v>0</v>
      </c>
    </row>
    <row r="24" spans="1:17" s="19" customFormat="1">
      <c r="A24" s="64"/>
      <c r="B24" s="70" t="s">
        <v>57</v>
      </c>
      <c r="C24" s="71">
        <v>29901164.98</v>
      </c>
      <c r="D24" s="72">
        <v>13126964</v>
      </c>
      <c r="E24" s="73">
        <v>945554</v>
      </c>
      <c r="F24" s="218">
        <f t="shared" si="0"/>
        <v>944876.81336800009</v>
      </c>
      <c r="G24" s="74">
        <v>3.16</v>
      </c>
      <c r="H24" s="59">
        <f>ROUND(D24*(G24/100),0)</f>
        <v>414812</v>
      </c>
      <c r="I24" s="59">
        <f t="shared" si="1"/>
        <v>530742</v>
      </c>
      <c r="K24" s="138">
        <f>ROUND('Adjust Depr Table 2'!S34,2)</f>
        <v>2.83</v>
      </c>
      <c r="L24" s="143"/>
      <c r="M24" s="139">
        <f>ROUND(D24*(K24/100),0)</f>
        <v>371493</v>
      </c>
      <c r="N24" s="139">
        <f>'Adjust Depr Table 2'!Q34</f>
        <v>846559.8</v>
      </c>
      <c r="O24" s="139">
        <f t="shared" si="2"/>
        <v>475066.80000000005</v>
      </c>
      <c r="P24" s="242"/>
      <c r="Q24" s="241" t="str">
        <f t="shared" si="3"/>
        <v>No</v>
      </c>
    </row>
    <row r="25" spans="1:17" s="19" customFormat="1">
      <c r="A25" s="64"/>
      <c r="B25" s="70" t="s">
        <v>58</v>
      </c>
      <c r="C25" s="71">
        <v>27841989</v>
      </c>
      <c r="D25" s="72">
        <v>728752</v>
      </c>
      <c r="E25" s="73">
        <v>614994</v>
      </c>
      <c r="F25" s="218">
        <f t="shared" si="0"/>
        <v>615307.95689999999</v>
      </c>
      <c r="G25" s="74">
        <v>2.21</v>
      </c>
      <c r="H25" s="59">
        <f>ROUND(D25*(G25/100),0)</f>
        <v>16105</v>
      </c>
      <c r="I25" s="59">
        <f t="shared" si="1"/>
        <v>598889</v>
      </c>
      <c r="K25" s="138">
        <f>ROUND('Adjust Depr Table 2'!S35,2)</f>
        <v>1.7</v>
      </c>
      <c r="L25" s="143"/>
      <c r="M25" s="139">
        <f>ROUND(D25*(K25/100),0)</f>
        <v>12389</v>
      </c>
      <c r="N25" s="139">
        <f>'Adjust Depr Table 2'!Q35</f>
        <v>472953.42857142858</v>
      </c>
      <c r="O25" s="139">
        <f t="shared" si="2"/>
        <v>460564.42857142858</v>
      </c>
      <c r="P25" s="242"/>
      <c r="Q25" s="241" t="str">
        <f t="shared" si="3"/>
        <v>No</v>
      </c>
    </row>
    <row r="26" spans="1:17" s="19" customFormat="1">
      <c r="A26" s="64"/>
      <c r="B26" s="70" t="s">
        <v>59</v>
      </c>
      <c r="C26" s="71">
        <v>34657321.799999997</v>
      </c>
      <c r="D26" s="72">
        <v>145128</v>
      </c>
      <c r="E26" s="73">
        <v>627228</v>
      </c>
      <c r="F26" s="218">
        <f t="shared" si="0"/>
        <v>627297.52457999997</v>
      </c>
      <c r="G26" s="74">
        <v>1.81</v>
      </c>
      <c r="H26" s="59">
        <f>ROUND(D26*(G26/100),0)</f>
        <v>2627</v>
      </c>
      <c r="I26" s="59">
        <f t="shared" si="1"/>
        <v>624601</v>
      </c>
      <c r="K26" s="138">
        <f>ROUND('Adjust Depr Table 2'!S36,2)</f>
        <v>1.34</v>
      </c>
      <c r="L26" s="143"/>
      <c r="M26" s="139">
        <f>ROUND(D26*(K26/100),0)</f>
        <v>1945</v>
      </c>
      <c r="N26" s="139">
        <f>'Adjust Depr Table 2'!Q36</f>
        <v>465799.39130434784</v>
      </c>
      <c r="O26" s="139">
        <f t="shared" si="2"/>
        <v>463854.39130434784</v>
      </c>
      <c r="P26" s="242"/>
      <c r="Q26" s="241" t="str">
        <f t="shared" si="3"/>
        <v>No</v>
      </c>
    </row>
    <row r="27" spans="1:17" s="19" customFormat="1">
      <c r="A27" s="64"/>
      <c r="B27" s="70" t="s">
        <v>60</v>
      </c>
      <c r="C27" s="71">
        <v>135424737.28999999</v>
      </c>
      <c r="D27" s="72">
        <v>0</v>
      </c>
      <c r="E27" s="73">
        <v>4087225</v>
      </c>
      <c r="F27" s="218">
        <f t="shared" si="0"/>
        <v>4089827.0661579994</v>
      </c>
      <c r="G27" s="74">
        <v>3.02</v>
      </c>
      <c r="H27" s="59">
        <f>ROUND(D27*(G27/100),0)</f>
        <v>0</v>
      </c>
      <c r="I27" s="59">
        <f t="shared" si="1"/>
        <v>4087225</v>
      </c>
      <c r="K27" s="138">
        <f>ROUND('Adjust Depr Table 2'!S37,2)</f>
        <v>2.62</v>
      </c>
      <c r="L27" s="143"/>
      <c r="M27" s="139">
        <f>ROUND(D27*(K27/100),0)</f>
        <v>0</v>
      </c>
      <c r="N27" s="139">
        <f>'Adjust Depr Table 2'!Q37</f>
        <v>3548555.576923077</v>
      </c>
      <c r="O27" s="139">
        <f t="shared" si="2"/>
        <v>3548555.576923077</v>
      </c>
      <c r="P27" s="242"/>
      <c r="Q27" s="241" t="str">
        <f t="shared" si="3"/>
        <v>No</v>
      </c>
    </row>
    <row r="28" spans="1:17" s="19" customFormat="1">
      <c r="A28" s="64"/>
      <c r="B28" s="70" t="s">
        <v>61</v>
      </c>
      <c r="C28" s="71">
        <v>91915875.079999998</v>
      </c>
      <c r="D28" s="72">
        <v>14959428</v>
      </c>
      <c r="E28" s="73">
        <v>3069934</v>
      </c>
      <c r="F28" s="218">
        <f t="shared" si="0"/>
        <v>3069990.2276719999</v>
      </c>
      <c r="G28" s="74">
        <v>3.34</v>
      </c>
      <c r="H28" s="59">
        <f>ROUND(D28*(G28/100),0)</f>
        <v>499645</v>
      </c>
      <c r="I28" s="59">
        <f t="shared" si="1"/>
        <v>2570289</v>
      </c>
      <c r="K28" s="138">
        <f>ROUND('Adjust Depr Table 2'!S38,2)</f>
        <v>2.98</v>
      </c>
      <c r="L28" s="143"/>
      <c r="M28" s="139">
        <f>ROUND(D28*(K28/100),0)</f>
        <v>445791</v>
      </c>
      <c r="N28" s="139">
        <f>'Adjust Depr Table 2'!Q38</f>
        <v>2737187.2</v>
      </c>
      <c r="O28" s="139">
        <f t="shared" si="2"/>
        <v>2291396.2000000002</v>
      </c>
      <c r="P28" s="242"/>
      <c r="Q28" s="241" t="str">
        <f t="shared" si="3"/>
        <v>No</v>
      </c>
    </row>
    <row r="29" spans="1:17" s="19" customFormat="1">
      <c r="A29" s="64"/>
      <c r="B29" s="70" t="s">
        <v>62</v>
      </c>
      <c r="C29" s="71">
        <v>25289573.359999999</v>
      </c>
      <c r="D29" s="72">
        <v>25289574</v>
      </c>
      <c r="E29" s="73">
        <v>890592</v>
      </c>
      <c r="F29" s="218">
        <f t="shared" si="0"/>
        <v>890192.98227200005</v>
      </c>
      <c r="G29" s="74">
        <v>3.52</v>
      </c>
      <c r="H29" s="59">
        <f>ROUND(D29*(G29/100),0)+399</f>
        <v>890592</v>
      </c>
      <c r="I29" s="59">
        <f t="shared" si="1"/>
        <v>0</v>
      </c>
      <c r="K29" s="138">
        <f>ROUND('Adjust Depr Table 2'!S39,2)</f>
        <v>3.07</v>
      </c>
      <c r="L29" s="143"/>
      <c r="M29" s="139">
        <f>ROUND(D29*(K29/100),0)-1056</f>
        <v>775334</v>
      </c>
      <c r="N29" s="139">
        <f>'Adjust Depr Table 2'!Q39</f>
        <v>775334.42857142852</v>
      </c>
      <c r="O29" s="243">
        <f t="shared" si="2"/>
        <v>0.42857142852153629</v>
      </c>
      <c r="P29" s="242"/>
      <c r="Q29" s="241">
        <f t="shared" si="3"/>
        <v>0</v>
      </c>
    </row>
    <row r="30" spans="1:17" s="19" customFormat="1">
      <c r="A30" s="64"/>
      <c r="B30" s="70" t="s">
        <v>63</v>
      </c>
      <c r="C30" s="75">
        <v>22341947.210000001</v>
      </c>
      <c r="D30" s="76">
        <v>22341947</v>
      </c>
      <c r="E30" s="77">
        <v>714438</v>
      </c>
      <c r="F30" s="216">
        <f t="shared" si="0"/>
        <v>714942.31072000007</v>
      </c>
      <c r="G30" s="74">
        <v>3.2</v>
      </c>
      <c r="H30" s="63">
        <f>ROUND(D30*(G30/100),0)-504</f>
        <v>714438</v>
      </c>
      <c r="I30" s="63">
        <f t="shared" si="1"/>
        <v>0</v>
      </c>
      <c r="K30" s="138">
        <f>ROUND('Adjust Depr Table 2'!S40,2)</f>
        <v>2.78</v>
      </c>
      <c r="L30" s="143"/>
      <c r="M30" s="140">
        <f>ROUND(D30*(K30/100),0)+485</f>
        <v>621591</v>
      </c>
      <c r="N30" s="140">
        <f>'Adjust Depr Table 2'!Q40</f>
        <v>621591.04347826086</v>
      </c>
      <c r="O30" s="244">
        <f t="shared" si="2"/>
        <v>4.3478260864503682E-2</v>
      </c>
      <c r="P30" s="242"/>
      <c r="Q30" s="241">
        <f t="shared" si="3"/>
        <v>0</v>
      </c>
    </row>
    <row r="31" spans="1:17" s="19" customFormat="1">
      <c r="A31" s="64"/>
      <c r="B31" s="78" t="s">
        <v>64</v>
      </c>
      <c r="C31" s="71">
        <f>SUM(C21:C30)</f>
        <v>396431158.26999998</v>
      </c>
      <c r="D31" s="72">
        <f>SUM(D21:D30)</f>
        <v>94673063</v>
      </c>
      <c r="E31" s="72">
        <f>SUM(E21:E30)</f>
        <v>12303611</v>
      </c>
      <c r="F31" s="221">
        <f>SUM(F21:F30)</f>
        <v>12306189.841538999</v>
      </c>
      <c r="G31" s="74">
        <f>+ROUND(E31/C31*100,2)</f>
        <v>3.1</v>
      </c>
      <c r="H31" s="72">
        <f>SUM(H21:H30)</f>
        <v>3547411</v>
      </c>
      <c r="I31" s="72">
        <f>SUM(I21:I30)</f>
        <v>8756200</v>
      </c>
      <c r="K31" s="138"/>
      <c r="L31" s="143"/>
      <c r="M31" s="145">
        <f>SUM(M21:M30)</f>
        <v>3106417</v>
      </c>
      <c r="N31" s="145">
        <f>SUM(N21:N30)</f>
        <v>10621720.41430309</v>
      </c>
      <c r="O31" s="145">
        <f>SUM(O21:O30)</f>
        <v>7515303.4143030876</v>
      </c>
      <c r="P31" s="242"/>
      <c r="Q31" s="242"/>
    </row>
    <row r="32" spans="1:17" s="19" customFormat="1">
      <c r="A32" s="64">
        <v>312</v>
      </c>
      <c r="B32" s="78" t="s">
        <v>65</v>
      </c>
      <c r="C32" s="71">
        <f>C36-D36</f>
        <v>1127695.75</v>
      </c>
      <c r="D32" s="72"/>
      <c r="E32" s="73"/>
      <c r="F32" s="220"/>
      <c r="G32" s="74"/>
      <c r="H32" s="69"/>
      <c r="I32" s="69"/>
      <c r="K32" s="138"/>
      <c r="L32" s="143"/>
      <c r="M32" s="144"/>
      <c r="N32" s="144"/>
      <c r="O32" s="144"/>
      <c r="P32" s="242"/>
      <c r="Q32" s="242"/>
    </row>
    <row r="33" spans="1:17" s="19" customFormat="1">
      <c r="A33" s="64"/>
      <c r="B33" s="70" t="s">
        <v>55</v>
      </c>
      <c r="C33" s="71">
        <v>102794003.59</v>
      </c>
      <c r="D33" s="72">
        <v>3716549</v>
      </c>
      <c r="E33" s="73">
        <v>4110747</v>
      </c>
      <c r="F33" s="218">
        <f t="shared" ref="F33:F43" si="4">C33*G33/100</f>
        <v>4111760.1436000001</v>
      </c>
      <c r="G33" s="74">
        <v>4</v>
      </c>
      <c r="H33" s="59">
        <f t="shared" ref="H33:H41" si="5">ROUND(D33*(G33/100),0)</f>
        <v>148662</v>
      </c>
      <c r="I33" s="59">
        <f t="shared" ref="I33:I43" si="6">E33-H33</f>
        <v>3962085</v>
      </c>
      <c r="K33" s="138">
        <f>ROUND('Adjust Depr Table 2'!S45,2)</f>
        <v>3.19</v>
      </c>
      <c r="L33" s="143"/>
      <c r="M33" s="139">
        <f>ROUND(D33*(K33/100),0)</f>
        <v>118558</v>
      </c>
      <c r="N33" s="139">
        <f>'Adjust Depr Table 2'!Q45</f>
        <v>3281259.3636363638</v>
      </c>
      <c r="O33" s="139">
        <f t="shared" ref="O33:O43" si="7">N33-M33</f>
        <v>3162701.3636363638</v>
      </c>
      <c r="P33" s="242"/>
      <c r="Q33" s="241" t="str">
        <f t="shared" ref="Q33:Q43" si="8">IF(C33-D33&lt;1,0,"No")</f>
        <v>No</v>
      </c>
    </row>
    <row r="34" spans="1:17" s="19" customFormat="1">
      <c r="A34" s="64"/>
      <c r="B34" s="70" t="s">
        <v>66</v>
      </c>
      <c r="C34" s="71">
        <v>14959125.039999999</v>
      </c>
      <c r="D34" s="72">
        <v>14959125</v>
      </c>
      <c r="E34" s="73">
        <v>1053970</v>
      </c>
      <c r="F34" s="218">
        <f t="shared" si="4"/>
        <v>1054618.3153199998</v>
      </c>
      <c r="G34" s="74">
        <v>7.05</v>
      </c>
      <c r="H34" s="59">
        <f>ROUND(D34*(G34/100),0)-648</f>
        <v>1053970</v>
      </c>
      <c r="I34" s="59">
        <f t="shared" si="6"/>
        <v>0</v>
      </c>
      <c r="K34" s="138">
        <f>ROUND('Adjust Depr Table 2'!S46,2)</f>
        <v>6.16</v>
      </c>
      <c r="L34" s="143"/>
      <c r="M34" s="139">
        <f>ROUND(D34*(K34/100),0)+295</f>
        <v>921777</v>
      </c>
      <c r="N34" s="139">
        <f>'Adjust Depr Table 2'!Q46</f>
        <v>921777.36363636365</v>
      </c>
      <c r="O34" s="243">
        <f t="shared" si="7"/>
        <v>0.36363636364694685</v>
      </c>
      <c r="P34" s="242"/>
      <c r="Q34" s="241">
        <f t="shared" si="8"/>
        <v>0</v>
      </c>
    </row>
    <row r="35" spans="1:17" s="19" customFormat="1">
      <c r="A35" s="64"/>
      <c r="B35" s="70" t="s">
        <v>67</v>
      </c>
      <c r="C35" s="71">
        <v>1476057.99</v>
      </c>
      <c r="D35" s="72">
        <v>0</v>
      </c>
      <c r="E35" s="73">
        <v>118541</v>
      </c>
      <c r="F35" s="218">
        <f t="shared" si="4"/>
        <v>118527.45659699998</v>
      </c>
      <c r="G35" s="74">
        <v>8.0299999999999994</v>
      </c>
      <c r="H35" s="59">
        <f t="shared" si="5"/>
        <v>0</v>
      </c>
      <c r="I35" s="59">
        <f t="shared" si="6"/>
        <v>118541</v>
      </c>
      <c r="K35" s="138">
        <f>ROUND('Adjust Depr Table 2'!S47,2)</f>
        <v>7.11</v>
      </c>
      <c r="L35" s="143"/>
      <c r="M35" s="139">
        <f t="shared" ref="M35:M41" si="9">ROUND(D35*(K35/100),0)</f>
        <v>0</v>
      </c>
      <c r="N35" s="139">
        <f>'Adjust Depr Table 2'!Q47</f>
        <v>105007.54545454546</v>
      </c>
      <c r="O35" s="139">
        <f t="shared" si="7"/>
        <v>105007.54545454546</v>
      </c>
      <c r="P35" s="242"/>
      <c r="Q35" s="241" t="str">
        <f t="shared" si="8"/>
        <v>No</v>
      </c>
    </row>
    <row r="36" spans="1:17" s="19" customFormat="1">
      <c r="A36" s="64"/>
      <c r="B36" s="70" t="s">
        <v>56</v>
      </c>
      <c r="C36" s="71">
        <v>194151378.75</v>
      </c>
      <c r="D36" s="72">
        <v>193023683</v>
      </c>
      <c r="E36" s="73">
        <v>11404356</v>
      </c>
      <c r="F36" s="218">
        <f t="shared" si="4"/>
        <v>11396685.932625001</v>
      </c>
      <c r="G36" s="74">
        <v>5.87</v>
      </c>
      <c r="H36" s="59">
        <f t="shared" si="5"/>
        <v>11330490</v>
      </c>
      <c r="I36" s="59">
        <f t="shared" si="6"/>
        <v>73866</v>
      </c>
      <c r="K36" s="138">
        <f>ROUND('Adjust Depr Table 2'!S48,2)</f>
        <v>5.0199999999999996</v>
      </c>
      <c r="L36" s="143"/>
      <c r="M36" s="139">
        <f t="shared" si="9"/>
        <v>9689789</v>
      </c>
      <c r="N36" s="139">
        <f>'Adjust Depr Table 2'!Q48</f>
        <v>9754647.4545454551</v>
      </c>
      <c r="O36" s="139">
        <f t="shared" si="7"/>
        <v>64858.454545455053</v>
      </c>
      <c r="P36" s="242"/>
      <c r="Q36" s="241" t="str">
        <f t="shared" si="8"/>
        <v>No</v>
      </c>
    </row>
    <row r="37" spans="1:17" s="19" customFormat="1">
      <c r="A37" s="64"/>
      <c r="B37" s="70" t="s">
        <v>57</v>
      </c>
      <c r="C37" s="71">
        <v>47303061.5</v>
      </c>
      <c r="D37" s="72">
        <v>10265259</v>
      </c>
      <c r="E37" s="73">
        <v>1487587</v>
      </c>
      <c r="F37" s="218">
        <f t="shared" si="4"/>
        <v>1485316.1311000001</v>
      </c>
      <c r="G37" s="74">
        <v>3.14</v>
      </c>
      <c r="H37" s="59">
        <f t="shared" si="5"/>
        <v>322329</v>
      </c>
      <c r="I37" s="59">
        <f t="shared" si="6"/>
        <v>1165258</v>
      </c>
      <c r="K37" s="138">
        <f>ROUND('Adjust Depr Table 2'!S49,2)</f>
        <v>2.56</v>
      </c>
      <c r="L37" s="143"/>
      <c r="M37" s="139">
        <f t="shared" si="9"/>
        <v>262791</v>
      </c>
      <c r="N37" s="139">
        <f>'Adjust Depr Table 2'!Q49</f>
        <v>1209011</v>
      </c>
      <c r="O37" s="139">
        <f t="shared" si="7"/>
        <v>946220</v>
      </c>
      <c r="P37" s="242"/>
      <c r="Q37" s="241" t="str">
        <f t="shared" si="8"/>
        <v>No</v>
      </c>
    </row>
    <row r="38" spans="1:17" s="19" customFormat="1">
      <c r="A38" s="64"/>
      <c r="B38" s="70" t="s">
        <v>58</v>
      </c>
      <c r="C38" s="71">
        <v>207072332.59</v>
      </c>
      <c r="D38" s="72">
        <v>105703771</v>
      </c>
      <c r="E38" s="73">
        <v>6574732</v>
      </c>
      <c r="F38" s="218">
        <f t="shared" si="4"/>
        <v>6584900.1763620004</v>
      </c>
      <c r="G38" s="74">
        <v>3.18</v>
      </c>
      <c r="H38" s="59">
        <f t="shared" si="5"/>
        <v>3361380</v>
      </c>
      <c r="I38" s="59">
        <f t="shared" si="6"/>
        <v>3213352</v>
      </c>
      <c r="K38" s="138">
        <f>ROUND('Adjust Depr Table 2'!S50,2)</f>
        <v>2.4500000000000002</v>
      </c>
      <c r="L38" s="143"/>
      <c r="M38" s="139">
        <f t="shared" si="9"/>
        <v>2589742</v>
      </c>
      <c r="N38" s="139">
        <f>'Adjust Depr Table 2'!Q50</f>
        <v>5064046.5238095243</v>
      </c>
      <c r="O38" s="139">
        <f t="shared" si="7"/>
        <v>2474304.5238095243</v>
      </c>
      <c r="P38" s="242"/>
      <c r="Q38" s="241" t="str">
        <f t="shared" si="8"/>
        <v>No</v>
      </c>
    </row>
    <row r="39" spans="1:17" s="19" customFormat="1">
      <c r="A39" s="64"/>
      <c r="B39" s="70" t="s">
        <v>59</v>
      </c>
      <c r="C39" s="71">
        <v>264954492.52000001</v>
      </c>
      <c r="D39" s="72">
        <v>49395487</v>
      </c>
      <c r="E39" s="73">
        <v>6988909</v>
      </c>
      <c r="F39" s="218">
        <f t="shared" si="4"/>
        <v>6994798.6025280012</v>
      </c>
      <c r="G39" s="74">
        <v>2.64</v>
      </c>
      <c r="H39" s="59">
        <f t="shared" si="5"/>
        <v>1304041</v>
      </c>
      <c r="I39" s="59">
        <f t="shared" si="6"/>
        <v>5684868</v>
      </c>
      <c r="K39" s="138">
        <f>ROUND('Adjust Depr Table 2'!S51,2)</f>
        <v>1.92</v>
      </c>
      <c r="L39" s="143"/>
      <c r="M39" s="139">
        <f t="shared" si="9"/>
        <v>948393</v>
      </c>
      <c r="N39" s="139">
        <f>'Adjust Depr Table 2'!Q51</f>
        <v>5079425.2608695654</v>
      </c>
      <c r="O39" s="139">
        <f t="shared" si="7"/>
        <v>4131032.2608695654</v>
      </c>
      <c r="P39" s="242"/>
      <c r="Q39" s="241" t="str">
        <f t="shared" si="8"/>
        <v>No</v>
      </c>
    </row>
    <row r="40" spans="1:17" s="19" customFormat="1">
      <c r="A40" s="64"/>
      <c r="B40" s="70" t="s">
        <v>60</v>
      </c>
      <c r="C40" s="71">
        <v>182163077.56</v>
      </c>
      <c r="D40" s="72">
        <v>69612000</v>
      </c>
      <c r="E40" s="73">
        <v>6110529</v>
      </c>
      <c r="F40" s="218">
        <f t="shared" si="4"/>
        <v>6102463.0982599994</v>
      </c>
      <c r="G40" s="74">
        <v>3.35</v>
      </c>
      <c r="H40" s="59">
        <f t="shared" si="5"/>
        <v>2332002</v>
      </c>
      <c r="I40" s="59">
        <f t="shared" si="6"/>
        <v>3778527</v>
      </c>
      <c r="K40" s="138">
        <f>ROUND('Adjust Depr Table 2'!S52,2)</f>
        <v>2.67</v>
      </c>
      <c r="L40" s="143"/>
      <c r="M40" s="139">
        <f t="shared" si="9"/>
        <v>1858640</v>
      </c>
      <c r="N40" s="139">
        <f>'Adjust Depr Table 2'!Q52</f>
        <v>4866067.923076923</v>
      </c>
      <c r="O40" s="139">
        <f t="shared" si="7"/>
        <v>3007427.923076923</v>
      </c>
      <c r="P40" s="242"/>
      <c r="Q40" s="241" t="str">
        <f t="shared" si="8"/>
        <v>No</v>
      </c>
    </row>
    <row r="41" spans="1:17" s="19" customFormat="1">
      <c r="A41" s="64"/>
      <c r="B41" s="70" t="s">
        <v>61</v>
      </c>
      <c r="C41" s="71">
        <v>310905410.86000001</v>
      </c>
      <c r="D41" s="72">
        <v>79956647</v>
      </c>
      <c r="E41" s="73">
        <v>11408395</v>
      </c>
      <c r="F41" s="218">
        <f t="shared" si="4"/>
        <v>11410228.578561999</v>
      </c>
      <c r="G41" s="74">
        <v>3.67</v>
      </c>
      <c r="H41" s="59">
        <f t="shared" si="5"/>
        <v>2934409</v>
      </c>
      <c r="I41" s="59">
        <f t="shared" si="6"/>
        <v>8473986</v>
      </c>
      <c r="K41" s="138">
        <f>ROUND('Adjust Depr Table 2'!S53,2)</f>
        <v>2.98</v>
      </c>
      <c r="L41" s="143"/>
      <c r="M41" s="139">
        <f t="shared" si="9"/>
        <v>2382708</v>
      </c>
      <c r="N41" s="139">
        <f>'Adjust Depr Table 2'!Q53</f>
        <v>9258865.9000000004</v>
      </c>
      <c r="O41" s="139">
        <f t="shared" si="7"/>
        <v>6876157.9000000004</v>
      </c>
      <c r="P41" s="242"/>
      <c r="Q41" s="241" t="str">
        <f t="shared" si="8"/>
        <v>No</v>
      </c>
    </row>
    <row r="42" spans="1:17" s="19" customFormat="1">
      <c r="A42" s="64"/>
      <c r="B42" s="70" t="s">
        <v>62</v>
      </c>
      <c r="C42" s="71">
        <v>102930250.29000001</v>
      </c>
      <c r="D42" s="72">
        <v>102930250</v>
      </c>
      <c r="E42" s="73">
        <v>3829676</v>
      </c>
      <c r="F42" s="218">
        <f t="shared" si="4"/>
        <v>3829005.310788</v>
      </c>
      <c r="G42" s="74">
        <v>3.72</v>
      </c>
      <c r="H42" s="59">
        <f>ROUND(D42*(G42/100),0)+671</f>
        <v>3829676</v>
      </c>
      <c r="I42" s="59">
        <f t="shared" si="6"/>
        <v>0</v>
      </c>
      <c r="K42" s="138">
        <f>ROUND('Adjust Depr Table 2'!S54,2)</f>
        <v>3.05</v>
      </c>
      <c r="L42" s="143"/>
      <c r="M42" s="139">
        <f>ROUND(D42*(K42/100),0)+708</f>
        <v>3140081</v>
      </c>
      <c r="N42" s="139">
        <f>'Adjust Depr Table 2'!Q54</f>
        <v>3140081.0476190476</v>
      </c>
      <c r="O42" s="243">
        <f t="shared" si="7"/>
        <v>4.7619047574698925E-2</v>
      </c>
      <c r="P42" s="242"/>
      <c r="Q42" s="241">
        <f t="shared" si="8"/>
        <v>0</v>
      </c>
    </row>
    <row r="43" spans="1:17" s="19" customFormat="1">
      <c r="A43" s="64"/>
      <c r="B43" s="70" t="s">
        <v>63</v>
      </c>
      <c r="C43" s="75">
        <v>157598866.33000001</v>
      </c>
      <c r="D43" s="76">
        <v>157598866</v>
      </c>
      <c r="E43" s="77">
        <v>5355461</v>
      </c>
      <c r="F43" s="216">
        <f t="shared" si="4"/>
        <v>5358361.4552199999</v>
      </c>
      <c r="G43" s="74">
        <v>3.4</v>
      </c>
      <c r="H43" s="63">
        <f>ROUND(D43*(G43/100),0)-2900</f>
        <v>5355461</v>
      </c>
      <c r="I43" s="63">
        <f t="shared" si="6"/>
        <v>0</v>
      </c>
      <c r="K43" s="138">
        <f>ROUND('Adjust Depr Table 2'!S55,2)</f>
        <v>2.76</v>
      </c>
      <c r="L43" s="143"/>
      <c r="M43" s="140">
        <f>ROUND(D43*(K43/100),0)+4508</f>
        <v>4354237</v>
      </c>
      <c r="N43" s="140">
        <f>'Adjust Depr Table 2'!Q55</f>
        <v>4354237.3043478262</v>
      </c>
      <c r="O43" s="244">
        <f t="shared" si="7"/>
        <v>0.30434782616794109</v>
      </c>
      <c r="P43" s="242"/>
      <c r="Q43" s="241">
        <f t="shared" si="8"/>
        <v>0</v>
      </c>
    </row>
    <row r="44" spans="1:17" s="19" customFormat="1">
      <c r="A44" s="64"/>
      <c r="B44" s="78" t="s">
        <v>68</v>
      </c>
      <c r="C44" s="71">
        <f>SUM(C33:C43)</f>
        <v>1586308057.02</v>
      </c>
      <c r="D44" s="72">
        <f>SUM(D33:D43)</f>
        <v>787161637</v>
      </c>
      <c r="E44" s="72">
        <f>SUM(E33:E43)</f>
        <v>58442903</v>
      </c>
      <c r="F44" s="221">
        <f>SUM(F33:F43)</f>
        <v>58446665.200962</v>
      </c>
      <c r="G44" s="74">
        <f>+ROUND(E44/C44*100,2)</f>
        <v>3.68</v>
      </c>
      <c r="H44" s="72">
        <f>SUM(H33:H43)</f>
        <v>31972420</v>
      </c>
      <c r="I44" s="72">
        <f>SUM(I33:I43)</f>
        <v>26470483</v>
      </c>
      <c r="K44" s="138"/>
      <c r="L44" s="143"/>
      <c r="M44" s="145">
        <f>SUM(M33:M43)</f>
        <v>26266716</v>
      </c>
      <c r="N44" s="145">
        <f>SUM(N33:N43)</f>
        <v>47034426.686995618</v>
      </c>
      <c r="O44" s="145">
        <f>SUM(O33:O43)</f>
        <v>20767710.686995618</v>
      </c>
      <c r="P44" s="242"/>
      <c r="Q44" s="242"/>
    </row>
    <row r="45" spans="1:17" s="19" customFormat="1">
      <c r="A45" s="64">
        <v>314</v>
      </c>
      <c r="B45" s="78" t="s">
        <v>69</v>
      </c>
      <c r="C45" s="71"/>
      <c r="D45" s="72"/>
      <c r="E45" s="73"/>
      <c r="F45" s="220"/>
      <c r="G45" s="74"/>
      <c r="H45" s="69"/>
      <c r="I45" s="69"/>
      <c r="K45" s="138"/>
      <c r="L45" s="143"/>
      <c r="M45" s="144"/>
      <c r="N45" s="144"/>
      <c r="O45" s="144"/>
      <c r="P45" s="242"/>
      <c r="Q45" s="242"/>
    </row>
    <row r="46" spans="1:17" s="19" customFormat="1">
      <c r="A46" s="64"/>
      <c r="B46" s="70" t="s">
        <v>55</v>
      </c>
      <c r="C46" s="71">
        <v>23714956.780000001</v>
      </c>
      <c r="D46" s="72">
        <v>0</v>
      </c>
      <c r="E46" s="73">
        <v>812009</v>
      </c>
      <c r="F46" s="218">
        <f>C46*G46/100</f>
        <v>811051.52187599998</v>
      </c>
      <c r="G46" s="74">
        <v>3.42</v>
      </c>
      <c r="H46" s="59">
        <f>ROUND(D46*(G46/100),0)</f>
        <v>0</v>
      </c>
      <c r="I46" s="59">
        <f>E46-H46</f>
        <v>812009</v>
      </c>
      <c r="K46" s="138">
        <f>ROUND('Adjust Depr Table 2'!S60,2)</f>
        <v>2.54</v>
      </c>
      <c r="L46" s="143"/>
      <c r="M46" s="139">
        <f>ROUND(D46*(K46/100),0)</f>
        <v>0</v>
      </c>
      <c r="N46" s="139">
        <f>'Adjust Depr Table 2'!Q60</f>
        <v>601261.36363636365</v>
      </c>
      <c r="O46" s="139">
        <f>N46-M46</f>
        <v>601261.36363636365</v>
      </c>
      <c r="P46" s="242"/>
      <c r="Q46" s="241" t="str">
        <f>IF(C46-D46&lt;1,0,"No")</f>
        <v>No</v>
      </c>
    </row>
    <row r="47" spans="1:17" s="19" customFormat="1">
      <c r="A47" s="64"/>
      <c r="B47" s="70" t="s">
        <v>58</v>
      </c>
      <c r="C47" s="71">
        <v>33699815.289999999</v>
      </c>
      <c r="D47" s="72">
        <v>0</v>
      </c>
      <c r="E47" s="73">
        <v>884400</v>
      </c>
      <c r="F47" s="218">
        <f>C47*G47/100</f>
        <v>882935.16059800005</v>
      </c>
      <c r="G47" s="74">
        <v>2.62</v>
      </c>
      <c r="H47" s="59">
        <f>ROUND(D47*(G47/100),0)</f>
        <v>0</v>
      </c>
      <c r="I47" s="59">
        <f>E47-H47</f>
        <v>884400</v>
      </c>
      <c r="K47" s="138">
        <f>ROUND('Adjust Depr Table 2'!S61,2)</f>
        <v>1.72</v>
      </c>
      <c r="L47" s="143"/>
      <c r="M47" s="139">
        <f>ROUND(D47*(K47/100),0)</f>
        <v>0</v>
      </c>
      <c r="N47" s="139">
        <f>'Adjust Depr Table 2'!Q61</f>
        <v>580972.52380952379</v>
      </c>
      <c r="O47" s="139">
        <f>N47-M47</f>
        <v>580972.52380952379</v>
      </c>
      <c r="P47" s="242"/>
      <c r="Q47" s="241" t="str">
        <f>IF(C47-D47&lt;1,0,"No")</f>
        <v>No</v>
      </c>
    </row>
    <row r="48" spans="1:17" s="19" customFormat="1">
      <c r="A48" s="64"/>
      <c r="B48" s="70" t="s">
        <v>59</v>
      </c>
      <c r="C48" s="71">
        <v>60137136.600000001</v>
      </c>
      <c r="D48" s="72">
        <v>0</v>
      </c>
      <c r="E48" s="73">
        <v>1606261</v>
      </c>
      <c r="F48" s="218">
        <f>C48*G48/100</f>
        <v>1605661.5472200001</v>
      </c>
      <c r="G48" s="74">
        <v>2.67</v>
      </c>
      <c r="H48" s="59">
        <f>ROUND(D48*(G48/100),0)</f>
        <v>0</v>
      </c>
      <c r="I48" s="59">
        <f>E48-H48</f>
        <v>1606261</v>
      </c>
      <c r="K48" s="138">
        <f>ROUND('Adjust Depr Table 2'!S62,2)</f>
        <v>1.89</v>
      </c>
      <c r="L48" s="143"/>
      <c r="M48" s="139">
        <f>ROUND(D48*(K48/100),0)</f>
        <v>0</v>
      </c>
      <c r="N48" s="139">
        <f>'Adjust Depr Table 2'!Q62</f>
        <v>1135479.2173913044</v>
      </c>
      <c r="O48" s="139">
        <f>N48-M48</f>
        <v>1135479.2173913044</v>
      </c>
      <c r="P48" s="242"/>
      <c r="Q48" s="241" t="str">
        <f>IF(C48-D48&lt;1,0,"No")</f>
        <v>No</v>
      </c>
    </row>
    <row r="49" spans="1:17" s="19" customFormat="1">
      <c r="A49" s="64"/>
      <c r="B49" s="70" t="s">
        <v>60</v>
      </c>
      <c r="C49" s="71">
        <v>80408959.549999997</v>
      </c>
      <c r="D49" s="72">
        <v>0</v>
      </c>
      <c r="E49" s="73">
        <v>2646915</v>
      </c>
      <c r="F49" s="218">
        <f>C49*G49/100</f>
        <v>2645454.7691949997</v>
      </c>
      <c r="G49" s="74">
        <v>3.29</v>
      </c>
      <c r="H49" s="59">
        <f>ROUND(D49*(G49/100),0)</f>
        <v>0</v>
      </c>
      <c r="I49" s="59">
        <f>E49-H49</f>
        <v>2646915</v>
      </c>
      <c r="K49" s="138">
        <f>ROUND('Adjust Depr Table 2'!S63,2)</f>
        <v>2.65</v>
      </c>
      <c r="L49" s="143"/>
      <c r="M49" s="139">
        <f>ROUND(D49*(K49/100),0)</f>
        <v>0</v>
      </c>
      <c r="N49" s="139">
        <f>'Adjust Depr Table 2'!Q63</f>
        <v>2126954.1153846155</v>
      </c>
      <c r="O49" s="139">
        <f>N49-M49</f>
        <v>2126954.1153846155</v>
      </c>
      <c r="P49" s="242"/>
      <c r="Q49" s="241" t="str">
        <f>IF(C49-D49&lt;1,0,"No")</f>
        <v>No</v>
      </c>
    </row>
    <row r="50" spans="1:17" s="19" customFormat="1">
      <c r="A50" s="64"/>
      <c r="B50" s="70" t="s">
        <v>61</v>
      </c>
      <c r="C50" s="75">
        <v>80239064.25</v>
      </c>
      <c r="D50" s="76">
        <v>0</v>
      </c>
      <c r="E50" s="77">
        <v>2960611</v>
      </c>
      <c r="F50" s="216">
        <f>C50*G50/100</f>
        <v>2960821.4708249997</v>
      </c>
      <c r="G50" s="74">
        <v>3.69</v>
      </c>
      <c r="H50" s="63">
        <f>ROUND(D50*(G50/100),0)</f>
        <v>0</v>
      </c>
      <c r="I50" s="63">
        <f>E50-H50</f>
        <v>2960611</v>
      </c>
      <c r="K50" s="138">
        <f>ROUND('Adjust Depr Table 2'!S64,2)</f>
        <v>3.08</v>
      </c>
      <c r="L50" s="143"/>
      <c r="M50" s="140">
        <f>ROUND(D50*(K50/100),0)</f>
        <v>0</v>
      </c>
      <c r="N50" s="140">
        <f>'Adjust Depr Table 2'!Q64</f>
        <v>2474064.9666666668</v>
      </c>
      <c r="O50" s="140">
        <f>N50-M50</f>
        <v>2474064.9666666668</v>
      </c>
      <c r="P50" s="242"/>
      <c r="Q50" s="241" t="str">
        <f>IF(C50-D50&lt;1,0,"No")</f>
        <v>No</v>
      </c>
    </row>
    <row r="51" spans="1:17" s="19" customFormat="1">
      <c r="A51" s="64"/>
      <c r="B51" s="78" t="s">
        <v>70</v>
      </c>
      <c r="C51" s="71">
        <f>SUM(C46:C50)</f>
        <v>278199932.47000003</v>
      </c>
      <c r="D51" s="72">
        <f>SUM(D46:D50)</f>
        <v>0</v>
      </c>
      <c r="E51" s="72">
        <f>SUM(E46:E50)</f>
        <v>8910196</v>
      </c>
      <c r="F51" s="221">
        <f>SUM(F46:F50)</f>
        <v>8905924.469713999</v>
      </c>
      <c r="G51" s="74">
        <f>+ROUND(E51/C51*100,2)</f>
        <v>3.2</v>
      </c>
      <c r="H51" s="72">
        <f>SUM(H46:H50)</f>
        <v>0</v>
      </c>
      <c r="I51" s="72">
        <f>SUM(I46:I50)</f>
        <v>8910196</v>
      </c>
      <c r="K51" s="138"/>
      <c r="L51" s="143"/>
      <c r="M51" s="145">
        <f>SUM(M46:M50)</f>
        <v>0</v>
      </c>
      <c r="N51" s="145">
        <f>SUM(N46:N50)</f>
        <v>6918732.186888475</v>
      </c>
      <c r="O51" s="145">
        <f>SUM(O46:O50)</f>
        <v>6918732.186888475</v>
      </c>
      <c r="P51" s="242"/>
      <c r="Q51" s="242"/>
    </row>
    <row r="52" spans="1:17" s="19" customFormat="1">
      <c r="A52" s="64">
        <v>315</v>
      </c>
      <c r="B52" s="78" t="s">
        <v>71</v>
      </c>
      <c r="C52" s="71"/>
      <c r="D52" s="72"/>
      <c r="E52" s="73"/>
      <c r="F52" s="220"/>
      <c r="G52" s="74"/>
      <c r="H52" s="69"/>
      <c r="I52" s="69"/>
      <c r="K52" s="138"/>
      <c r="L52" s="143"/>
      <c r="M52" s="144"/>
      <c r="N52" s="144"/>
      <c r="O52" s="144"/>
      <c r="P52" s="242"/>
      <c r="Q52" s="242"/>
    </row>
    <row r="53" spans="1:17" s="19" customFormat="1">
      <c r="A53" s="64"/>
      <c r="B53" s="70" t="s">
        <v>55</v>
      </c>
      <c r="C53" s="71">
        <v>3362383.45</v>
      </c>
      <c r="D53" s="72">
        <v>0</v>
      </c>
      <c r="E53" s="73">
        <v>88268</v>
      </c>
      <c r="F53" s="218">
        <f t="shared" ref="F53:F63" si="10">C53*G53/100</f>
        <v>88430.684735000003</v>
      </c>
      <c r="G53" s="74">
        <v>2.63</v>
      </c>
      <c r="H53" s="59">
        <f t="shared" ref="H53:H61" si="11">ROUND(D53*(G53/100),0)</f>
        <v>0</v>
      </c>
      <c r="I53" s="59">
        <f t="shared" ref="I53:I63" si="12">E53-H53</f>
        <v>88268</v>
      </c>
      <c r="K53" s="138">
        <f>ROUND('Adjust Depr Table 2'!S69,2)</f>
        <v>1.91</v>
      </c>
      <c r="L53" s="143"/>
      <c r="M53" s="139">
        <f t="shared" ref="M53:M61" si="13">ROUND(D53*(K53/100),0)</f>
        <v>0</v>
      </c>
      <c r="N53" s="139">
        <f>'Adjust Depr Table 2'!Q69</f>
        <v>64053.63636363636</v>
      </c>
      <c r="O53" s="139">
        <f t="shared" ref="O53:O63" si="14">N53-M53</f>
        <v>64053.63636363636</v>
      </c>
      <c r="P53" s="242"/>
      <c r="Q53" s="241" t="str">
        <f t="shared" ref="Q53:Q63" si="15">IF(C53-D53&lt;1,0,"No")</f>
        <v>No</v>
      </c>
    </row>
    <row r="54" spans="1:17" s="19" customFormat="1">
      <c r="A54" s="64"/>
      <c r="B54" s="70" t="s">
        <v>66</v>
      </c>
      <c r="C54" s="71">
        <v>108139.1</v>
      </c>
      <c r="D54" s="72">
        <v>0</v>
      </c>
      <c r="E54" s="73">
        <v>9139</v>
      </c>
      <c r="F54" s="218">
        <f t="shared" si="10"/>
        <v>9137.7539500000003</v>
      </c>
      <c r="G54" s="74">
        <v>8.4499999999999993</v>
      </c>
      <c r="H54" s="59">
        <f t="shared" si="11"/>
        <v>0</v>
      </c>
      <c r="I54" s="59">
        <f t="shared" si="12"/>
        <v>9139</v>
      </c>
      <c r="K54" s="138">
        <f>ROUND('Adjust Depr Table 2'!S70,2)</f>
        <v>7.61</v>
      </c>
      <c r="L54" s="143"/>
      <c r="M54" s="139">
        <f t="shared" si="13"/>
        <v>0</v>
      </c>
      <c r="N54" s="139">
        <f>'Adjust Depr Table 2'!Q70</f>
        <v>8232</v>
      </c>
      <c r="O54" s="139">
        <f t="shared" si="14"/>
        <v>8232</v>
      </c>
      <c r="P54" s="242"/>
      <c r="Q54" s="241" t="str">
        <f t="shared" si="15"/>
        <v>No</v>
      </c>
    </row>
    <row r="55" spans="1:17" s="19" customFormat="1">
      <c r="A55" s="64"/>
      <c r="B55" s="70" t="s">
        <v>67</v>
      </c>
      <c r="C55" s="71">
        <v>108269.09</v>
      </c>
      <c r="D55" s="72">
        <v>0</v>
      </c>
      <c r="E55" s="73">
        <v>9150</v>
      </c>
      <c r="F55" s="218">
        <f t="shared" si="10"/>
        <v>9148.7381049999985</v>
      </c>
      <c r="G55" s="74">
        <v>8.4499999999999993</v>
      </c>
      <c r="H55" s="59">
        <f t="shared" si="11"/>
        <v>0</v>
      </c>
      <c r="I55" s="59">
        <f t="shared" si="12"/>
        <v>9150</v>
      </c>
      <c r="K55" s="138">
        <f>ROUND('Adjust Depr Table 2'!S71,2)</f>
        <v>7.61</v>
      </c>
      <c r="L55" s="143"/>
      <c r="M55" s="139">
        <f t="shared" si="13"/>
        <v>0</v>
      </c>
      <c r="N55" s="139">
        <f>'Adjust Depr Table 2'!Q71</f>
        <v>8242.0909090909099</v>
      </c>
      <c r="O55" s="139">
        <f t="shared" si="14"/>
        <v>8242.0909090909099</v>
      </c>
      <c r="P55" s="242"/>
      <c r="Q55" s="241" t="str">
        <f t="shared" si="15"/>
        <v>No</v>
      </c>
    </row>
    <row r="56" spans="1:17" s="19" customFormat="1">
      <c r="A56" s="64"/>
      <c r="B56" s="70" t="s">
        <v>56</v>
      </c>
      <c r="C56" s="71">
        <v>12060627.85</v>
      </c>
      <c r="D56" s="72">
        <v>12060628</v>
      </c>
      <c r="E56" s="73">
        <v>693494</v>
      </c>
      <c r="F56" s="218">
        <f t="shared" si="10"/>
        <v>693486.10137500009</v>
      </c>
      <c r="G56" s="74">
        <v>5.75</v>
      </c>
      <c r="H56" s="59">
        <f>ROUND(D56*(G56/100),0)+8</f>
        <v>693494</v>
      </c>
      <c r="I56" s="59">
        <f t="shared" si="12"/>
        <v>0</v>
      </c>
      <c r="K56" s="138">
        <f>ROUND('Adjust Depr Table 2'!S72,2)</f>
        <v>5.03</v>
      </c>
      <c r="L56" s="143"/>
      <c r="M56" s="139">
        <f>ROUND(D56*(K56/100),0)-130</f>
        <v>606520</v>
      </c>
      <c r="N56" s="139">
        <f>'Adjust Depr Table 2'!Q72</f>
        <v>606519.90909090906</v>
      </c>
      <c r="O56" s="243">
        <f t="shared" si="14"/>
        <v>-9.0909090940840542E-2</v>
      </c>
      <c r="P56" s="242"/>
      <c r="Q56" s="241">
        <f t="shared" si="15"/>
        <v>0</v>
      </c>
    </row>
    <row r="57" spans="1:17" s="19" customFormat="1">
      <c r="A57" s="64"/>
      <c r="B57" s="70" t="s">
        <v>57</v>
      </c>
      <c r="C57" s="71">
        <v>657912.36</v>
      </c>
      <c r="D57" s="72">
        <v>0</v>
      </c>
      <c r="E57" s="73">
        <v>23693</v>
      </c>
      <c r="F57" s="218">
        <f t="shared" si="10"/>
        <v>23684.844959999999</v>
      </c>
      <c r="G57" s="74">
        <v>3.6</v>
      </c>
      <c r="H57" s="59">
        <f t="shared" si="11"/>
        <v>0</v>
      </c>
      <c r="I57" s="59">
        <f t="shared" si="12"/>
        <v>23693</v>
      </c>
      <c r="K57" s="138">
        <f>ROUND('Adjust Depr Table 2'!S73,2)</f>
        <v>3.29</v>
      </c>
      <c r="L57" s="143"/>
      <c r="M57" s="139">
        <f t="shared" si="13"/>
        <v>0</v>
      </c>
      <c r="N57" s="139">
        <f>'Adjust Depr Table 2'!Q73</f>
        <v>21668.066666666666</v>
      </c>
      <c r="O57" s="139">
        <f t="shared" si="14"/>
        <v>21668.066666666666</v>
      </c>
      <c r="P57" s="242"/>
      <c r="Q57" s="241" t="str">
        <f t="shared" si="15"/>
        <v>No</v>
      </c>
    </row>
    <row r="58" spans="1:17" s="19" customFormat="1">
      <c r="A58" s="64"/>
      <c r="B58" s="70" t="s">
        <v>58</v>
      </c>
      <c r="C58" s="71">
        <v>10670855.65</v>
      </c>
      <c r="D58" s="72">
        <v>3643763</v>
      </c>
      <c r="E58" s="73">
        <v>255913</v>
      </c>
      <c r="F58" s="218">
        <f t="shared" si="10"/>
        <v>256100.53559999997</v>
      </c>
      <c r="G58" s="74">
        <v>2.4</v>
      </c>
      <c r="H58" s="59">
        <f t="shared" si="11"/>
        <v>87450</v>
      </c>
      <c r="I58" s="59">
        <f t="shared" si="12"/>
        <v>168463</v>
      </c>
      <c r="K58" s="138">
        <f>ROUND('Adjust Depr Table 2'!S74,2)</f>
        <v>1.79</v>
      </c>
      <c r="L58" s="143"/>
      <c r="M58" s="139">
        <f t="shared" si="13"/>
        <v>65223</v>
      </c>
      <c r="N58" s="139">
        <f>'Adjust Depr Table 2'!Q74</f>
        <v>190831.19047619047</v>
      </c>
      <c r="O58" s="139">
        <f t="shared" si="14"/>
        <v>125608.19047619047</v>
      </c>
      <c r="P58" s="242"/>
      <c r="Q58" s="241" t="str">
        <f t="shared" si="15"/>
        <v>No</v>
      </c>
    </row>
    <row r="59" spans="1:17" s="19" customFormat="1">
      <c r="A59" s="64"/>
      <c r="B59" s="70" t="s">
        <v>59</v>
      </c>
      <c r="C59" s="71">
        <v>21783326.510000002</v>
      </c>
      <c r="D59" s="72">
        <v>0</v>
      </c>
      <c r="E59" s="73">
        <v>421018</v>
      </c>
      <c r="F59" s="218">
        <f t="shared" si="10"/>
        <v>420418.20164300001</v>
      </c>
      <c r="G59" s="74">
        <v>1.93</v>
      </c>
      <c r="H59" s="59">
        <f t="shared" si="11"/>
        <v>0</v>
      </c>
      <c r="I59" s="59">
        <f t="shared" si="12"/>
        <v>421018</v>
      </c>
      <c r="K59" s="138">
        <f>ROUND('Adjust Depr Table 2'!S75,2)</f>
        <v>1.34</v>
      </c>
      <c r="L59" s="143"/>
      <c r="M59" s="139">
        <f t="shared" si="13"/>
        <v>0</v>
      </c>
      <c r="N59" s="139">
        <f>'Adjust Depr Table 2'!Q75</f>
        <v>291381</v>
      </c>
      <c r="O59" s="139">
        <f t="shared" si="14"/>
        <v>291381</v>
      </c>
      <c r="P59" s="242"/>
      <c r="Q59" s="241" t="str">
        <f t="shared" si="15"/>
        <v>No</v>
      </c>
    </row>
    <row r="60" spans="1:17" s="19" customFormat="1">
      <c r="A60" s="64"/>
      <c r="B60" s="70" t="s">
        <v>60</v>
      </c>
      <c r="C60" s="71">
        <v>23764302.84</v>
      </c>
      <c r="D60" s="72">
        <v>0</v>
      </c>
      <c r="E60" s="73">
        <v>715699</v>
      </c>
      <c r="F60" s="218">
        <f t="shared" si="10"/>
        <v>715305.51548399997</v>
      </c>
      <c r="G60" s="74">
        <v>3.01</v>
      </c>
      <c r="H60" s="59">
        <f t="shared" si="11"/>
        <v>0</v>
      </c>
      <c r="I60" s="59">
        <f t="shared" si="12"/>
        <v>715699</v>
      </c>
      <c r="K60" s="138">
        <f>ROUND('Adjust Depr Table 2'!S76,2)</f>
        <v>2.63</v>
      </c>
      <c r="L60" s="143"/>
      <c r="M60" s="139">
        <f t="shared" si="13"/>
        <v>0</v>
      </c>
      <c r="N60" s="139">
        <f>'Adjust Depr Table 2'!Q76</f>
        <v>624719.42307692312</v>
      </c>
      <c r="O60" s="139">
        <f t="shared" si="14"/>
        <v>624719.42307692312</v>
      </c>
      <c r="P60" s="242"/>
      <c r="Q60" s="241" t="str">
        <f t="shared" si="15"/>
        <v>No</v>
      </c>
    </row>
    <row r="61" spans="1:17" s="19" customFormat="1">
      <c r="A61" s="64"/>
      <c r="B61" s="70" t="s">
        <v>61</v>
      </c>
      <c r="C61" s="71">
        <v>12751242.41</v>
      </c>
      <c r="D61" s="72">
        <v>50263</v>
      </c>
      <c r="E61" s="73">
        <v>422962</v>
      </c>
      <c r="F61" s="218">
        <f t="shared" si="10"/>
        <v>423341.24801199994</v>
      </c>
      <c r="G61" s="74">
        <v>3.32</v>
      </c>
      <c r="H61" s="59">
        <f t="shared" si="11"/>
        <v>1669</v>
      </c>
      <c r="I61" s="59">
        <f t="shared" si="12"/>
        <v>421293</v>
      </c>
      <c r="K61" s="138">
        <f>ROUND('Adjust Depr Table 2'!S77,2)</f>
        <v>2.97</v>
      </c>
      <c r="L61" s="143"/>
      <c r="M61" s="139">
        <f t="shared" si="13"/>
        <v>1493</v>
      </c>
      <c r="N61" s="139">
        <f>'Adjust Depr Table 2'!Q77</f>
        <v>378969.33333333331</v>
      </c>
      <c r="O61" s="139">
        <f t="shared" si="14"/>
        <v>377476.33333333331</v>
      </c>
      <c r="P61" s="242"/>
      <c r="Q61" s="241" t="str">
        <f t="shared" si="15"/>
        <v>No</v>
      </c>
    </row>
    <row r="62" spans="1:17" s="19" customFormat="1">
      <c r="A62" s="64"/>
      <c r="B62" s="70" t="s">
        <v>62</v>
      </c>
      <c r="C62" s="71">
        <v>12520715.15</v>
      </c>
      <c r="D62" s="72">
        <v>12520715</v>
      </c>
      <c r="E62" s="73">
        <v>439199</v>
      </c>
      <c r="F62" s="218">
        <f t="shared" si="10"/>
        <v>439477.10176500003</v>
      </c>
      <c r="G62" s="74">
        <v>3.51</v>
      </c>
      <c r="H62" s="59">
        <f>ROUND(D62*(G62/100),0)-278</f>
        <v>439199</v>
      </c>
      <c r="I62" s="59">
        <f t="shared" si="12"/>
        <v>0</v>
      </c>
      <c r="K62" s="138">
        <f>ROUND('Adjust Depr Table 2'!S78,2)</f>
        <v>3.07</v>
      </c>
      <c r="L62" s="143"/>
      <c r="M62" s="139">
        <f>ROUND(D62*(K62/100),0)-99</f>
        <v>384287</v>
      </c>
      <c r="N62" s="139">
        <f>'Adjust Depr Table 2'!Q78</f>
        <v>384287.38095238095</v>
      </c>
      <c r="O62" s="243">
        <f t="shared" si="14"/>
        <v>0.38095238094683737</v>
      </c>
      <c r="P62" s="242"/>
      <c r="Q62" s="241">
        <f t="shared" si="15"/>
        <v>0</v>
      </c>
    </row>
    <row r="63" spans="1:17" s="19" customFormat="1">
      <c r="A63" s="64"/>
      <c r="B63" s="70" t="s">
        <v>63</v>
      </c>
      <c r="C63" s="75">
        <v>17731988.489999998</v>
      </c>
      <c r="D63" s="76">
        <v>17731989</v>
      </c>
      <c r="E63" s="77">
        <v>564466</v>
      </c>
      <c r="F63" s="216">
        <f t="shared" si="10"/>
        <v>563877.23398200003</v>
      </c>
      <c r="G63" s="74">
        <v>3.18</v>
      </c>
      <c r="H63" s="63">
        <f>ROUND(D63*(G63/100),0)+589</f>
        <v>564466</v>
      </c>
      <c r="I63" s="63">
        <f t="shared" si="12"/>
        <v>0</v>
      </c>
      <c r="K63" s="138">
        <f>ROUND('Adjust Depr Table 2'!S79,2)</f>
        <v>2.78</v>
      </c>
      <c r="L63" s="143"/>
      <c r="M63" s="140">
        <f>ROUND(D63*(K63/100),0)+862</f>
        <v>493811</v>
      </c>
      <c r="N63" s="140">
        <f>'Adjust Depr Table 2'!Q79</f>
        <v>493810.91304347827</v>
      </c>
      <c r="O63" s="244">
        <f t="shared" si="14"/>
        <v>-8.6956521729007363E-2</v>
      </c>
      <c r="P63" s="242"/>
      <c r="Q63" s="241">
        <f t="shared" si="15"/>
        <v>0</v>
      </c>
    </row>
    <row r="64" spans="1:17" s="19" customFormat="1">
      <c r="A64" s="64"/>
      <c r="B64" s="78" t="s">
        <v>72</v>
      </c>
      <c r="C64" s="71">
        <f>SUM(C53:C63)</f>
        <v>115519762.90000001</v>
      </c>
      <c r="D64" s="72">
        <f>SUM(D53:D63)</f>
        <v>46007358</v>
      </c>
      <c r="E64" s="72">
        <f>SUM(E53:E63)</f>
        <v>3643001</v>
      </c>
      <c r="F64" s="221">
        <f>SUM(F53:F63)</f>
        <v>3642407.959611</v>
      </c>
      <c r="G64" s="74">
        <f>+ROUND(E64/C64*100,2)</f>
        <v>3.15</v>
      </c>
      <c r="H64" s="72">
        <f>SUM(H53:H63)</f>
        <v>1786278</v>
      </c>
      <c r="I64" s="72">
        <f>SUM(I53:I63)</f>
        <v>1856723</v>
      </c>
      <c r="K64" s="138"/>
      <c r="L64" s="143"/>
      <c r="M64" s="145">
        <f>SUM(M53:M63)</f>
        <v>1551334</v>
      </c>
      <c r="N64" s="145">
        <f>SUM(N53:N63)</f>
        <v>3072714.9439126095</v>
      </c>
      <c r="O64" s="145">
        <f>SUM(O53:O63)</f>
        <v>1521380.9439126092</v>
      </c>
      <c r="P64" s="242"/>
      <c r="Q64" s="242"/>
    </row>
    <row r="65" spans="1:17" s="19" customFormat="1">
      <c r="A65" s="64">
        <v>316</v>
      </c>
      <c r="B65" s="78" t="s">
        <v>73</v>
      </c>
      <c r="C65" s="71"/>
      <c r="D65" s="72"/>
      <c r="E65" s="67"/>
      <c r="F65" s="219"/>
      <c r="G65" s="74"/>
      <c r="H65" s="69"/>
      <c r="I65" s="69"/>
      <c r="K65" s="138"/>
      <c r="L65" s="143"/>
      <c r="M65" s="144"/>
      <c r="N65" s="144"/>
      <c r="O65" s="144"/>
      <c r="P65" s="242"/>
      <c r="Q65" s="242"/>
    </row>
    <row r="66" spans="1:17" s="19" customFormat="1">
      <c r="A66" s="64"/>
      <c r="B66" s="70" t="s">
        <v>54</v>
      </c>
      <c r="C66" s="71">
        <v>1111554.28</v>
      </c>
      <c r="D66" s="72">
        <v>0</v>
      </c>
      <c r="E66" s="73">
        <v>46409</v>
      </c>
      <c r="F66" s="218">
        <f t="shared" ref="F66:F72" si="16">C66*G66/100</f>
        <v>46462.968904000001</v>
      </c>
      <c r="G66" s="74">
        <v>4.18</v>
      </c>
      <c r="H66" s="59">
        <f t="shared" ref="H66:H72" si="17">ROUND(D66*(G66/100),0)</f>
        <v>0</v>
      </c>
      <c r="I66" s="59">
        <f t="shared" ref="I66:I72" si="18">E66-H66</f>
        <v>46409</v>
      </c>
      <c r="K66" s="138">
        <f>ROUND('Adjust Depr Table 2'!S84,2)</f>
        <v>3.4</v>
      </c>
      <c r="L66" s="143"/>
      <c r="M66" s="139">
        <f>ROUND(D66*(K66/100),0)</f>
        <v>0</v>
      </c>
      <c r="N66" s="139">
        <f>'Adjust Depr Table 2'!Q84</f>
        <v>37798.63636363636</v>
      </c>
      <c r="O66" s="139">
        <f t="shared" ref="O66:O72" si="19">N66-M66</f>
        <v>37798.63636363636</v>
      </c>
      <c r="P66" s="242"/>
      <c r="Q66" s="241" t="str">
        <f t="shared" ref="Q66:Q72" si="20">IF(C66-D66&lt;1,0,"No")</f>
        <v>No</v>
      </c>
    </row>
    <row r="67" spans="1:17" s="19" customFormat="1">
      <c r="A67" s="64"/>
      <c r="B67" s="70" t="s">
        <v>55</v>
      </c>
      <c r="C67" s="71">
        <v>2706566.34</v>
      </c>
      <c r="D67" s="72">
        <v>0</v>
      </c>
      <c r="E67" s="73">
        <v>165029</v>
      </c>
      <c r="F67" s="218">
        <f t="shared" si="16"/>
        <v>165100.54673999999</v>
      </c>
      <c r="G67" s="74">
        <v>6.1</v>
      </c>
      <c r="H67" s="59">
        <f t="shared" si="17"/>
        <v>0</v>
      </c>
      <c r="I67" s="59">
        <f t="shared" si="18"/>
        <v>165029</v>
      </c>
      <c r="K67" s="138">
        <f>ROUND('Adjust Depr Table 2'!S85,2)</f>
        <v>4.74</v>
      </c>
      <c r="L67" s="143"/>
      <c r="M67" s="139">
        <f>ROUND(D67*(K67/100),0)</f>
        <v>0</v>
      </c>
      <c r="N67" s="139">
        <f>'Adjust Depr Table 2'!Q85</f>
        <v>128343.63636363637</v>
      </c>
      <c r="O67" s="139">
        <f t="shared" si="19"/>
        <v>128343.63636363637</v>
      </c>
      <c r="P67" s="242"/>
      <c r="Q67" s="241" t="str">
        <f t="shared" si="20"/>
        <v>No</v>
      </c>
    </row>
    <row r="68" spans="1:17" s="19" customFormat="1">
      <c r="A68" s="64"/>
      <c r="B68" s="70" t="s">
        <v>56</v>
      </c>
      <c r="C68" s="71">
        <v>2139985.1800000002</v>
      </c>
      <c r="D68" s="72">
        <v>2139985</v>
      </c>
      <c r="E68" s="73">
        <v>134767</v>
      </c>
      <c r="F68" s="218">
        <f t="shared" si="16"/>
        <v>134819.06634000002</v>
      </c>
      <c r="G68" s="74">
        <v>6.3</v>
      </c>
      <c r="H68" s="59">
        <f>ROUND(D68*(G68/100),0)-52</f>
        <v>134767</v>
      </c>
      <c r="I68" s="59">
        <f t="shared" si="18"/>
        <v>0</v>
      </c>
      <c r="K68" s="138">
        <f>ROUND('Adjust Depr Table 2'!S86,2)</f>
        <v>4.97</v>
      </c>
      <c r="L68" s="143"/>
      <c r="M68" s="139">
        <f>ROUND(D68*(K68/100),0)+60</f>
        <v>106417</v>
      </c>
      <c r="N68" s="139">
        <f>'Adjust Depr Table 2'!Q86</f>
        <v>106417.27272727272</v>
      </c>
      <c r="O68" s="243">
        <f t="shared" si="19"/>
        <v>0.27272727272065822</v>
      </c>
      <c r="P68" s="242"/>
      <c r="Q68" s="241">
        <f t="shared" si="20"/>
        <v>0</v>
      </c>
    </row>
    <row r="69" spans="1:17" s="19" customFormat="1">
      <c r="A69" s="64"/>
      <c r="B69" s="70" t="s">
        <v>57</v>
      </c>
      <c r="C69" s="71">
        <v>4774642.05</v>
      </c>
      <c r="D69" s="72">
        <v>0</v>
      </c>
      <c r="E69" s="73">
        <v>180210</v>
      </c>
      <c r="F69" s="218">
        <f t="shared" si="16"/>
        <v>180004.00528499999</v>
      </c>
      <c r="G69" s="74">
        <v>3.77</v>
      </c>
      <c r="H69" s="59">
        <f t="shared" si="17"/>
        <v>0</v>
      </c>
      <c r="I69" s="59">
        <f t="shared" si="18"/>
        <v>180210</v>
      </c>
      <c r="K69" s="138">
        <f>ROUND('Adjust Depr Table 2'!S87,2)</f>
        <v>1.98</v>
      </c>
      <c r="L69" s="143"/>
      <c r="M69" s="139">
        <f>ROUND(D69*(K69/100),0)</f>
        <v>0</v>
      </c>
      <c r="N69" s="139">
        <f>'Adjust Depr Table 2'!Q87</f>
        <v>94404.3</v>
      </c>
      <c r="O69" s="139">
        <f t="shared" si="19"/>
        <v>94404.3</v>
      </c>
      <c r="P69" s="242"/>
      <c r="Q69" s="241" t="str">
        <f t="shared" si="20"/>
        <v>No</v>
      </c>
    </row>
    <row r="70" spans="1:17" s="19" customFormat="1">
      <c r="A70" s="64"/>
      <c r="B70" s="70" t="s">
        <v>58</v>
      </c>
      <c r="C70" s="71">
        <v>182562.7</v>
      </c>
      <c r="D70" s="72">
        <v>0</v>
      </c>
      <c r="E70" s="73">
        <v>6978</v>
      </c>
      <c r="F70" s="218">
        <f t="shared" si="16"/>
        <v>6973.8951399999996</v>
      </c>
      <c r="G70" s="74">
        <v>3.82</v>
      </c>
      <c r="H70" s="59">
        <f t="shared" si="17"/>
        <v>0</v>
      </c>
      <c r="I70" s="59">
        <f t="shared" si="18"/>
        <v>6978</v>
      </c>
      <c r="K70" s="138">
        <f>ROUND('Adjust Depr Table 2'!S88,2)</f>
        <v>1.43</v>
      </c>
      <c r="L70" s="143"/>
      <c r="M70" s="139">
        <f>ROUND(D70*(K70/100),0)</f>
        <v>0</v>
      </c>
      <c r="N70" s="139">
        <f>'Adjust Depr Table 2'!Q88</f>
        <v>2611.0476190476193</v>
      </c>
      <c r="O70" s="139">
        <f t="shared" si="19"/>
        <v>2611.0476190476193</v>
      </c>
      <c r="P70" s="242"/>
      <c r="Q70" s="241" t="str">
        <f t="shared" si="20"/>
        <v>No</v>
      </c>
    </row>
    <row r="71" spans="1:17" s="19" customFormat="1">
      <c r="A71" s="64"/>
      <c r="B71" s="70" t="s">
        <v>60</v>
      </c>
      <c r="C71" s="71">
        <v>2192469.65</v>
      </c>
      <c r="D71" s="72">
        <v>0</v>
      </c>
      <c r="E71" s="73">
        <v>105158</v>
      </c>
      <c r="F71" s="218">
        <f t="shared" si="16"/>
        <v>105238.54319999999</v>
      </c>
      <c r="G71" s="74">
        <v>4.8</v>
      </c>
      <c r="H71" s="59">
        <f t="shared" si="17"/>
        <v>0</v>
      </c>
      <c r="I71" s="59">
        <f t="shared" si="18"/>
        <v>105158</v>
      </c>
      <c r="K71" s="138">
        <f>ROUND('Adjust Depr Table 2'!S89,2)</f>
        <v>3.41</v>
      </c>
      <c r="L71" s="143"/>
      <c r="M71" s="139">
        <f>ROUND(D71*(K71/100),0)</f>
        <v>0</v>
      </c>
      <c r="N71" s="139">
        <f>'Adjust Depr Table 2'!Q89</f>
        <v>74786.307692307688</v>
      </c>
      <c r="O71" s="139">
        <f t="shared" si="19"/>
        <v>74786.307692307688</v>
      </c>
      <c r="P71" s="242"/>
      <c r="Q71" s="241" t="str">
        <f t="shared" si="20"/>
        <v>No</v>
      </c>
    </row>
    <row r="72" spans="1:17" s="19" customFormat="1">
      <c r="A72" s="64"/>
      <c r="B72" s="70" t="s">
        <v>61</v>
      </c>
      <c r="C72" s="75">
        <v>3964220.82</v>
      </c>
      <c r="D72" s="76">
        <v>1536289</v>
      </c>
      <c r="E72" s="77">
        <v>191731</v>
      </c>
      <c r="F72" s="216">
        <f t="shared" si="16"/>
        <v>191868.28768799998</v>
      </c>
      <c r="G72" s="74">
        <v>4.84</v>
      </c>
      <c r="H72" s="63">
        <f t="shared" si="17"/>
        <v>74356</v>
      </c>
      <c r="I72" s="63">
        <f t="shared" si="18"/>
        <v>117375</v>
      </c>
      <c r="K72" s="138">
        <f>ROUND('Adjust Depr Table 2'!S90,2)</f>
        <v>3.1</v>
      </c>
      <c r="L72" s="143"/>
      <c r="M72" s="140">
        <f>ROUND(D72*(K72/100),0)</f>
        <v>47625</v>
      </c>
      <c r="N72" s="140">
        <f>'Adjust Depr Table 2'!Q90</f>
        <v>123047.83333333333</v>
      </c>
      <c r="O72" s="140">
        <f t="shared" si="19"/>
        <v>75422.833333333328</v>
      </c>
      <c r="P72" s="242"/>
      <c r="Q72" s="241" t="str">
        <f t="shared" si="20"/>
        <v>No</v>
      </c>
    </row>
    <row r="73" spans="1:17" s="19" customFormat="1">
      <c r="A73" s="64"/>
      <c r="B73" s="78" t="s">
        <v>74</v>
      </c>
      <c r="C73" s="75">
        <f>SUM(C66:C72)</f>
        <v>17072001.02</v>
      </c>
      <c r="D73" s="76">
        <f>SUM(D66:D72)</f>
        <v>3676274</v>
      </c>
      <c r="E73" s="76">
        <f>SUM(E66:E72)</f>
        <v>830282</v>
      </c>
      <c r="F73" s="222">
        <f>SUM(F66:F72)</f>
        <v>830467.31329700002</v>
      </c>
      <c r="G73" s="74">
        <f>+ROUND(E73/C73*100,2)</f>
        <v>4.8600000000000003</v>
      </c>
      <c r="H73" s="76">
        <f>SUM(H66:H72)</f>
        <v>209123</v>
      </c>
      <c r="I73" s="76">
        <f>SUM(I66:I72)</f>
        <v>621159</v>
      </c>
      <c r="K73" s="138"/>
      <c r="L73" s="143"/>
      <c r="M73" s="146">
        <f>SUM(M66:M72)</f>
        <v>154042</v>
      </c>
      <c r="N73" s="146">
        <f>SUM(N66:N72)</f>
        <v>567409.03409923415</v>
      </c>
      <c r="O73" s="146">
        <f>SUM(O66:O72)</f>
        <v>413367.03409923409</v>
      </c>
      <c r="P73" s="242"/>
      <c r="Q73" s="242"/>
    </row>
    <row r="74" spans="1:17" ht="15.75">
      <c r="A74" s="23"/>
      <c r="B74" s="79"/>
      <c r="C74" s="71"/>
      <c r="D74" s="72"/>
      <c r="E74" s="73"/>
      <c r="F74" s="220"/>
      <c r="G74" s="49"/>
      <c r="H74" s="44"/>
      <c r="I74" s="44"/>
      <c r="K74" s="137"/>
      <c r="L74" s="126"/>
      <c r="M74" s="135"/>
      <c r="N74" s="135"/>
      <c r="O74" s="135"/>
      <c r="P74" s="241"/>
      <c r="Q74" s="241"/>
    </row>
    <row r="75" spans="1:17" ht="15.75">
      <c r="A75" s="80"/>
      <c r="B75" s="81" t="s">
        <v>75</v>
      </c>
      <c r="C75" s="82">
        <f>C19+C31+C44+C51+C64+C73</f>
        <v>2426607851.3600001</v>
      </c>
      <c r="D75" s="83">
        <f>D19+D31+D44+D51+D64+D73</f>
        <v>961388118.53999996</v>
      </c>
      <c r="E75" s="83">
        <f>E19+E31+E44+E51+E64+E73</f>
        <v>86108150</v>
      </c>
      <c r="F75" s="223">
        <f>F19+F31+F44+F51+F64+F73</f>
        <v>86109827.975243002</v>
      </c>
      <c r="G75" s="84">
        <f>+ROUND(E75/C75*100,2)</f>
        <v>3.55</v>
      </c>
      <c r="H75" s="83">
        <f>H19+H31+H44+H51+H64+H73</f>
        <v>39355250</v>
      </c>
      <c r="I75" s="83">
        <f>I19+I31+I44+I51+I64+I73</f>
        <v>46752900</v>
      </c>
      <c r="K75" s="212"/>
      <c r="L75" s="126"/>
      <c r="M75" s="147">
        <f>M19+M31+M44+M51+M64+M73</f>
        <v>32833993</v>
      </c>
      <c r="N75" s="147">
        <f>N19+N31+N44+N51+N64+N73</f>
        <v>70105617.735030204</v>
      </c>
      <c r="O75" s="147">
        <f>O19+O31+O44+O51+O64+O73</f>
        <v>37271624.735030197</v>
      </c>
      <c r="P75" s="241"/>
      <c r="Q75" s="241"/>
    </row>
    <row r="76" spans="1:17" s="19" customFormat="1">
      <c r="A76" s="85"/>
      <c r="B76" s="86"/>
      <c r="C76" s="87"/>
      <c r="D76" s="88"/>
      <c r="E76" s="89"/>
      <c r="F76" s="224"/>
      <c r="G76" s="74"/>
      <c r="H76" s="69"/>
      <c r="I76" s="69"/>
      <c r="K76" s="138"/>
      <c r="L76" s="143"/>
      <c r="M76" s="144"/>
      <c r="N76" s="144"/>
      <c r="O76" s="144"/>
      <c r="P76" s="242"/>
      <c r="Q76" s="242"/>
    </row>
    <row r="77" spans="1:17" ht="15.75">
      <c r="A77" s="23"/>
      <c r="B77" s="24" t="s">
        <v>76</v>
      </c>
      <c r="D77" s="45"/>
      <c r="E77" s="46"/>
      <c r="F77" s="217"/>
      <c r="G77" s="49"/>
      <c r="H77" s="44"/>
      <c r="I77" s="44"/>
      <c r="K77" s="137"/>
      <c r="L77" s="126"/>
      <c r="M77" s="135"/>
      <c r="N77" s="135"/>
      <c r="O77" s="135"/>
      <c r="P77" s="241"/>
      <c r="Q77" s="241"/>
    </row>
    <row r="78" spans="1:17" ht="15.75">
      <c r="A78" s="23"/>
      <c r="B78" s="48"/>
      <c r="D78" s="45"/>
      <c r="E78" s="46"/>
      <c r="F78" s="217"/>
      <c r="G78" s="49"/>
      <c r="H78" s="44"/>
      <c r="I78" s="44"/>
      <c r="K78" s="137"/>
      <c r="L78" s="126"/>
      <c r="M78" s="135"/>
      <c r="N78" s="135"/>
      <c r="O78" s="135"/>
      <c r="P78" s="241"/>
      <c r="Q78" s="241"/>
    </row>
    <row r="79" spans="1:17" s="19" customFormat="1">
      <c r="A79" s="64">
        <v>341</v>
      </c>
      <c r="B79" s="65" t="s">
        <v>53</v>
      </c>
      <c r="C79" s="65"/>
      <c r="D79" s="66"/>
      <c r="E79" s="67"/>
      <c r="F79" s="219"/>
      <c r="G79" s="68"/>
      <c r="H79" s="69"/>
      <c r="I79" s="69"/>
      <c r="K79" s="142"/>
      <c r="L79" s="143"/>
      <c r="M79" s="144"/>
      <c r="N79" s="144"/>
      <c r="O79" s="144"/>
      <c r="P79" s="242"/>
      <c r="Q79" s="242"/>
    </row>
    <row r="80" spans="1:17" s="19" customFormat="1">
      <c r="A80" s="64"/>
      <c r="B80" s="70" t="s">
        <v>77</v>
      </c>
      <c r="C80" s="71">
        <v>19534021.23</v>
      </c>
      <c r="D80" s="72">
        <v>0</v>
      </c>
      <c r="E80" s="73">
        <v>461876</v>
      </c>
      <c r="F80" s="218">
        <f t="shared" ref="F80:F99" si="21">C80*G80/100</f>
        <v>461002.90102799999</v>
      </c>
      <c r="G80" s="74">
        <v>2.36</v>
      </c>
      <c r="H80" s="59">
        <f t="shared" ref="H80:H99" si="22">ROUND(D80*(G80/100),0)</f>
        <v>0</v>
      </c>
      <c r="I80" s="59">
        <f t="shared" ref="I80:I99" si="23">E80-H80</f>
        <v>461876</v>
      </c>
      <c r="K80" s="138">
        <f>ROUND('Adjust Depr Table 2'!S99,2)</f>
        <v>1.63</v>
      </c>
      <c r="L80" s="143"/>
      <c r="M80" s="139">
        <f t="shared" ref="M80:M99" si="24">ROUND(D80*(K80/100),0)</f>
        <v>0</v>
      </c>
      <c r="N80" s="139">
        <f>'Adjust Depr Table 2'!Q99</f>
        <v>318168.52777777775</v>
      </c>
      <c r="O80" s="139">
        <f t="shared" ref="O80:O99" si="25">N80-M80</f>
        <v>318168.52777777775</v>
      </c>
      <c r="P80" s="242"/>
      <c r="Q80" s="242"/>
    </row>
    <row r="81" spans="1:17" s="19" customFormat="1">
      <c r="A81" s="64"/>
      <c r="B81" s="70" t="s">
        <v>78</v>
      </c>
      <c r="C81" s="71">
        <v>2666719.81</v>
      </c>
      <c r="D81" s="72">
        <v>0</v>
      </c>
      <c r="E81" s="73">
        <v>91600</v>
      </c>
      <c r="F81" s="218">
        <f t="shared" si="21"/>
        <v>91468.489482999998</v>
      </c>
      <c r="G81" s="74">
        <v>3.43</v>
      </c>
      <c r="H81" s="59">
        <f t="shared" si="22"/>
        <v>0</v>
      </c>
      <c r="I81" s="59">
        <f t="shared" si="23"/>
        <v>91600</v>
      </c>
      <c r="K81" s="138">
        <f>ROUND('Adjust Depr Table 2'!S100,2)</f>
        <v>1.71</v>
      </c>
      <c r="L81" s="143"/>
      <c r="M81" s="139">
        <f t="shared" si="24"/>
        <v>0</v>
      </c>
      <c r="N81" s="139">
        <f>'Adjust Depr Table 2'!Q100</f>
        <v>45605.72</v>
      </c>
      <c r="O81" s="139">
        <f t="shared" si="25"/>
        <v>45605.72</v>
      </c>
      <c r="P81" s="242"/>
      <c r="Q81" s="242"/>
    </row>
    <row r="82" spans="1:17" s="19" customFormat="1">
      <c r="A82" s="64"/>
      <c r="B82" s="70" t="s">
        <v>79</v>
      </c>
      <c r="C82" s="71">
        <v>2666719.81</v>
      </c>
      <c r="D82" s="72">
        <v>0</v>
      </c>
      <c r="E82" s="73">
        <v>90097</v>
      </c>
      <c r="F82" s="218">
        <f t="shared" si="21"/>
        <v>90135.129577999993</v>
      </c>
      <c r="G82" s="74">
        <v>3.38</v>
      </c>
      <c r="H82" s="59">
        <f t="shared" si="22"/>
        <v>0</v>
      </c>
      <c r="I82" s="59">
        <f t="shared" si="23"/>
        <v>90097</v>
      </c>
      <c r="K82" s="138">
        <f>ROUND('Adjust Depr Table 2'!S101,2)</f>
        <v>1.68</v>
      </c>
      <c r="L82" s="143"/>
      <c r="M82" s="139">
        <f t="shared" si="24"/>
        <v>0</v>
      </c>
      <c r="N82" s="139">
        <f>'Adjust Depr Table 2'!Q101</f>
        <v>44787.6</v>
      </c>
      <c r="O82" s="139">
        <f t="shared" si="25"/>
        <v>44787.6</v>
      </c>
      <c r="P82" s="242"/>
      <c r="Q82" s="242"/>
    </row>
    <row r="83" spans="1:17" s="19" customFormat="1">
      <c r="A83" s="64"/>
      <c r="B83" s="70" t="s">
        <v>80</v>
      </c>
      <c r="C83" s="71">
        <v>2666719.81</v>
      </c>
      <c r="D83" s="72">
        <v>0</v>
      </c>
      <c r="E83" s="73">
        <v>90824</v>
      </c>
      <c r="F83" s="218">
        <f t="shared" si="21"/>
        <v>90935.145521000013</v>
      </c>
      <c r="G83" s="74">
        <v>3.41</v>
      </c>
      <c r="H83" s="59">
        <f t="shared" si="22"/>
        <v>0</v>
      </c>
      <c r="I83" s="59">
        <f t="shared" si="23"/>
        <v>90824</v>
      </c>
      <c r="K83" s="138">
        <f>ROUND('Adjust Depr Table 2'!S102,2)</f>
        <v>1.69</v>
      </c>
      <c r="L83" s="143"/>
      <c r="M83" s="139">
        <f t="shared" si="24"/>
        <v>0</v>
      </c>
      <c r="N83" s="139">
        <f>'Adjust Depr Table 2'!Q102</f>
        <v>45183.44</v>
      </c>
      <c r="O83" s="139">
        <f t="shared" si="25"/>
        <v>45183.44</v>
      </c>
      <c r="P83" s="242"/>
      <c r="Q83" s="242"/>
    </row>
    <row r="84" spans="1:17" s="19" customFormat="1">
      <c r="A84" s="64"/>
      <c r="B84" s="70" t="s">
        <v>81</v>
      </c>
      <c r="C84" s="71">
        <v>1937757.41</v>
      </c>
      <c r="D84" s="72">
        <v>0</v>
      </c>
      <c r="E84" s="73">
        <v>56828</v>
      </c>
      <c r="F84" s="218">
        <f t="shared" si="21"/>
        <v>56776.292112999996</v>
      </c>
      <c r="G84" s="74">
        <v>2.93</v>
      </c>
      <c r="H84" s="59">
        <f t="shared" si="22"/>
        <v>0</v>
      </c>
      <c r="I84" s="59">
        <f t="shared" si="23"/>
        <v>56828</v>
      </c>
      <c r="K84" s="138">
        <f>ROUND('Adjust Depr Table 2'!S103,2)</f>
        <v>1.96</v>
      </c>
      <c r="L84" s="143"/>
      <c r="M84" s="139">
        <f t="shared" si="24"/>
        <v>0</v>
      </c>
      <c r="N84" s="139">
        <f>'Adjust Depr Table 2'!Q103</f>
        <v>38062.370370370372</v>
      </c>
      <c r="O84" s="139">
        <f t="shared" si="25"/>
        <v>38062.370370370372</v>
      </c>
      <c r="P84" s="242"/>
      <c r="Q84" s="242"/>
    </row>
    <row r="85" spans="1:17" s="19" customFormat="1">
      <c r="A85" s="64"/>
      <c r="B85" s="70" t="s">
        <v>82</v>
      </c>
      <c r="C85" s="71">
        <v>1599135.43</v>
      </c>
      <c r="D85" s="72">
        <v>0</v>
      </c>
      <c r="E85" s="73">
        <v>47190</v>
      </c>
      <c r="F85" s="218">
        <f t="shared" si="21"/>
        <v>47174.495185</v>
      </c>
      <c r="G85" s="74">
        <v>2.95</v>
      </c>
      <c r="H85" s="59">
        <f t="shared" si="22"/>
        <v>0</v>
      </c>
      <c r="I85" s="59">
        <f t="shared" si="23"/>
        <v>47190</v>
      </c>
      <c r="K85" s="138">
        <f>ROUND('Adjust Depr Table 2'!S104,2)</f>
        <v>1.98</v>
      </c>
      <c r="L85" s="143"/>
      <c r="M85" s="139">
        <f t="shared" si="24"/>
        <v>0</v>
      </c>
      <c r="N85" s="139">
        <f>'Adjust Depr Table 2'!Q104</f>
        <v>31651.518518518518</v>
      </c>
      <c r="O85" s="139">
        <f t="shared" si="25"/>
        <v>31651.518518518518</v>
      </c>
      <c r="P85" s="242"/>
      <c r="Q85" s="242"/>
    </row>
    <row r="86" spans="1:17" s="19" customFormat="1">
      <c r="A86" s="64"/>
      <c r="B86" s="70" t="s">
        <v>83</v>
      </c>
      <c r="C86" s="71">
        <v>303524.78000000003</v>
      </c>
      <c r="D86" s="72">
        <v>0</v>
      </c>
      <c r="E86" s="73">
        <v>8882</v>
      </c>
      <c r="F86" s="218">
        <f t="shared" si="21"/>
        <v>8893.2760540000017</v>
      </c>
      <c r="G86" s="74">
        <v>2.93</v>
      </c>
      <c r="H86" s="59">
        <f t="shared" si="22"/>
        <v>0</v>
      </c>
      <c r="I86" s="59">
        <f t="shared" si="23"/>
        <v>8882</v>
      </c>
      <c r="K86" s="138">
        <f>ROUND('Adjust Depr Table 2'!S105,2)</f>
        <v>2.04</v>
      </c>
      <c r="L86" s="143"/>
      <c r="M86" s="139">
        <f t="shared" si="24"/>
        <v>0</v>
      </c>
      <c r="N86" s="139">
        <f>'Adjust Depr Table 2'!Q105</f>
        <v>6198.5483870967746</v>
      </c>
      <c r="O86" s="139">
        <f t="shared" si="25"/>
        <v>6198.5483870967746</v>
      </c>
      <c r="P86" s="242"/>
      <c r="Q86" s="242"/>
    </row>
    <row r="87" spans="1:17" s="19" customFormat="1">
      <c r="A87" s="64"/>
      <c r="B87" s="70" t="s">
        <v>84</v>
      </c>
      <c r="C87" s="71">
        <v>303524.78000000003</v>
      </c>
      <c r="D87" s="72">
        <v>0</v>
      </c>
      <c r="E87" s="73">
        <v>8882</v>
      </c>
      <c r="F87" s="218">
        <f t="shared" si="21"/>
        <v>8893.2760540000017</v>
      </c>
      <c r="G87" s="74">
        <v>2.93</v>
      </c>
      <c r="H87" s="59">
        <f t="shared" si="22"/>
        <v>0</v>
      </c>
      <c r="I87" s="59">
        <f t="shared" si="23"/>
        <v>8882</v>
      </c>
      <c r="K87" s="138">
        <f>ROUND('Adjust Depr Table 2'!S106,2)</f>
        <v>2.04</v>
      </c>
      <c r="L87" s="143"/>
      <c r="M87" s="139">
        <f t="shared" si="24"/>
        <v>0</v>
      </c>
      <c r="N87" s="139">
        <f>'Adjust Depr Table 2'!Q106</f>
        <v>6198.6129032258068</v>
      </c>
      <c r="O87" s="139">
        <f t="shared" si="25"/>
        <v>6198.6129032258068</v>
      </c>
      <c r="P87" s="242"/>
      <c r="Q87" s="242"/>
    </row>
    <row r="88" spans="1:17" s="19" customFormat="1">
      <c r="A88" s="64"/>
      <c r="B88" s="70" t="s">
        <v>85</v>
      </c>
      <c r="C88" s="71">
        <v>4500637.37</v>
      </c>
      <c r="D88" s="72">
        <v>0</v>
      </c>
      <c r="E88" s="73">
        <v>137706</v>
      </c>
      <c r="F88" s="218">
        <f t="shared" si="21"/>
        <v>137719.50352200001</v>
      </c>
      <c r="G88" s="74">
        <v>3.06</v>
      </c>
      <c r="H88" s="59">
        <f t="shared" si="22"/>
        <v>0</v>
      </c>
      <c r="I88" s="59">
        <f t="shared" si="23"/>
        <v>137706</v>
      </c>
      <c r="K88" s="138">
        <f>ROUND('Adjust Depr Table 2'!S107,2)</f>
        <v>2.23</v>
      </c>
      <c r="L88" s="143"/>
      <c r="M88" s="139">
        <f t="shared" si="24"/>
        <v>0</v>
      </c>
      <c r="N88" s="139">
        <f>'Adjust Depr Table 2'!Q107</f>
        <v>100485.22222222222</v>
      </c>
      <c r="O88" s="139">
        <f t="shared" si="25"/>
        <v>100485.22222222222</v>
      </c>
      <c r="P88" s="242"/>
      <c r="Q88" s="242"/>
    </row>
    <row r="89" spans="1:17" s="19" customFormat="1">
      <c r="A89" s="64"/>
      <c r="B89" s="70" t="s">
        <v>86</v>
      </c>
      <c r="C89" s="71">
        <v>88846.57</v>
      </c>
      <c r="D89" s="72">
        <v>0</v>
      </c>
      <c r="E89" s="73">
        <v>2541</v>
      </c>
      <c r="F89" s="218">
        <f t="shared" si="21"/>
        <v>2541.0119020000002</v>
      </c>
      <c r="G89" s="74">
        <v>2.86</v>
      </c>
      <c r="H89" s="59">
        <f t="shared" si="22"/>
        <v>0</v>
      </c>
      <c r="I89" s="59">
        <f t="shared" si="23"/>
        <v>2541</v>
      </c>
      <c r="K89" s="138">
        <f>ROUND('Adjust Depr Table 2'!S108,2)</f>
        <v>2.09</v>
      </c>
      <c r="L89" s="143"/>
      <c r="M89" s="139">
        <f t="shared" si="24"/>
        <v>0</v>
      </c>
      <c r="N89" s="139">
        <f>'Adjust Depr Table 2'!Q108</f>
        <v>1856.6666666666667</v>
      </c>
      <c r="O89" s="139">
        <f t="shared" si="25"/>
        <v>1856.6666666666667</v>
      </c>
      <c r="P89" s="242"/>
      <c r="Q89" s="242"/>
    </row>
    <row r="90" spans="1:17" s="19" customFormat="1">
      <c r="A90" s="64"/>
      <c r="B90" s="70" t="s">
        <v>87</v>
      </c>
      <c r="C90" s="71">
        <v>1119860.8</v>
      </c>
      <c r="D90" s="72">
        <v>0</v>
      </c>
      <c r="E90" s="73">
        <v>37693</v>
      </c>
      <c r="F90" s="218">
        <f t="shared" si="21"/>
        <v>37739.308960000002</v>
      </c>
      <c r="G90" s="74">
        <v>3.37</v>
      </c>
      <c r="H90" s="59">
        <f t="shared" si="22"/>
        <v>0</v>
      </c>
      <c r="I90" s="59">
        <f t="shared" si="23"/>
        <v>37693</v>
      </c>
      <c r="K90" s="138">
        <f>ROUND('Adjust Depr Table 2'!S109,2)</f>
        <v>2.93</v>
      </c>
      <c r="L90" s="143"/>
      <c r="M90" s="139">
        <f t="shared" si="24"/>
        <v>0</v>
      </c>
      <c r="N90" s="139">
        <f>'Adjust Depr Table 2'!Q109</f>
        <v>32863.526315789473</v>
      </c>
      <c r="O90" s="139">
        <f t="shared" si="25"/>
        <v>32863.526315789473</v>
      </c>
      <c r="P90" s="242"/>
      <c r="Q90" s="242"/>
    </row>
    <row r="91" spans="1:17" s="19" customFormat="1">
      <c r="A91" s="64"/>
      <c r="B91" s="70" t="s">
        <v>88</v>
      </c>
      <c r="C91" s="71">
        <v>1200486.53</v>
      </c>
      <c r="D91" s="72">
        <v>0</v>
      </c>
      <c r="E91" s="73">
        <v>40406</v>
      </c>
      <c r="F91" s="218">
        <f t="shared" si="21"/>
        <v>40456.396061000007</v>
      </c>
      <c r="G91" s="74">
        <v>3.37</v>
      </c>
      <c r="H91" s="59">
        <f t="shared" si="22"/>
        <v>0</v>
      </c>
      <c r="I91" s="59">
        <f t="shared" si="23"/>
        <v>40406</v>
      </c>
      <c r="K91" s="138">
        <f>ROUND('Adjust Depr Table 2'!S110,2)</f>
        <v>2.93</v>
      </c>
      <c r="L91" s="143"/>
      <c r="M91" s="139">
        <f t="shared" si="24"/>
        <v>0</v>
      </c>
      <c r="N91" s="139">
        <f>'Adjust Depr Table 2'!Q110</f>
        <v>35229.631578947367</v>
      </c>
      <c r="O91" s="139">
        <f t="shared" si="25"/>
        <v>35229.631578947367</v>
      </c>
      <c r="P91" s="242"/>
      <c r="Q91" s="242"/>
    </row>
    <row r="92" spans="1:17" s="19" customFormat="1">
      <c r="A92" s="64"/>
      <c r="B92" s="70" t="s">
        <v>89</v>
      </c>
      <c r="C92" s="71">
        <v>1135966.24</v>
      </c>
      <c r="D92" s="72">
        <v>0</v>
      </c>
      <c r="E92" s="73">
        <v>38235</v>
      </c>
      <c r="F92" s="218">
        <f t="shared" si="21"/>
        <v>38282.062288000001</v>
      </c>
      <c r="G92" s="74">
        <v>3.37</v>
      </c>
      <c r="H92" s="59">
        <f t="shared" si="22"/>
        <v>0</v>
      </c>
      <c r="I92" s="59">
        <f t="shared" si="23"/>
        <v>38235</v>
      </c>
      <c r="K92" s="138">
        <f>ROUND('Adjust Depr Table 2'!S111,2)</f>
        <v>2.93</v>
      </c>
      <c r="L92" s="143"/>
      <c r="M92" s="139">
        <f t="shared" si="24"/>
        <v>0</v>
      </c>
      <c r="N92" s="139">
        <f>'Adjust Depr Table 2'!Q111</f>
        <v>33336.15789473684</v>
      </c>
      <c r="O92" s="139">
        <f t="shared" si="25"/>
        <v>33336.15789473684</v>
      </c>
      <c r="P92" s="242"/>
      <c r="Q92" s="242"/>
    </row>
    <row r="93" spans="1:17" s="19" customFormat="1">
      <c r="A93" s="64"/>
      <c r="B93" s="70" t="s">
        <v>90</v>
      </c>
      <c r="C93" s="71">
        <v>1465228.09</v>
      </c>
      <c r="D93" s="72">
        <v>0</v>
      </c>
      <c r="E93" s="73">
        <v>48151</v>
      </c>
      <c r="F93" s="218">
        <f t="shared" si="21"/>
        <v>48206.004160999997</v>
      </c>
      <c r="G93" s="74">
        <v>3.29</v>
      </c>
      <c r="H93" s="59">
        <f t="shared" si="22"/>
        <v>0</v>
      </c>
      <c r="I93" s="59">
        <f t="shared" si="23"/>
        <v>48151</v>
      </c>
      <c r="K93" s="138">
        <f>ROUND('Adjust Depr Table 2'!S112,2)</f>
        <v>2.89</v>
      </c>
      <c r="L93" s="143"/>
      <c r="M93" s="139">
        <f t="shared" si="24"/>
        <v>0</v>
      </c>
      <c r="N93" s="139">
        <f>'Adjust Depr Table 2'!Q112</f>
        <v>42288.090909090912</v>
      </c>
      <c r="O93" s="139">
        <f t="shared" si="25"/>
        <v>42288.090909090912</v>
      </c>
      <c r="P93" s="242"/>
      <c r="Q93" s="242"/>
    </row>
    <row r="94" spans="1:17" s="19" customFormat="1">
      <c r="A94" s="64"/>
      <c r="B94" s="70" t="s">
        <v>91</v>
      </c>
      <c r="C94" s="71">
        <v>2033652.36</v>
      </c>
      <c r="D94" s="72">
        <v>0</v>
      </c>
      <c r="E94" s="73">
        <v>88263</v>
      </c>
      <c r="F94" s="218">
        <f t="shared" si="21"/>
        <v>88260.512424</v>
      </c>
      <c r="G94" s="74">
        <v>4.34</v>
      </c>
      <c r="H94" s="59">
        <f t="shared" si="22"/>
        <v>0</v>
      </c>
      <c r="I94" s="59">
        <f t="shared" si="23"/>
        <v>88263</v>
      </c>
      <c r="K94" s="138">
        <f>ROUND('Adjust Depr Table 2'!S113,2)</f>
        <v>4.05</v>
      </c>
      <c r="L94" s="143"/>
      <c r="M94" s="139">
        <f t="shared" si="24"/>
        <v>0</v>
      </c>
      <c r="N94" s="139">
        <f>'Adjust Depr Table 2'!Q113</f>
        <v>82287.434782608689</v>
      </c>
      <c r="O94" s="139">
        <f t="shared" si="25"/>
        <v>82287.434782608689</v>
      </c>
      <c r="P94" s="242"/>
      <c r="Q94" s="242"/>
    </row>
    <row r="95" spans="1:17" s="19" customFormat="1">
      <c r="A95" s="64"/>
      <c r="B95" s="70" t="s">
        <v>92</v>
      </c>
      <c r="C95" s="71">
        <v>7229721.6399999997</v>
      </c>
      <c r="D95" s="72">
        <v>0</v>
      </c>
      <c r="E95" s="73">
        <v>200136</v>
      </c>
      <c r="F95" s="218">
        <f t="shared" si="21"/>
        <v>200263.28942799999</v>
      </c>
      <c r="G95" s="74">
        <v>2.77</v>
      </c>
      <c r="H95" s="59">
        <f t="shared" si="22"/>
        <v>0</v>
      </c>
      <c r="I95" s="59">
        <f t="shared" si="23"/>
        <v>200136</v>
      </c>
      <c r="K95" s="138">
        <f>ROUND('Adjust Depr Table 2'!S114,2)</f>
        <v>2.4</v>
      </c>
      <c r="L95" s="143"/>
      <c r="M95" s="139">
        <f t="shared" si="24"/>
        <v>0</v>
      </c>
      <c r="N95" s="139">
        <f>'Adjust Depr Table 2'!Q114</f>
        <v>173193.91304347827</v>
      </c>
      <c r="O95" s="139">
        <f t="shared" si="25"/>
        <v>173193.91304347827</v>
      </c>
      <c r="P95" s="242"/>
      <c r="Q95" s="242"/>
    </row>
    <row r="96" spans="1:17" s="19" customFormat="1">
      <c r="A96" s="64"/>
      <c r="B96" s="70" t="s">
        <v>93</v>
      </c>
      <c r="C96" s="71">
        <v>933680.4</v>
      </c>
      <c r="D96" s="72">
        <v>0</v>
      </c>
      <c r="E96" s="73">
        <v>24483</v>
      </c>
      <c r="F96" s="218">
        <f t="shared" si="21"/>
        <v>24462.426480000002</v>
      </c>
      <c r="G96" s="74">
        <v>2.62</v>
      </c>
      <c r="H96" s="59">
        <f t="shared" si="22"/>
        <v>0</v>
      </c>
      <c r="I96" s="59">
        <f t="shared" si="23"/>
        <v>24483</v>
      </c>
      <c r="K96" s="138">
        <f>ROUND('Adjust Depr Table 2'!S115,2)</f>
        <v>2.2599999999999998</v>
      </c>
      <c r="L96" s="143"/>
      <c r="M96" s="139">
        <f t="shared" si="24"/>
        <v>0</v>
      </c>
      <c r="N96" s="139">
        <f>'Adjust Depr Table 2'!Q115</f>
        <v>21080.08695652174</v>
      </c>
      <c r="O96" s="139">
        <f t="shared" si="25"/>
        <v>21080.08695652174</v>
      </c>
      <c r="P96" s="242"/>
      <c r="Q96" s="242"/>
    </row>
    <row r="97" spans="1:17" s="19" customFormat="1">
      <c r="A97" s="64"/>
      <c r="B97" s="70" t="s">
        <v>94</v>
      </c>
      <c r="C97" s="71">
        <v>933680.4</v>
      </c>
      <c r="D97" s="72">
        <v>0</v>
      </c>
      <c r="E97" s="73">
        <v>24700</v>
      </c>
      <c r="F97" s="218">
        <f t="shared" si="21"/>
        <v>24742.530600000002</v>
      </c>
      <c r="G97" s="74">
        <v>2.65</v>
      </c>
      <c r="H97" s="59">
        <f t="shared" si="22"/>
        <v>0</v>
      </c>
      <c r="I97" s="59">
        <f t="shared" si="23"/>
        <v>24700</v>
      </c>
      <c r="K97" s="138">
        <f>ROUND('Adjust Depr Table 2'!S116,2)</f>
        <v>2.2799999999999998</v>
      </c>
      <c r="L97" s="143"/>
      <c r="M97" s="139">
        <f t="shared" si="24"/>
        <v>0</v>
      </c>
      <c r="N97" s="139">
        <f>'Adjust Depr Table 2'!Q116</f>
        <v>21284.652173913044</v>
      </c>
      <c r="O97" s="139">
        <f t="shared" si="25"/>
        <v>21284.652173913044</v>
      </c>
      <c r="P97" s="242"/>
      <c r="Q97" s="242"/>
    </row>
    <row r="98" spans="1:17" s="19" customFormat="1">
      <c r="A98" s="64"/>
      <c r="B98" s="70" t="s">
        <v>95</v>
      </c>
      <c r="C98" s="71">
        <v>933680.4</v>
      </c>
      <c r="D98" s="72">
        <v>0</v>
      </c>
      <c r="E98" s="73">
        <v>24485</v>
      </c>
      <c r="F98" s="218">
        <f t="shared" si="21"/>
        <v>24462.426480000002</v>
      </c>
      <c r="G98" s="74">
        <v>2.62</v>
      </c>
      <c r="H98" s="59">
        <f t="shared" si="22"/>
        <v>0</v>
      </c>
      <c r="I98" s="59">
        <f t="shared" si="23"/>
        <v>24485</v>
      </c>
      <c r="K98" s="138">
        <f>ROUND('Adjust Depr Table 2'!S117,2)</f>
        <v>2.2599999999999998</v>
      </c>
      <c r="L98" s="143"/>
      <c r="M98" s="139">
        <f t="shared" si="24"/>
        <v>0</v>
      </c>
      <c r="N98" s="139">
        <f>'Adjust Depr Table 2'!Q117</f>
        <v>21081.652173913044</v>
      </c>
      <c r="O98" s="139">
        <f t="shared" si="25"/>
        <v>21081.652173913044</v>
      </c>
      <c r="P98" s="242"/>
      <c r="Q98" s="242"/>
    </row>
    <row r="99" spans="1:17" s="19" customFormat="1">
      <c r="A99" s="64"/>
      <c r="B99" s="70" t="s">
        <v>96</v>
      </c>
      <c r="C99" s="75">
        <v>625882</v>
      </c>
      <c r="D99" s="76">
        <v>0</v>
      </c>
      <c r="E99" s="77">
        <v>26347</v>
      </c>
      <c r="F99" s="216">
        <f t="shared" si="21"/>
        <v>26349.632200000004</v>
      </c>
      <c r="G99" s="74">
        <v>4.21</v>
      </c>
      <c r="H99" s="63">
        <f t="shared" si="22"/>
        <v>0</v>
      </c>
      <c r="I99" s="63">
        <f t="shared" si="23"/>
        <v>26347</v>
      </c>
      <c r="K99" s="138">
        <f>ROUND('Adjust Depr Table 2'!S118,2)</f>
        <v>3.96</v>
      </c>
      <c r="L99" s="143"/>
      <c r="M99" s="140">
        <f t="shared" si="24"/>
        <v>0</v>
      </c>
      <c r="N99" s="140">
        <f>'Adjust Depr Table 2'!Q118</f>
        <v>24803.434782608696</v>
      </c>
      <c r="O99" s="140">
        <f t="shared" si="25"/>
        <v>24803.434782608696</v>
      </c>
      <c r="P99" s="242"/>
      <c r="Q99" s="242"/>
    </row>
    <row r="100" spans="1:17" s="19" customFormat="1">
      <c r="A100" s="64"/>
      <c r="B100" s="78" t="s">
        <v>64</v>
      </c>
      <c r="C100" s="71">
        <f>SUM(C80:C99)</f>
        <v>53879445.859999999</v>
      </c>
      <c r="D100" s="72">
        <f>SUM(D80:D99)</f>
        <v>0</v>
      </c>
      <c r="E100" s="72">
        <f>SUM(E80:E99)</f>
        <v>1549325</v>
      </c>
      <c r="F100" s="221">
        <f>SUM(F80:F99)</f>
        <v>1548764.109522</v>
      </c>
      <c r="G100" s="74">
        <f>+ROUND(E100/C100*100,2)</f>
        <v>2.88</v>
      </c>
      <c r="H100" s="72">
        <f>SUM(H80:H99)</f>
        <v>0</v>
      </c>
      <c r="I100" s="72">
        <f>SUM(I80:I99)</f>
        <v>1549325</v>
      </c>
      <c r="K100" s="138"/>
      <c r="L100" s="143"/>
      <c r="M100" s="145">
        <f>SUM(M80:M99)</f>
        <v>0</v>
      </c>
      <c r="N100" s="145">
        <f>SUM(N80:N99)</f>
        <v>1125646.8074574862</v>
      </c>
      <c r="O100" s="145">
        <f>SUM(O80:O99)</f>
        <v>1125646.8074574862</v>
      </c>
      <c r="P100" s="242"/>
      <c r="Q100" s="242"/>
    </row>
    <row r="101" spans="1:17" s="19" customFormat="1">
      <c r="A101" s="64">
        <v>342</v>
      </c>
      <c r="B101" s="65" t="s">
        <v>97</v>
      </c>
      <c r="C101" s="65"/>
      <c r="D101" s="66"/>
      <c r="E101" s="67"/>
      <c r="F101" s="219"/>
      <c r="G101" s="68"/>
      <c r="H101" s="69"/>
      <c r="I101" s="69"/>
      <c r="K101" s="142"/>
      <c r="L101" s="143"/>
      <c r="M101" s="144"/>
      <c r="N101" s="144"/>
      <c r="O101" s="144"/>
      <c r="P101" s="242"/>
      <c r="Q101" s="242"/>
    </row>
    <row r="102" spans="1:17" s="19" customFormat="1">
      <c r="A102" s="64"/>
      <c r="B102" s="70" t="s">
        <v>77</v>
      </c>
      <c r="C102" s="71">
        <v>13766120.51</v>
      </c>
      <c r="D102" s="72">
        <v>0</v>
      </c>
      <c r="E102" s="73">
        <v>307631</v>
      </c>
      <c r="F102" s="218">
        <f t="shared" ref="F102:F109" si="26">C102*G102/100</f>
        <v>306984.48737300001</v>
      </c>
      <c r="G102" s="74">
        <v>2.23</v>
      </c>
      <c r="H102" s="59">
        <f t="shared" ref="H102:H109" si="27">ROUND(D102*(G102/100),0)</f>
        <v>0</v>
      </c>
      <c r="I102" s="59">
        <f t="shared" ref="I102:I109" si="28">E102-H102</f>
        <v>307631</v>
      </c>
      <c r="K102" s="138">
        <f>ROUND('Adjust Depr Table 2'!S123,2)</f>
        <v>1.55</v>
      </c>
      <c r="L102" s="143"/>
      <c r="M102" s="139">
        <f t="shared" ref="M102:M109" si="29">ROUND(D102*(K102/100),0)</f>
        <v>0</v>
      </c>
      <c r="N102" s="139">
        <f>'Adjust Depr Table 2'!Q123</f>
        <v>212880.22222222222</v>
      </c>
      <c r="O102" s="139">
        <f t="shared" ref="O102:O109" si="30">N102-M102</f>
        <v>212880.22222222222</v>
      </c>
      <c r="P102" s="242"/>
      <c r="Q102" s="242"/>
    </row>
    <row r="103" spans="1:17" s="19" customFormat="1">
      <c r="A103" s="64"/>
      <c r="B103" s="70" t="s">
        <v>83</v>
      </c>
      <c r="C103" s="71">
        <v>70051.649999999994</v>
      </c>
      <c r="D103" s="72">
        <v>0</v>
      </c>
      <c r="E103" s="73">
        <v>1970</v>
      </c>
      <c r="F103" s="218">
        <f t="shared" si="26"/>
        <v>1968.4513649999999</v>
      </c>
      <c r="G103" s="74">
        <v>2.81</v>
      </c>
      <c r="H103" s="59">
        <f t="shared" si="27"/>
        <v>0</v>
      </c>
      <c r="I103" s="59">
        <f t="shared" si="28"/>
        <v>1970</v>
      </c>
      <c r="K103" s="138">
        <f>ROUND('Adjust Depr Table 2'!S124,2)</f>
        <v>2.0099999999999998</v>
      </c>
      <c r="L103" s="143"/>
      <c r="M103" s="139">
        <f t="shared" si="29"/>
        <v>0</v>
      </c>
      <c r="N103" s="139">
        <f>'Adjust Depr Table 2'!Q124</f>
        <v>1410.4516129032259</v>
      </c>
      <c r="O103" s="139">
        <f t="shared" si="30"/>
        <v>1410.4516129032259</v>
      </c>
      <c r="P103" s="242"/>
      <c r="Q103" s="242"/>
    </row>
    <row r="104" spans="1:17" s="19" customFormat="1">
      <c r="A104" s="64"/>
      <c r="B104" s="70" t="s">
        <v>84</v>
      </c>
      <c r="C104" s="71">
        <v>70051.649999999994</v>
      </c>
      <c r="D104" s="72">
        <v>0</v>
      </c>
      <c r="E104" s="73">
        <v>1970</v>
      </c>
      <c r="F104" s="218">
        <f t="shared" si="26"/>
        <v>1968.4513649999999</v>
      </c>
      <c r="G104" s="74">
        <v>2.81</v>
      </c>
      <c r="H104" s="59">
        <f t="shared" si="27"/>
        <v>0</v>
      </c>
      <c r="I104" s="59">
        <f t="shared" si="28"/>
        <v>1970</v>
      </c>
      <c r="K104" s="138">
        <f>ROUND('Adjust Depr Table 2'!S125,2)</f>
        <v>2.0099999999999998</v>
      </c>
      <c r="L104" s="143"/>
      <c r="M104" s="139">
        <f t="shared" si="29"/>
        <v>0</v>
      </c>
      <c r="N104" s="139">
        <f>'Adjust Depr Table 2'!Q125</f>
        <v>1410.483870967742</v>
      </c>
      <c r="O104" s="139">
        <f t="shared" si="30"/>
        <v>1410.483870967742</v>
      </c>
      <c r="P104" s="242"/>
      <c r="Q104" s="242"/>
    </row>
    <row r="105" spans="1:17" s="19" customFormat="1">
      <c r="A105" s="64"/>
      <c r="B105" s="70" t="s">
        <v>85</v>
      </c>
      <c r="C105" s="71">
        <v>2384532.85</v>
      </c>
      <c r="D105" s="72">
        <v>0</v>
      </c>
      <c r="E105" s="73">
        <v>70594</v>
      </c>
      <c r="F105" s="218">
        <f t="shared" si="26"/>
        <v>70582.172360000011</v>
      </c>
      <c r="G105" s="74">
        <v>2.96</v>
      </c>
      <c r="H105" s="59">
        <f t="shared" si="27"/>
        <v>0</v>
      </c>
      <c r="I105" s="59">
        <f t="shared" si="28"/>
        <v>70594</v>
      </c>
      <c r="K105" s="138">
        <f>ROUND('Adjust Depr Table 2'!S126,2)</f>
        <v>2.2400000000000002</v>
      </c>
      <c r="L105" s="143"/>
      <c r="M105" s="139">
        <f t="shared" si="29"/>
        <v>0</v>
      </c>
      <c r="N105" s="139">
        <f>'Adjust Depr Table 2'!Q126</f>
        <v>53335.777777777781</v>
      </c>
      <c r="O105" s="139">
        <f t="shared" si="30"/>
        <v>53335.777777777781</v>
      </c>
      <c r="P105" s="242"/>
      <c r="Q105" s="242"/>
    </row>
    <row r="106" spans="1:17" s="19" customFormat="1">
      <c r="A106" s="64"/>
      <c r="B106" s="70" t="s">
        <v>86</v>
      </c>
      <c r="C106" s="71">
        <v>2116650.59</v>
      </c>
      <c r="D106" s="72">
        <v>0</v>
      </c>
      <c r="E106" s="73">
        <v>57791</v>
      </c>
      <c r="F106" s="218">
        <f t="shared" si="26"/>
        <v>57784.561106999994</v>
      </c>
      <c r="G106" s="74">
        <v>2.73</v>
      </c>
      <c r="H106" s="59">
        <f t="shared" si="27"/>
        <v>0</v>
      </c>
      <c r="I106" s="59">
        <f t="shared" si="28"/>
        <v>57791</v>
      </c>
      <c r="K106" s="138">
        <f>ROUND('Adjust Depr Table 2'!S127,2)</f>
        <v>2.0499999999999998</v>
      </c>
      <c r="L106" s="143"/>
      <c r="M106" s="139">
        <f t="shared" si="29"/>
        <v>0</v>
      </c>
      <c r="N106" s="139">
        <f>'Adjust Depr Table 2'!Q127</f>
        <v>43479.694444444445</v>
      </c>
      <c r="O106" s="139">
        <f t="shared" si="30"/>
        <v>43479.694444444445</v>
      </c>
      <c r="P106" s="242"/>
      <c r="Q106" s="242"/>
    </row>
    <row r="107" spans="1:17" s="19" customFormat="1">
      <c r="A107" s="64"/>
      <c r="B107" s="70" t="s">
        <v>88</v>
      </c>
      <c r="C107" s="71">
        <v>106294.19</v>
      </c>
      <c r="D107" s="72">
        <v>0</v>
      </c>
      <c r="E107" s="73">
        <v>3475</v>
      </c>
      <c r="F107" s="218">
        <f t="shared" si="26"/>
        <v>3475.820013</v>
      </c>
      <c r="G107" s="74">
        <v>3.27</v>
      </c>
      <c r="H107" s="59">
        <f t="shared" si="27"/>
        <v>0</v>
      </c>
      <c r="I107" s="59">
        <f t="shared" si="28"/>
        <v>3475</v>
      </c>
      <c r="K107" s="138">
        <f>ROUND('Adjust Depr Table 2'!S128,2)</f>
        <v>2.93</v>
      </c>
      <c r="L107" s="143"/>
      <c r="M107" s="139">
        <f t="shared" si="29"/>
        <v>0</v>
      </c>
      <c r="N107" s="139">
        <f>'Adjust Depr Table 2'!Q128</f>
        <v>3110.2631578947367</v>
      </c>
      <c r="O107" s="139">
        <f t="shared" si="30"/>
        <v>3110.2631578947367</v>
      </c>
      <c r="P107" s="242"/>
      <c r="Q107" s="242"/>
    </row>
    <row r="108" spans="1:17" s="19" customFormat="1">
      <c r="A108" s="64"/>
      <c r="B108" s="70" t="s">
        <v>89</v>
      </c>
      <c r="C108" s="71">
        <v>357670.24</v>
      </c>
      <c r="D108" s="72">
        <v>0</v>
      </c>
      <c r="E108" s="73">
        <v>11691</v>
      </c>
      <c r="F108" s="218">
        <f t="shared" si="26"/>
        <v>11695.816847999999</v>
      </c>
      <c r="G108" s="74">
        <v>3.27</v>
      </c>
      <c r="H108" s="59">
        <f t="shared" si="27"/>
        <v>0</v>
      </c>
      <c r="I108" s="59">
        <f t="shared" si="28"/>
        <v>11691</v>
      </c>
      <c r="K108" s="138">
        <f>ROUND('Adjust Depr Table 2'!S129,2)</f>
        <v>2.93</v>
      </c>
      <c r="L108" s="143"/>
      <c r="M108" s="139">
        <f t="shared" si="29"/>
        <v>0</v>
      </c>
      <c r="N108" s="139">
        <f>'Adjust Depr Table 2'!Q129</f>
        <v>10465.684210526315</v>
      </c>
      <c r="O108" s="139">
        <f t="shared" si="30"/>
        <v>10465.684210526315</v>
      </c>
      <c r="P108" s="242"/>
      <c r="Q108" s="242"/>
    </row>
    <row r="109" spans="1:17" s="19" customFormat="1">
      <c r="A109" s="64"/>
      <c r="B109" s="70" t="s">
        <v>92</v>
      </c>
      <c r="C109" s="75">
        <v>1162203.57</v>
      </c>
      <c r="D109" s="76">
        <v>0</v>
      </c>
      <c r="E109" s="77">
        <v>31781</v>
      </c>
      <c r="F109" s="216">
        <f t="shared" si="26"/>
        <v>31728.157461000003</v>
      </c>
      <c r="G109" s="74">
        <v>2.73</v>
      </c>
      <c r="H109" s="63">
        <f t="shared" si="27"/>
        <v>0</v>
      </c>
      <c r="I109" s="63">
        <f t="shared" si="28"/>
        <v>31781</v>
      </c>
      <c r="K109" s="138">
        <f>ROUND('Adjust Depr Table 2'!S130,2)</f>
        <v>2.4300000000000002</v>
      </c>
      <c r="L109" s="143"/>
      <c r="M109" s="140">
        <f t="shared" si="29"/>
        <v>0</v>
      </c>
      <c r="N109" s="140">
        <f>'Adjust Depr Table 2'!Q130</f>
        <v>28218.260869565216</v>
      </c>
      <c r="O109" s="140">
        <f t="shared" si="30"/>
        <v>28218.260869565216</v>
      </c>
      <c r="P109" s="242"/>
      <c r="Q109" s="242"/>
    </row>
    <row r="110" spans="1:17" s="19" customFormat="1">
      <c r="A110" s="64"/>
      <c r="B110" s="78" t="s">
        <v>98</v>
      </c>
      <c r="C110" s="71">
        <f>SUM(C102:C109)</f>
        <v>20033575.25</v>
      </c>
      <c r="D110" s="72">
        <f>SUM(D102:D109)</f>
        <v>0</v>
      </c>
      <c r="E110" s="72">
        <f>SUM(E102:E109)</f>
        <v>486903</v>
      </c>
      <c r="F110" s="221">
        <f>SUM(F102:F109)</f>
        <v>486187.917892</v>
      </c>
      <c r="G110" s="74">
        <f>+ROUND(E110/C110*100,2)</f>
        <v>2.4300000000000002</v>
      </c>
      <c r="H110" s="72">
        <f>SUM(H102:H109)</f>
        <v>0</v>
      </c>
      <c r="I110" s="72">
        <f>SUM(I102:I109)</f>
        <v>486903</v>
      </c>
      <c r="K110" s="138"/>
      <c r="L110" s="143"/>
      <c r="M110" s="145">
        <f>SUM(M102:M109)</f>
        <v>0</v>
      </c>
      <c r="N110" s="145">
        <f>SUM(N102:N109)</f>
        <v>354310.8381663016</v>
      </c>
      <c r="O110" s="145">
        <f>SUM(O102:O109)</f>
        <v>354310.8381663016</v>
      </c>
      <c r="P110" s="242"/>
      <c r="Q110" s="242"/>
    </row>
    <row r="111" spans="1:17" s="19" customFormat="1">
      <c r="A111" s="64">
        <v>343</v>
      </c>
      <c r="B111" s="65" t="s">
        <v>99</v>
      </c>
      <c r="C111" s="65"/>
      <c r="D111" s="66"/>
      <c r="E111" s="67"/>
      <c r="F111" s="219"/>
      <c r="G111" s="68"/>
      <c r="H111" s="69"/>
      <c r="I111" s="69"/>
      <c r="K111" s="142"/>
      <c r="L111" s="143"/>
      <c r="M111" s="144"/>
      <c r="N111" s="144"/>
      <c r="O111" s="144"/>
      <c r="P111" s="242"/>
      <c r="Q111" s="242"/>
    </row>
    <row r="112" spans="1:17" s="19" customFormat="1">
      <c r="A112" s="64"/>
      <c r="B112" s="70" t="s">
        <v>77</v>
      </c>
      <c r="C112" s="71">
        <v>21662783.59</v>
      </c>
      <c r="D112" s="72">
        <v>0</v>
      </c>
      <c r="E112" s="73">
        <v>484417</v>
      </c>
      <c r="F112" s="218">
        <f t="shared" ref="F112:F130" si="31">C112*G112/100</f>
        <v>485246.3524160001</v>
      </c>
      <c r="G112" s="74">
        <v>2.2400000000000002</v>
      </c>
      <c r="H112" s="59">
        <f t="shared" ref="H112:H130" si="32">ROUND(D112*(G112/100),0)</f>
        <v>0</v>
      </c>
      <c r="I112" s="59">
        <f t="shared" ref="I112:I130" si="33">E112-H112</f>
        <v>484417</v>
      </c>
      <c r="K112" s="138">
        <f>ROUND('Adjust Depr Table 2'!S135,2)</f>
        <v>1.57</v>
      </c>
      <c r="L112" s="143"/>
      <c r="M112" s="139">
        <f t="shared" ref="M112:M130" si="34">ROUND(D112*(K112/100),0)</f>
        <v>0</v>
      </c>
      <c r="N112" s="139">
        <f>'Adjust Depr Table 2'!Q135</f>
        <v>340006.77777777775</v>
      </c>
      <c r="O112" s="139">
        <f t="shared" ref="O112:O130" si="35">N112-M112</f>
        <v>340006.77777777775</v>
      </c>
      <c r="P112" s="242"/>
      <c r="Q112" s="242"/>
    </row>
    <row r="113" spans="1:17" s="19" customFormat="1">
      <c r="A113" s="64"/>
      <c r="B113" s="70" t="s">
        <v>78</v>
      </c>
      <c r="C113" s="71">
        <v>18938769.399999999</v>
      </c>
      <c r="D113" s="72">
        <v>0</v>
      </c>
      <c r="E113" s="73">
        <v>640798</v>
      </c>
      <c r="F113" s="218">
        <f t="shared" si="31"/>
        <v>640130.40571999992</v>
      </c>
      <c r="G113" s="74">
        <v>3.38</v>
      </c>
      <c r="H113" s="59">
        <f t="shared" si="32"/>
        <v>0</v>
      </c>
      <c r="I113" s="59">
        <f t="shared" si="33"/>
        <v>640798</v>
      </c>
      <c r="K113" s="138">
        <f>ROUND('Adjust Depr Table 2'!S136,2)</f>
        <v>1.72</v>
      </c>
      <c r="L113" s="143"/>
      <c r="M113" s="139">
        <f t="shared" si="34"/>
        <v>0</v>
      </c>
      <c r="N113" s="139">
        <f>'Adjust Depr Table 2'!Q136</f>
        <v>324955</v>
      </c>
      <c r="O113" s="139">
        <f t="shared" si="35"/>
        <v>324955</v>
      </c>
      <c r="P113" s="242"/>
      <c r="Q113" s="242"/>
    </row>
    <row r="114" spans="1:17" s="19" customFormat="1">
      <c r="A114" s="64"/>
      <c r="B114" s="70" t="s">
        <v>79</v>
      </c>
      <c r="C114" s="71">
        <v>17021561.969999999</v>
      </c>
      <c r="D114" s="72">
        <v>0</v>
      </c>
      <c r="E114" s="73">
        <v>546139</v>
      </c>
      <c r="F114" s="218">
        <f t="shared" si="31"/>
        <v>546392.13923700002</v>
      </c>
      <c r="G114" s="74">
        <v>3.21</v>
      </c>
      <c r="H114" s="59">
        <f t="shared" si="32"/>
        <v>0</v>
      </c>
      <c r="I114" s="59">
        <f t="shared" si="33"/>
        <v>546139</v>
      </c>
      <c r="K114" s="138">
        <f>ROUND('Adjust Depr Table 2'!S137,2)</f>
        <v>1.61</v>
      </c>
      <c r="L114" s="143"/>
      <c r="M114" s="139">
        <f t="shared" si="34"/>
        <v>0</v>
      </c>
      <c r="N114" s="139">
        <f>'Adjust Depr Table 2'!Q137</f>
        <v>274525.28000000003</v>
      </c>
      <c r="O114" s="139">
        <f t="shared" si="35"/>
        <v>274525.28000000003</v>
      </c>
      <c r="P114" s="242"/>
      <c r="Q114" s="242"/>
    </row>
    <row r="115" spans="1:17" s="19" customFormat="1">
      <c r="A115" s="64"/>
      <c r="B115" s="70" t="s">
        <v>80</v>
      </c>
      <c r="C115" s="71">
        <v>17950085.800000001</v>
      </c>
      <c r="D115" s="72">
        <v>0</v>
      </c>
      <c r="E115" s="73">
        <v>580819</v>
      </c>
      <c r="F115" s="218">
        <f t="shared" si="31"/>
        <v>581582.77992000012</v>
      </c>
      <c r="G115" s="74">
        <v>3.24</v>
      </c>
      <c r="H115" s="59">
        <f t="shared" si="32"/>
        <v>0</v>
      </c>
      <c r="I115" s="59">
        <f t="shared" si="33"/>
        <v>580819</v>
      </c>
      <c r="K115" s="138">
        <f>ROUND('Adjust Depr Table 2'!S138,2)</f>
        <v>1.63</v>
      </c>
      <c r="L115" s="143"/>
      <c r="M115" s="139">
        <f t="shared" si="34"/>
        <v>0</v>
      </c>
      <c r="N115" s="139">
        <f>'Adjust Depr Table 2'!Q138</f>
        <v>292196.76</v>
      </c>
      <c r="O115" s="139">
        <f t="shared" si="35"/>
        <v>292196.76</v>
      </c>
      <c r="P115" s="242"/>
      <c r="Q115" s="242"/>
    </row>
    <row r="116" spans="1:17" s="19" customFormat="1">
      <c r="A116" s="64"/>
      <c r="B116" s="70" t="s">
        <v>81</v>
      </c>
      <c r="C116" s="71">
        <v>25858484.41</v>
      </c>
      <c r="D116" s="72">
        <v>0</v>
      </c>
      <c r="E116" s="73">
        <v>738852</v>
      </c>
      <c r="F116" s="218">
        <f t="shared" si="31"/>
        <v>739552.65412600001</v>
      </c>
      <c r="G116" s="74">
        <v>2.86</v>
      </c>
      <c r="H116" s="59">
        <f t="shared" si="32"/>
        <v>0</v>
      </c>
      <c r="I116" s="59">
        <f t="shared" si="33"/>
        <v>738852</v>
      </c>
      <c r="K116" s="138">
        <f>ROUND('Adjust Depr Table 2'!S139,2)</f>
        <v>1.97</v>
      </c>
      <c r="L116" s="143"/>
      <c r="M116" s="139">
        <f t="shared" si="34"/>
        <v>0</v>
      </c>
      <c r="N116" s="139">
        <f>'Adjust Depr Table 2'!Q139</f>
        <v>508164.14814814815</v>
      </c>
      <c r="O116" s="139">
        <f t="shared" si="35"/>
        <v>508164.14814814815</v>
      </c>
      <c r="P116" s="242"/>
      <c r="Q116" s="242"/>
    </row>
    <row r="117" spans="1:17" s="19" customFormat="1">
      <c r="A117" s="64"/>
      <c r="B117" s="70" t="s">
        <v>82</v>
      </c>
      <c r="C117" s="71">
        <v>21295538.73</v>
      </c>
      <c r="D117" s="72">
        <v>0</v>
      </c>
      <c r="E117" s="73">
        <v>603663</v>
      </c>
      <c r="F117" s="218">
        <f t="shared" si="31"/>
        <v>602663.74605900003</v>
      </c>
      <c r="G117" s="74">
        <v>2.83</v>
      </c>
      <c r="H117" s="59">
        <f t="shared" si="32"/>
        <v>0</v>
      </c>
      <c r="I117" s="59">
        <f t="shared" si="33"/>
        <v>603663</v>
      </c>
      <c r="K117" s="138">
        <f>ROUND('Adjust Depr Table 2'!S140,2)</f>
        <v>1.94</v>
      </c>
      <c r="L117" s="143"/>
      <c r="M117" s="139">
        <f t="shared" si="34"/>
        <v>0</v>
      </c>
      <c r="N117" s="139">
        <f>'Adjust Depr Table 2'!Q140</f>
        <v>413699.51851851854</v>
      </c>
      <c r="O117" s="139">
        <f t="shared" si="35"/>
        <v>413699.51851851854</v>
      </c>
      <c r="P117" s="242"/>
      <c r="Q117" s="242"/>
    </row>
    <row r="118" spans="1:17" s="19" customFormat="1">
      <c r="A118" s="64"/>
      <c r="B118" s="70" t="s">
        <v>83</v>
      </c>
      <c r="C118" s="71">
        <v>17001567.77</v>
      </c>
      <c r="D118" s="72">
        <v>0</v>
      </c>
      <c r="E118" s="73">
        <v>486319</v>
      </c>
      <c r="F118" s="218">
        <f t="shared" si="31"/>
        <v>486244.83822199999</v>
      </c>
      <c r="G118" s="74">
        <v>2.86</v>
      </c>
      <c r="H118" s="59">
        <f t="shared" si="32"/>
        <v>0</v>
      </c>
      <c r="I118" s="59">
        <f t="shared" si="33"/>
        <v>486319</v>
      </c>
      <c r="K118" s="138">
        <f>ROUND('Adjust Depr Table 2'!S141,2)</f>
        <v>2.06</v>
      </c>
      <c r="L118" s="143"/>
      <c r="M118" s="139">
        <f t="shared" si="34"/>
        <v>0</v>
      </c>
      <c r="N118" s="139">
        <f>'Adjust Depr Table 2'!Q141</f>
        <v>350161.58064516127</v>
      </c>
      <c r="O118" s="139">
        <f t="shared" si="35"/>
        <v>350161.58064516127</v>
      </c>
      <c r="P118" s="242"/>
      <c r="Q118" s="242"/>
    </row>
    <row r="119" spans="1:17" s="19" customFormat="1">
      <c r="A119" s="64"/>
      <c r="B119" s="70" t="s">
        <v>84</v>
      </c>
      <c r="C119" s="71">
        <v>16754183.57</v>
      </c>
      <c r="D119" s="72">
        <v>0</v>
      </c>
      <c r="E119" s="73">
        <v>478999</v>
      </c>
      <c r="F119" s="218">
        <f t="shared" si="31"/>
        <v>479169.65010199999</v>
      </c>
      <c r="G119" s="74">
        <v>2.86</v>
      </c>
      <c r="H119" s="59">
        <f t="shared" si="32"/>
        <v>0</v>
      </c>
      <c r="I119" s="59">
        <f t="shared" si="33"/>
        <v>478999</v>
      </c>
      <c r="K119" s="138">
        <f>ROUND('Adjust Depr Table 2'!S142,2)</f>
        <v>2.06</v>
      </c>
      <c r="L119" s="143"/>
      <c r="M119" s="139">
        <f t="shared" si="34"/>
        <v>0</v>
      </c>
      <c r="N119" s="139">
        <f>'Adjust Depr Table 2'!Q142</f>
        <v>344841.61290322582</v>
      </c>
      <c r="O119" s="139">
        <f t="shared" si="35"/>
        <v>344841.61290322582</v>
      </c>
      <c r="P119" s="242"/>
      <c r="Q119" s="242"/>
    </row>
    <row r="120" spans="1:17" s="19" customFormat="1">
      <c r="A120" s="64"/>
      <c r="B120" s="70" t="s">
        <v>85</v>
      </c>
      <c r="C120" s="71">
        <v>57736570.219999999</v>
      </c>
      <c r="D120" s="72">
        <v>0</v>
      </c>
      <c r="E120" s="73">
        <v>1723649</v>
      </c>
      <c r="F120" s="218">
        <f t="shared" si="31"/>
        <v>1726323.449578</v>
      </c>
      <c r="G120" s="74">
        <v>2.99</v>
      </c>
      <c r="H120" s="59">
        <f t="shared" si="32"/>
        <v>0</v>
      </c>
      <c r="I120" s="59">
        <f t="shared" si="33"/>
        <v>1723649</v>
      </c>
      <c r="K120" s="138">
        <f>ROUND('Adjust Depr Table 2'!S143,2)</f>
        <v>2.25</v>
      </c>
      <c r="L120" s="143"/>
      <c r="M120" s="139">
        <f t="shared" si="34"/>
        <v>0</v>
      </c>
      <c r="N120" s="139">
        <f>'Adjust Depr Table 2'!Q143</f>
        <v>1298961.2222222222</v>
      </c>
      <c r="O120" s="139">
        <f t="shared" si="35"/>
        <v>1298961.2222222222</v>
      </c>
      <c r="P120" s="242"/>
      <c r="Q120" s="242"/>
    </row>
    <row r="121" spans="1:17" s="19" customFormat="1">
      <c r="A121" s="64"/>
      <c r="B121" s="70" t="s">
        <v>86</v>
      </c>
      <c r="C121" s="71">
        <v>55010982.469999999</v>
      </c>
      <c r="D121" s="72">
        <v>0</v>
      </c>
      <c r="E121" s="73">
        <v>1517307</v>
      </c>
      <c r="F121" s="218">
        <f t="shared" si="31"/>
        <v>1518303.1161719998</v>
      </c>
      <c r="G121" s="74">
        <v>2.76</v>
      </c>
      <c r="H121" s="59">
        <f t="shared" si="32"/>
        <v>0</v>
      </c>
      <c r="I121" s="59">
        <f t="shared" si="33"/>
        <v>1517307</v>
      </c>
      <c r="K121" s="138">
        <f>ROUND('Adjust Depr Table 2'!S144,2)</f>
        <v>2.0699999999999998</v>
      </c>
      <c r="L121" s="143"/>
      <c r="M121" s="139">
        <f t="shared" si="34"/>
        <v>0</v>
      </c>
      <c r="N121" s="139">
        <f>'Adjust Depr Table 2'!Q144</f>
        <v>1138677.75</v>
      </c>
      <c r="O121" s="139">
        <f t="shared" si="35"/>
        <v>1138677.75</v>
      </c>
      <c r="P121" s="242"/>
      <c r="Q121" s="242"/>
    </row>
    <row r="122" spans="1:17" s="19" customFormat="1">
      <c r="A122" s="64"/>
      <c r="B122" s="70" t="s">
        <v>87</v>
      </c>
      <c r="C122" s="71">
        <v>354070.8</v>
      </c>
      <c r="D122" s="72">
        <v>0</v>
      </c>
      <c r="E122" s="73">
        <v>12366</v>
      </c>
      <c r="F122" s="218">
        <f t="shared" si="31"/>
        <v>12357.07092</v>
      </c>
      <c r="G122" s="74">
        <v>3.49</v>
      </c>
      <c r="H122" s="59">
        <f t="shared" si="32"/>
        <v>0</v>
      </c>
      <c r="I122" s="59">
        <f t="shared" si="33"/>
        <v>12366</v>
      </c>
      <c r="K122" s="138">
        <f>ROUND('Adjust Depr Table 2'!S145,2)</f>
        <v>3.15</v>
      </c>
      <c r="L122" s="143"/>
      <c r="M122" s="139">
        <f t="shared" si="34"/>
        <v>0</v>
      </c>
      <c r="N122" s="139">
        <f>'Adjust Depr Table 2'!Q145</f>
        <v>11166.315789473685</v>
      </c>
      <c r="O122" s="139">
        <f t="shared" si="35"/>
        <v>11166.315789473685</v>
      </c>
      <c r="P122" s="242"/>
      <c r="Q122" s="242"/>
    </row>
    <row r="123" spans="1:17" s="19" customFormat="1">
      <c r="A123" s="64"/>
      <c r="B123" s="70" t="s">
        <v>88</v>
      </c>
      <c r="C123" s="71">
        <v>300785.96999999997</v>
      </c>
      <c r="D123" s="72">
        <v>0</v>
      </c>
      <c r="E123" s="73">
        <v>9921</v>
      </c>
      <c r="F123" s="218">
        <f t="shared" si="31"/>
        <v>9925.9370099999996</v>
      </c>
      <c r="G123" s="74">
        <v>3.3</v>
      </c>
      <c r="H123" s="59">
        <f t="shared" si="32"/>
        <v>0</v>
      </c>
      <c r="I123" s="59">
        <f t="shared" si="33"/>
        <v>9921</v>
      </c>
      <c r="K123" s="138">
        <f>ROUND('Adjust Depr Table 2'!S146,2)</f>
        <v>2.95</v>
      </c>
      <c r="L123" s="143"/>
      <c r="M123" s="139">
        <f t="shared" si="34"/>
        <v>0</v>
      </c>
      <c r="N123" s="139">
        <f>'Adjust Depr Table 2'!Q146</f>
        <v>8873.4736842105267</v>
      </c>
      <c r="O123" s="139">
        <f t="shared" si="35"/>
        <v>8873.4736842105267</v>
      </c>
      <c r="P123" s="242"/>
      <c r="Q123" s="242"/>
    </row>
    <row r="124" spans="1:17" s="19" customFormat="1">
      <c r="A124" s="64"/>
      <c r="B124" s="70" t="s">
        <v>89</v>
      </c>
      <c r="C124" s="71">
        <v>388128.81</v>
      </c>
      <c r="D124" s="72">
        <v>0</v>
      </c>
      <c r="E124" s="73">
        <v>13819</v>
      </c>
      <c r="F124" s="218">
        <f t="shared" si="31"/>
        <v>13817.385635999999</v>
      </c>
      <c r="G124" s="74">
        <v>3.56</v>
      </c>
      <c r="H124" s="59">
        <f t="shared" si="32"/>
        <v>0</v>
      </c>
      <c r="I124" s="59">
        <f t="shared" si="33"/>
        <v>13819</v>
      </c>
      <c r="K124" s="138">
        <f>ROUND('Adjust Depr Table 2'!S147,2)</f>
        <v>3.23</v>
      </c>
      <c r="L124" s="143"/>
      <c r="M124" s="139">
        <f t="shared" si="34"/>
        <v>0</v>
      </c>
      <c r="N124" s="139">
        <f>'Adjust Depr Table 2'!Q147</f>
        <v>12517.842105263158</v>
      </c>
      <c r="O124" s="139">
        <f t="shared" si="35"/>
        <v>12517.842105263158</v>
      </c>
      <c r="P124" s="242"/>
      <c r="Q124" s="242"/>
    </row>
    <row r="125" spans="1:17" s="19" customFormat="1">
      <c r="A125" s="64"/>
      <c r="B125" s="70" t="s">
        <v>90</v>
      </c>
      <c r="C125" s="71">
        <v>201654.6</v>
      </c>
      <c r="D125" s="72">
        <v>0</v>
      </c>
      <c r="E125" s="73">
        <v>6494</v>
      </c>
      <c r="F125" s="218">
        <f t="shared" si="31"/>
        <v>6493.2781199999999</v>
      </c>
      <c r="G125" s="74">
        <v>3.22</v>
      </c>
      <c r="H125" s="59">
        <f t="shared" si="32"/>
        <v>0</v>
      </c>
      <c r="I125" s="59">
        <f t="shared" si="33"/>
        <v>6494</v>
      </c>
      <c r="K125" s="138">
        <f>ROUND('Adjust Depr Table 2'!S148,2)</f>
        <v>2.9</v>
      </c>
      <c r="L125" s="143"/>
      <c r="M125" s="139">
        <f t="shared" si="34"/>
        <v>0</v>
      </c>
      <c r="N125" s="139">
        <f>'Adjust Depr Table 2'!Q148</f>
        <v>5856</v>
      </c>
      <c r="O125" s="139">
        <f t="shared" si="35"/>
        <v>5856</v>
      </c>
      <c r="P125" s="242"/>
      <c r="Q125" s="242"/>
    </row>
    <row r="126" spans="1:17" s="19" customFormat="1">
      <c r="A126" s="64"/>
      <c r="B126" s="70" t="s">
        <v>91</v>
      </c>
      <c r="C126" s="71">
        <v>275099.08</v>
      </c>
      <c r="D126" s="72">
        <v>0</v>
      </c>
      <c r="E126" s="73">
        <v>8799</v>
      </c>
      <c r="F126" s="218">
        <f t="shared" si="31"/>
        <v>8803.1705600000005</v>
      </c>
      <c r="G126" s="74">
        <v>3.2</v>
      </c>
      <c r="H126" s="59">
        <f t="shared" si="32"/>
        <v>0</v>
      </c>
      <c r="I126" s="59">
        <f t="shared" si="33"/>
        <v>8799</v>
      </c>
      <c r="K126" s="138">
        <f>ROUND('Adjust Depr Table 2'!S149,2)</f>
        <v>2.89</v>
      </c>
      <c r="L126" s="143"/>
      <c r="M126" s="139">
        <f t="shared" si="34"/>
        <v>0</v>
      </c>
      <c r="N126" s="139">
        <f>'Adjust Depr Table 2'!Q149</f>
        <v>7959.391304347826</v>
      </c>
      <c r="O126" s="139">
        <f t="shared" si="35"/>
        <v>7959.391304347826</v>
      </c>
      <c r="P126" s="242"/>
      <c r="Q126" s="242"/>
    </row>
    <row r="127" spans="1:17" s="19" customFormat="1">
      <c r="A127" s="64"/>
      <c r="B127" s="70" t="s">
        <v>92</v>
      </c>
      <c r="C127" s="71">
        <v>2407952.29</v>
      </c>
      <c r="D127" s="72">
        <v>0</v>
      </c>
      <c r="E127" s="73">
        <v>87964</v>
      </c>
      <c r="F127" s="218">
        <f t="shared" si="31"/>
        <v>87890.258585000003</v>
      </c>
      <c r="G127" s="74">
        <v>3.65</v>
      </c>
      <c r="H127" s="59">
        <f t="shared" si="32"/>
        <v>0</v>
      </c>
      <c r="I127" s="59">
        <f t="shared" si="33"/>
        <v>87964</v>
      </c>
      <c r="K127" s="138">
        <f>ROUND('Adjust Depr Table 2'!S150,2)</f>
        <v>3.3</v>
      </c>
      <c r="L127" s="143"/>
      <c r="M127" s="139">
        <f t="shared" si="34"/>
        <v>0</v>
      </c>
      <c r="N127" s="139">
        <f>'Adjust Depr Table 2'!Q150</f>
        <v>79363.608695652176</v>
      </c>
      <c r="O127" s="139">
        <f t="shared" si="35"/>
        <v>79363.608695652176</v>
      </c>
      <c r="P127" s="242"/>
      <c r="Q127" s="242"/>
    </row>
    <row r="128" spans="1:17" s="19" customFormat="1">
      <c r="A128" s="64"/>
      <c r="B128" s="70" t="s">
        <v>93</v>
      </c>
      <c r="C128" s="71">
        <v>46724956.780000001</v>
      </c>
      <c r="D128" s="72">
        <v>0</v>
      </c>
      <c r="E128" s="73">
        <v>1226069</v>
      </c>
      <c r="F128" s="218">
        <f t="shared" si="31"/>
        <v>1224193.867636</v>
      </c>
      <c r="G128" s="74">
        <v>2.62</v>
      </c>
      <c r="H128" s="59">
        <f t="shared" si="32"/>
        <v>0</v>
      </c>
      <c r="I128" s="59">
        <f t="shared" si="33"/>
        <v>1226069</v>
      </c>
      <c r="K128" s="138">
        <f>ROUND('Adjust Depr Table 2'!S151,2)</f>
        <v>2.29</v>
      </c>
      <c r="L128" s="143"/>
      <c r="M128" s="139">
        <f t="shared" si="34"/>
        <v>0</v>
      </c>
      <c r="N128" s="139">
        <f>'Adjust Depr Table 2'!Q151</f>
        <v>1072260.2173913044</v>
      </c>
      <c r="O128" s="139">
        <f t="shared" si="35"/>
        <v>1072260.2173913044</v>
      </c>
      <c r="P128" s="242"/>
      <c r="Q128" s="242"/>
    </row>
    <row r="129" spans="1:17" s="19" customFormat="1">
      <c r="A129" s="64"/>
      <c r="B129" s="70" t="s">
        <v>94</v>
      </c>
      <c r="C129" s="71">
        <v>45508646.350000001</v>
      </c>
      <c r="D129" s="72">
        <v>0</v>
      </c>
      <c r="E129" s="73">
        <v>1216747</v>
      </c>
      <c r="F129" s="218">
        <f t="shared" si="31"/>
        <v>1215080.857545</v>
      </c>
      <c r="G129" s="74">
        <v>2.67</v>
      </c>
      <c r="H129" s="59">
        <f t="shared" si="32"/>
        <v>0</v>
      </c>
      <c r="I129" s="59">
        <f t="shared" si="33"/>
        <v>1216747</v>
      </c>
      <c r="K129" s="138">
        <f>ROUND('Adjust Depr Table 2'!S152,2)</f>
        <v>2.34</v>
      </c>
      <c r="L129" s="143"/>
      <c r="M129" s="139">
        <f t="shared" si="34"/>
        <v>0</v>
      </c>
      <c r="N129" s="139">
        <f>'Adjust Depr Table 2'!Q152</f>
        <v>1066180.2608695652</v>
      </c>
      <c r="O129" s="139">
        <f t="shared" si="35"/>
        <v>1066180.2608695652</v>
      </c>
      <c r="P129" s="242"/>
      <c r="Q129" s="242"/>
    </row>
    <row r="130" spans="1:17" s="19" customFormat="1">
      <c r="A130" s="64"/>
      <c r="B130" s="70" t="s">
        <v>95</v>
      </c>
      <c r="C130" s="75">
        <v>41213903.719999999</v>
      </c>
      <c r="D130" s="76">
        <v>0</v>
      </c>
      <c r="E130" s="77">
        <v>1081589</v>
      </c>
      <c r="F130" s="216">
        <f t="shared" si="31"/>
        <v>1079804.277464</v>
      </c>
      <c r="G130" s="74">
        <v>2.62</v>
      </c>
      <c r="H130" s="63">
        <f t="shared" si="32"/>
        <v>0</v>
      </c>
      <c r="I130" s="63">
        <f t="shared" si="33"/>
        <v>1081589</v>
      </c>
      <c r="K130" s="138">
        <f>ROUND('Adjust Depr Table 2'!S153,2)</f>
        <v>2.2999999999999998</v>
      </c>
      <c r="L130" s="143"/>
      <c r="M130" s="140">
        <f t="shared" si="34"/>
        <v>0</v>
      </c>
      <c r="N130" s="140">
        <f>'Adjust Depr Table 2'!Q153</f>
        <v>945916.91304347827</v>
      </c>
      <c r="O130" s="140">
        <f t="shared" si="35"/>
        <v>945916.91304347827</v>
      </c>
      <c r="P130" s="242"/>
      <c r="Q130" s="242"/>
    </row>
    <row r="131" spans="1:17" s="19" customFormat="1">
      <c r="A131" s="64"/>
      <c r="B131" s="78" t="s">
        <v>100</v>
      </c>
      <c r="C131" s="71">
        <f>SUM(C112:C130)</f>
        <v>406605726.33000004</v>
      </c>
      <c r="D131" s="72">
        <f>SUM(D112:D130)</f>
        <v>0</v>
      </c>
      <c r="E131" s="72">
        <f>SUM(E112:E130)</f>
        <v>11464730</v>
      </c>
      <c r="F131" s="221">
        <f>SUM(F112:F130)</f>
        <v>11463975.235028002</v>
      </c>
      <c r="G131" s="74">
        <f>+ROUND(E131/C131*100,2)</f>
        <v>2.82</v>
      </c>
      <c r="H131" s="72">
        <f>SUM(H112:H130)</f>
        <v>0</v>
      </c>
      <c r="I131" s="72">
        <f>SUM(I112:I130)</f>
        <v>11464730</v>
      </c>
      <c r="K131" s="138"/>
      <c r="L131" s="143"/>
      <c r="M131" s="145">
        <f>SUM(M112:M130)</f>
        <v>0</v>
      </c>
      <c r="N131" s="145">
        <f>SUM(N112:N130)</f>
        <v>8496283.6730983481</v>
      </c>
      <c r="O131" s="145">
        <f>SUM(O112:O130)</f>
        <v>8496283.6730983481</v>
      </c>
      <c r="P131" s="242"/>
      <c r="Q131" s="242"/>
    </row>
    <row r="132" spans="1:17" s="19" customFormat="1">
      <c r="A132" s="64">
        <v>344</v>
      </c>
      <c r="B132" s="65" t="s">
        <v>101</v>
      </c>
      <c r="C132" s="65"/>
      <c r="D132" s="66"/>
      <c r="E132" s="67"/>
      <c r="F132" s="219"/>
      <c r="G132" s="68"/>
      <c r="H132" s="69"/>
      <c r="I132" s="69"/>
      <c r="K132" s="142"/>
      <c r="L132" s="143"/>
      <c r="M132" s="144"/>
      <c r="N132" s="144"/>
      <c r="O132" s="144"/>
      <c r="P132" s="242"/>
      <c r="Q132" s="242"/>
    </row>
    <row r="133" spans="1:17" s="19" customFormat="1">
      <c r="A133" s="64"/>
      <c r="B133" s="70" t="s">
        <v>77</v>
      </c>
      <c r="C133" s="71">
        <v>385287.95</v>
      </c>
      <c r="D133" s="72">
        <v>0</v>
      </c>
      <c r="E133" s="73">
        <v>10596</v>
      </c>
      <c r="F133" s="218">
        <f t="shared" ref="F133:F153" si="36">C133*G133/100</f>
        <v>10595.418625</v>
      </c>
      <c r="G133" s="74">
        <v>2.75</v>
      </c>
      <c r="H133" s="59">
        <f t="shared" ref="H133:H153" si="37">ROUND(D133*(G133/100),0)</f>
        <v>0</v>
      </c>
      <c r="I133" s="59">
        <f t="shared" ref="I133:I153" si="38">E133-H133</f>
        <v>10596</v>
      </c>
      <c r="K133" s="138">
        <f>ROUND('Adjust Depr Table 2'!S158,2)</f>
        <v>2.0499999999999998</v>
      </c>
      <c r="L133" s="143"/>
      <c r="M133" s="139">
        <f t="shared" ref="M133:M153" si="39">ROUND(D133*(K133/100),0)</f>
        <v>0</v>
      </c>
      <c r="N133" s="139">
        <f>'Adjust Depr Table 2'!Q158</f>
        <v>7901.333333333333</v>
      </c>
      <c r="O133" s="139">
        <f t="shared" ref="O133:O153" si="40">N133-M133</f>
        <v>7901.333333333333</v>
      </c>
      <c r="P133" s="242"/>
      <c r="Q133" s="242"/>
    </row>
    <row r="134" spans="1:17" s="19" customFormat="1">
      <c r="A134" s="64"/>
      <c r="B134" s="70" t="s">
        <v>78</v>
      </c>
      <c r="C134" s="71">
        <v>5409806.3600000003</v>
      </c>
      <c r="D134" s="72">
        <v>0</v>
      </c>
      <c r="E134" s="73">
        <v>180024</v>
      </c>
      <c r="F134" s="218">
        <f t="shared" si="36"/>
        <v>180146.55178800001</v>
      </c>
      <c r="G134" s="74">
        <v>3.33</v>
      </c>
      <c r="H134" s="59">
        <f t="shared" si="37"/>
        <v>0</v>
      </c>
      <c r="I134" s="59">
        <f t="shared" si="38"/>
        <v>180024</v>
      </c>
      <c r="K134" s="138">
        <f>ROUND('Adjust Depr Table 2'!S159,2)</f>
        <v>1.67</v>
      </c>
      <c r="L134" s="143"/>
      <c r="M134" s="139">
        <f t="shared" si="39"/>
        <v>0</v>
      </c>
      <c r="N134" s="139">
        <f>'Adjust Depr Table 2'!Q159</f>
        <v>90428.160000000003</v>
      </c>
      <c r="O134" s="139">
        <f t="shared" si="40"/>
        <v>90428.160000000003</v>
      </c>
      <c r="P134" s="242"/>
      <c r="Q134" s="242"/>
    </row>
    <row r="135" spans="1:17" s="19" customFormat="1">
      <c r="A135" s="64"/>
      <c r="B135" s="70" t="s">
        <v>79</v>
      </c>
      <c r="C135" s="71">
        <v>5315973.93</v>
      </c>
      <c r="D135" s="72">
        <v>0</v>
      </c>
      <c r="E135" s="73">
        <v>175512</v>
      </c>
      <c r="F135" s="218">
        <f t="shared" si="36"/>
        <v>175427.13968999998</v>
      </c>
      <c r="G135" s="74">
        <v>3.3</v>
      </c>
      <c r="H135" s="59">
        <f t="shared" si="37"/>
        <v>0</v>
      </c>
      <c r="I135" s="59">
        <f t="shared" si="38"/>
        <v>175512</v>
      </c>
      <c r="K135" s="138">
        <f>ROUND('Adjust Depr Table 2'!S160,2)</f>
        <v>1.66</v>
      </c>
      <c r="L135" s="143"/>
      <c r="M135" s="139">
        <f t="shared" si="39"/>
        <v>0</v>
      </c>
      <c r="N135" s="139">
        <f>'Adjust Depr Table 2'!Q160</f>
        <v>88214.04</v>
      </c>
      <c r="O135" s="139">
        <f t="shared" si="40"/>
        <v>88214.04</v>
      </c>
      <c r="P135" s="242"/>
      <c r="Q135" s="242"/>
    </row>
    <row r="136" spans="1:17" s="19" customFormat="1">
      <c r="A136" s="64"/>
      <c r="B136" s="70" t="s">
        <v>80</v>
      </c>
      <c r="C136" s="71">
        <v>5368828.4000000004</v>
      </c>
      <c r="D136" s="72">
        <v>0</v>
      </c>
      <c r="E136" s="73">
        <v>180444</v>
      </c>
      <c r="F136" s="218">
        <f t="shared" si="36"/>
        <v>180392.63424000001</v>
      </c>
      <c r="G136" s="74">
        <v>3.36</v>
      </c>
      <c r="H136" s="59">
        <f t="shared" si="37"/>
        <v>0</v>
      </c>
      <c r="I136" s="59">
        <f t="shared" si="38"/>
        <v>180444</v>
      </c>
      <c r="K136" s="138">
        <f>ROUND('Adjust Depr Table 2'!S161,2)</f>
        <v>1.69</v>
      </c>
      <c r="L136" s="143"/>
      <c r="M136" s="139">
        <f t="shared" si="39"/>
        <v>0</v>
      </c>
      <c r="N136" s="139">
        <f>'Adjust Depr Table 2'!Q161</f>
        <v>90916.12</v>
      </c>
      <c r="O136" s="139">
        <f t="shared" si="40"/>
        <v>90916.12</v>
      </c>
      <c r="P136" s="242"/>
      <c r="Q136" s="242"/>
    </row>
    <row r="137" spans="1:17" s="19" customFormat="1">
      <c r="A137" s="64"/>
      <c r="B137" s="70" t="s">
        <v>81</v>
      </c>
      <c r="C137" s="71">
        <v>8212342.4100000001</v>
      </c>
      <c r="D137" s="72">
        <v>0</v>
      </c>
      <c r="E137" s="73">
        <v>236372</v>
      </c>
      <c r="F137" s="218">
        <f t="shared" si="36"/>
        <v>236515.461408</v>
      </c>
      <c r="G137" s="74">
        <v>2.88</v>
      </c>
      <c r="H137" s="59">
        <f t="shared" si="37"/>
        <v>0</v>
      </c>
      <c r="I137" s="59">
        <f t="shared" si="38"/>
        <v>236372</v>
      </c>
      <c r="K137" s="138">
        <f>ROUND('Adjust Depr Table 2'!S162,2)</f>
        <v>1.96</v>
      </c>
      <c r="L137" s="143"/>
      <c r="M137" s="139">
        <f t="shared" si="39"/>
        <v>0</v>
      </c>
      <c r="N137" s="139">
        <f>'Adjust Depr Table 2'!Q162</f>
        <v>161079.11111111112</v>
      </c>
      <c r="O137" s="139">
        <f t="shared" si="40"/>
        <v>161079.11111111112</v>
      </c>
      <c r="P137" s="242"/>
      <c r="Q137" s="242"/>
    </row>
    <row r="138" spans="1:17" s="19" customFormat="1">
      <c r="A138" s="64"/>
      <c r="B138" s="70" t="s">
        <v>82</v>
      </c>
      <c r="C138" s="71">
        <v>8155918.4000000004</v>
      </c>
      <c r="D138" s="72">
        <v>0</v>
      </c>
      <c r="E138" s="73">
        <v>234816</v>
      </c>
      <c r="F138" s="218">
        <f t="shared" si="36"/>
        <v>234890.44991999998</v>
      </c>
      <c r="G138" s="74">
        <v>2.88</v>
      </c>
      <c r="H138" s="59">
        <f t="shared" si="37"/>
        <v>0</v>
      </c>
      <c r="I138" s="59">
        <f t="shared" si="38"/>
        <v>234816</v>
      </c>
      <c r="K138" s="138">
        <f>ROUND('Adjust Depr Table 2'!S163,2)</f>
        <v>1.96</v>
      </c>
      <c r="L138" s="143"/>
      <c r="M138" s="139">
        <f t="shared" si="39"/>
        <v>0</v>
      </c>
      <c r="N138" s="139">
        <f>'Adjust Depr Table 2'!Q163</f>
        <v>159932.07407407407</v>
      </c>
      <c r="O138" s="139">
        <f t="shared" si="40"/>
        <v>159932.07407407407</v>
      </c>
      <c r="P138" s="242"/>
      <c r="Q138" s="242"/>
    </row>
    <row r="139" spans="1:17" s="19" customFormat="1">
      <c r="A139" s="64"/>
      <c r="B139" s="70" t="s">
        <v>83</v>
      </c>
      <c r="C139" s="71">
        <v>4831725.68</v>
      </c>
      <c r="D139" s="72">
        <v>0</v>
      </c>
      <c r="E139" s="73">
        <v>136522</v>
      </c>
      <c r="F139" s="218">
        <f t="shared" si="36"/>
        <v>136737.836744</v>
      </c>
      <c r="G139" s="74">
        <v>2.83</v>
      </c>
      <c r="H139" s="59">
        <f t="shared" si="37"/>
        <v>0</v>
      </c>
      <c r="I139" s="59">
        <f t="shared" si="38"/>
        <v>136522</v>
      </c>
      <c r="K139" s="138">
        <f>ROUND('Adjust Depr Table 2'!S164,2)</f>
        <v>2</v>
      </c>
      <c r="L139" s="143"/>
      <c r="M139" s="139">
        <f t="shared" si="39"/>
        <v>0</v>
      </c>
      <c r="N139" s="139">
        <f>'Adjust Depr Table 2'!Q164</f>
        <v>96509.322580645166</v>
      </c>
      <c r="O139" s="139">
        <f t="shared" si="40"/>
        <v>96509.322580645166</v>
      </c>
      <c r="P139" s="242"/>
      <c r="Q139" s="242"/>
    </row>
    <row r="140" spans="1:17" s="19" customFormat="1">
      <c r="A140" s="64"/>
      <c r="B140" s="70" t="s">
        <v>84</v>
      </c>
      <c r="C140" s="71">
        <v>4838938.32</v>
      </c>
      <c r="D140" s="72">
        <v>0</v>
      </c>
      <c r="E140" s="73">
        <v>136727</v>
      </c>
      <c r="F140" s="218">
        <f t="shared" si="36"/>
        <v>136941.95445600001</v>
      </c>
      <c r="G140" s="74">
        <v>2.83</v>
      </c>
      <c r="H140" s="59">
        <f t="shared" si="37"/>
        <v>0</v>
      </c>
      <c r="I140" s="59">
        <f t="shared" si="38"/>
        <v>136727</v>
      </c>
      <c r="K140" s="138">
        <f>ROUND('Adjust Depr Table 2'!S165,2)</f>
        <v>2</v>
      </c>
      <c r="L140" s="143"/>
      <c r="M140" s="139">
        <f t="shared" si="39"/>
        <v>0</v>
      </c>
      <c r="N140" s="139">
        <f>'Adjust Depr Table 2'!Q165</f>
        <v>96654.516129032258</v>
      </c>
      <c r="O140" s="139">
        <f t="shared" si="40"/>
        <v>96654.516129032258</v>
      </c>
      <c r="P140" s="242"/>
      <c r="Q140" s="242"/>
    </row>
    <row r="141" spans="1:17" s="19" customFormat="1">
      <c r="A141" s="64"/>
      <c r="B141" s="70" t="s">
        <v>85</v>
      </c>
      <c r="C141" s="71">
        <v>5428818.3700000001</v>
      </c>
      <c r="D141" s="72">
        <v>0</v>
      </c>
      <c r="E141" s="73">
        <v>168982</v>
      </c>
      <c r="F141" s="218">
        <f t="shared" si="36"/>
        <v>168836.251307</v>
      </c>
      <c r="G141" s="74">
        <v>3.11</v>
      </c>
      <c r="H141" s="59">
        <f t="shared" si="37"/>
        <v>0</v>
      </c>
      <c r="I141" s="59">
        <f t="shared" si="38"/>
        <v>168982</v>
      </c>
      <c r="K141" s="138">
        <f>ROUND('Adjust Depr Table 2'!S166,2)</f>
        <v>2.33</v>
      </c>
      <c r="L141" s="143"/>
      <c r="M141" s="139">
        <f t="shared" si="39"/>
        <v>0</v>
      </c>
      <c r="N141" s="139">
        <f>'Adjust Depr Table 2'!Q166</f>
        <v>126359.08333333333</v>
      </c>
      <c r="O141" s="139">
        <f t="shared" si="40"/>
        <v>126359.08333333333</v>
      </c>
      <c r="P141" s="242"/>
      <c r="Q141" s="242"/>
    </row>
    <row r="142" spans="1:17" s="19" customFormat="1">
      <c r="A142" s="64"/>
      <c r="B142" s="70" t="s">
        <v>86</v>
      </c>
      <c r="C142" s="71">
        <v>4887853.5</v>
      </c>
      <c r="D142" s="72">
        <v>0</v>
      </c>
      <c r="E142" s="73">
        <v>139055</v>
      </c>
      <c r="F142" s="218">
        <f t="shared" si="36"/>
        <v>138815.03940000001</v>
      </c>
      <c r="G142" s="74">
        <v>2.84</v>
      </c>
      <c r="H142" s="59">
        <f t="shared" si="37"/>
        <v>0</v>
      </c>
      <c r="I142" s="59">
        <f t="shared" si="38"/>
        <v>139055</v>
      </c>
      <c r="K142" s="138">
        <f>ROUND('Adjust Depr Table 2'!S167,2)</f>
        <v>2.11</v>
      </c>
      <c r="L142" s="143"/>
      <c r="M142" s="139">
        <f t="shared" si="39"/>
        <v>0</v>
      </c>
      <c r="N142" s="139">
        <f>'Adjust Depr Table 2'!Q167</f>
        <v>103084.88888888889</v>
      </c>
      <c r="O142" s="139">
        <f t="shared" si="40"/>
        <v>103084.88888888889</v>
      </c>
      <c r="P142" s="242"/>
      <c r="Q142" s="242"/>
    </row>
    <row r="143" spans="1:17" s="19" customFormat="1">
      <c r="A143" s="64"/>
      <c r="B143" s="70" t="s">
        <v>87</v>
      </c>
      <c r="C143" s="71">
        <v>1098205.33</v>
      </c>
      <c r="D143" s="72">
        <v>0</v>
      </c>
      <c r="E143" s="73">
        <v>35729</v>
      </c>
      <c r="F143" s="218">
        <f t="shared" si="36"/>
        <v>35691.673225000006</v>
      </c>
      <c r="G143" s="74">
        <v>3.25</v>
      </c>
      <c r="H143" s="59">
        <f t="shared" si="37"/>
        <v>0</v>
      </c>
      <c r="I143" s="59">
        <f t="shared" si="38"/>
        <v>35729</v>
      </c>
      <c r="K143" s="138">
        <f>ROUND('Adjust Depr Table 2'!S168,2)</f>
        <v>2.87</v>
      </c>
      <c r="L143" s="143"/>
      <c r="M143" s="139">
        <f t="shared" si="39"/>
        <v>0</v>
      </c>
      <c r="N143" s="139">
        <f>'Adjust Depr Table 2'!Q168</f>
        <v>31563.78947368421</v>
      </c>
      <c r="O143" s="139">
        <f t="shared" si="40"/>
        <v>31563.78947368421</v>
      </c>
      <c r="P143" s="242"/>
      <c r="Q143" s="242"/>
    </row>
    <row r="144" spans="1:17" s="19" customFormat="1">
      <c r="A144" s="64"/>
      <c r="B144" s="70" t="s">
        <v>88</v>
      </c>
      <c r="C144" s="71">
        <v>1963510.74</v>
      </c>
      <c r="D144" s="72">
        <v>0</v>
      </c>
      <c r="E144" s="73">
        <v>65028</v>
      </c>
      <c r="F144" s="218">
        <f t="shared" si="36"/>
        <v>64992.205494000002</v>
      </c>
      <c r="G144" s="74">
        <v>3.31</v>
      </c>
      <c r="H144" s="59">
        <f t="shared" si="37"/>
        <v>0</v>
      </c>
      <c r="I144" s="59">
        <f t="shared" si="38"/>
        <v>65028</v>
      </c>
      <c r="K144" s="138">
        <f>ROUND('Adjust Depr Table 2'!S169,2)</f>
        <v>2.94</v>
      </c>
      <c r="L144" s="143"/>
      <c r="M144" s="139">
        <f t="shared" si="39"/>
        <v>0</v>
      </c>
      <c r="N144" s="139">
        <f>'Adjust Depr Table 2'!Q169</f>
        <v>57672.684210526313</v>
      </c>
      <c r="O144" s="139">
        <f t="shared" si="40"/>
        <v>57672.684210526313</v>
      </c>
      <c r="P144" s="242"/>
      <c r="Q144" s="242"/>
    </row>
    <row r="145" spans="1:17" s="19" customFormat="1">
      <c r="A145" s="64"/>
      <c r="B145" s="70" t="s">
        <v>89</v>
      </c>
      <c r="C145" s="71">
        <v>4525028.84</v>
      </c>
      <c r="D145" s="72">
        <v>0</v>
      </c>
      <c r="E145" s="73">
        <v>185596</v>
      </c>
      <c r="F145" s="218">
        <f t="shared" si="36"/>
        <v>185526.18244</v>
      </c>
      <c r="G145" s="74">
        <v>4.0999999999999996</v>
      </c>
      <c r="H145" s="59">
        <f t="shared" si="37"/>
        <v>0</v>
      </c>
      <c r="I145" s="59">
        <f t="shared" si="38"/>
        <v>185596</v>
      </c>
      <c r="K145" s="138">
        <f>ROUND('Adjust Depr Table 2'!S170,2)</f>
        <v>3.75</v>
      </c>
      <c r="L145" s="143"/>
      <c r="M145" s="139">
        <f t="shared" si="39"/>
        <v>0</v>
      </c>
      <c r="N145" s="139">
        <f>'Adjust Depr Table 2'!Q170</f>
        <v>169661.78947368421</v>
      </c>
      <c r="O145" s="139">
        <f t="shared" si="40"/>
        <v>169661.78947368421</v>
      </c>
      <c r="P145" s="242"/>
      <c r="Q145" s="242"/>
    </row>
    <row r="146" spans="1:17" s="19" customFormat="1">
      <c r="A146" s="64"/>
      <c r="B146" s="70" t="s">
        <v>90</v>
      </c>
      <c r="C146" s="71">
        <v>1285806.3799999999</v>
      </c>
      <c r="D146" s="72">
        <v>0</v>
      </c>
      <c r="E146" s="73">
        <v>41213</v>
      </c>
      <c r="F146" s="218">
        <f t="shared" si="36"/>
        <v>41274.384797999992</v>
      </c>
      <c r="G146" s="74">
        <v>3.21</v>
      </c>
      <c r="H146" s="59">
        <f t="shared" si="37"/>
        <v>0</v>
      </c>
      <c r="I146" s="59">
        <f t="shared" si="38"/>
        <v>41213</v>
      </c>
      <c r="K146" s="138">
        <f>ROUND('Adjust Depr Table 2'!S171,2)</f>
        <v>2.85</v>
      </c>
      <c r="L146" s="143"/>
      <c r="M146" s="139">
        <f t="shared" si="39"/>
        <v>0</v>
      </c>
      <c r="N146" s="139">
        <f>'Adjust Depr Table 2'!Q171</f>
        <v>36671.909090909088</v>
      </c>
      <c r="O146" s="139">
        <f t="shared" si="40"/>
        <v>36671.909090909088</v>
      </c>
      <c r="P146" s="242"/>
      <c r="Q146" s="242"/>
    </row>
    <row r="147" spans="1:17" s="19" customFormat="1">
      <c r="A147" s="64"/>
      <c r="B147" s="70" t="s">
        <v>91</v>
      </c>
      <c r="C147" s="71">
        <v>1680579.61</v>
      </c>
      <c r="D147" s="72">
        <v>0</v>
      </c>
      <c r="E147" s="73">
        <v>53645</v>
      </c>
      <c r="F147" s="218">
        <f t="shared" si="36"/>
        <v>53610.489559000001</v>
      </c>
      <c r="G147" s="74">
        <v>3.19</v>
      </c>
      <c r="H147" s="59">
        <f t="shared" si="37"/>
        <v>0</v>
      </c>
      <c r="I147" s="59">
        <f t="shared" si="38"/>
        <v>53645</v>
      </c>
      <c r="K147" s="138">
        <f>ROUND('Adjust Depr Table 2'!S172,2)</f>
        <v>2.85</v>
      </c>
      <c r="L147" s="143"/>
      <c r="M147" s="139">
        <f t="shared" si="39"/>
        <v>0</v>
      </c>
      <c r="N147" s="139">
        <f>'Adjust Depr Table 2'!Q172</f>
        <v>47822.260869565216</v>
      </c>
      <c r="O147" s="139">
        <f t="shared" si="40"/>
        <v>47822.260869565216</v>
      </c>
      <c r="P147" s="242"/>
      <c r="Q147" s="242"/>
    </row>
    <row r="148" spans="1:17" s="19" customFormat="1">
      <c r="A148" s="64"/>
      <c r="B148" s="70" t="s">
        <v>102</v>
      </c>
      <c r="C148" s="71">
        <v>2993753.87</v>
      </c>
      <c r="D148" s="72">
        <v>0</v>
      </c>
      <c r="E148" s="73">
        <v>101657</v>
      </c>
      <c r="F148" s="218">
        <f t="shared" si="36"/>
        <v>101787.63158</v>
      </c>
      <c r="G148" s="74">
        <v>3.4</v>
      </c>
      <c r="H148" s="59">
        <f t="shared" si="37"/>
        <v>0</v>
      </c>
      <c r="I148" s="59">
        <f t="shared" si="38"/>
        <v>101657</v>
      </c>
      <c r="K148" s="138">
        <f>ROUND('Adjust Depr Table 2'!S173,2)</f>
        <v>3.14</v>
      </c>
      <c r="L148" s="143"/>
      <c r="M148" s="139">
        <f t="shared" si="39"/>
        <v>0</v>
      </c>
      <c r="N148" s="139">
        <f>'Adjust Depr Table 2'!Q173</f>
        <v>93949.037037037036</v>
      </c>
      <c r="O148" s="139">
        <f t="shared" si="40"/>
        <v>93949.037037037036</v>
      </c>
      <c r="P148" s="242"/>
      <c r="Q148" s="242"/>
    </row>
    <row r="149" spans="1:17" s="19" customFormat="1">
      <c r="A149" s="64"/>
      <c r="B149" s="70" t="s">
        <v>92</v>
      </c>
      <c r="C149" s="71">
        <v>17086.14</v>
      </c>
      <c r="D149" s="72">
        <v>0</v>
      </c>
      <c r="E149" s="73">
        <v>534</v>
      </c>
      <c r="F149" s="218">
        <f t="shared" si="36"/>
        <v>534.79618199999993</v>
      </c>
      <c r="G149" s="74">
        <v>3.13</v>
      </c>
      <c r="H149" s="59">
        <f t="shared" si="37"/>
        <v>0</v>
      </c>
      <c r="I149" s="59">
        <f t="shared" si="38"/>
        <v>534</v>
      </c>
      <c r="K149" s="138">
        <f>ROUND('Adjust Depr Table 2'!S174,2)</f>
        <v>2.74</v>
      </c>
      <c r="L149" s="143"/>
      <c r="M149" s="139">
        <f t="shared" si="39"/>
        <v>0</v>
      </c>
      <c r="N149" s="139">
        <f>'Adjust Depr Table 2'!Q174</f>
        <v>468.95652173913044</v>
      </c>
      <c r="O149" s="139">
        <f t="shared" si="40"/>
        <v>468.95652173913044</v>
      </c>
      <c r="P149" s="242"/>
      <c r="Q149" s="242"/>
    </row>
    <row r="150" spans="1:17" s="19" customFormat="1">
      <c r="A150" s="64"/>
      <c r="B150" s="70" t="s">
        <v>93</v>
      </c>
      <c r="C150" s="71">
        <v>7457690.5700000003</v>
      </c>
      <c r="D150" s="72">
        <v>0</v>
      </c>
      <c r="E150" s="73">
        <v>192569</v>
      </c>
      <c r="F150" s="218">
        <f t="shared" si="36"/>
        <v>192408.41670600002</v>
      </c>
      <c r="G150" s="74">
        <v>2.58</v>
      </c>
      <c r="H150" s="59">
        <f t="shared" si="37"/>
        <v>0</v>
      </c>
      <c r="I150" s="59">
        <f t="shared" si="38"/>
        <v>192569</v>
      </c>
      <c r="K150" s="138">
        <f>ROUND('Adjust Depr Table 2'!S175,2)</f>
        <v>2.2200000000000002</v>
      </c>
      <c r="L150" s="143"/>
      <c r="M150" s="139">
        <f t="shared" si="39"/>
        <v>0</v>
      </c>
      <c r="N150" s="139">
        <f>'Adjust Depr Table 2'!Q175</f>
        <v>165723.73913043478</v>
      </c>
      <c r="O150" s="139">
        <f t="shared" si="40"/>
        <v>165723.73913043478</v>
      </c>
      <c r="P150" s="242"/>
      <c r="Q150" s="242"/>
    </row>
    <row r="151" spans="1:17" s="19" customFormat="1">
      <c r="A151" s="64"/>
      <c r="B151" s="70" t="s">
        <v>94</v>
      </c>
      <c r="C151" s="71">
        <v>7457690.5700000003</v>
      </c>
      <c r="D151" s="72">
        <v>0</v>
      </c>
      <c r="E151" s="73">
        <v>194328</v>
      </c>
      <c r="F151" s="218">
        <f t="shared" si="36"/>
        <v>194645.72387699998</v>
      </c>
      <c r="G151" s="74">
        <v>2.61</v>
      </c>
      <c r="H151" s="59">
        <f t="shared" si="37"/>
        <v>0</v>
      </c>
      <c r="I151" s="59">
        <f t="shared" si="38"/>
        <v>194328</v>
      </c>
      <c r="K151" s="138">
        <f>ROUND('Adjust Depr Table 2'!S176,2)</f>
        <v>2.2400000000000002</v>
      </c>
      <c r="L151" s="143"/>
      <c r="M151" s="139">
        <f t="shared" si="39"/>
        <v>0</v>
      </c>
      <c r="N151" s="139">
        <f>'Adjust Depr Table 2'!Q176</f>
        <v>167385.26086956522</v>
      </c>
      <c r="O151" s="139">
        <f t="shared" si="40"/>
        <v>167385.26086956522</v>
      </c>
      <c r="P151" s="242"/>
      <c r="Q151" s="242"/>
    </row>
    <row r="152" spans="1:17" s="19" customFormat="1">
      <c r="A152" s="64"/>
      <c r="B152" s="70" t="s">
        <v>95</v>
      </c>
      <c r="C152" s="71">
        <v>7457690.5700000003</v>
      </c>
      <c r="D152" s="72">
        <v>0</v>
      </c>
      <c r="E152" s="73">
        <v>192583</v>
      </c>
      <c r="F152" s="218">
        <f t="shared" si="36"/>
        <v>192408.41670600002</v>
      </c>
      <c r="G152" s="74">
        <v>2.58</v>
      </c>
      <c r="H152" s="59">
        <f t="shared" si="37"/>
        <v>0</v>
      </c>
      <c r="I152" s="59">
        <f t="shared" si="38"/>
        <v>192583</v>
      </c>
      <c r="K152" s="138">
        <f>ROUND('Adjust Depr Table 2'!S177,2)</f>
        <v>2.2200000000000002</v>
      </c>
      <c r="L152" s="143"/>
      <c r="M152" s="139">
        <f t="shared" si="39"/>
        <v>0</v>
      </c>
      <c r="N152" s="139">
        <f>'Adjust Depr Table 2'!Q177</f>
        <v>165736.52173913043</v>
      </c>
      <c r="O152" s="139">
        <f t="shared" si="40"/>
        <v>165736.52173913043</v>
      </c>
      <c r="P152" s="242"/>
      <c r="Q152" s="242"/>
    </row>
    <row r="153" spans="1:17" s="19" customFormat="1">
      <c r="A153" s="64"/>
      <c r="B153" s="70" t="s">
        <v>96</v>
      </c>
      <c r="C153" s="75">
        <v>15810305.550000001</v>
      </c>
      <c r="D153" s="76">
        <v>0</v>
      </c>
      <c r="E153" s="77">
        <v>665756</v>
      </c>
      <c r="F153" s="216">
        <f t="shared" si="36"/>
        <v>665613.86365499999</v>
      </c>
      <c r="G153" s="74">
        <v>4.21</v>
      </c>
      <c r="H153" s="63">
        <f t="shared" si="37"/>
        <v>0</v>
      </c>
      <c r="I153" s="63">
        <f t="shared" si="38"/>
        <v>665756</v>
      </c>
      <c r="K153" s="138">
        <f>ROUND('Adjust Depr Table 2'!S178,2)</f>
        <v>3.96</v>
      </c>
      <c r="L153" s="143"/>
      <c r="M153" s="140">
        <f t="shared" si="39"/>
        <v>0</v>
      </c>
      <c r="N153" s="140">
        <f>'Adjust Depr Table 2'!Q178</f>
        <v>625304.73913043481</v>
      </c>
      <c r="O153" s="140">
        <f t="shared" si="40"/>
        <v>625304.73913043481</v>
      </c>
      <c r="P153" s="242"/>
      <c r="Q153" s="242"/>
    </row>
    <row r="154" spans="1:17" s="19" customFormat="1">
      <c r="A154" s="64"/>
      <c r="B154" s="78" t="s">
        <v>103</v>
      </c>
      <c r="C154" s="71">
        <f>SUM(C133:C153)</f>
        <v>104582841.48999999</v>
      </c>
      <c r="D154" s="72">
        <f>SUM(D133:D153)</f>
        <v>0</v>
      </c>
      <c r="E154" s="72">
        <f>SUM(E133:E153)</f>
        <v>3327688</v>
      </c>
      <c r="F154" s="221">
        <f>SUM(F133:F153)</f>
        <v>3327792.5218000007</v>
      </c>
      <c r="G154" s="74">
        <f>+ROUND(E154/C154*100,2)</f>
        <v>3.18</v>
      </c>
      <c r="H154" s="72">
        <f>SUM(H133:H153)</f>
        <v>0</v>
      </c>
      <c r="I154" s="72">
        <f>SUM(I133:I153)</f>
        <v>3327688</v>
      </c>
      <c r="K154" s="138"/>
      <c r="L154" s="143"/>
      <c r="M154" s="145">
        <f>SUM(M133:M153)</f>
        <v>0</v>
      </c>
      <c r="N154" s="145">
        <f>SUM(N133:N153)</f>
        <v>2583039.3369971286</v>
      </c>
      <c r="O154" s="145">
        <f>SUM(O133:O153)</f>
        <v>2583039.3369971286</v>
      </c>
      <c r="P154" s="242"/>
      <c r="Q154" s="242"/>
    </row>
    <row r="155" spans="1:17" s="19" customFormat="1">
      <c r="A155" s="64">
        <v>345</v>
      </c>
      <c r="B155" s="65" t="s">
        <v>71</v>
      </c>
      <c r="C155" s="65"/>
      <c r="D155" s="66"/>
      <c r="E155" s="67"/>
      <c r="F155" s="219"/>
      <c r="G155" s="68"/>
      <c r="H155" s="69"/>
      <c r="I155" s="69"/>
      <c r="K155" s="142"/>
      <c r="L155" s="143"/>
      <c r="M155" s="144"/>
      <c r="N155" s="144"/>
      <c r="O155" s="144"/>
      <c r="P155" s="242"/>
      <c r="Q155" s="242"/>
    </row>
    <row r="156" spans="1:17" s="19" customFormat="1">
      <c r="A156" s="64"/>
      <c r="B156" s="70" t="s">
        <v>77</v>
      </c>
      <c r="C156" s="71">
        <v>9876096.8200000003</v>
      </c>
      <c r="D156" s="72">
        <v>0</v>
      </c>
      <c r="E156" s="73">
        <v>228225</v>
      </c>
      <c r="F156" s="218">
        <f t="shared" ref="F156:F175" si="41">C156*G156/100</f>
        <v>228137.83654200003</v>
      </c>
      <c r="G156" s="74">
        <v>2.31</v>
      </c>
      <c r="H156" s="59">
        <f t="shared" ref="H156:H175" si="42">ROUND(D156*(G156/100),0)</f>
        <v>0</v>
      </c>
      <c r="I156" s="59">
        <f t="shared" ref="I156:I175" si="43">E156-H156</f>
        <v>228225</v>
      </c>
      <c r="K156" s="138">
        <f>ROUND('Adjust Depr Table 2'!S183,2)</f>
        <v>1.6</v>
      </c>
      <c r="L156" s="143"/>
      <c r="M156" s="139">
        <f t="shared" ref="M156:M175" si="44">ROUND(D156*(K156/100),0)</f>
        <v>0</v>
      </c>
      <c r="N156" s="139">
        <f>'Adjust Depr Table 2'!Q183</f>
        <v>158447.91666666666</v>
      </c>
      <c r="O156" s="139">
        <f t="shared" ref="O156:O175" si="45">N156-M156</f>
        <v>158447.91666666666</v>
      </c>
      <c r="P156" s="242"/>
      <c r="Q156" s="242"/>
    </row>
    <row r="157" spans="1:17" s="19" customFormat="1">
      <c r="A157" s="64"/>
      <c r="B157" s="70" t="s">
        <v>78</v>
      </c>
      <c r="C157" s="71">
        <v>1039394.43</v>
      </c>
      <c r="D157" s="72">
        <v>0</v>
      </c>
      <c r="E157" s="73">
        <v>34465</v>
      </c>
      <c r="F157" s="218">
        <f t="shared" si="41"/>
        <v>34507.895076000001</v>
      </c>
      <c r="G157" s="74">
        <v>3.32</v>
      </c>
      <c r="H157" s="59">
        <f t="shared" si="42"/>
        <v>0</v>
      </c>
      <c r="I157" s="59">
        <f t="shared" si="43"/>
        <v>34465</v>
      </c>
      <c r="K157" s="138">
        <f>ROUND('Adjust Depr Table 2'!S184,2)</f>
        <v>1.66</v>
      </c>
      <c r="L157" s="143"/>
      <c r="M157" s="139">
        <f t="shared" si="44"/>
        <v>0</v>
      </c>
      <c r="N157" s="139">
        <f>'Adjust Depr Table 2'!Q184</f>
        <v>17223.8</v>
      </c>
      <c r="O157" s="139">
        <f t="shared" si="45"/>
        <v>17223.8</v>
      </c>
      <c r="P157" s="242"/>
      <c r="Q157" s="242"/>
    </row>
    <row r="158" spans="1:17" s="19" customFormat="1">
      <c r="A158" s="64"/>
      <c r="B158" s="70" t="s">
        <v>79</v>
      </c>
      <c r="C158" s="71">
        <v>1039395.53</v>
      </c>
      <c r="D158" s="72">
        <v>0</v>
      </c>
      <c r="E158" s="73">
        <v>33870</v>
      </c>
      <c r="F158" s="218">
        <f t="shared" si="41"/>
        <v>33884.294277999994</v>
      </c>
      <c r="G158" s="74">
        <v>3.26</v>
      </c>
      <c r="H158" s="59">
        <f t="shared" si="42"/>
        <v>0</v>
      </c>
      <c r="I158" s="59">
        <f t="shared" si="43"/>
        <v>33870</v>
      </c>
      <c r="K158" s="138">
        <f>ROUND('Adjust Depr Table 2'!S185,2)</f>
        <v>1.63</v>
      </c>
      <c r="L158" s="143"/>
      <c r="M158" s="139">
        <f t="shared" si="44"/>
        <v>0</v>
      </c>
      <c r="N158" s="139">
        <f>'Adjust Depr Table 2'!Q185</f>
        <v>16897.599999999999</v>
      </c>
      <c r="O158" s="139">
        <f t="shared" si="45"/>
        <v>16897.599999999999</v>
      </c>
      <c r="P158" s="242"/>
      <c r="Q158" s="242"/>
    </row>
    <row r="159" spans="1:17" s="19" customFormat="1">
      <c r="A159" s="64"/>
      <c r="B159" s="70" t="s">
        <v>80</v>
      </c>
      <c r="C159" s="71">
        <v>1039395.53</v>
      </c>
      <c r="D159" s="72">
        <v>0</v>
      </c>
      <c r="E159" s="73">
        <v>34158</v>
      </c>
      <c r="F159" s="218">
        <f t="shared" si="41"/>
        <v>34196.112937000005</v>
      </c>
      <c r="G159" s="74">
        <v>3.29</v>
      </c>
      <c r="H159" s="59">
        <f t="shared" si="42"/>
        <v>0</v>
      </c>
      <c r="I159" s="59">
        <f t="shared" si="43"/>
        <v>34158</v>
      </c>
      <c r="K159" s="138">
        <f>ROUND('Adjust Depr Table 2'!S186,2)</f>
        <v>1.64</v>
      </c>
      <c r="L159" s="143"/>
      <c r="M159" s="139">
        <f t="shared" si="44"/>
        <v>0</v>
      </c>
      <c r="N159" s="139">
        <f>'Adjust Depr Table 2'!Q186</f>
        <v>17055.48</v>
      </c>
      <c r="O159" s="139">
        <f t="shared" si="45"/>
        <v>17055.48</v>
      </c>
      <c r="P159" s="242"/>
      <c r="Q159" s="242"/>
    </row>
    <row r="160" spans="1:17" s="19" customFormat="1">
      <c r="A160" s="64"/>
      <c r="B160" s="70" t="s">
        <v>81</v>
      </c>
      <c r="C160" s="71">
        <v>993996.86</v>
      </c>
      <c r="D160" s="72">
        <v>0</v>
      </c>
      <c r="E160" s="73">
        <v>28629</v>
      </c>
      <c r="F160" s="218">
        <f t="shared" si="41"/>
        <v>28627.109568</v>
      </c>
      <c r="G160" s="74">
        <v>2.88</v>
      </c>
      <c r="H160" s="59">
        <f t="shared" si="42"/>
        <v>0</v>
      </c>
      <c r="I160" s="59">
        <f t="shared" si="43"/>
        <v>28629</v>
      </c>
      <c r="K160" s="138">
        <f>ROUND('Adjust Depr Table 2'!S187,2)</f>
        <v>1.95</v>
      </c>
      <c r="L160" s="143"/>
      <c r="M160" s="139">
        <f t="shared" si="44"/>
        <v>0</v>
      </c>
      <c r="N160" s="139">
        <f>'Adjust Depr Table 2'!Q187</f>
        <v>19384.481481481482</v>
      </c>
      <c r="O160" s="139">
        <f t="shared" si="45"/>
        <v>19384.481481481482</v>
      </c>
      <c r="P160" s="242"/>
      <c r="Q160" s="242"/>
    </row>
    <row r="161" spans="1:17" s="19" customFormat="1">
      <c r="A161" s="64"/>
      <c r="B161" s="70" t="s">
        <v>82</v>
      </c>
      <c r="C161" s="71">
        <v>993996.86</v>
      </c>
      <c r="D161" s="72">
        <v>0</v>
      </c>
      <c r="E161" s="73">
        <v>28726</v>
      </c>
      <c r="F161" s="218">
        <f t="shared" si="41"/>
        <v>28726.509254000001</v>
      </c>
      <c r="G161" s="74">
        <v>2.89</v>
      </c>
      <c r="H161" s="59">
        <f t="shared" si="42"/>
        <v>0</v>
      </c>
      <c r="I161" s="59">
        <f t="shared" si="43"/>
        <v>28726</v>
      </c>
      <c r="K161" s="138">
        <f>ROUND('Adjust Depr Table 2'!S188,2)</f>
        <v>1.96</v>
      </c>
      <c r="L161" s="143"/>
      <c r="M161" s="139">
        <f t="shared" si="44"/>
        <v>0</v>
      </c>
      <c r="N161" s="139">
        <f>'Adjust Depr Table 2'!Q188</f>
        <v>19455.037037037036</v>
      </c>
      <c r="O161" s="139">
        <f t="shared" si="45"/>
        <v>19455.037037037036</v>
      </c>
      <c r="P161" s="242"/>
      <c r="Q161" s="242"/>
    </row>
    <row r="162" spans="1:17" s="19" customFormat="1">
      <c r="A162" s="64"/>
      <c r="B162" s="70" t="s">
        <v>83</v>
      </c>
      <c r="C162" s="71">
        <v>1251472.92</v>
      </c>
      <c r="D162" s="72">
        <v>0</v>
      </c>
      <c r="E162" s="73">
        <v>36166</v>
      </c>
      <c r="F162" s="218">
        <f t="shared" si="41"/>
        <v>36167.567387999996</v>
      </c>
      <c r="G162" s="74">
        <v>2.89</v>
      </c>
      <c r="H162" s="59">
        <f t="shared" si="42"/>
        <v>0</v>
      </c>
      <c r="I162" s="59">
        <f t="shared" si="43"/>
        <v>36166</v>
      </c>
      <c r="K162" s="138">
        <f>ROUND('Adjust Depr Table 2'!S189,2)</f>
        <v>2.0499999999999998</v>
      </c>
      <c r="L162" s="143"/>
      <c r="M162" s="139">
        <f t="shared" si="44"/>
        <v>0</v>
      </c>
      <c r="N162" s="139">
        <f>'Adjust Depr Table 2'!Q189</f>
        <v>25603.193548387098</v>
      </c>
      <c r="O162" s="139">
        <f t="shared" si="45"/>
        <v>25603.193548387098</v>
      </c>
      <c r="P162" s="242"/>
      <c r="Q162" s="242"/>
    </row>
    <row r="163" spans="1:17" s="19" customFormat="1">
      <c r="A163" s="64"/>
      <c r="B163" s="70" t="s">
        <v>84</v>
      </c>
      <c r="C163" s="71">
        <v>1220275.5900000001</v>
      </c>
      <c r="D163" s="72">
        <v>0</v>
      </c>
      <c r="E163" s="73">
        <v>35265</v>
      </c>
      <c r="F163" s="218">
        <f t="shared" si="41"/>
        <v>35265.964551000005</v>
      </c>
      <c r="G163" s="74">
        <v>2.89</v>
      </c>
      <c r="H163" s="59">
        <f t="shared" si="42"/>
        <v>0</v>
      </c>
      <c r="I163" s="59">
        <f t="shared" si="43"/>
        <v>35265</v>
      </c>
      <c r="K163" s="138">
        <f>ROUND('Adjust Depr Table 2'!S190,2)</f>
        <v>2.0499999999999998</v>
      </c>
      <c r="L163" s="143"/>
      <c r="M163" s="139">
        <f t="shared" si="44"/>
        <v>0</v>
      </c>
      <c r="N163" s="139">
        <f>'Adjust Depr Table 2'!Q190</f>
        <v>24965.258064516129</v>
      </c>
      <c r="O163" s="139">
        <f t="shared" si="45"/>
        <v>24965.258064516129</v>
      </c>
      <c r="P163" s="242"/>
      <c r="Q163" s="242"/>
    </row>
    <row r="164" spans="1:17" s="19" customFormat="1">
      <c r="A164" s="64"/>
      <c r="B164" s="70" t="s">
        <v>85</v>
      </c>
      <c r="C164" s="71">
        <v>12040203.140000001</v>
      </c>
      <c r="D164" s="72">
        <v>0</v>
      </c>
      <c r="E164" s="73">
        <v>365915</v>
      </c>
      <c r="F164" s="218">
        <f t="shared" si="41"/>
        <v>366022.17545600003</v>
      </c>
      <c r="G164" s="74">
        <v>3.04</v>
      </c>
      <c r="H164" s="59">
        <f t="shared" si="42"/>
        <v>0</v>
      </c>
      <c r="I164" s="59">
        <f t="shared" si="43"/>
        <v>365915</v>
      </c>
      <c r="K164" s="138">
        <f>ROUND('Adjust Depr Table 2'!S191,2)</f>
        <v>2.25</v>
      </c>
      <c r="L164" s="143"/>
      <c r="M164" s="139">
        <f t="shared" si="44"/>
        <v>0</v>
      </c>
      <c r="N164" s="139">
        <f>'Adjust Depr Table 2'!Q191</f>
        <v>270815.75</v>
      </c>
      <c r="O164" s="139">
        <f t="shared" si="45"/>
        <v>270815.75</v>
      </c>
      <c r="P164" s="242"/>
      <c r="Q164" s="242"/>
    </row>
    <row r="165" spans="1:17" s="19" customFormat="1">
      <c r="A165" s="64"/>
      <c r="B165" s="70" t="s">
        <v>86</v>
      </c>
      <c r="C165" s="71">
        <v>1879693.27</v>
      </c>
      <c r="D165" s="72">
        <v>0</v>
      </c>
      <c r="E165" s="73">
        <v>52810</v>
      </c>
      <c r="F165" s="218">
        <f t="shared" si="41"/>
        <v>52819.380886999999</v>
      </c>
      <c r="G165" s="74">
        <v>2.81</v>
      </c>
      <c r="H165" s="59">
        <f t="shared" si="42"/>
        <v>0</v>
      </c>
      <c r="I165" s="59">
        <f t="shared" si="43"/>
        <v>52810</v>
      </c>
      <c r="K165" s="138">
        <f>ROUND('Adjust Depr Table 2'!S192,2)</f>
        <v>2.0699999999999998</v>
      </c>
      <c r="L165" s="143"/>
      <c r="M165" s="139">
        <f t="shared" si="44"/>
        <v>0</v>
      </c>
      <c r="N165" s="139">
        <f>'Adjust Depr Table 2'!Q192</f>
        <v>38926.972222222219</v>
      </c>
      <c r="O165" s="139">
        <f t="shared" si="45"/>
        <v>38926.972222222219</v>
      </c>
      <c r="P165" s="242"/>
      <c r="Q165" s="242"/>
    </row>
    <row r="166" spans="1:17" s="19" customFormat="1">
      <c r="A166" s="64"/>
      <c r="B166" s="70" t="s">
        <v>87</v>
      </c>
      <c r="C166" s="71">
        <v>344891.29</v>
      </c>
      <c r="D166" s="72">
        <v>0</v>
      </c>
      <c r="E166" s="73">
        <v>11575</v>
      </c>
      <c r="F166" s="218">
        <f t="shared" si="41"/>
        <v>11588.347344</v>
      </c>
      <c r="G166" s="74">
        <v>3.36</v>
      </c>
      <c r="H166" s="59">
        <f t="shared" si="42"/>
        <v>0</v>
      </c>
      <c r="I166" s="59">
        <f t="shared" si="43"/>
        <v>11575</v>
      </c>
      <c r="K166" s="138">
        <f>ROUND('Adjust Depr Table 2'!S193,2)</f>
        <v>2.97</v>
      </c>
      <c r="L166" s="143"/>
      <c r="M166" s="139">
        <f t="shared" si="44"/>
        <v>0</v>
      </c>
      <c r="N166" s="139">
        <f>'Adjust Depr Table 2'!Q193</f>
        <v>10237.473684210527</v>
      </c>
      <c r="O166" s="139">
        <f t="shared" si="45"/>
        <v>10237.473684210527</v>
      </c>
      <c r="P166" s="242"/>
      <c r="Q166" s="242"/>
    </row>
    <row r="167" spans="1:17" s="19" customFormat="1">
      <c r="A167" s="64"/>
      <c r="B167" s="70" t="s">
        <v>88</v>
      </c>
      <c r="C167" s="71">
        <v>386164.65</v>
      </c>
      <c r="D167" s="72">
        <v>0</v>
      </c>
      <c r="E167" s="73">
        <v>12961</v>
      </c>
      <c r="F167" s="218">
        <f t="shared" si="41"/>
        <v>12975.132239999999</v>
      </c>
      <c r="G167" s="74">
        <v>3.36</v>
      </c>
      <c r="H167" s="59">
        <f t="shared" si="42"/>
        <v>0</v>
      </c>
      <c r="I167" s="59">
        <f t="shared" si="43"/>
        <v>12961</v>
      </c>
      <c r="K167" s="138">
        <f>ROUND('Adjust Depr Table 2'!S194,2)</f>
        <v>2.97</v>
      </c>
      <c r="L167" s="143"/>
      <c r="M167" s="139">
        <f t="shared" si="44"/>
        <v>0</v>
      </c>
      <c r="N167" s="139">
        <f>'Adjust Depr Table 2'!Q194</f>
        <v>11462.631578947368</v>
      </c>
      <c r="O167" s="139">
        <f t="shared" si="45"/>
        <v>11462.631578947368</v>
      </c>
      <c r="P167" s="242"/>
      <c r="Q167" s="242"/>
    </row>
    <row r="168" spans="1:17" s="19" customFormat="1">
      <c r="A168" s="64"/>
      <c r="B168" s="70" t="s">
        <v>89</v>
      </c>
      <c r="C168" s="71">
        <v>357452.26</v>
      </c>
      <c r="D168" s="72">
        <v>0</v>
      </c>
      <c r="E168" s="73">
        <v>11997</v>
      </c>
      <c r="F168" s="218">
        <f t="shared" si="41"/>
        <v>12010.395936000001</v>
      </c>
      <c r="G168" s="74">
        <v>3.36</v>
      </c>
      <c r="H168" s="59">
        <f t="shared" si="42"/>
        <v>0</v>
      </c>
      <c r="I168" s="59">
        <f t="shared" si="43"/>
        <v>11997</v>
      </c>
      <c r="K168" s="138">
        <f>ROUND('Adjust Depr Table 2'!S195,2)</f>
        <v>2.97</v>
      </c>
      <c r="L168" s="143"/>
      <c r="M168" s="139">
        <f t="shared" si="44"/>
        <v>0</v>
      </c>
      <c r="N168" s="139">
        <f>'Adjust Depr Table 2'!Q195</f>
        <v>10610.315789473685</v>
      </c>
      <c r="O168" s="139">
        <f t="shared" si="45"/>
        <v>10610.315789473685</v>
      </c>
      <c r="P168" s="242"/>
      <c r="Q168" s="242"/>
    </row>
    <row r="169" spans="1:17" s="19" customFormat="1">
      <c r="A169" s="64"/>
      <c r="B169" s="70" t="s">
        <v>90</v>
      </c>
      <c r="C169" s="71">
        <v>452676.95</v>
      </c>
      <c r="D169" s="72">
        <v>0</v>
      </c>
      <c r="E169" s="73">
        <v>14838</v>
      </c>
      <c r="F169" s="218">
        <f t="shared" si="41"/>
        <v>14847.803959999999</v>
      </c>
      <c r="G169" s="74">
        <v>3.28</v>
      </c>
      <c r="H169" s="59">
        <f t="shared" si="42"/>
        <v>0</v>
      </c>
      <c r="I169" s="59">
        <f t="shared" si="43"/>
        <v>14838</v>
      </c>
      <c r="K169" s="138">
        <f>ROUND('Adjust Depr Table 2'!S196,2)</f>
        <v>2.92</v>
      </c>
      <c r="L169" s="143"/>
      <c r="M169" s="139">
        <f t="shared" si="44"/>
        <v>0</v>
      </c>
      <c r="N169" s="139">
        <f>'Adjust Depr Table 2'!Q196</f>
        <v>13212.90909090909</v>
      </c>
      <c r="O169" s="139">
        <f t="shared" si="45"/>
        <v>13212.90909090909</v>
      </c>
      <c r="P169" s="242"/>
      <c r="Q169" s="242"/>
    </row>
    <row r="170" spans="1:17" s="19" customFormat="1">
      <c r="A170" s="64"/>
      <c r="B170" s="70" t="s">
        <v>91</v>
      </c>
      <c r="C170" s="71">
        <v>406784.25</v>
      </c>
      <c r="D170" s="72">
        <v>0</v>
      </c>
      <c r="E170" s="73">
        <v>13247</v>
      </c>
      <c r="F170" s="218">
        <f t="shared" si="41"/>
        <v>13261.16655</v>
      </c>
      <c r="G170" s="74">
        <v>3.26</v>
      </c>
      <c r="H170" s="59">
        <f t="shared" si="42"/>
        <v>0</v>
      </c>
      <c r="I170" s="59">
        <f t="shared" si="43"/>
        <v>13247</v>
      </c>
      <c r="K170" s="138">
        <f>ROUND('Adjust Depr Table 2'!S197,2)</f>
        <v>2.9</v>
      </c>
      <c r="L170" s="143"/>
      <c r="M170" s="139">
        <f t="shared" si="44"/>
        <v>0</v>
      </c>
      <c r="N170" s="139">
        <f>'Adjust Depr Table 2'!Q197</f>
        <v>11816.347826086956</v>
      </c>
      <c r="O170" s="139">
        <f t="shared" si="45"/>
        <v>11816.347826086956</v>
      </c>
      <c r="P170" s="242"/>
      <c r="Q170" s="242"/>
    </row>
    <row r="171" spans="1:17" s="19" customFormat="1">
      <c r="A171" s="64"/>
      <c r="B171" s="70" t="s">
        <v>92</v>
      </c>
      <c r="C171" s="71">
        <v>3028262.11</v>
      </c>
      <c r="D171" s="72">
        <v>0</v>
      </c>
      <c r="E171" s="73">
        <v>85436</v>
      </c>
      <c r="F171" s="218">
        <f t="shared" si="41"/>
        <v>85396.991502000004</v>
      </c>
      <c r="G171" s="74">
        <v>2.82</v>
      </c>
      <c r="H171" s="59">
        <f t="shared" si="42"/>
        <v>0</v>
      </c>
      <c r="I171" s="59">
        <f t="shared" si="43"/>
        <v>85436</v>
      </c>
      <c r="K171" s="138">
        <f>ROUND('Adjust Depr Table 2'!S198,2)</f>
        <v>2.4500000000000002</v>
      </c>
      <c r="L171" s="143"/>
      <c r="M171" s="139">
        <f t="shared" si="44"/>
        <v>0</v>
      </c>
      <c r="N171" s="139">
        <f>'Adjust Depr Table 2'!Q198</f>
        <v>74141.391304347824</v>
      </c>
      <c r="O171" s="139">
        <f t="shared" si="45"/>
        <v>74141.391304347824</v>
      </c>
      <c r="P171" s="242"/>
      <c r="Q171" s="242"/>
    </row>
    <row r="172" spans="1:17" s="19" customFormat="1">
      <c r="A172" s="64"/>
      <c r="B172" s="70" t="s">
        <v>93</v>
      </c>
      <c r="C172" s="71">
        <v>386034.41</v>
      </c>
      <c r="D172" s="72">
        <v>0</v>
      </c>
      <c r="E172" s="73">
        <v>10310</v>
      </c>
      <c r="F172" s="218">
        <f t="shared" si="41"/>
        <v>10307.118746999999</v>
      </c>
      <c r="G172" s="74">
        <v>2.67</v>
      </c>
      <c r="H172" s="59">
        <f t="shared" si="42"/>
        <v>0</v>
      </c>
      <c r="I172" s="59">
        <f t="shared" si="43"/>
        <v>10310</v>
      </c>
      <c r="K172" s="138">
        <f>ROUND('Adjust Depr Table 2'!S199,2)</f>
        <v>2.31</v>
      </c>
      <c r="L172" s="143"/>
      <c r="M172" s="139">
        <f t="shared" si="44"/>
        <v>0</v>
      </c>
      <c r="N172" s="139">
        <f>'Adjust Depr Table 2'!Q199</f>
        <v>8901.9130434782601</v>
      </c>
      <c r="O172" s="139">
        <f t="shared" si="45"/>
        <v>8901.9130434782601</v>
      </c>
      <c r="P172" s="242"/>
      <c r="Q172" s="242"/>
    </row>
    <row r="173" spans="1:17" s="19" customFormat="1">
      <c r="A173" s="64"/>
      <c r="B173" s="70" t="s">
        <v>94</v>
      </c>
      <c r="C173" s="71">
        <v>386034.41</v>
      </c>
      <c r="D173" s="72">
        <v>0</v>
      </c>
      <c r="E173" s="73">
        <v>10398</v>
      </c>
      <c r="F173" s="218">
        <f t="shared" si="41"/>
        <v>10384.325628999999</v>
      </c>
      <c r="G173" s="74">
        <v>2.69</v>
      </c>
      <c r="H173" s="59">
        <f t="shared" si="42"/>
        <v>0</v>
      </c>
      <c r="I173" s="59">
        <f t="shared" si="43"/>
        <v>10398</v>
      </c>
      <c r="K173" s="138">
        <f>ROUND('Adjust Depr Table 2'!S200,2)</f>
        <v>2.33</v>
      </c>
      <c r="L173" s="143"/>
      <c r="M173" s="139">
        <f t="shared" si="44"/>
        <v>0</v>
      </c>
      <c r="N173" s="139">
        <f>'Adjust Depr Table 2'!Q200</f>
        <v>8984.565217391304</v>
      </c>
      <c r="O173" s="139">
        <f t="shared" si="45"/>
        <v>8984.565217391304</v>
      </c>
      <c r="P173" s="242"/>
      <c r="Q173" s="242"/>
    </row>
    <row r="174" spans="1:17" s="19" customFormat="1">
      <c r="A174" s="64"/>
      <c r="B174" s="70" t="s">
        <v>95</v>
      </c>
      <c r="C174" s="71">
        <v>386034.41</v>
      </c>
      <c r="D174" s="72">
        <v>0</v>
      </c>
      <c r="E174" s="73">
        <v>10311</v>
      </c>
      <c r="F174" s="218">
        <f t="shared" si="41"/>
        <v>10307.118746999999</v>
      </c>
      <c r="G174" s="74">
        <v>2.67</v>
      </c>
      <c r="H174" s="59">
        <f t="shared" si="42"/>
        <v>0</v>
      </c>
      <c r="I174" s="59">
        <f t="shared" si="43"/>
        <v>10311</v>
      </c>
      <c r="K174" s="138">
        <f>ROUND('Adjust Depr Table 2'!S201,2)</f>
        <v>2.31</v>
      </c>
      <c r="L174" s="143"/>
      <c r="M174" s="139">
        <f t="shared" si="44"/>
        <v>0</v>
      </c>
      <c r="N174" s="139">
        <f>'Adjust Depr Table 2'!Q201</f>
        <v>8902.565217391304</v>
      </c>
      <c r="O174" s="139">
        <f t="shared" si="45"/>
        <v>8902.565217391304</v>
      </c>
      <c r="P174" s="242"/>
      <c r="Q174" s="242"/>
    </row>
    <row r="175" spans="1:17" s="19" customFormat="1">
      <c r="A175" s="64"/>
      <c r="B175" s="70" t="s">
        <v>96</v>
      </c>
      <c r="C175" s="75">
        <v>779800</v>
      </c>
      <c r="D175" s="76">
        <v>0</v>
      </c>
      <c r="E175" s="77">
        <v>32964</v>
      </c>
      <c r="F175" s="216">
        <f t="shared" si="41"/>
        <v>32985.540000000008</v>
      </c>
      <c r="G175" s="74">
        <v>4.2300000000000004</v>
      </c>
      <c r="H175" s="63">
        <f t="shared" si="42"/>
        <v>0</v>
      </c>
      <c r="I175" s="63">
        <f t="shared" si="43"/>
        <v>32964</v>
      </c>
      <c r="K175" s="138">
        <f>ROUND('Adjust Depr Table 2'!S202,2)</f>
        <v>3.97</v>
      </c>
      <c r="L175" s="143"/>
      <c r="M175" s="140">
        <f t="shared" si="44"/>
        <v>0</v>
      </c>
      <c r="N175" s="140">
        <f>'Adjust Depr Table 2'!Q202</f>
        <v>30962.217391304348</v>
      </c>
      <c r="O175" s="140">
        <f t="shared" si="45"/>
        <v>30962.217391304348</v>
      </c>
      <c r="P175" s="242"/>
      <c r="Q175" s="242"/>
    </row>
    <row r="176" spans="1:17" s="19" customFormat="1">
      <c r="A176" s="64"/>
      <c r="B176" s="78" t="s">
        <v>72</v>
      </c>
      <c r="C176" s="71">
        <f>SUM(C156:C175)</f>
        <v>38288055.68999999</v>
      </c>
      <c r="D176" s="72">
        <f>SUM(D156:D175)</f>
        <v>0</v>
      </c>
      <c r="E176" s="72">
        <f>SUM(E156:E175)</f>
        <v>1092266</v>
      </c>
      <c r="F176" s="221">
        <f>SUM(F156:F175)</f>
        <v>1092418.7865919999</v>
      </c>
      <c r="G176" s="74">
        <f>+ROUND(E176/C176*100,2)</f>
        <v>2.85</v>
      </c>
      <c r="H176" s="72">
        <f>SUM(H156:H175)</f>
        <v>0</v>
      </c>
      <c r="I176" s="72">
        <f>SUM(I156:I175)</f>
        <v>1092266</v>
      </c>
      <c r="K176" s="138"/>
      <c r="L176" s="143"/>
      <c r="M176" s="145">
        <f>SUM(M156:M175)</f>
        <v>0</v>
      </c>
      <c r="N176" s="145">
        <f>SUM(N156:N175)</f>
        <v>798007.81916385132</v>
      </c>
      <c r="O176" s="145">
        <f>SUM(O156:O175)</f>
        <v>798007.81916385132</v>
      </c>
      <c r="P176" s="242"/>
      <c r="Q176" s="242"/>
    </row>
    <row r="177" spans="1:17" s="19" customFormat="1">
      <c r="A177" s="64">
        <v>346</v>
      </c>
      <c r="B177" s="65" t="s">
        <v>73</v>
      </c>
      <c r="C177" s="65"/>
      <c r="D177" s="66"/>
      <c r="E177" s="67"/>
      <c r="F177" s="219"/>
      <c r="G177" s="68"/>
      <c r="H177" s="69"/>
      <c r="I177" s="69"/>
      <c r="K177" s="142"/>
      <c r="L177" s="143"/>
      <c r="M177" s="144"/>
      <c r="N177" s="144"/>
      <c r="O177" s="144"/>
      <c r="P177" s="242"/>
      <c r="Q177" s="242"/>
    </row>
    <row r="178" spans="1:17" s="19" customFormat="1">
      <c r="A178" s="64"/>
      <c r="B178" s="70" t="s">
        <v>77</v>
      </c>
      <c r="C178" s="71">
        <v>15528635.619999999</v>
      </c>
      <c r="D178" s="72">
        <v>0</v>
      </c>
      <c r="E178" s="73">
        <v>439927</v>
      </c>
      <c r="F178" s="218">
        <f t="shared" ref="F178:F183" si="46">C178*G178/100</f>
        <v>439460.38804599998</v>
      </c>
      <c r="G178" s="74">
        <v>2.83</v>
      </c>
      <c r="H178" s="59">
        <f t="shared" ref="H178:H183" si="47">ROUND(D178*(G178/100),0)</f>
        <v>0</v>
      </c>
      <c r="I178" s="59">
        <f t="shared" ref="I178:I183" si="48">E178-H178</f>
        <v>439927</v>
      </c>
      <c r="K178" s="138">
        <f>ROUND('Adjust Depr Table 2'!S207,2)</f>
        <v>1.97</v>
      </c>
      <c r="L178" s="143"/>
      <c r="M178" s="139">
        <f t="shared" ref="M178:M183" si="49">ROUND(D178*(K178/100),0)</f>
        <v>0</v>
      </c>
      <c r="N178" s="139">
        <f>'Adjust Depr Table 2'!Q207</f>
        <v>305876.33333333331</v>
      </c>
      <c r="O178" s="139">
        <f t="shared" ref="O178:O183" si="50">N178-M178</f>
        <v>305876.33333333331</v>
      </c>
      <c r="P178" s="242"/>
      <c r="Q178" s="242"/>
    </row>
    <row r="179" spans="1:17" s="19" customFormat="1">
      <c r="A179" s="64"/>
      <c r="B179" s="70" t="s">
        <v>87</v>
      </c>
      <c r="C179" s="71">
        <v>91253.04</v>
      </c>
      <c r="D179" s="72">
        <v>0</v>
      </c>
      <c r="E179" s="73">
        <v>3194</v>
      </c>
      <c r="F179" s="218">
        <f t="shared" si="46"/>
        <v>3193.8563999999997</v>
      </c>
      <c r="G179" s="74">
        <v>3.5</v>
      </c>
      <c r="H179" s="59">
        <f t="shared" si="47"/>
        <v>0</v>
      </c>
      <c r="I179" s="59">
        <f t="shared" si="48"/>
        <v>3194</v>
      </c>
      <c r="K179" s="138">
        <f>ROUND('Adjust Depr Table 2'!S208,2)</f>
        <v>2.96</v>
      </c>
      <c r="L179" s="143"/>
      <c r="M179" s="139">
        <f t="shared" si="49"/>
        <v>0</v>
      </c>
      <c r="N179" s="139">
        <f>'Adjust Depr Table 2'!Q208</f>
        <v>2699.9473684210525</v>
      </c>
      <c r="O179" s="139">
        <f t="shared" si="50"/>
        <v>2699.9473684210525</v>
      </c>
      <c r="P179" s="242"/>
      <c r="Q179" s="242"/>
    </row>
    <row r="180" spans="1:17" s="19" customFormat="1">
      <c r="A180" s="64"/>
      <c r="B180" s="70" t="s">
        <v>88</v>
      </c>
      <c r="C180" s="71">
        <v>103431.55</v>
      </c>
      <c r="D180" s="72">
        <v>0</v>
      </c>
      <c r="E180" s="73">
        <v>4555</v>
      </c>
      <c r="F180" s="218">
        <f t="shared" si="46"/>
        <v>4550.9882000000007</v>
      </c>
      <c r="G180" s="74">
        <v>4.4000000000000004</v>
      </c>
      <c r="H180" s="59">
        <f t="shared" si="47"/>
        <v>0</v>
      </c>
      <c r="I180" s="59">
        <f t="shared" si="48"/>
        <v>4555</v>
      </c>
      <c r="K180" s="138">
        <f>ROUND('Adjust Depr Table 2'!S209,2)</f>
        <v>4.0599999999999996</v>
      </c>
      <c r="L180" s="143"/>
      <c r="M180" s="139">
        <f t="shared" si="49"/>
        <v>0</v>
      </c>
      <c r="N180" s="139">
        <f>'Adjust Depr Table 2'!Q209</f>
        <v>4202</v>
      </c>
      <c r="O180" s="139">
        <f t="shared" si="50"/>
        <v>4202</v>
      </c>
      <c r="P180" s="242"/>
      <c r="Q180" s="242"/>
    </row>
    <row r="181" spans="1:17" s="19" customFormat="1">
      <c r="A181" s="64"/>
      <c r="B181" s="70" t="s">
        <v>89</v>
      </c>
      <c r="C181" s="71">
        <v>60998.54</v>
      </c>
      <c r="D181" s="72">
        <v>0</v>
      </c>
      <c r="E181" s="73">
        <v>2092</v>
      </c>
      <c r="F181" s="218">
        <f t="shared" si="46"/>
        <v>2092.249922</v>
      </c>
      <c r="G181" s="74">
        <v>3.43</v>
      </c>
      <c r="H181" s="59">
        <f t="shared" si="47"/>
        <v>0</v>
      </c>
      <c r="I181" s="59">
        <f t="shared" si="48"/>
        <v>2092</v>
      </c>
      <c r="K181" s="138">
        <f>ROUND('Adjust Depr Table 2'!S210,2)</f>
        <v>2.85</v>
      </c>
      <c r="L181" s="143"/>
      <c r="M181" s="139">
        <f t="shared" si="49"/>
        <v>0</v>
      </c>
      <c r="N181" s="139">
        <f>'Adjust Depr Table 2'!Q210</f>
        <v>1738.6315789473683</v>
      </c>
      <c r="O181" s="139">
        <f t="shared" si="50"/>
        <v>1738.6315789473683</v>
      </c>
      <c r="P181" s="242"/>
      <c r="Q181" s="242"/>
    </row>
    <row r="182" spans="1:17" s="19" customFormat="1">
      <c r="A182" s="64"/>
      <c r="B182" s="70" t="s">
        <v>90</v>
      </c>
      <c r="C182" s="71">
        <v>63896.29</v>
      </c>
      <c r="D182" s="72">
        <v>0</v>
      </c>
      <c r="E182" s="73">
        <v>2135</v>
      </c>
      <c r="F182" s="218">
        <f t="shared" si="46"/>
        <v>2134.136086</v>
      </c>
      <c r="G182" s="74">
        <v>3.34</v>
      </c>
      <c r="H182" s="59">
        <f t="shared" si="47"/>
        <v>0</v>
      </c>
      <c r="I182" s="59">
        <f t="shared" si="48"/>
        <v>2135</v>
      </c>
      <c r="K182" s="138">
        <f>ROUND('Adjust Depr Table 2'!S211,2)</f>
        <v>2.83</v>
      </c>
      <c r="L182" s="143"/>
      <c r="M182" s="139">
        <f t="shared" si="49"/>
        <v>0</v>
      </c>
      <c r="N182" s="139">
        <f>'Adjust Depr Table 2'!Q211</f>
        <v>1806.2727272727273</v>
      </c>
      <c r="O182" s="139">
        <f t="shared" si="50"/>
        <v>1806.2727272727273</v>
      </c>
      <c r="P182" s="242"/>
      <c r="Q182" s="242"/>
    </row>
    <row r="183" spans="1:17" s="19" customFormat="1">
      <c r="A183" s="64"/>
      <c r="B183" s="70" t="s">
        <v>91</v>
      </c>
      <c r="C183" s="75">
        <v>141993.37</v>
      </c>
      <c r="D183" s="76">
        <v>0</v>
      </c>
      <c r="E183" s="77">
        <v>5398</v>
      </c>
      <c r="F183" s="216">
        <f t="shared" si="46"/>
        <v>5395.7480599999999</v>
      </c>
      <c r="G183" s="74">
        <v>3.8</v>
      </c>
      <c r="H183" s="63">
        <f t="shared" si="47"/>
        <v>0</v>
      </c>
      <c r="I183" s="63">
        <f t="shared" si="48"/>
        <v>5398</v>
      </c>
      <c r="K183" s="138">
        <f>ROUND('Adjust Depr Table 2'!S212,2)</f>
        <v>3.45</v>
      </c>
      <c r="L183" s="143"/>
      <c r="M183" s="140">
        <f t="shared" si="49"/>
        <v>0</v>
      </c>
      <c r="N183" s="140">
        <f>'Adjust Depr Table 2'!Q212</f>
        <v>4900.391304347826</v>
      </c>
      <c r="O183" s="140">
        <f t="shared" si="50"/>
        <v>4900.391304347826</v>
      </c>
      <c r="P183" s="242"/>
      <c r="Q183" s="242"/>
    </row>
    <row r="184" spans="1:17" s="19" customFormat="1">
      <c r="A184" s="64"/>
      <c r="B184" s="78" t="s">
        <v>74</v>
      </c>
      <c r="C184" s="75">
        <f>SUM(C178:C183)</f>
        <v>15990208.409999996</v>
      </c>
      <c r="D184" s="76">
        <f>SUM(D178:D183)</f>
        <v>0</v>
      </c>
      <c r="E184" s="76">
        <f>SUM(E178:E183)</f>
        <v>457301</v>
      </c>
      <c r="F184" s="222">
        <f>SUM(F178:F183)</f>
        <v>456827.366714</v>
      </c>
      <c r="G184" s="74">
        <f>+ROUND(E184/C184*100,2)</f>
        <v>2.86</v>
      </c>
      <c r="H184" s="76">
        <f>SUM(H178:H183)</f>
        <v>0</v>
      </c>
      <c r="I184" s="76">
        <f>SUM(I178:I183)</f>
        <v>457301</v>
      </c>
      <c r="K184" s="138"/>
      <c r="L184" s="143"/>
      <c r="M184" s="146">
        <f>SUM(M178:M183)</f>
        <v>0</v>
      </c>
      <c r="N184" s="146">
        <f>SUM(N178:N183)</f>
        <v>321223.57631232229</v>
      </c>
      <c r="O184" s="146">
        <f>SUM(O178:O183)</f>
        <v>321223.57631232229</v>
      </c>
      <c r="P184" s="242"/>
      <c r="Q184" s="242"/>
    </row>
    <row r="185" spans="1:17" ht="15.75">
      <c r="A185" s="23"/>
      <c r="B185" s="79"/>
      <c r="C185" s="71"/>
      <c r="D185" s="72"/>
      <c r="E185" s="73"/>
      <c r="F185" s="220"/>
      <c r="G185" s="49"/>
      <c r="H185" s="44"/>
      <c r="I185" s="44"/>
      <c r="K185" s="137"/>
      <c r="L185" s="126"/>
      <c r="M185" s="135"/>
      <c r="N185" s="135"/>
      <c r="O185" s="135"/>
      <c r="P185" s="241"/>
      <c r="Q185" s="241"/>
    </row>
    <row r="186" spans="1:17" ht="15.75">
      <c r="A186" s="80"/>
      <c r="B186" s="81" t="s">
        <v>104</v>
      </c>
      <c r="C186" s="82">
        <f>C100+C110+C131+C154+C176+C184</f>
        <v>639379853.02999997</v>
      </c>
      <c r="D186" s="83">
        <f>D100+D110+D131+D154+D176+D184</f>
        <v>0</v>
      </c>
      <c r="E186" s="83">
        <f>E100+E110+E131+E154+E176+E184</f>
        <v>18378213</v>
      </c>
      <c r="F186" s="223">
        <f>F100+F110+F131+F154+F176+F184</f>
        <v>18375965.937548004</v>
      </c>
      <c r="G186" s="84">
        <f>+ROUND(E186/C186*100,2)</f>
        <v>2.87</v>
      </c>
      <c r="H186" s="83">
        <f>H100+H110+H131+H154+H176+H184</f>
        <v>0</v>
      </c>
      <c r="I186" s="83">
        <f>I100+I110+I131+I154+I176+I184</f>
        <v>18378213</v>
      </c>
      <c r="K186" s="134"/>
      <c r="L186" s="126"/>
      <c r="M186" s="147">
        <f>M100+M110+M131+M154+M176+M184</f>
        <v>0</v>
      </c>
      <c r="N186" s="147">
        <f>N100+N110+N131+N154+N176+N184</f>
        <v>13678512.051195439</v>
      </c>
      <c r="O186" s="147">
        <f>O100+O110+O131+O154+O176+O184</f>
        <v>13678512.051195439</v>
      </c>
      <c r="P186" s="241"/>
      <c r="Q186" s="241"/>
    </row>
    <row r="187" spans="1:17" s="19" customFormat="1">
      <c r="A187" s="85"/>
      <c r="B187" s="86"/>
      <c r="C187" s="87"/>
      <c r="D187" s="88"/>
      <c r="E187" s="89"/>
      <c r="F187" s="224"/>
      <c r="G187" s="74"/>
      <c r="H187" s="69"/>
      <c r="I187" s="69"/>
      <c r="K187" s="138"/>
      <c r="L187" s="143"/>
      <c r="M187" s="144"/>
      <c r="N187" s="144"/>
      <c r="O187" s="144"/>
      <c r="P187" s="242"/>
      <c r="Q187" s="242"/>
    </row>
    <row r="188" spans="1:17" ht="15.75">
      <c r="A188" s="80"/>
      <c r="B188" s="24" t="s">
        <v>105</v>
      </c>
      <c r="C188" s="87"/>
      <c r="D188" s="88"/>
      <c r="E188" s="46"/>
      <c r="F188" s="217"/>
      <c r="G188" s="49"/>
      <c r="H188" s="44"/>
      <c r="I188" s="44"/>
      <c r="K188" s="137"/>
      <c r="L188" s="126"/>
      <c r="M188" s="135"/>
      <c r="N188" s="135"/>
      <c r="O188" s="135"/>
      <c r="P188" s="241"/>
      <c r="Q188" s="241"/>
    </row>
    <row r="189" spans="1:17" ht="15.75">
      <c r="A189" s="80"/>
      <c r="B189" s="48"/>
      <c r="C189" s="87"/>
      <c r="D189" s="88"/>
      <c r="E189" s="46"/>
      <c r="F189" s="217"/>
      <c r="G189" s="49"/>
      <c r="H189" s="44"/>
      <c r="I189" s="44"/>
      <c r="K189" s="137"/>
      <c r="L189" s="126"/>
      <c r="M189" s="135"/>
      <c r="N189" s="135"/>
      <c r="O189" s="135"/>
      <c r="P189" s="241"/>
      <c r="Q189" s="241"/>
    </row>
    <row r="190" spans="1:17">
      <c r="A190" s="80">
        <v>353</v>
      </c>
      <c r="B190" s="18" t="s">
        <v>106</v>
      </c>
      <c r="C190" s="71">
        <v>269766938.30000001</v>
      </c>
      <c r="D190" s="72">
        <v>18351642</v>
      </c>
      <c r="E190" s="73">
        <v>5872454</v>
      </c>
      <c r="F190" s="218">
        <f t="shared" ref="F190:F195" si="51">C190*G190/100</f>
        <v>5880919.2549400004</v>
      </c>
      <c r="G190" s="74">
        <v>2.1800000000000002</v>
      </c>
      <c r="H190" s="59">
        <f t="shared" ref="H190:H195" si="52">ROUND(D190*(G190/100),0)</f>
        <v>400066</v>
      </c>
      <c r="I190" s="59">
        <f t="shared" ref="I190:I195" si="53">E190-H190</f>
        <v>5472388</v>
      </c>
      <c r="K190" s="138">
        <f>ROUND('Adjust Depr Table 1'!S220,2)</f>
        <v>2.1800000000000002</v>
      </c>
      <c r="L190" s="126"/>
      <c r="M190" s="139">
        <f t="shared" ref="M190:M195" si="54">ROUND(D190*(K190/100),0)</f>
        <v>400066</v>
      </c>
      <c r="N190" s="139">
        <f>'Adjust Depr Table 1'!Q220</f>
        <v>5872454</v>
      </c>
      <c r="O190" s="139">
        <f t="shared" ref="O190:O195" si="55">N190-M190</f>
        <v>5472388</v>
      </c>
      <c r="P190" s="241"/>
      <c r="Q190" s="241"/>
    </row>
    <row r="191" spans="1:17">
      <c r="A191" s="80">
        <v>353.1</v>
      </c>
      <c r="B191" s="18" t="s">
        <v>107</v>
      </c>
      <c r="C191" s="71">
        <v>9476611.1600000001</v>
      </c>
      <c r="D191" s="72">
        <v>0</v>
      </c>
      <c r="E191" s="73">
        <v>598296</v>
      </c>
      <c r="F191" s="218">
        <f t="shared" si="51"/>
        <v>597974.16419599997</v>
      </c>
      <c r="G191" s="74">
        <v>6.31</v>
      </c>
      <c r="H191" s="59">
        <f t="shared" si="52"/>
        <v>0</v>
      </c>
      <c r="I191" s="59">
        <f t="shared" si="53"/>
        <v>598296</v>
      </c>
      <c r="K191" s="138">
        <f>ROUND('Adjust Depr Table 1'!S221,2)</f>
        <v>6.31</v>
      </c>
      <c r="L191" s="126"/>
      <c r="M191" s="139">
        <f t="shared" si="54"/>
        <v>0</v>
      </c>
      <c r="N191" s="139">
        <f>'Adjust Depr Table 1'!Q221</f>
        <v>598296</v>
      </c>
      <c r="O191" s="139">
        <f t="shared" si="55"/>
        <v>598296</v>
      </c>
      <c r="P191" s="241"/>
      <c r="Q191" s="241"/>
    </row>
    <row r="192" spans="1:17">
      <c r="A192" s="80">
        <v>354</v>
      </c>
      <c r="B192" s="18" t="s">
        <v>108</v>
      </c>
      <c r="C192" s="71">
        <v>3853520.91</v>
      </c>
      <c r="D192" s="72">
        <v>0</v>
      </c>
      <c r="E192" s="73">
        <v>63799</v>
      </c>
      <c r="F192" s="218">
        <f t="shared" si="51"/>
        <v>63968.447106</v>
      </c>
      <c r="G192" s="74">
        <v>1.66</v>
      </c>
      <c r="H192" s="59">
        <f t="shared" si="52"/>
        <v>0</v>
      </c>
      <c r="I192" s="59">
        <f t="shared" si="53"/>
        <v>63799</v>
      </c>
      <c r="K192" s="138">
        <f>ROUND('Adjust Depr Table 1'!S222,2)</f>
        <v>1.66</v>
      </c>
      <c r="L192" s="126"/>
      <c r="M192" s="139">
        <f t="shared" si="54"/>
        <v>0</v>
      </c>
      <c r="N192" s="139">
        <f>'Adjust Depr Table 1'!Q222</f>
        <v>63799</v>
      </c>
      <c r="O192" s="139">
        <f t="shared" si="55"/>
        <v>63799</v>
      </c>
      <c r="P192" s="241"/>
      <c r="Q192" s="241"/>
    </row>
    <row r="193" spans="1:17">
      <c r="A193" s="80">
        <v>355</v>
      </c>
      <c r="B193" s="18" t="s">
        <v>109</v>
      </c>
      <c r="C193" s="71">
        <v>166166560.00999999</v>
      </c>
      <c r="D193" s="72">
        <v>0</v>
      </c>
      <c r="E193" s="73">
        <v>4693496</v>
      </c>
      <c r="F193" s="218">
        <f t="shared" si="51"/>
        <v>4685896.9922819994</v>
      </c>
      <c r="G193" s="74">
        <v>2.82</v>
      </c>
      <c r="H193" s="59">
        <f t="shared" si="52"/>
        <v>0</v>
      </c>
      <c r="I193" s="59">
        <f t="shared" si="53"/>
        <v>4693496</v>
      </c>
      <c r="K193" s="138">
        <f>ROUND('Adjust Depr Table 1'!S223,2)</f>
        <v>2.82</v>
      </c>
      <c r="L193" s="126"/>
      <c r="M193" s="139">
        <f t="shared" si="54"/>
        <v>0</v>
      </c>
      <c r="N193" s="139">
        <f>'Adjust Depr Table 1'!Q223</f>
        <v>4693496</v>
      </c>
      <c r="O193" s="139">
        <f t="shared" si="55"/>
        <v>4693496</v>
      </c>
      <c r="P193" s="241"/>
      <c r="Q193" s="241"/>
    </row>
    <row r="194" spans="1:17">
      <c r="A194" s="80">
        <v>356</v>
      </c>
      <c r="B194" s="18" t="s">
        <v>110</v>
      </c>
      <c r="C194" s="71">
        <v>139611652.81999999</v>
      </c>
      <c r="D194" s="72">
        <v>0</v>
      </c>
      <c r="E194" s="73">
        <v>4043353</v>
      </c>
      <c r="F194" s="218">
        <f t="shared" si="51"/>
        <v>4048737.9317799998</v>
      </c>
      <c r="G194" s="74">
        <v>2.9</v>
      </c>
      <c r="H194" s="59">
        <f t="shared" si="52"/>
        <v>0</v>
      </c>
      <c r="I194" s="59">
        <f t="shared" si="53"/>
        <v>4043353</v>
      </c>
      <c r="K194" s="138">
        <f>ROUND('Adjust Depr Table 1'!S224,2)</f>
        <v>2.9</v>
      </c>
      <c r="L194" s="126"/>
      <c r="M194" s="139">
        <f t="shared" si="54"/>
        <v>0</v>
      </c>
      <c r="N194" s="139">
        <f>'Adjust Depr Table 1'!Q224</f>
        <v>4043353.0000000005</v>
      </c>
      <c r="O194" s="139">
        <f t="shared" si="55"/>
        <v>4043353.0000000005</v>
      </c>
      <c r="P194" s="241"/>
      <c r="Q194" s="241"/>
    </row>
    <row r="195" spans="1:17">
      <c r="A195" s="80">
        <v>359</v>
      </c>
      <c r="B195" s="18" t="s">
        <v>111</v>
      </c>
      <c r="C195" s="71">
        <v>23287.65</v>
      </c>
      <c r="D195" s="76">
        <v>0</v>
      </c>
      <c r="E195" s="73">
        <v>446</v>
      </c>
      <c r="F195" s="218">
        <f t="shared" si="51"/>
        <v>447.12288000000001</v>
      </c>
      <c r="G195" s="74">
        <v>1.92</v>
      </c>
      <c r="H195" s="63">
        <f t="shared" si="52"/>
        <v>0</v>
      </c>
      <c r="I195" s="63">
        <f t="shared" si="53"/>
        <v>446</v>
      </c>
      <c r="K195" s="138">
        <f>ROUND('Adjust Depr Table 1'!S225,2)</f>
        <v>1.92</v>
      </c>
      <c r="L195" s="126"/>
      <c r="M195" s="140">
        <f t="shared" si="54"/>
        <v>0</v>
      </c>
      <c r="N195" s="140">
        <f>'Adjust Depr Table 1'!Q225</f>
        <v>446</v>
      </c>
      <c r="O195" s="140">
        <f t="shared" si="55"/>
        <v>446</v>
      </c>
      <c r="P195" s="241"/>
      <c r="Q195" s="241"/>
    </row>
    <row r="196" spans="1:17">
      <c r="A196" s="80"/>
      <c r="C196" s="90"/>
      <c r="D196" s="72"/>
      <c r="E196" s="91"/>
      <c r="F196" s="225"/>
      <c r="G196" s="49"/>
      <c r="H196" s="44"/>
      <c r="I196" s="44"/>
      <c r="K196" s="137"/>
      <c r="L196" s="126"/>
      <c r="M196" s="135"/>
      <c r="N196" s="135"/>
      <c r="O196" s="135"/>
      <c r="P196" s="241"/>
      <c r="Q196" s="241"/>
    </row>
    <row r="197" spans="1:17" ht="15.75">
      <c r="A197" s="80"/>
      <c r="B197" s="81" t="s">
        <v>112</v>
      </c>
      <c r="C197" s="82">
        <f>SUM(C190:C195)</f>
        <v>588898570.85000002</v>
      </c>
      <c r="D197" s="92">
        <f>SUM(D190:D195)</f>
        <v>18351642</v>
      </c>
      <c r="E197" s="92">
        <f>SUM(E190:E195)</f>
        <v>15271844</v>
      </c>
      <c r="F197" s="226">
        <f>SUM(F190:F195)</f>
        <v>15277943.913184</v>
      </c>
      <c r="G197" s="84">
        <f>+ROUND(E197/C197*100,2)</f>
        <v>2.59</v>
      </c>
      <c r="H197" s="92">
        <f>SUM(H190:H195)</f>
        <v>400066</v>
      </c>
      <c r="I197" s="92">
        <f>SUM(I190:I195)</f>
        <v>14871778</v>
      </c>
      <c r="K197" s="134"/>
      <c r="L197" s="126"/>
      <c r="M197" s="148">
        <f>SUM(M190:M195)</f>
        <v>400066</v>
      </c>
      <c r="N197" s="148">
        <f>SUM(N190:N195)</f>
        <v>15271844</v>
      </c>
      <c r="O197" s="148">
        <f>SUM(O190:O195)</f>
        <v>14871778</v>
      </c>
      <c r="P197" s="241"/>
      <c r="Q197" s="241"/>
    </row>
    <row r="198" spans="1:17">
      <c r="A198" s="80"/>
      <c r="C198" s="87"/>
      <c r="D198" s="88"/>
      <c r="E198" s="46"/>
      <c r="F198" s="217"/>
      <c r="G198" s="49"/>
      <c r="H198" s="44"/>
      <c r="I198" s="44"/>
      <c r="K198" s="137"/>
      <c r="L198" s="126"/>
      <c r="M198" s="135"/>
      <c r="N198" s="135"/>
      <c r="O198" s="135"/>
      <c r="P198" s="241"/>
      <c r="Q198" s="241"/>
    </row>
    <row r="199" spans="1:17" ht="15.75">
      <c r="A199" s="80"/>
      <c r="B199" s="24" t="s">
        <v>113</v>
      </c>
      <c r="C199" s="87"/>
      <c r="D199" s="88"/>
      <c r="E199" s="46"/>
      <c r="F199" s="217"/>
      <c r="G199" s="49"/>
      <c r="H199" s="44"/>
      <c r="I199" s="44"/>
      <c r="K199" s="137"/>
      <c r="L199" s="126"/>
      <c r="M199" s="135"/>
      <c r="N199" s="135"/>
      <c r="O199" s="135"/>
      <c r="P199" s="241"/>
      <c r="Q199" s="241"/>
    </row>
    <row r="200" spans="1:17" ht="15.75">
      <c r="A200" s="80"/>
      <c r="B200" s="48"/>
      <c r="C200" s="87"/>
      <c r="D200" s="88"/>
      <c r="E200" s="46"/>
      <c r="F200" s="217"/>
      <c r="G200" s="49"/>
      <c r="H200" s="44"/>
      <c r="I200" s="44"/>
      <c r="K200" s="137"/>
      <c r="L200" s="126"/>
      <c r="M200" s="135"/>
      <c r="N200" s="135"/>
      <c r="O200" s="135"/>
      <c r="P200" s="241"/>
      <c r="Q200" s="241"/>
    </row>
    <row r="201" spans="1:17">
      <c r="A201" s="80">
        <v>362</v>
      </c>
      <c r="B201" s="18" t="s">
        <v>106</v>
      </c>
      <c r="C201" s="71">
        <v>228725585.62</v>
      </c>
      <c r="D201" s="72">
        <v>0</v>
      </c>
      <c r="E201" s="73">
        <v>5817664</v>
      </c>
      <c r="F201" s="218">
        <f>C201*G201/100</f>
        <v>5809629.8747479999</v>
      </c>
      <c r="G201" s="74">
        <v>2.54</v>
      </c>
      <c r="H201" s="59">
        <f>ROUND(D201*(G201/100),0)</f>
        <v>0</v>
      </c>
      <c r="I201" s="59">
        <f>E201-H201</f>
        <v>5817664</v>
      </c>
      <c r="K201" s="138">
        <f>ROUND('Adjust Depr Table 1'!S231,2)</f>
        <v>2.54</v>
      </c>
      <c r="L201" s="126"/>
      <c r="M201" s="139">
        <f>ROUND(D201*(K201/100),0)</f>
        <v>0</v>
      </c>
      <c r="N201" s="139">
        <f>'Adjust Depr Table 1'!Q231</f>
        <v>5817664</v>
      </c>
      <c r="O201" s="139">
        <f>N201-M201</f>
        <v>5817664</v>
      </c>
      <c r="P201" s="241"/>
      <c r="Q201" s="241"/>
    </row>
    <row r="202" spans="1:17">
      <c r="A202" s="80">
        <v>362.1</v>
      </c>
      <c r="B202" s="18" t="s">
        <v>114</v>
      </c>
      <c r="C202" s="71">
        <v>7252060.3200000003</v>
      </c>
      <c r="D202" s="72">
        <v>0</v>
      </c>
      <c r="E202" s="73">
        <v>138662</v>
      </c>
      <c r="F202" s="218">
        <f>C202*G202/100</f>
        <v>138514.35211199999</v>
      </c>
      <c r="G202" s="74">
        <v>1.91</v>
      </c>
      <c r="H202" s="59">
        <f>ROUND(D202*(G202/100),0)</f>
        <v>0</v>
      </c>
      <c r="I202" s="59">
        <f>E202-H202</f>
        <v>138662</v>
      </c>
      <c r="K202" s="138">
        <f>ROUND('Adjust Depr Table 1'!S232,2)</f>
        <v>1.91</v>
      </c>
      <c r="L202" s="126"/>
      <c r="M202" s="139">
        <f>ROUND(D202*(K202/100),0)</f>
        <v>0</v>
      </c>
      <c r="N202" s="139">
        <f>'Adjust Depr Table 1'!Q232</f>
        <v>138662</v>
      </c>
      <c r="O202" s="139">
        <f>N202-M202</f>
        <v>138662</v>
      </c>
      <c r="P202" s="241"/>
      <c r="Q202" s="241"/>
    </row>
    <row r="203" spans="1:17">
      <c r="A203" s="80">
        <v>368</v>
      </c>
      <c r="B203" s="18" t="s">
        <v>115</v>
      </c>
      <c r="C203" s="71">
        <v>2413995.98</v>
      </c>
      <c r="D203" s="76">
        <v>0</v>
      </c>
      <c r="E203" s="73">
        <v>26958</v>
      </c>
      <c r="F203" s="218">
        <f>C203*G203/100</f>
        <v>27036.754976000004</v>
      </c>
      <c r="G203" s="74">
        <v>1.1200000000000001</v>
      </c>
      <c r="H203" s="63">
        <f>ROUND(D203*(G203/100),0)</f>
        <v>0</v>
      </c>
      <c r="I203" s="63">
        <f>E203-H203</f>
        <v>26958</v>
      </c>
      <c r="K203" s="138">
        <f>ROUND('Adjust Depr Table 1'!S233,2)</f>
        <v>1.1200000000000001</v>
      </c>
      <c r="L203" s="126"/>
      <c r="M203" s="140">
        <f>ROUND(D203*(K203/100),0)</f>
        <v>0</v>
      </c>
      <c r="N203" s="140">
        <f>'Adjust Depr Table 1'!Q233</f>
        <v>26958</v>
      </c>
      <c r="O203" s="140">
        <f>N203-M203</f>
        <v>26958</v>
      </c>
      <c r="P203" s="241"/>
      <c r="Q203" s="241"/>
    </row>
    <row r="204" spans="1:17">
      <c r="A204" s="80"/>
      <c r="C204" s="90"/>
      <c r="D204" s="72"/>
      <c r="E204" s="91"/>
      <c r="F204" s="225"/>
      <c r="G204" s="49"/>
      <c r="H204" s="44"/>
      <c r="I204" s="44"/>
      <c r="K204" s="137"/>
      <c r="L204" s="126"/>
      <c r="M204" s="135"/>
      <c r="N204" s="135"/>
      <c r="O204" s="135"/>
      <c r="P204" s="241"/>
      <c r="Q204" s="241"/>
    </row>
    <row r="205" spans="1:17" ht="15.75">
      <c r="A205" s="80"/>
      <c r="B205" s="81" t="s">
        <v>116</v>
      </c>
      <c r="C205" s="82">
        <f>SUM(C201:C203)</f>
        <v>238391641.91999999</v>
      </c>
      <c r="D205" s="92">
        <f>SUM(D201:D203)</f>
        <v>0</v>
      </c>
      <c r="E205" s="92">
        <f>SUM(E201:E203)</f>
        <v>5983284</v>
      </c>
      <c r="F205" s="226">
        <f>SUM(F201:F203)</f>
        <v>5975180.9818359995</v>
      </c>
      <c r="G205" s="84">
        <f>+ROUND(E205/C205*100,2)</f>
        <v>2.5099999999999998</v>
      </c>
      <c r="H205" s="92">
        <f>SUM(H201:H203)</f>
        <v>0</v>
      </c>
      <c r="I205" s="92">
        <f>SUM(I201:I203)</f>
        <v>5983284</v>
      </c>
      <c r="K205" s="134"/>
      <c r="L205" s="126"/>
      <c r="M205" s="148">
        <f>SUM(M201:M203)</f>
        <v>0</v>
      </c>
      <c r="N205" s="148">
        <f>SUM(N201:N203)</f>
        <v>5983284</v>
      </c>
      <c r="O205" s="148">
        <f>SUM(O201:O203)</f>
        <v>5983284</v>
      </c>
      <c r="P205" s="241"/>
      <c r="Q205" s="241"/>
    </row>
    <row r="206" spans="1:17">
      <c r="A206" s="80"/>
      <c r="C206" s="87"/>
      <c r="D206" s="88"/>
      <c r="E206" s="46"/>
      <c r="F206" s="217"/>
      <c r="G206" s="49"/>
      <c r="H206" s="44"/>
      <c r="I206" s="44"/>
      <c r="K206" s="137"/>
      <c r="L206" s="126"/>
      <c r="M206" s="135"/>
      <c r="N206" s="135"/>
      <c r="O206" s="135"/>
      <c r="P206" s="241"/>
      <c r="Q206" s="241"/>
    </row>
    <row r="207" spans="1:17" ht="15.75">
      <c r="A207" s="80"/>
      <c r="B207" s="24" t="s">
        <v>117</v>
      </c>
      <c r="C207" s="87"/>
      <c r="D207" s="88"/>
      <c r="E207" s="46"/>
      <c r="F207" s="217"/>
      <c r="G207" s="49"/>
      <c r="H207" s="44"/>
      <c r="I207" s="44"/>
      <c r="K207" s="137"/>
      <c r="L207" s="126"/>
      <c r="M207" s="135"/>
      <c r="N207" s="135"/>
      <c r="O207" s="135"/>
      <c r="P207" s="241"/>
      <c r="Q207" s="241"/>
    </row>
    <row r="208" spans="1:17" ht="15.75">
      <c r="A208" s="80"/>
      <c r="B208" s="48"/>
      <c r="C208" s="87"/>
      <c r="D208" s="88"/>
      <c r="E208" s="46"/>
      <c r="F208" s="217"/>
      <c r="G208" s="49"/>
      <c r="H208" s="44"/>
      <c r="I208" s="44"/>
      <c r="K208" s="137"/>
      <c r="L208" s="126"/>
      <c r="M208" s="135"/>
      <c r="N208" s="135"/>
      <c r="O208" s="135"/>
      <c r="P208" s="241"/>
      <c r="Q208" s="241"/>
    </row>
    <row r="209" spans="1:17">
      <c r="A209" s="80">
        <v>390</v>
      </c>
      <c r="B209" s="86" t="s">
        <v>118</v>
      </c>
      <c r="C209" s="71">
        <v>17176820.18</v>
      </c>
      <c r="D209" s="72">
        <v>0</v>
      </c>
      <c r="E209" s="73">
        <v>170358</v>
      </c>
      <c r="F209" s="218">
        <f>C209*G209/100</f>
        <v>170050.51978199999</v>
      </c>
      <c r="G209" s="74">
        <v>0.99</v>
      </c>
      <c r="H209" s="59">
        <f>ROUND(D209*(G209/100),0)</f>
        <v>0</v>
      </c>
      <c r="I209" s="59">
        <f>E209-H209</f>
        <v>170358</v>
      </c>
      <c r="K209" s="138">
        <v>0.99</v>
      </c>
      <c r="L209" s="126"/>
      <c r="M209" s="139">
        <f>ROUND(D209*(K209/100),0)</f>
        <v>0</v>
      </c>
      <c r="N209" s="139">
        <f>'Adjust Depr Table 1'!Q239</f>
        <v>170358</v>
      </c>
      <c r="O209" s="139">
        <f>N209-M209</f>
        <v>170358</v>
      </c>
      <c r="P209" s="241"/>
      <c r="Q209" s="241"/>
    </row>
    <row r="210" spans="1:17">
      <c r="A210" s="80">
        <v>391</v>
      </c>
      <c r="B210" s="94" t="s">
        <v>119</v>
      </c>
      <c r="C210" s="71"/>
      <c r="D210" s="72"/>
      <c r="E210" s="73"/>
      <c r="F210" s="220"/>
      <c r="G210" s="74"/>
      <c r="H210" s="44"/>
      <c r="I210" s="44"/>
      <c r="K210" s="138"/>
      <c r="L210" s="126"/>
      <c r="M210" s="135"/>
      <c r="N210" s="135"/>
      <c r="O210" s="135"/>
      <c r="P210" s="241"/>
      <c r="Q210" s="241"/>
    </row>
    <row r="211" spans="1:17">
      <c r="A211" s="80"/>
      <c r="B211" s="95" t="s">
        <v>120</v>
      </c>
      <c r="C211" s="55">
        <v>2016677.53</v>
      </c>
      <c r="D211" s="56">
        <v>0</v>
      </c>
      <c r="E211" s="57">
        <v>0</v>
      </c>
      <c r="F211" s="218">
        <f>C211*G211/100</f>
        <v>0</v>
      </c>
      <c r="G211" s="58">
        <v>0</v>
      </c>
      <c r="H211" s="59">
        <f>ROUND(D211*(G211/100),0)</f>
        <v>0</v>
      </c>
      <c r="I211" s="59">
        <f>E211-H211</f>
        <v>0</v>
      </c>
      <c r="K211" s="138">
        <v>0</v>
      </c>
      <c r="L211" s="126"/>
      <c r="M211" s="139">
        <f>ROUND(D211*(K211/100),0)</f>
        <v>0</v>
      </c>
      <c r="N211" s="139">
        <f>'Adjust Depr Table 1'!Q242</f>
        <v>0</v>
      </c>
      <c r="O211" s="139">
        <f>N211-M211</f>
        <v>0</v>
      </c>
      <c r="P211" s="241"/>
      <c r="Q211" s="241"/>
    </row>
    <row r="212" spans="1:17">
      <c r="A212" s="80"/>
      <c r="B212" s="95" t="s">
        <v>121</v>
      </c>
      <c r="C212" s="60">
        <v>9301032.1600000001</v>
      </c>
      <c r="D212" s="61">
        <v>0</v>
      </c>
      <c r="E212" s="62">
        <v>465074</v>
      </c>
      <c r="F212" s="216">
        <f>C212*G212/100</f>
        <v>465051.60799999995</v>
      </c>
      <c r="G212" s="58">
        <v>5</v>
      </c>
      <c r="H212" s="63">
        <f>ROUND(D212*(G212/100),0)</f>
        <v>0</v>
      </c>
      <c r="I212" s="63">
        <f>E212-H212</f>
        <v>465074</v>
      </c>
      <c r="K212" s="138">
        <v>5</v>
      </c>
      <c r="L212" s="126"/>
      <c r="M212" s="140">
        <f>ROUND(D212*(K212/100),0)</f>
        <v>0</v>
      </c>
      <c r="N212" s="140">
        <f>'Adjust Depr Table 1'!Q243</f>
        <v>465074</v>
      </c>
      <c r="O212" s="140">
        <f>N212-M212</f>
        <v>465074</v>
      </c>
      <c r="P212" s="241"/>
      <c r="Q212" s="241"/>
    </row>
    <row r="213" spans="1:17">
      <c r="A213" s="80"/>
      <c r="B213" s="37" t="s">
        <v>122</v>
      </c>
      <c r="C213" s="55">
        <f>C211+C212</f>
        <v>11317709.689999999</v>
      </c>
      <c r="D213" s="56">
        <f>D211+D212</f>
        <v>0</v>
      </c>
      <c r="E213" s="56">
        <f>E211+E212</f>
        <v>465074</v>
      </c>
      <c r="F213" s="227">
        <f>F211+F212</f>
        <v>465051.60799999995</v>
      </c>
      <c r="G213" s="58">
        <f>+ROUND(E213/C213*100,2)</f>
        <v>4.1100000000000003</v>
      </c>
      <c r="H213" s="56">
        <f>H211+H212</f>
        <v>0</v>
      </c>
      <c r="I213" s="56">
        <f>I211+I212</f>
        <v>465074</v>
      </c>
      <c r="K213" s="138"/>
      <c r="L213" s="126"/>
      <c r="M213" s="149">
        <f>M211+M212</f>
        <v>0</v>
      </c>
      <c r="N213" s="149">
        <f>N211+N212</f>
        <v>465074</v>
      </c>
      <c r="O213" s="149">
        <f>O211+O212</f>
        <v>465074</v>
      </c>
      <c r="P213" s="241"/>
      <c r="Q213" s="241"/>
    </row>
    <row r="214" spans="1:17">
      <c r="A214" s="80">
        <v>391.1</v>
      </c>
      <c r="B214" s="94" t="s">
        <v>123</v>
      </c>
      <c r="C214" s="71"/>
      <c r="D214" s="72"/>
      <c r="E214" s="73"/>
      <c r="F214" s="220"/>
      <c r="G214" s="74"/>
      <c r="H214" s="44"/>
      <c r="I214" s="44"/>
      <c r="K214" s="138"/>
      <c r="L214" s="126"/>
      <c r="M214" s="135"/>
      <c r="N214" s="135"/>
      <c r="O214" s="135"/>
      <c r="P214" s="241"/>
      <c r="Q214" s="241"/>
    </row>
    <row r="215" spans="1:17">
      <c r="A215" s="80"/>
      <c r="B215" s="95" t="s">
        <v>120</v>
      </c>
      <c r="C215" s="55">
        <v>2771805.14</v>
      </c>
      <c r="D215" s="56">
        <v>0</v>
      </c>
      <c r="E215" s="57">
        <v>0</v>
      </c>
      <c r="F215" s="218">
        <f>C215*G215/100</f>
        <v>0</v>
      </c>
      <c r="G215" s="58">
        <v>0</v>
      </c>
      <c r="H215" s="59">
        <f>ROUND(D215*(G215/100),0)</f>
        <v>0</v>
      </c>
      <c r="I215" s="59">
        <f>E215-H215</f>
        <v>0</v>
      </c>
      <c r="K215" s="138">
        <v>0</v>
      </c>
      <c r="L215" s="126"/>
      <c r="M215" s="139">
        <f>ROUND(D215*(K215/100),0)</f>
        <v>0</v>
      </c>
      <c r="N215" s="139">
        <f>ROUND(E215*(L215/100),0)</f>
        <v>0</v>
      </c>
      <c r="O215" s="139">
        <f>N215-M215</f>
        <v>0</v>
      </c>
      <c r="P215" s="241"/>
      <c r="Q215" s="241"/>
    </row>
    <row r="216" spans="1:17">
      <c r="A216" s="80"/>
      <c r="B216" s="95" t="s">
        <v>121</v>
      </c>
      <c r="C216" s="60">
        <v>14526688.529999999</v>
      </c>
      <c r="D216" s="61">
        <v>0</v>
      </c>
      <c r="E216" s="62">
        <v>968596</v>
      </c>
      <c r="F216" s="216">
        <f>C216*G216/100</f>
        <v>968930.12495099986</v>
      </c>
      <c r="G216" s="58">
        <v>6.67</v>
      </c>
      <c r="H216" s="63">
        <f>ROUND(D216*(G216/100),0)</f>
        <v>0</v>
      </c>
      <c r="I216" s="63">
        <f>E216-H216</f>
        <v>968596</v>
      </c>
      <c r="K216" s="138">
        <v>6.67</v>
      </c>
      <c r="L216" s="126"/>
      <c r="M216" s="140">
        <f>ROUND(D216*(K216/100),0)</f>
        <v>0</v>
      </c>
      <c r="N216" s="140">
        <f>'Adjust Depr Table 1'!Q249</f>
        <v>968596</v>
      </c>
      <c r="O216" s="140">
        <f>N216-M216</f>
        <v>968596</v>
      </c>
      <c r="P216" s="241"/>
      <c r="Q216" s="241"/>
    </row>
    <row r="217" spans="1:17">
      <c r="A217" s="80"/>
      <c r="B217" s="37" t="s">
        <v>124</v>
      </c>
      <c r="C217" s="55">
        <f>C215+C216</f>
        <v>17298493.669999998</v>
      </c>
      <c r="D217" s="56">
        <f>D215+D216</f>
        <v>0</v>
      </c>
      <c r="E217" s="56">
        <f>E215+E216</f>
        <v>968596</v>
      </c>
      <c r="F217" s="227">
        <f>F215+F216</f>
        <v>968930.12495099986</v>
      </c>
      <c r="G217" s="58">
        <f>+ROUND(E217/C217*100,2)</f>
        <v>5.6</v>
      </c>
      <c r="H217" s="56">
        <f>H215+H216</f>
        <v>0</v>
      </c>
      <c r="I217" s="56">
        <f>I215+I216</f>
        <v>968596</v>
      </c>
      <c r="K217" s="138"/>
      <c r="L217" s="126"/>
      <c r="M217" s="149">
        <f>M215+M216</f>
        <v>0</v>
      </c>
      <c r="N217" s="149">
        <f>N215+N216</f>
        <v>968596</v>
      </c>
      <c r="O217" s="149">
        <f>O215+O216</f>
        <v>968596</v>
      </c>
      <c r="P217" s="241"/>
      <c r="Q217" s="241"/>
    </row>
    <row r="218" spans="1:17">
      <c r="A218" s="80">
        <v>392</v>
      </c>
      <c r="B218" s="94" t="s">
        <v>125</v>
      </c>
      <c r="C218" s="71">
        <v>17294828.559999999</v>
      </c>
      <c r="D218" s="72">
        <v>0</v>
      </c>
      <c r="E218" s="73">
        <v>1010178</v>
      </c>
      <c r="F218" s="218">
        <f>C218*G218/100</f>
        <v>1010017.9879039999</v>
      </c>
      <c r="G218" s="74">
        <v>5.84</v>
      </c>
      <c r="H218" s="59">
        <f>ROUND(D218*(G218/100),0)</f>
        <v>0</v>
      </c>
      <c r="I218" s="59">
        <f>E218-H218</f>
        <v>1010178</v>
      </c>
      <c r="K218" s="138">
        <v>5.84</v>
      </c>
      <c r="L218" s="126"/>
      <c r="M218" s="139">
        <f>ROUND(I218*(L218/100),0)</f>
        <v>0</v>
      </c>
      <c r="N218" s="139">
        <f>'Adjust Depr Table 1'!Q253</f>
        <v>1010178</v>
      </c>
      <c r="O218" s="139">
        <f>N218-M218</f>
        <v>1010178</v>
      </c>
      <c r="P218" s="241"/>
      <c r="Q218" s="241"/>
    </row>
    <row r="219" spans="1:17">
      <c r="A219" s="80">
        <v>393</v>
      </c>
      <c r="B219" s="86" t="s">
        <v>126</v>
      </c>
      <c r="C219" s="71">
        <v>132973.46</v>
      </c>
      <c r="D219" s="72">
        <v>0</v>
      </c>
      <c r="E219" s="73">
        <v>5318</v>
      </c>
      <c r="F219" s="218">
        <f>C219*G219/100</f>
        <v>5318.9384</v>
      </c>
      <c r="G219" s="74">
        <v>4</v>
      </c>
      <c r="H219" s="59">
        <f>ROUND(D219*(G219/100),0)</f>
        <v>0</v>
      </c>
      <c r="I219" s="59">
        <f>E219-H219</f>
        <v>5318</v>
      </c>
      <c r="K219" s="138">
        <v>4</v>
      </c>
      <c r="L219" s="126"/>
      <c r="M219" s="139">
        <f>ROUND(I219*(L219/100),0)</f>
        <v>0</v>
      </c>
      <c r="N219" s="139">
        <f>'Adjust Depr Table 1'!Q254</f>
        <v>5318</v>
      </c>
      <c r="O219" s="139">
        <f>N219-M219</f>
        <v>5318</v>
      </c>
      <c r="P219" s="241"/>
      <c r="Q219" s="241"/>
    </row>
    <row r="220" spans="1:17">
      <c r="A220" s="80">
        <v>394</v>
      </c>
      <c r="B220" s="96" t="s">
        <v>127</v>
      </c>
      <c r="C220" s="71"/>
      <c r="D220" s="72"/>
      <c r="E220" s="73"/>
      <c r="F220" s="220"/>
      <c r="G220" s="74"/>
      <c r="H220" s="44"/>
      <c r="I220" s="44"/>
      <c r="K220" s="138"/>
      <c r="L220" s="126"/>
      <c r="M220" s="135"/>
      <c r="N220" s="135"/>
      <c r="O220" s="135"/>
      <c r="P220" s="241"/>
      <c r="Q220" s="241"/>
    </row>
    <row r="221" spans="1:17">
      <c r="A221" s="80"/>
      <c r="B221" s="95" t="s">
        <v>120</v>
      </c>
      <c r="C221" s="55">
        <v>772161.33</v>
      </c>
      <c r="D221" s="56">
        <v>0</v>
      </c>
      <c r="E221" s="57">
        <v>0</v>
      </c>
      <c r="F221" s="218">
        <f>C221*G221/100</f>
        <v>0</v>
      </c>
      <c r="G221" s="58">
        <v>0</v>
      </c>
      <c r="H221" s="59">
        <f>ROUND(D221*(G221/100),0)</f>
        <v>0</v>
      </c>
      <c r="I221" s="59">
        <f>E221-H221</f>
        <v>0</v>
      </c>
      <c r="K221" s="138">
        <v>0</v>
      </c>
      <c r="L221" s="126"/>
      <c r="M221" s="139">
        <f>ROUND(I221*(L221/100),0)</f>
        <v>0</v>
      </c>
      <c r="N221" s="139">
        <f>'Adjust Depr Table 1'!Q257</f>
        <v>0</v>
      </c>
      <c r="O221" s="139">
        <f>N221-M221</f>
        <v>0</v>
      </c>
      <c r="P221" s="241"/>
      <c r="Q221" s="241"/>
    </row>
    <row r="222" spans="1:17">
      <c r="A222" s="80"/>
      <c r="B222" s="95" t="s">
        <v>121</v>
      </c>
      <c r="C222" s="60">
        <v>1540988.46</v>
      </c>
      <c r="D222" s="61">
        <v>0</v>
      </c>
      <c r="E222" s="62">
        <v>77077</v>
      </c>
      <c r="F222" s="216">
        <f>C222*G222/100</f>
        <v>77049.422999999995</v>
      </c>
      <c r="G222" s="58">
        <v>5</v>
      </c>
      <c r="H222" s="63">
        <f>ROUND(D222*(G222/100),0)</f>
        <v>0</v>
      </c>
      <c r="I222" s="63">
        <f>E222-H222</f>
        <v>77077</v>
      </c>
      <c r="K222" s="138">
        <v>5</v>
      </c>
      <c r="L222" s="126"/>
      <c r="M222" s="140">
        <f>ROUND(I222*(L222/100),0)</f>
        <v>0</v>
      </c>
      <c r="N222" s="140">
        <f>'Adjust Depr Table 1'!Q258</f>
        <v>77077</v>
      </c>
      <c r="O222" s="140">
        <f>N222-M222</f>
        <v>77077</v>
      </c>
      <c r="P222" s="241"/>
      <c r="Q222" s="241"/>
    </row>
    <row r="223" spans="1:17">
      <c r="A223" s="80"/>
      <c r="B223" s="37" t="s">
        <v>128</v>
      </c>
      <c r="C223" s="55">
        <f>C221+C222</f>
        <v>2313149.79</v>
      </c>
      <c r="D223" s="56">
        <f>D221+D222</f>
        <v>0</v>
      </c>
      <c r="E223" s="56">
        <f>E221+E222</f>
        <v>77077</v>
      </c>
      <c r="F223" s="227">
        <f>F221+F222</f>
        <v>77049.422999999995</v>
      </c>
      <c r="G223" s="58">
        <f>+ROUND(E223/C223*100,2)</f>
        <v>3.33</v>
      </c>
      <c r="H223" s="56">
        <f>H221+H222</f>
        <v>0</v>
      </c>
      <c r="I223" s="56">
        <f>I221+I222</f>
        <v>77077</v>
      </c>
      <c r="K223" s="138"/>
      <c r="L223" s="126"/>
      <c r="M223" s="149">
        <f>M221+M222</f>
        <v>0</v>
      </c>
      <c r="N223" s="149">
        <f>N221+N222</f>
        <v>77077</v>
      </c>
      <c r="O223" s="149">
        <f>O221+O222</f>
        <v>77077</v>
      </c>
      <c r="P223" s="241"/>
      <c r="Q223" s="241"/>
    </row>
    <row r="224" spans="1:17">
      <c r="A224" s="80">
        <v>395</v>
      </c>
      <c r="B224" s="86" t="s">
        <v>129</v>
      </c>
      <c r="C224" s="55"/>
      <c r="D224" s="56"/>
      <c r="E224" s="57"/>
      <c r="F224" s="218"/>
      <c r="G224" s="58"/>
      <c r="H224" s="44"/>
      <c r="I224" s="44"/>
      <c r="K224" s="138"/>
      <c r="L224" s="126"/>
      <c r="M224" s="135"/>
      <c r="N224" s="135"/>
      <c r="O224" s="135"/>
      <c r="P224" s="241"/>
      <c r="Q224" s="241"/>
    </row>
    <row r="225" spans="1:17">
      <c r="A225" s="80"/>
      <c r="B225" s="95" t="s">
        <v>120</v>
      </c>
      <c r="C225" s="55">
        <v>1251278.95</v>
      </c>
      <c r="D225" s="56">
        <v>0</v>
      </c>
      <c r="E225" s="57">
        <v>0</v>
      </c>
      <c r="F225" s="218">
        <f>C225*G225/100</f>
        <v>0</v>
      </c>
      <c r="G225" s="58">
        <v>0</v>
      </c>
      <c r="H225" s="59">
        <f>ROUND(D225*(G225/100),0)</f>
        <v>0</v>
      </c>
      <c r="I225" s="59">
        <f>E225-H225</f>
        <v>0</v>
      </c>
      <c r="K225" s="138">
        <v>0</v>
      </c>
      <c r="L225" s="126"/>
      <c r="M225" s="139">
        <f>ROUND(I225*(L225/100),0)</f>
        <v>0</v>
      </c>
      <c r="N225" s="139">
        <f>'Adjust Depr Table 1'!Q263</f>
        <v>0</v>
      </c>
      <c r="O225" s="139">
        <f>N225-M225</f>
        <v>0</v>
      </c>
      <c r="P225" s="241"/>
      <c r="Q225" s="241"/>
    </row>
    <row r="226" spans="1:17">
      <c r="A226" s="80"/>
      <c r="B226" s="95" t="s">
        <v>121</v>
      </c>
      <c r="C226" s="60">
        <v>4059896.75</v>
      </c>
      <c r="D226" s="61">
        <v>0</v>
      </c>
      <c r="E226" s="62">
        <v>203000</v>
      </c>
      <c r="F226" s="216">
        <f>C226*G226/100</f>
        <v>202994.83749999999</v>
      </c>
      <c r="G226" s="58">
        <v>5</v>
      </c>
      <c r="H226" s="63">
        <f>ROUND(D226*(G226/100),0)</f>
        <v>0</v>
      </c>
      <c r="I226" s="63">
        <f>E226-H226</f>
        <v>203000</v>
      </c>
      <c r="K226" s="138">
        <v>5</v>
      </c>
      <c r="L226" s="126"/>
      <c r="M226" s="140">
        <f>ROUND(I226*(L226/100),0)</f>
        <v>0</v>
      </c>
      <c r="N226" s="140">
        <f>'Adjust Depr Table 1'!Q264</f>
        <v>203000</v>
      </c>
      <c r="O226" s="140">
        <f>N226-M226</f>
        <v>203000</v>
      </c>
      <c r="P226" s="241"/>
      <c r="Q226" s="241"/>
    </row>
    <row r="227" spans="1:17">
      <c r="A227" s="80"/>
      <c r="B227" s="37" t="s">
        <v>130</v>
      </c>
      <c r="C227" s="55">
        <f>C225+C226</f>
        <v>5311175.7</v>
      </c>
      <c r="D227" s="56">
        <f>D225+D226</f>
        <v>0</v>
      </c>
      <c r="E227" s="56">
        <f>E225+E226</f>
        <v>203000</v>
      </c>
      <c r="F227" s="227">
        <f>F225+F226</f>
        <v>202994.83749999999</v>
      </c>
      <c r="G227" s="58">
        <f>+ROUND(E227/C227*100,2)</f>
        <v>3.82</v>
      </c>
      <c r="H227" s="56">
        <f>H225+H226</f>
        <v>0</v>
      </c>
      <c r="I227" s="56">
        <f>I225+I226</f>
        <v>203000</v>
      </c>
      <c r="K227" s="138"/>
      <c r="L227" s="126"/>
      <c r="M227" s="149">
        <f>M225+M226</f>
        <v>0</v>
      </c>
      <c r="N227" s="149">
        <f>N225+N226</f>
        <v>203000</v>
      </c>
      <c r="O227" s="149">
        <f>O225+O226</f>
        <v>203000</v>
      </c>
      <c r="P227" s="241"/>
      <c r="Q227" s="241"/>
    </row>
    <row r="228" spans="1:17">
      <c r="A228" s="80">
        <v>396</v>
      </c>
      <c r="B228" s="19" t="s">
        <v>131</v>
      </c>
      <c r="C228" s="71">
        <v>20685598.48</v>
      </c>
      <c r="D228" s="72">
        <v>0</v>
      </c>
      <c r="E228" s="73">
        <v>416907</v>
      </c>
      <c r="F228" s="218">
        <f>C228*G228/100</f>
        <v>417849.08929600002</v>
      </c>
      <c r="G228" s="74">
        <v>2.02</v>
      </c>
      <c r="H228" s="59">
        <f>ROUND(D228*(G228/100),0)</f>
        <v>0</v>
      </c>
      <c r="I228" s="59">
        <f>E228-H228</f>
        <v>416907</v>
      </c>
      <c r="K228" s="138">
        <v>2.02</v>
      </c>
      <c r="L228" s="126"/>
      <c r="M228" s="139">
        <f>ROUND(I228*(L228/100),0)</f>
        <v>0</v>
      </c>
      <c r="N228" s="139">
        <f>'Adjust Depr Table 1'!Q268</f>
        <v>416907</v>
      </c>
      <c r="O228" s="139">
        <f>N228-M228</f>
        <v>416907</v>
      </c>
      <c r="P228" s="241"/>
      <c r="Q228" s="241"/>
    </row>
    <row r="229" spans="1:17">
      <c r="A229" s="80">
        <v>397</v>
      </c>
      <c r="B229" s="19" t="s">
        <v>132</v>
      </c>
      <c r="C229" s="71"/>
      <c r="D229" s="72"/>
      <c r="E229" s="73"/>
      <c r="F229" s="220"/>
      <c r="G229" s="74"/>
      <c r="H229" s="44"/>
      <c r="I229" s="44"/>
      <c r="K229" s="138"/>
      <c r="L229" s="126"/>
      <c r="M229" s="135"/>
      <c r="N229" s="135"/>
      <c r="O229" s="135"/>
      <c r="P229" s="241"/>
      <c r="Q229" s="241"/>
    </row>
    <row r="230" spans="1:17">
      <c r="A230" s="80"/>
      <c r="B230" s="95" t="s">
        <v>120</v>
      </c>
      <c r="C230" s="55">
        <v>23276736.879999999</v>
      </c>
      <c r="D230" s="56">
        <v>0</v>
      </c>
      <c r="E230" s="57">
        <v>0</v>
      </c>
      <c r="F230" s="218">
        <f>C230*G230/100</f>
        <v>0</v>
      </c>
      <c r="G230" s="58">
        <v>0</v>
      </c>
      <c r="H230" s="59">
        <f>ROUND(D230*(G230/100),0)</f>
        <v>0</v>
      </c>
      <c r="I230" s="59">
        <f>E230-H230</f>
        <v>0</v>
      </c>
      <c r="K230" s="138">
        <v>0</v>
      </c>
      <c r="L230" s="126"/>
      <c r="M230" s="139">
        <f>ROUND(I230*(L230/100),0)</f>
        <v>0</v>
      </c>
      <c r="N230" s="139">
        <f>'Adjust Depr Table 1'!Q271</f>
        <v>0</v>
      </c>
      <c r="O230" s="139">
        <f>N230-M230</f>
        <v>0</v>
      </c>
      <c r="P230" s="241"/>
      <c r="Q230" s="241"/>
    </row>
    <row r="231" spans="1:17">
      <c r="A231" s="80"/>
      <c r="B231" s="95" t="s">
        <v>121</v>
      </c>
      <c r="C231" s="60">
        <v>23514697.870000001</v>
      </c>
      <c r="D231" s="61">
        <v>0</v>
      </c>
      <c r="E231" s="62">
        <v>1569449</v>
      </c>
      <c r="F231" s="216">
        <f>C231*G231/100</f>
        <v>1568430.3479289999</v>
      </c>
      <c r="G231" s="58">
        <v>6.67</v>
      </c>
      <c r="H231" s="63">
        <f>ROUND(D231*(G231/100),0)</f>
        <v>0</v>
      </c>
      <c r="I231" s="63">
        <f>E231-H231</f>
        <v>1569449</v>
      </c>
      <c r="K231" s="138">
        <v>6.67</v>
      </c>
      <c r="L231" s="126"/>
      <c r="M231" s="140">
        <f>ROUND(I231*(L231/100),0)</f>
        <v>0</v>
      </c>
      <c r="N231" s="140">
        <f>'Adjust Depr Table 1'!Q272</f>
        <v>1569449</v>
      </c>
      <c r="O231" s="140">
        <f>N231-M231</f>
        <v>1569449</v>
      </c>
      <c r="P231" s="241"/>
      <c r="Q231" s="241"/>
    </row>
    <row r="232" spans="1:17">
      <c r="A232" s="80"/>
      <c r="B232" s="37" t="s">
        <v>133</v>
      </c>
      <c r="C232" s="55">
        <f>C230+C231</f>
        <v>46791434.75</v>
      </c>
      <c r="D232" s="56">
        <f>D230+D231</f>
        <v>0</v>
      </c>
      <c r="E232" s="56">
        <f>E230+E231</f>
        <v>1569449</v>
      </c>
      <c r="F232" s="227">
        <f>F230+F231</f>
        <v>1568430.3479289999</v>
      </c>
      <c r="G232" s="58">
        <f>+ROUND(E232/C232*100,2)</f>
        <v>3.35</v>
      </c>
      <c r="H232" s="56">
        <f>H230+H231</f>
        <v>0</v>
      </c>
      <c r="I232" s="56">
        <f>I230+I231</f>
        <v>1569449</v>
      </c>
      <c r="K232" s="138"/>
      <c r="L232" s="126"/>
      <c r="M232" s="149">
        <f>M230+M231</f>
        <v>0</v>
      </c>
      <c r="N232" s="149">
        <f>N230+N231</f>
        <v>1569449</v>
      </c>
      <c r="O232" s="149">
        <f>O230+O231</f>
        <v>1569449</v>
      </c>
      <c r="P232" s="241"/>
      <c r="Q232" s="241"/>
    </row>
    <row r="233" spans="1:17">
      <c r="A233" s="80">
        <v>397.1</v>
      </c>
      <c r="B233" s="19" t="s">
        <v>134</v>
      </c>
      <c r="C233" s="71">
        <v>642538.48</v>
      </c>
      <c r="D233" s="72">
        <v>0</v>
      </c>
      <c r="E233" s="73">
        <v>0</v>
      </c>
      <c r="F233" s="218">
        <f>C233*G233/100</f>
        <v>0</v>
      </c>
      <c r="G233" s="74">
        <v>0</v>
      </c>
      <c r="H233" s="59">
        <f>ROUND(D233*(G233/100),0)</f>
        <v>0</v>
      </c>
      <c r="I233" s="59">
        <f>E233-H233</f>
        <v>0</v>
      </c>
      <c r="K233" s="138">
        <v>0</v>
      </c>
      <c r="L233" s="126"/>
      <c r="M233" s="139">
        <f>ROUND(I233*(L233/100),0)</f>
        <v>0</v>
      </c>
      <c r="N233" s="139">
        <f>ROUND(J233*(M233/100),0)</f>
        <v>0</v>
      </c>
      <c r="O233" s="139">
        <f>N233-M233</f>
        <v>0</v>
      </c>
      <c r="P233" s="241"/>
      <c r="Q233" s="241"/>
    </row>
    <row r="234" spans="1:17">
      <c r="A234" s="80">
        <v>398</v>
      </c>
      <c r="B234" s="19" t="s">
        <v>135</v>
      </c>
      <c r="C234" s="71"/>
      <c r="D234" s="72"/>
      <c r="E234" s="73"/>
      <c r="F234" s="220"/>
      <c r="G234" s="74"/>
      <c r="H234" s="44"/>
      <c r="I234" s="44"/>
      <c r="K234" s="138"/>
      <c r="L234" s="126"/>
      <c r="M234" s="135"/>
      <c r="N234" s="135"/>
      <c r="O234" s="135"/>
      <c r="P234" s="241"/>
      <c r="Q234" s="241"/>
    </row>
    <row r="235" spans="1:17">
      <c r="A235" s="80"/>
      <c r="B235" s="95" t="s">
        <v>120</v>
      </c>
      <c r="C235" s="55">
        <v>413882.29</v>
      </c>
      <c r="D235" s="56">
        <v>0</v>
      </c>
      <c r="E235" s="57">
        <v>0</v>
      </c>
      <c r="F235" s="218">
        <f>C235*G235/100</f>
        <v>0</v>
      </c>
      <c r="G235" s="58">
        <v>0</v>
      </c>
      <c r="H235" s="59">
        <f>ROUND(D235*(G235/100),0)</f>
        <v>0</v>
      </c>
      <c r="I235" s="59">
        <f>E235-H235</f>
        <v>0</v>
      </c>
      <c r="K235" s="138">
        <v>0</v>
      </c>
      <c r="L235" s="126"/>
      <c r="M235" s="139">
        <f>ROUND(I235*(L235/100),0)</f>
        <v>0</v>
      </c>
      <c r="N235" s="139">
        <f>'Adjust Depr Table 1'!Q279</f>
        <v>0</v>
      </c>
      <c r="O235" s="139">
        <f>N235-M235</f>
        <v>0</v>
      </c>
      <c r="P235" s="241"/>
      <c r="Q235" s="241"/>
    </row>
    <row r="236" spans="1:17">
      <c r="A236" s="80"/>
      <c r="B236" s="95" t="s">
        <v>121</v>
      </c>
      <c r="C236" s="60">
        <v>2014590.63</v>
      </c>
      <c r="D236" s="61">
        <v>0</v>
      </c>
      <c r="E236" s="62">
        <v>100721</v>
      </c>
      <c r="F236" s="216">
        <f>C236*G236/100</f>
        <v>100729.53149999998</v>
      </c>
      <c r="G236" s="58">
        <v>5</v>
      </c>
      <c r="H236" s="63">
        <f>ROUND(D236*(G236/100),0)</f>
        <v>0</v>
      </c>
      <c r="I236" s="63">
        <f>E236-H236</f>
        <v>100721</v>
      </c>
      <c r="K236" s="138">
        <v>5</v>
      </c>
      <c r="L236" s="126"/>
      <c r="M236" s="140">
        <f>ROUND(I236*(L236/100),0)</f>
        <v>0</v>
      </c>
      <c r="N236" s="140">
        <f>'Adjust Depr Table 1'!Q280</f>
        <v>100721</v>
      </c>
      <c r="O236" s="140">
        <f>N236-M236</f>
        <v>100721</v>
      </c>
      <c r="P236" s="241"/>
      <c r="Q236" s="241"/>
    </row>
    <row r="237" spans="1:17">
      <c r="A237" s="80"/>
      <c r="B237" s="50" t="s">
        <v>136</v>
      </c>
      <c r="C237" s="60">
        <f>C235+C236</f>
        <v>2428472.92</v>
      </c>
      <c r="D237" s="61">
        <f>D235+D236</f>
        <v>0</v>
      </c>
      <c r="E237" s="61">
        <f>E235+E236</f>
        <v>100721</v>
      </c>
      <c r="F237" s="222">
        <f>F235+F236</f>
        <v>100729.53149999998</v>
      </c>
      <c r="G237" s="58">
        <f>+ROUND(E237/C237*100,2)</f>
        <v>4.1500000000000004</v>
      </c>
      <c r="H237" s="61">
        <f>H235+H236</f>
        <v>0</v>
      </c>
      <c r="I237" s="61">
        <f>I235+I236</f>
        <v>100721</v>
      </c>
      <c r="K237" s="138"/>
      <c r="L237" s="126"/>
      <c r="M237" s="146">
        <f>M235+M236</f>
        <v>0</v>
      </c>
      <c r="N237" s="146">
        <f>N235+N236</f>
        <v>100721</v>
      </c>
      <c r="O237" s="146">
        <f>O235+O236</f>
        <v>100721</v>
      </c>
      <c r="P237" s="241"/>
      <c r="Q237" s="241"/>
    </row>
    <row r="238" spans="1:17">
      <c r="A238" s="80"/>
      <c r="B238" s="19"/>
      <c r="C238" s="71"/>
      <c r="D238" s="72"/>
      <c r="E238" s="73"/>
      <c r="F238" s="220"/>
      <c r="G238" s="74"/>
      <c r="H238" s="44"/>
      <c r="I238" s="44"/>
      <c r="K238" s="138"/>
      <c r="L238" s="126"/>
      <c r="M238" s="135"/>
      <c r="N238" s="135"/>
      <c r="O238" s="135"/>
      <c r="P238" s="241"/>
      <c r="Q238" s="241"/>
    </row>
    <row r="239" spans="1:17" ht="15.75">
      <c r="A239" s="23"/>
      <c r="B239" s="81" t="s">
        <v>137</v>
      </c>
      <c r="C239" s="82">
        <f>C209+C213+C217+C218+C219+C223+C227+C228+C232+C233+C237</f>
        <v>141393195.67999998</v>
      </c>
      <c r="D239" s="83">
        <f>D209+D213+D217+D218+D219+D223+D227+D228+D232+D233+D237</f>
        <v>0</v>
      </c>
      <c r="E239" s="83">
        <f>E209+E213+E217+E218+E219+E223+E227+E228+E232+E233+E237</f>
        <v>4986678</v>
      </c>
      <c r="F239" s="223">
        <f>F209+F213+F217+F218+F219+F223+F227+F228+F232+F233+F237</f>
        <v>4986422.4082619986</v>
      </c>
      <c r="G239" s="84">
        <f>+ROUND(E239/C239*100,2)</f>
        <v>3.53</v>
      </c>
      <c r="H239" s="83">
        <f>H209+H213+H217+H218+H219+H223+H227+H228+H232+H233+H237</f>
        <v>0</v>
      </c>
      <c r="I239" s="83">
        <f>I209+I213+I217+I218+I219+I223+I227+I228+I232+I233+I237</f>
        <v>4986678</v>
      </c>
      <c r="K239" s="134"/>
      <c r="L239" s="126"/>
      <c r="M239" s="147">
        <f>M209+M213+M217+M218+M219+M223+M227+M228+M232+M233+M237</f>
        <v>0</v>
      </c>
      <c r="N239" s="147">
        <f>N209+N213+N217+N218+N219+N223+N227+N228+N232+N233+N237</f>
        <v>4986678</v>
      </c>
      <c r="O239" s="147">
        <f>O209+O213+O217+O218+O219+O223+O227+O228+O232+O233+O237</f>
        <v>4986678</v>
      </c>
      <c r="P239" s="241"/>
      <c r="Q239" s="241"/>
    </row>
    <row r="240" spans="1:17" ht="16.5" thickBot="1">
      <c r="A240" s="23"/>
      <c r="B240" s="81" t="s">
        <v>138</v>
      </c>
      <c r="C240" s="97"/>
      <c r="D240" s="98">
        <f>D9+D75+D186+D197+D205+D239</f>
        <v>979739760.53999996</v>
      </c>
      <c r="E240" s="99"/>
      <c r="F240" s="228"/>
      <c r="G240" s="84"/>
      <c r="H240" s="99"/>
      <c r="I240" s="99"/>
      <c r="K240" s="134"/>
      <c r="L240" s="126"/>
      <c r="M240" s="150"/>
      <c r="N240" s="150"/>
      <c r="O240" s="150"/>
      <c r="P240" s="241"/>
      <c r="Q240" s="241"/>
    </row>
    <row r="241" spans="1:17" ht="17.25" thickTop="1" thickBot="1">
      <c r="A241" s="100"/>
      <c r="B241" s="101"/>
      <c r="C241" s="102"/>
      <c r="D241" s="103"/>
      <c r="E241" s="104"/>
      <c r="F241" s="229"/>
      <c r="G241" s="84"/>
      <c r="H241" s="44"/>
      <c r="I241" s="44"/>
      <c r="K241" s="134"/>
      <c r="L241" s="126"/>
      <c r="M241" s="135"/>
      <c r="N241" s="135"/>
      <c r="O241" s="135"/>
      <c r="P241" s="241"/>
      <c r="Q241" s="241"/>
    </row>
    <row r="242" spans="1:17" ht="15.75">
      <c r="A242" s="37"/>
      <c r="B242" s="38" t="s">
        <v>139</v>
      </c>
      <c r="C242" s="105"/>
      <c r="D242" s="106"/>
      <c r="E242" s="107"/>
      <c r="F242" s="230"/>
      <c r="G242" s="84"/>
      <c r="H242" s="44"/>
      <c r="I242" s="44"/>
      <c r="K242" s="134"/>
      <c r="L242" s="126"/>
      <c r="M242" s="135"/>
      <c r="N242" s="135"/>
      <c r="O242" s="135"/>
      <c r="P242" s="241"/>
      <c r="Q242" s="241"/>
    </row>
    <row r="243" spans="1:17" ht="15.75">
      <c r="A243" s="37"/>
      <c r="B243" s="108"/>
      <c r="C243" s="105"/>
      <c r="D243" s="106"/>
      <c r="E243" s="107"/>
      <c r="F243" s="230"/>
      <c r="G243" s="84"/>
      <c r="H243" s="44"/>
      <c r="I243" s="44"/>
      <c r="K243" s="134"/>
      <c r="L243" s="126"/>
      <c r="M243" s="135"/>
      <c r="N243" s="135"/>
      <c r="O243" s="135"/>
      <c r="P243" s="241"/>
      <c r="Q243" s="241"/>
    </row>
    <row r="244" spans="1:17" ht="15.75">
      <c r="A244" s="109">
        <v>391</v>
      </c>
      <c r="B244" s="37" t="s">
        <v>119</v>
      </c>
      <c r="C244" s="105"/>
      <c r="D244" s="56">
        <v>1216907</v>
      </c>
      <c r="E244" s="110">
        <f>-D244/10</f>
        <v>-121690.7</v>
      </c>
      <c r="F244" s="231">
        <f>E244</f>
        <v>-121690.7</v>
      </c>
      <c r="G244" s="74"/>
      <c r="H244" s="59">
        <f t="shared" ref="H244:H250" si="56">ROUND(D244*(G244/100),0)</f>
        <v>0</v>
      </c>
      <c r="I244" s="67">
        <f t="shared" ref="I244:I250" si="57">E244-H244</f>
        <v>-121690.7</v>
      </c>
      <c r="K244" s="138"/>
      <c r="L244" s="126"/>
      <c r="M244" s="139">
        <f t="shared" ref="M244:M250" si="58">ROUND(I244*(L244/100),0)</f>
        <v>0</v>
      </c>
      <c r="N244" s="139">
        <f>'Adjust Depr Table 1'!Q288</f>
        <v>-121690.7</v>
      </c>
      <c r="O244" s="139">
        <f t="shared" ref="O244:O250" si="59">N244-M244</f>
        <v>-121690.7</v>
      </c>
      <c r="P244" s="241"/>
      <c r="Q244" s="241"/>
    </row>
    <row r="245" spans="1:17" ht="15.75">
      <c r="A245" s="109">
        <v>391.1</v>
      </c>
      <c r="B245" s="37" t="s">
        <v>123</v>
      </c>
      <c r="C245" s="105"/>
      <c r="D245" s="56">
        <v>6179000</v>
      </c>
      <c r="E245" s="111">
        <f t="shared" ref="E245:E250" si="60">-D245/10</f>
        <v>-617900</v>
      </c>
      <c r="F245" s="231">
        <f t="shared" ref="F245:F250" si="61">E245</f>
        <v>-617900</v>
      </c>
      <c r="G245" s="74"/>
      <c r="H245" s="59">
        <f t="shared" si="56"/>
        <v>0</v>
      </c>
      <c r="I245" s="67">
        <f t="shared" si="57"/>
        <v>-617900</v>
      </c>
      <c r="K245" s="138"/>
      <c r="L245" s="126"/>
      <c r="M245" s="139">
        <f t="shared" si="58"/>
        <v>0</v>
      </c>
      <c r="N245" s="139">
        <f>'Adjust Depr Table 1'!Q289</f>
        <v>-617900</v>
      </c>
      <c r="O245" s="139">
        <f t="shared" si="59"/>
        <v>-617900</v>
      </c>
      <c r="P245" s="241"/>
      <c r="Q245" s="241"/>
    </row>
    <row r="246" spans="1:17" ht="15.75">
      <c r="A246" s="109">
        <v>393</v>
      </c>
      <c r="B246" s="112" t="s">
        <v>126</v>
      </c>
      <c r="C246" s="105"/>
      <c r="D246" s="56">
        <v>31577</v>
      </c>
      <c r="E246" s="111">
        <f t="shared" si="60"/>
        <v>-3157.7</v>
      </c>
      <c r="F246" s="231">
        <f t="shared" si="61"/>
        <v>-3157.7</v>
      </c>
      <c r="G246" s="74"/>
      <c r="H246" s="59">
        <f t="shared" si="56"/>
        <v>0</v>
      </c>
      <c r="I246" s="67">
        <f t="shared" si="57"/>
        <v>-3157.7</v>
      </c>
      <c r="K246" s="138"/>
      <c r="L246" s="126"/>
      <c r="M246" s="139">
        <f t="shared" si="58"/>
        <v>0</v>
      </c>
      <c r="N246" s="139">
        <f>'Adjust Depr Table 1'!Q290</f>
        <v>-3157.7</v>
      </c>
      <c r="O246" s="139">
        <f t="shared" si="59"/>
        <v>-3157.7</v>
      </c>
      <c r="P246" s="241"/>
      <c r="Q246" s="241"/>
    </row>
    <row r="247" spans="1:17" ht="15.75">
      <c r="A247" s="109">
        <v>394</v>
      </c>
      <c r="B247" s="113" t="s">
        <v>127</v>
      </c>
      <c r="C247" s="105"/>
      <c r="D247" s="56">
        <v>424910</v>
      </c>
      <c r="E247" s="111">
        <f t="shared" si="60"/>
        <v>-42491</v>
      </c>
      <c r="F247" s="231">
        <f t="shared" si="61"/>
        <v>-42491</v>
      </c>
      <c r="G247" s="74"/>
      <c r="H247" s="59">
        <f t="shared" si="56"/>
        <v>0</v>
      </c>
      <c r="I247" s="67">
        <f t="shared" si="57"/>
        <v>-42491</v>
      </c>
      <c r="K247" s="138"/>
      <c r="L247" s="126"/>
      <c r="M247" s="139">
        <f t="shared" si="58"/>
        <v>0</v>
      </c>
      <c r="N247" s="139">
        <f>'Adjust Depr Table 1'!Q291</f>
        <v>-42491</v>
      </c>
      <c r="O247" s="139">
        <f t="shared" si="59"/>
        <v>-42491</v>
      </c>
      <c r="P247" s="241"/>
      <c r="Q247" s="241"/>
    </row>
    <row r="248" spans="1:17" ht="15.75">
      <c r="A248" s="109">
        <v>395</v>
      </c>
      <c r="B248" s="112" t="s">
        <v>129</v>
      </c>
      <c r="C248" s="105"/>
      <c r="D248" s="56">
        <v>735653</v>
      </c>
      <c r="E248" s="111">
        <f t="shared" si="60"/>
        <v>-73565.3</v>
      </c>
      <c r="F248" s="231">
        <f t="shared" si="61"/>
        <v>-73565.3</v>
      </c>
      <c r="G248" s="74"/>
      <c r="H248" s="59">
        <f t="shared" si="56"/>
        <v>0</v>
      </c>
      <c r="I248" s="67">
        <f t="shared" si="57"/>
        <v>-73565.3</v>
      </c>
      <c r="K248" s="138"/>
      <c r="L248" s="126"/>
      <c r="M248" s="139">
        <f t="shared" si="58"/>
        <v>0</v>
      </c>
      <c r="N248" s="139">
        <f>'Adjust Depr Table 1'!Q292</f>
        <v>-73565.3</v>
      </c>
      <c r="O248" s="139">
        <f t="shared" si="59"/>
        <v>-73565.3</v>
      </c>
      <c r="P248" s="241"/>
      <c r="Q248" s="241"/>
    </row>
    <row r="249" spans="1:17" ht="15.75">
      <c r="A249" s="109">
        <v>397</v>
      </c>
      <c r="B249" s="50" t="s">
        <v>132</v>
      </c>
      <c r="C249" s="105"/>
      <c r="D249" s="56">
        <v>9419253</v>
      </c>
      <c r="E249" s="111">
        <f t="shared" si="60"/>
        <v>-941925.3</v>
      </c>
      <c r="F249" s="231">
        <f t="shared" si="61"/>
        <v>-941925.3</v>
      </c>
      <c r="G249" s="74"/>
      <c r="H249" s="59">
        <f t="shared" si="56"/>
        <v>0</v>
      </c>
      <c r="I249" s="67">
        <f t="shared" si="57"/>
        <v>-941925.3</v>
      </c>
      <c r="K249" s="138"/>
      <c r="L249" s="126"/>
      <c r="M249" s="139">
        <f t="shared" si="58"/>
        <v>0</v>
      </c>
      <c r="N249" s="139">
        <f>'Adjust Depr Table 1'!Q293</f>
        <v>-941925.3</v>
      </c>
      <c r="O249" s="139">
        <f t="shared" si="59"/>
        <v>-941925.3</v>
      </c>
      <c r="P249" s="241"/>
      <c r="Q249" s="241"/>
    </row>
    <row r="250" spans="1:17" ht="15.75">
      <c r="A250" s="109">
        <v>398</v>
      </c>
      <c r="B250" s="50" t="s">
        <v>135</v>
      </c>
      <c r="C250" s="105"/>
      <c r="D250" s="61">
        <v>1095737</v>
      </c>
      <c r="E250" s="114">
        <f t="shared" si="60"/>
        <v>-109573.7</v>
      </c>
      <c r="F250" s="237">
        <f t="shared" si="61"/>
        <v>-109573.7</v>
      </c>
      <c r="G250" s="74"/>
      <c r="H250" s="63">
        <f t="shared" si="56"/>
        <v>0</v>
      </c>
      <c r="I250" s="115">
        <f t="shared" si="57"/>
        <v>-109573.7</v>
      </c>
      <c r="K250" s="138"/>
      <c r="L250" s="126"/>
      <c r="M250" s="140">
        <f t="shared" si="58"/>
        <v>0</v>
      </c>
      <c r="N250" s="140">
        <f>'Adjust Depr Table 1'!Q294</f>
        <v>-109573.7</v>
      </c>
      <c r="O250" s="140">
        <f t="shared" si="59"/>
        <v>-109573.7</v>
      </c>
      <c r="P250" s="241"/>
      <c r="Q250" s="241"/>
    </row>
    <row r="251" spans="1:17" ht="15.75">
      <c r="A251" s="37"/>
      <c r="B251" s="108"/>
      <c r="C251" s="105"/>
      <c r="D251" s="56"/>
      <c r="E251" s="107"/>
      <c r="F251" s="230"/>
      <c r="G251" s="74"/>
      <c r="H251" s="69"/>
      <c r="I251" s="69"/>
      <c r="K251" s="138"/>
      <c r="L251" s="126"/>
      <c r="M251" s="144"/>
      <c r="N251" s="144"/>
      <c r="O251" s="144"/>
      <c r="P251" s="241"/>
      <c r="Q251" s="241"/>
    </row>
    <row r="252" spans="1:17" ht="16.5" thickBot="1">
      <c r="A252" s="37"/>
      <c r="B252" s="108" t="s">
        <v>140</v>
      </c>
      <c r="C252" s="105"/>
      <c r="D252" s="116">
        <f>SUM(D244:D250)</f>
        <v>19103037</v>
      </c>
      <c r="E252" s="117">
        <f>SUBTOTAL(9,E244:E251)</f>
        <v>-1910303.7</v>
      </c>
      <c r="F252" s="232">
        <f>SUBTOTAL(9,F244:F251)</f>
        <v>-1910303.7</v>
      </c>
      <c r="G252" s="74"/>
      <c r="H252" s="117">
        <f>SUBTOTAL(9,H244:H251)</f>
        <v>0</v>
      </c>
      <c r="I252" s="117">
        <f>SUBTOTAL(9,I244:I251)</f>
        <v>-1910303.7</v>
      </c>
      <c r="K252" s="138"/>
      <c r="L252" s="126"/>
      <c r="M252" s="151">
        <f>SUBTOTAL(9,M244:M251)</f>
        <v>0</v>
      </c>
      <c r="N252" s="151">
        <f>SUBTOTAL(9,N244:N251)</f>
        <v>-1910303.7</v>
      </c>
      <c r="O252" s="151">
        <f>SUBTOTAL(9,O244:O251)</f>
        <v>-1910303.7</v>
      </c>
      <c r="P252" s="241"/>
      <c r="Q252" s="241"/>
    </row>
    <row r="253" spans="1:17" ht="16.5" thickTop="1">
      <c r="A253" s="23"/>
      <c r="B253" s="81"/>
      <c r="C253" s="118"/>
      <c r="D253" s="119"/>
      <c r="E253" s="120"/>
      <c r="F253" s="233"/>
      <c r="G253" s="49"/>
      <c r="H253" s="44"/>
      <c r="I253" s="44"/>
      <c r="K253" s="137"/>
      <c r="L253" s="126"/>
      <c r="M253" s="135"/>
      <c r="N253" s="135"/>
      <c r="O253" s="135"/>
      <c r="P253" s="241"/>
      <c r="Q253" s="241"/>
    </row>
    <row r="254" spans="1:17" ht="16.5" thickBot="1">
      <c r="A254" s="23"/>
      <c r="B254" s="81" t="s">
        <v>141</v>
      </c>
      <c r="C254" s="121">
        <f>C9+C75+C186+C197+C205+C239</f>
        <v>4037004423.8900003</v>
      </c>
      <c r="D254" s="122"/>
      <c r="E254" s="123">
        <f>E9+E75+E186+E197+E205+E239+E252</f>
        <v>129084263.3</v>
      </c>
      <c r="F254" s="234">
        <f>F9+F75+F186+F197+F205+F239+F252</f>
        <v>129081435.51607302</v>
      </c>
      <c r="G254" s="84">
        <f>+ROUND(E254/C254*100,2)</f>
        <v>3.2</v>
      </c>
      <c r="H254" s="123">
        <f>H9+H75+H186+H197+H205+H239+H252</f>
        <v>39755316</v>
      </c>
      <c r="I254" s="123">
        <f>I9+I75+I186+I197+I205+I239+I252</f>
        <v>89328947.299999997</v>
      </c>
      <c r="K254" s="134"/>
      <c r="L254" s="126"/>
      <c r="M254" s="152">
        <f>M9+M75+M186+M197+M205+M239+M252</f>
        <v>33234059</v>
      </c>
      <c r="N254" s="152">
        <f>N9+N75+N186+N197+N205+N239+N252</f>
        <v>108382030.08622564</v>
      </c>
      <c r="O254" s="152">
        <f>O9+O75+O186+O197+O205+O239+O252</f>
        <v>75147971.086225629</v>
      </c>
      <c r="P254" s="241"/>
      <c r="Q254" s="241"/>
    </row>
    <row r="255" spans="1:17" ht="16.5" thickTop="1">
      <c r="A255" s="23"/>
      <c r="B255" s="93"/>
      <c r="C255" s="118"/>
      <c r="D255" s="119"/>
      <c r="E255" s="120"/>
      <c r="F255" s="93"/>
      <c r="G255" s="49"/>
      <c r="H255" s="44"/>
      <c r="I255" s="44"/>
      <c r="K255" s="126"/>
      <c r="L255" s="126"/>
      <c r="M255" s="135"/>
      <c r="N255" s="135"/>
      <c r="O255" s="135"/>
      <c r="P255" s="241"/>
      <c r="Q255" s="241"/>
    </row>
    <row r="256" spans="1:17" ht="15.75">
      <c r="A256" s="23"/>
      <c r="B256" s="124" t="s">
        <v>142</v>
      </c>
      <c r="C256" s="118"/>
      <c r="D256" s="119"/>
      <c r="E256" s="120"/>
      <c r="F256" s="93"/>
      <c r="G256" s="49"/>
      <c r="H256" s="44"/>
      <c r="I256" s="44"/>
      <c r="K256" s="126"/>
      <c r="L256" s="126"/>
      <c r="M256" s="135"/>
      <c r="N256" s="135"/>
      <c r="O256" s="135"/>
      <c r="P256" s="241"/>
      <c r="Q256" s="241"/>
    </row>
    <row r="257" spans="1:17" ht="15.75">
      <c r="A257" s="23"/>
      <c r="B257" s="93"/>
      <c r="C257" s="118"/>
      <c r="D257" s="119"/>
      <c r="E257" s="120"/>
      <c r="F257" s="93"/>
      <c r="G257" s="49"/>
      <c r="H257" s="44"/>
      <c r="I257" s="44"/>
      <c r="K257" s="126"/>
      <c r="L257" s="126"/>
      <c r="M257" s="284" t="s">
        <v>646</v>
      </c>
      <c r="N257" s="135"/>
      <c r="O257" s="238">
        <f>'Depr Exp-Adj 1 '!O254</f>
        <v>77266139.388205305</v>
      </c>
      <c r="P257" s="241"/>
      <c r="Q257" s="241"/>
    </row>
    <row r="258" spans="1:17" ht="15.75">
      <c r="A258" s="80">
        <v>301</v>
      </c>
      <c r="B258" s="19" t="s">
        <v>143</v>
      </c>
      <c r="C258" s="87">
        <v>5040.43</v>
      </c>
      <c r="D258" s="87"/>
      <c r="E258" s="120"/>
      <c r="F258" s="93"/>
      <c r="G258" s="49"/>
      <c r="H258" s="23"/>
      <c r="I258" s="23"/>
      <c r="K258" s="126"/>
      <c r="L258" s="126"/>
      <c r="M258" s="133"/>
      <c r="N258" s="133"/>
      <c r="O258" s="133"/>
      <c r="P258" s="241"/>
      <c r="Q258" s="241"/>
    </row>
    <row r="259" spans="1:17" ht="16.5" thickBot="1">
      <c r="A259" s="109">
        <v>310</v>
      </c>
      <c r="B259" s="50" t="s">
        <v>144</v>
      </c>
      <c r="C259" s="55">
        <v>6916766.1399999997</v>
      </c>
      <c r="D259" s="55"/>
      <c r="E259" s="120"/>
      <c r="F259" s="93"/>
      <c r="G259" s="49"/>
      <c r="H259" s="23"/>
      <c r="I259" s="23"/>
      <c r="K259" s="126"/>
      <c r="L259" s="126"/>
      <c r="M259" s="284" t="s">
        <v>647</v>
      </c>
      <c r="N259" s="133"/>
      <c r="O259" s="239">
        <f>O254-O257</f>
        <v>-2118168.3019796759</v>
      </c>
      <c r="P259" s="241"/>
      <c r="Q259" s="241"/>
    </row>
    <row r="260" spans="1:17" ht="16.5" thickTop="1">
      <c r="A260" s="80">
        <v>340</v>
      </c>
      <c r="B260" s="19" t="s">
        <v>144</v>
      </c>
      <c r="C260" s="87">
        <v>5964035.6900000004</v>
      </c>
      <c r="D260" s="87"/>
      <c r="E260" s="120"/>
      <c r="F260" s="93"/>
      <c r="G260" s="49"/>
      <c r="H260" s="23"/>
      <c r="I260" s="23"/>
      <c r="M260" s="23"/>
      <c r="N260" s="23"/>
      <c r="O260" s="23"/>
    </row>
    <row r="261" spans="1:17" ht="15.75">
      <c r="A261" s="80">
        <v>350</v>
      </c>
      <c r="B261" s="19" t="s">
        <v>144</v>
      </c>
      <c r="C261" s="87">
        <v>5771527.6600000001</v>
      </c>
      <c r="D261" s="87"/>
      <c r="E261" s="120"/>
      <c r="F261" s="93"/>
      <c r="G261" s="49"/>
      <c r="H261" s="23"/>
      <c r="I261" s="23"/>
    </row>
    <row r="262" spans="1:17" ht="15.75">
      <c r="A262" s="80">
        <v>350.1</v>
      </c>
      <c r="B262" s="19" t="s">
        <v>46</v>
      </c>
      <c r="C262" s="87">
        <v>55719148.420000002</v>
      </c>
      <c r="D262" s="87"/>
      <c r="E262" s="120"/>
      <c r="F262" s="93"/>
      <c r="G262" s="49"/>
      <c r="H262" s="23"/>
      <c r="I262" s="23"/>
    </row>
    <row r="263" spans="1:17" ht="15.75">
      <c r="A263" s="80">
        <v>360</v>
      </c>
      <c r="B263" s="19" t="s">
        <v>144</v>
      </c>
      <c r="C263" s="87">
        <v>10115251.35</v>
      </c>
      <c r="D263" s="87"/>
      <c r="E263" s="120"/>
      <c r="F263" s="93"/>
      <c r="G263" s="49"/>
      <c r="H263" s="23"/>
      <c r="I263" s="23"/>
    </row>
    <row r="264" spans="1:17" ht="15.75">
      <c r="A264" s="80">
        <v>389</v>
      </c>
      <c r="B264" s="19" t="s">
        <v>144</v>
      </c>
      <c r="C264" s="87">
        <v>1381311.62</v>
      </c>
      <c r="D264" s="87"/>
      <c r="E264" s="120"/>
      <c r="F264" s="93"/>
      <c r="G264" s="49"/>
      <c r="H264" s="23"/>
      <c r="I264" s="23"/>
    </row>
    <row r="265" spans="1:17" ht="15.75">
      <c r="A265" s="80">
        <v>389.1</v>
      </c>
      <c r="B265" s="19" t="s">
        <v>46</v>
      </c>
      <c r="C265" s="75">
        <v>454290.88</v>
      </c>
      <c r="D265" s="71"/>
      <c r="E265" s="120"/>
      <c r="F265" s="93"/>
      <c r="G265" s="49"/>
      <c r="H265" s="23"/>
      <c r="I265" s="23"/>
    </row>
    <row r="266" spans="1:17" ht="15.75">
      <c r="A266" s="23"/>
      <c r="B266" s="93"/>
      <c r="C266" s="118"/>
      <c r="D266" s="118"/>
      <c r="E266" s="104"/>
      <c r="F266" s="93"/>
      <c r="G266" s="49"/>
      <c r="H266" s="23"/>
      <c r="I266" s="23"/>
    </row>
    <row r="267" spans="1:17" ht="15.75">
      <c r="A267" s="23"/>
      <c r="B267" s="81" t="s">
        <v>145</v>
      </c>
      <c r="C267" s="82">
        <f>SUM(C258:C265)</f>
        <v>86327372.189999998</v>
      </c>
      <c r="D267" s="97"/>
      <c r="E267" s="104"/>
      <c r="F267" s="93"/>
      <c r="G267" s="49"/>
      <c r="H267" s="23"/>
      <c r="I267" s="23"/>
    </row>
    <row r="268" spans="1:17" ht="15.75">
      <c r="A268" s="23"/>
      <c r="B268" s="93"/>
      <c r="C268" s="118"/>
      <c r="D268" s="118"/>
      <c r="E268" s="104"/>
      <c r="F268" s="93"/>
      <c r="G268" s="49"/>
      <c r="H268" s="23"/>
      <c r="I268" s="23"/>
    </row>
    <row r="269" spans="1:17" ht="16.5" thickBot="1">
      <c r="A269" s="23"/>
      <c r="B269" s="81" t="s">
        <v>146</v>
      </c>
      <c r="C269" s="121">
        <f>C254+C267</f>
        <v>4123331796.0800004</v>
      </c>
      <c r="D269" s="97"/>
      <c r="E269" s="104"/>
      <c r="F269" s="93"/>
      <c r="G269" s="49"/>
      <c r="H269" s="23"/>
      <c r="I269" s="23"/>
    </row>
    <row r="270" spans="1:17" ht="16.5" thickTop="1">
      <c r="A270" s="23"/>
      <c r="B270" s="81"/>
      <c r="C270" s="87"/>
      <c r="D270" s="87"/>
      <c r="E270" s="104"/>
      <c r="F270" s="93"/>
      <c r="G270" s="49"/>
      <c r="H270" s="23"/>
      <c r="I270" s="23"/>
    </row>
  </sheetData>
  <printOptions horizontalCentered="1"/>
  <pageMargins left="1" right="0.5" top="1" bottom="0.75" header="0.5" footer="0.5"/>
  <pageSetup scale="33" fitToHeight="0" orientation="landscape" r:id="rId1"/>
  <rowBreaks count="3" manualBreakCount="3">
    <brk id="51" max="20" man="1"/>
    <brk id="110" max="20" man="1"/>
    <brk id="228"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0"/>
  <sheetViews>
    <sheetView topLeftCell="C228" zoomScale="80" zoomScaleNormal="80" workbookViewId="0">
      <selection activeCell="O259" sqref="O259"/>
    </sheetView>
  </sheetViews>
  <sheetFormatPr defaultColWidth="12.5703125" defaultRowHeight="15"/>
  <cols>
    <col min="1" max="1" width="10" style="18" customWidth="1"/>
    <col min="2" max="2" width="77.7109375" style="18" customWidth="1"/>
    <col min="3" max="4" width="24.140625" style="18" customWidth="1"/>
    <col min="5" max="5" width="24.140625" style="20" customWidth="1"/>
    <col min="6" max="6" width="17.140625" style="18" customWidth="1"/>
    <col min="7" max="7" width="17.7109375" style="18" customWidth="1"/>
    <col min="8" max="9" width="24.140625" style="18" customWidth="1"/>
    <col min="10" max="10" width="12.5703125" style="18"/>
    <col min="11" max="11" width="18.28515625" style="18" customWidth="1"/>
    <col min="12" max="12" width="2.42578125" style="18" customWidth="1"/>
    <col min="13" max="14" width="23" style="18" customWidth="1"/>
    <col min="15" max="15" width="24" style="18" customWidth="1"/>
    <col min="16" max="16384" width="12.5703125" style="18"/>
  </cols>
  <sheetData>
    <row r="1" spans="1:17">
      <c r="B1" s="19" t="s">
        <v>28</v>
      </c>
      <c r="K1" s="126"/>
      <c r="L1" s="126"/>
      <c r="M1" s="126"/>
      <c r="N1" s="126"/>
      <c r="O1" s="126"/>
    </row>
    <row r="2" spans="1:17" ht="15.75">
      <c r="A2" s="21"/>
      <c r="B2" s="22"/>
      <c r="C2" s="22"/>
      <c r="D2" s="22"/>
      <c r="E2" s="236" t="s">
        <v>221</v>
      </c>
      <c r="F2" s="235" t="s">
        <v>220</v>
      </c>
      <c r="H2" s="125" t="s">
        <v>147</v>
      </c>
      <c r="I2" s="125" t="s">
        <v>147</v>
      </c>
      <c r="K2" s="127" t="s">
        <v>222</v>
      </c>
      <c r="L2" s="126"/>
      <c r="M2" s="128" t="s">
        <v>644</v>
      </c>
      <c r="N2" s="128" t="s">
        <v>644</v>
      </c>
      <c r="O2" s="128" t="s">
        <v>644</v>
      </c>
    </row>
    <row r="3" spans="1:17" ht="15.75">
      <c r="A3" s="23"/>
      <c r="B3" s="24"/>
      <c r="C3" s="25" t="s">
        <v>29</v>
      </c>
      <c r="D3" s="25" t="s">
        <v>30</v>
      </c>
      <c r="E3" s="26" t="s">
        <v>31</v>
      </c>
      <c r="F3" s="213" t="s">
        <v>31</v>
      </c>
      <c r="G3" s="26"/>
      <c r="H3" s="25" t="s">
        <v>31</v>
      </c>
      <c r="I3" s="25" t="s">
        <v>31</v>
      </c>
      <c r="K3" s="128" t="s">
        <v>644</v>
      </c>
      <c r="L3" s="126"/>
      <c r="M3" s="128" t="s">
        <v>31</v>
      </c>
      <c r="N3" s="128" t="s">
        <v>31</v>
      </c>
      <c r="O3" s="128" t="s">
        <v>31</v>
      </c>
    </row>
    <row r="4" spans="1:17" ht="15.75">
      <c r="A4" s="23"/>
      <c r="B4" s="28"/>
      <c r="C4" s="25" t="s">
        <v>32</v>
      </c>
      <c r="D4" s="25" t="s">
        <v>33</v>
      </c>
      <c r="E4" s="26" t="s">
        <v>34</v>
      </c>
      <c r="F4" s="213" t="s">
        <v>34</v>
      </c>
      <c r="G4" s="26" t="s">
        <v>35</v>
      </c>
      <c r="H4" s="25" t="s">
        <v>34</v>
      </c>
      <c r="I4" s="25" t="s">
        <v>34</v>
      </c>
      <c r="K4" s="129" t="s">
        <v>35</v>
      </c>
      <c r="L4" s="126"/>
      <c r="M4" s="128" t="s">
        <v>34</v>
      </c>
      <c r="N4" s="128" t="s">
        <v>34</v>
      </c>
      <c r="O4" s="128" t="s">
        <v>34</v>
      </c>
      <c r="P4" s="241"/>
      <c r="Q4" s="241" t="s">
        <v>224</v>
      </c>
    </row>
    <row r="5" spans="1:17">
      <c r="A5" s="29"/>
      <c r="B5" s="30" t="s">
        <v>36</v>
      </c>
      <c r="C5" s="31" t="s">
        <v>37</v>
      </c>
      <c r="D5" s="31" t="s">
        <v>38</v>
      </c>
      <c r="E5" s="32" t="s">
        <v>39</v>
      </c>
      <c r="F5" s="214" t="s">
        <v>39</v>
      </c>
      <c r="G5" s="33" t="s">
        <v>40</v>
      </c>
      <c r="H5" s="30" t="s">
        <v>41</v>
      </c>
      <c r="I5" s="30" t="s">
        <v>42</v>
      </c>
      <c r="K5" s="130" t="s">
        <v>40</v>
      </c>
      <c r="L5" s="126"/>
      <c r="M5" s="131" t="s">
        <v>41</v>
      </c>
      <c r="N5" s="131" t="s">
        <v>39</v>
      </c>
      <c r="O5" s="131" t="s">
        <v>42</v>
      </c>
      <c r="P5" s="241"/>
      <c r="Q5" s="241" t="s">
        <v>225</v>
      </c>
    </row>
    <row r="6" spans="1:17" ht="15.75">
      <c r="A6" s="23"/>
      <c r="B6" s="34"/>
      <c r="C6" s="35"/>
      <c r="D6" s="35"/>
      <c r="E6" s="36"/>
      <c r="F6" s="215"/>
      <c r="G6" s="35"/>
      <c r="H6" s="23"/>
      <c r="I6" s="23"/>
      <c r="K6" s="132"/>
      <c r="L6" s="126"/>
      <c r="M6" s="133"/>
      <c r="N6" s="133"/>
      <c r="O6" s="133"/>
      <c r="P6" s="241"/>
      <c r="Q6" s="241"/>
    </row>
    <row r="7" spans="1:17" ht="15.75">
      <c r="A7" s="37"/>
      <c r="B7" s="38" t="s">
        <v>43</v>
      </c>
      <c r="C7" s="35"/>
      <c r="D7" s="35"/>
      <c r="E7" s="36"/>
      <c r="F7" s="215"/>
      <c r="G7" s="35"/>
      <c r="H7" s="23"/>
      <c r="I7" s="23"/>
      <c r="K7" s="132"/>
      <c r="L7" s="126"/>
      <c r="M7" s="133"/>
      <c r="N7" s="133"/>
      <c r="O7" s="133"/>
      <c r="P7" s="241"/>
      <c r="Q7" s="241"/>
    </row>
    <row r="8" spans="1:17" ht="15.75">
      <c r="A8" s="37"/>
      <c r="B8" s="39"/>
      <c r="C8" s="35"/>
      <c r="D8" s="40"/>
      <c r="E8" s="36"/>
      <c r="F8" s="215"/>
      <c r="G8" s="35"/>
      <c r="H8" s="23"/>
      <c r="I8" s="23"/>
      <c r="K8" s="132"/>
      <c r="L8" s="126"/>
      <c r="M8" s="133"/>
      <c r="N8" s="133"/>
      <c r="O8" s="133"/>
      <c r="P8" s="241"/>
      <c r="Q8" s="241"/>
    </row>
    <row r="9" spans="1:17">
      <c r="A9" s="41">
        <v>303</v>
      </c>
      <c r="B9" s="50" t="s">
        <v>44</v>
      </c>
      <c r="C9" s="60">
        <v>2333311.0499999998</v>
      </c>
      <c r="D9" s="61">
        <v>0</v>
      </c>
      <c r="E9" s="62">
        <v>266398</v>
      </c>
      <c r="F9" s="216">
        <v>266398</v>
      </c>
      <c r="G9" s="58">
        <v>11.42</v>
      </c>
      <c r="H9" s="63">
        <f>ROUND(D9*(G9/100),0)</f>
        <v>0</v>
      </c>
      <c r="I9" s="63">
        <f>E9-H9</f>
        <v>266398</v>
      </c>
      <c r="J9" s="19"/>
      <c r="K9" s="138">
        <f>ROUND('Adjust Depr Table 2'!S15,2)</f>
        <v>11.42</v>
      </c>
      <c r="L9" s="143"/>
      <c r="M9" s="140">
        <f>ROUND(D9*(K9/100),0)</f>
        <v>0</v>
      </c>
      <c r="N9" s="140">
        <f>'Adjust Depr Table 2'!Q15</f>
        <v>266398</v>
      </c>
      <c r="O9" s="140">
        <f>N9-M9</f>
        <v>266398</v>
      </c>
      <c r="P9" s="241"/>
      <c r="Q9" s="241" t="str">
        <f>IF(C9-D9&lt;1,0,"No")</f>
        <v>No</v>
      </c>
    </row>
    <row r="10" spans="1:17" ht="15.75">
      <c r="A10" s="37"/>
      <c r="B10" s="39"/>
      <c r="C10" s="35"/>
      <c r="D10" s="40"/>
      <c r="E10" s="36"/>
      <c r="F10" s="215"/>
      <c r="G10" s="35"/>
      <c r="H10" s="44"/>
      <c r="I10" s="44"/>
      <c r="K10" s="132"/>
      <c r="L10" s="126"/>
      <c r="M10" s="135"/>
      <c r="N10" s="135"/>
      <c r="O10" s="135"/>
      <c r="P10" s="241"/>
      <c r="Q10" s="241"/>
    </row>
    <row r="11" spans="1:17" ht="15.75">
      <c r="A11" s="23"/>
      <c r="B11" s="24" t="s">
        <v>45</v>
      </c>
      <c r="D11" s="45"/>
      <c r="E11" s="46"/>
      <c r="F11" s="217"/>
      <c r="G11" s="47"/>
      <c r="H11" s="44"/>
      <c r="I11" s="44"/>
      <c r="K11" s="136"/>
      <c r="L11" s="126"/>
      <c r="M11" s="135"/>
      <c r="N11" s="135"/>
      <c r="O11" s="135"/>
      <c r="P11" s="241"/>
      <c r="Q11" s="241"/>
    </row>
    <row r="12" spans="1:17" ht="15.75">
      <c r="A12" s="23"/>
      <c r="B12" s="48"/>
      <c r="D12" s="45"/>
      <c r="E12" s="46"/>
      <c r="F12" s="217"/>
      <c r="G12" s="49"/>
      <c r="H12" s="44"/>
      <c r="I12" s="44"/>
      <c r="K12" s="137"/>
      <c r="L12" s="126"/>
      <c r="M12" s="135"/>
      <c r="N12" s="135"/>
      <c r="O12" s="135"/>
      <c r="P12" s="241"/>
      <c r="Q12" s="241"/>
    </row>
    <row r="13" spans="1:17">
      <c r="A13" s="41">
        <v>310.10000000000002</v>
      </c>
      <c r="B13" s="50" t="s">
        <v>46</v>
      </c>
      <c r="C13" s="37"/>
      <c r="D13" s="51"/>
      <c r="E13" s="52"/>
      <c r="F13" s="217"/>
      <c r="G13" s="53"/>
      <c r="H13" s="44"/>
      <c r="I13" s="44"/>
      <c r="K13" s="137"/>
      <c r="L13" s="126"/>
      <c r="M13" s="135"/>
      <c r="N13" s="135"/>
      <c r="O13" s="135"/>
      <c r="P13" s="241"/>
      <c r="Q13" s="241"/>
    </row>
    <row r="14" spans="1:17">
      <c r="A14" s="37"/>
      <c r="B14" s="54" t="s">
        <v>47</v>
      </c>
      <c r="C14" s="55">
        <v>5325571.5599999996</v>
      </c>
      <c r="D14" s="240">
        <v>5325572</v>
      </c>
      <c r="E14" s="57">
        <v>507197</v>
      </c>
      <c r="F14" s="218">
        <f>C14*G14/100</f>
        <v>506994.41251199989</v>
      </c>
      <c r="G14" s="58">
        <v>9.52</v>
      </c>
      <c r="H14" s="59">
        <f>ROUND(D14*(G14/100),0)+203</f>
        <v>507197</v>
      </c>
      <c r="I14" s="59">
        <f>E14-H14</f>
        <v>0</v>
      </c>
      <c r="K14" s="138">
        <f>ROUND('Adjust Depr Table 2'!S22,2)</f>
        <v>9.09</v>
      </c>
      <c r="L14" s="126"/>
      <c r="M14" s="139">
        <f>ROUND(D14*(K14/100),0)+49</f>
        <v>484143</v>
      </c>
      <c r="N14" s="139">
        <f>'Adjust Depr Table 2'!Q22</f>
        <v>484142.90909090912</v>
      </c>
      <c r="O14" s="243">
        <f>N14-M14</f>
        <v>-9.0909090882632881E-2</v>
      </c>
      <c r="P14" s="241"/>
      <c r="Q14" s="241">
        <f>IF(C14-D14&lt;1,0,"No")</f>
        <v>0</v>
      </c>
    </row>
    <row r="15" spans="1:17">
      <c r="A15" s="37"/>
      <c r="B15" s="54" t="s">
        <v>48</v>
      </c>
      <c r="C15" s="55">
        <v>480134.08</v>
      </c>
      <c r="D15" s="56">
        <v>0</v>
      </c>
      <c r="E15" s="57">
        <v>45727</v>
      </c>
      <c r="F15" s="218">
        <f>C15*G15/100</f>
        <v>45708.764415999998</v>
      </c>
      <c r="G15" s="58">
        <v>9.52</v>
      </c>
      <c r="H15" s="59">
        <f>ROUND(D15*(G15/100),0)</f>
        <v>0</v>
      </c>
      <c r="I15" s="59">
        <f>E15-H15</f>
        <v>45727</v>
      </c>
      <c r="K15" s="138">
        <f>ROUND('Adjust Depr Table 2'!S23,2)</f>
        <v>9.09</v>
      </c>
      <c r="L15" s="126"/>
      <c r="M15" s="139">
        <f>ROUND(D15*(K15/100),0)</f>
        <v>0</v>
      </c>
      <c r="N15" s="139">
        <f>'Adjust Depr Table 2'!Q23</f>
        <v>43648.545454545456</v>
      </c>
      <c r="O15" s="139">
        <f>N15-M15</f>
        <v>43648.545454545456</v>
      </c>
      <c r="P15" s="241"/>
      <c r="Q15" s="241" t="str">
        <f>IF(C15-D15&lt;1,0,"No")</f>
        <v>No</v>
      </c>
    </row>
    <row r="16" spans="1:17">
      <c r="A16" s="37"/>
      <c r="B16" s="54" t="s">
        <v>49</v>
      </c>
      <c r="C16" s="55">
        <v>20170029.309999999</v>
      </c>
      <c r="D16" s="56">
        <f>6046318.51+3382670.46+3272456.82+4743885.04-2321.29</f>
        <v>17443009.539999999</v>
      </c>
      <c r="E16" s="57">
        <v>683730</v>
      </c>
      <c r="F16" s="218">
        <f>C16*G16/100</f>
        <v>683763.993609</v>
      </c>
      <c r="G16" s="58">
        <v>3.39</v>
      </c>
      <c r="H16" s="59">
        <f>ROUND(D16*(G16/100),0)</f>
        <v>591318</v>
      </c>
      <c r="I16" s="59">
        <f>E16-H16</f>
        <v>92412</v>
      </c>
      <c r="K16" s="138">
        <f>ROUND('Adjust Depr Table 2'!S24,2)</f>
        <v>3.33</v>
      </c>
      <c r="L16" s="126"/>
      <c r="M16" s="139">
        <f>ROUND(D16*(K16/100),0)</f>
        <v>580852</v>
      </c>
      <c r="N16" s="139">
        <f>'Adjust Depr Table 2'!Q24</f>
        <v>672334.3</v>
      </c>
      <c r="O16" s="139">
        <f>N16-M16</f>
        <v>91482.300000000047</v>
      </c>
      <c r="P16" s="241"/>
      <c r="Q16" s="241" t="str">
        <f>IF(C16-D16&lt;1,0,"No")</f>
        <v>No</v>
      </c>
    </row>
    <row r="17" spans="1:17">
      <c r="A17" s="37"/>
      <c r="B17" s="54" t="s">
        <v>50</v>
      </c>
      <c r="C17" s="55">
        <v>1050779.8600000001</v>
      </c>
      <c r="D17" s="56">
        <v>1050780</v>
      </c>
      <c r="E17" s="57">
        <v>35620</v>
      </c>
      <c r="F17" s="218">
        <f>C17*G17/100</f>
        <v>35621.437254000004</v>
      </c>
      <c r="G17" s="58">
        <v>3.39</v>
      </c>
      <c r="H17" s="59">
        <f>ROUND(D17*(G17/100),0)-1</f>
        <v>35620</v>
      </c>
      <c r="I17" s="59">
        <f>E17-H17</f>
        <v>0</v>
      </c>
      <c r="K17" s="138">
        <f>ROUND('Adjust Depr Table 2'!S25,2)</f>
        <v>3.33</v>
      </c>
      <c r="L17" s="126"/>
      <c r="M17" s="139">
        <f>ROUND(D17*(K17/100),0)+35</f>
        <v>35026</v>
      </c>
      <c r="N17" s="139">
        <f>'Adjust Depr Table 2'!Q25</f>
        <v>35026</v>
      </c>
      <c r="O17" s="243">
        <f>N17-M17</f>
        <v>0</v>
      </c>
      <c r="P17" s="241"/>
      <c r="Q17" s="241">
        <f>IF(C17-D17&lt;1,0,"No")</f>
        <v>0</v>
      </c>
    </row>
    <row r="18" spans="1:17">
      <c r="A18" s="37"/>
      <c r="B18" s="54" t="s">
        <v>51</v>
      </c>
      <c r="C18" s="60">
        <v>6050424.8700000001</v>
      </c>
      <c r="D18" s="61">
        <v>6050425</v>
      </c>
      <c r="E18" s="62">
        <v>705883</v>
      </c>
      <c r="F18" s="216">
        <f>C18*G18/100</f>
        <v>706084.58232899988</v>
      </c>
      <c r="G18" s="58">
        <v>11.67</v>
      </c>
      <c r="H18" s="63">
        <f>ROUND(D18*(G18/100),0)-202</f>
        <v>705883</v>
      </c>
      <c r="I18" s="63">
        <f>E18-H18</f>
        <v>0</v>
      </c>
      <c r="K18" s="138">
        <f>ROUND('Adjust Depr Table 2'!S26,2)</f>
        <v>10.83</v>
      </c>
      <c r="L18" s="126"/>
      <c r="M18" s="140">
        <f>ROUND(D18*(K18/100),0)+202</f>
        <v>655463</v>
      </c>
      <c r="N18" s="140">
        <f>'Adjust Depr Table 2'!Q26</f>
        <v>655462.71428571432</v>
      </c>
      <c r="O18" s="244">
        <f>N18-M18</f>
        <v>-0.28571428568102419</v>
      </c>
      <c r="P18" s="241"/>
      <c r="Q18" s="241">
        <f>IF(C18-D18&lt;1,0,"No")</f>
        <v>0</v>
      </c>
    </row>
    <row r="19" spans="1:17">
      <c r="A19" s="23"/>
      <c r="B19" s="50" t="s">
        <v>52</v>
      </c>
      <c r="C19" s="55">
        <f>SUM(C14:C18)</f>
        <v>33076939.68</v>
      </c>
      <c r="D19" s="57">
        <f>SUM(D14:D18)</f>
        <v>29869786.539999999</v>
      </c>
      <c r="E19" s="57">
        <f>SUM(E14:E18)</f>
        <v>1978157</v>
      </c>
      <c r="F19" s="218">
        <f>SUM(F14:F18)</f>
        <v>1978173.1901199999</v>
      </c>
      <c r="G19" s="58">
        <f>+ROUND(E19/C19*100,2)</f>
        <v>5.98</v>
      </c>
      <c r="H19" s="57">
        <f>SUM(H14:H18)</f>
        <v>1840018</v>
      </c>
      <c r="I19" s="57">
        <f>SUM(I14:I18)</f>
        <v>138139</v>
      </c>
      <c r="K19" s="138"/>
      <c r="L19" s="126"/>
      <c r="M19" s="141">
        <f>SUM(M14:M18)</f>
        <v>1755484</v>
      </c>
      <c r="N19" s="141">
        <f>SUM(N14:N18)</f>
        <v>1890614.468831169</v>
      </c>
      <c r="O19" s="141">
        <f>SUM(O14:O18)</f>
        <v>135130.46883116895</v>
      </c>
      <c r="P19" s="241"/>
      <c r="Q19" s="241"/>
    </row>
    <row r="20" spans="1:17" s="19" customFormat="1">
      <c r="A20" s="64">
        <v>311</v>
      </c>
      <c r="B20" s="65" t="s">
        <v>53</v>
      </c>
      <c r="C20" s="65"/>
      <c r="D20" s="66"/>
      <c r="E20" s="67"/>
      <c r="F20" s="219"/>
      <c r="G20" s="68"/>
      <c r="H20" s="69"/>
      <c r="I20" s="69"/>
      <c r="K20" s="142"/>
      <c r="L20" s="143"/>
      <c r="M20" s="144"/>
      <c r="N20" s="144"/>
      <c r="O20" s="144"/>
      <c r="P20" s="242"/>
      <c r="Q20" s="242"/>
    </row>
    <row r="21" spans="1:17" s="19" customFormat="1">
      <c r="A21" s="64"/>
      <c r="B21" s="70" t="s">
        <v>54</v>
      </c>
      <c r="C21" s="71">
        <v>619445.56000000006</v>
      </c>
      <c r="D21" s="72">
        <v>0</v>
      </c>
      <c r="E21" s="73">
        <v>11477</v>
      </c>
      <c r="F21" s="218">
        <f t="shared" ref="F21:F30" si="0">C21*G21/100</f>
        <v>11459.74286</v>
      </c>
      <c r="G21" s="74">
        <v>1.85</v>
      </c>
      <c r="H21" s="59">
        <f>ROUND(D21*(G21/100),0)</f>
        <v>0</v>
      </c>
      <c r="I21" s="59">
        <f t="shared" ref="I21:I30" si="1">E21-H21</f>
        <v>11477</v>
      </c>
      <c r="K21" s="138">
        <f>ROUND('Adjust Depr Table 2'!S31,2)</f>
        <v>1.73</v>
      </c>
      <c r="L21" s="143"/>
      <c r="M21" s="139">
        <f>ROUND(D21*(K21/100),0)</f>
        <v>0</v>
      </c>
      <c r="N21" s="139">
        <f>'Adjust Depr Table 2'!Q31</f>
        <v>10742.454545454546</v>
      </c>
      <c r="O21" s="139">
        <f t="shared" ref="O21:O30" si="2">N21-M21</f>
        <v>10742.454545454546</v>
      </c>
      <c r="P21" s="242"/>
      <c r="Q21" s="241" t="str">
        <f t="shared" ref="Q21:Q30" si="3">IF(C21-D21&lt;1,0,"No")</f>
        <v>No</v>
      </c>
    </row>
    <row r="22" spans="1:17" s="19" customFormat="1">
      <c r="A22" s="64"/>
      <c r="B22" s="70" t="s">
        <v>55</v>
      </c>
      <c r="C22" s="71">
        <v>11599889.130000001</v>
      </c>
      <c r="D22" s="72">
        <v>1242055</v>
      </c>
      <c r="E22" s="73">
        <v>372847</v>
      </c>
      <c r="F22" s="218">
        <f t="shared" si="0"/>
        <v>372356.44107300008</v>
      </c>
      <c r="G22" s="74">
        <v>3.21</v>
      </c>
      <c r="H22" s="59">
        <f>ROUND(D22*(G22/100),0)</f>
        <v>39870</v>
      </c>
      <c r="I22" s="59">
        <f t="shared" si="1"/>
        <v>332977</v>
      </c>
      <c r="K22" s="138">
        <f>ROUND('Adjust Depr Table 2'!S32,2)</f>
        <v>2.56</v>
      </c>
      <c r="L22" s="143"/>
      <c r="M22" s="139">
        <f>ROUND(D22*(K22/100),0)</f>
        <v>31797</v>
      </c>
      <c r="N22" s="139">
        <f>'Adjust Depr Table 2'!Q32</f>
        <v>296920.27272727271</v>
      </c>
      <c r="O22" s="139">
        <f t="shared" si="2"/>
        <v>265123.27272727271</v>
      </c>
      <c r="P22" s="242"/>
      <c r="Q22" s="241" t="str">
        <f t="shared" si="3"/>
        <v>No</v>
      </c>
    </row>
    <row r="23" spans="1:17" s="19" customFormat="1">
      <c r="A23" s="64"/>
      <c r="B23" s="70" t="s">
        <v>56</v>
      </c>
      <c r="C23" s="71">
        <v>16839214.859999999</v>
      </c>
      <c r="D23" s="72">
        <v>16839215</v>
      </c>
      <c r="E23" s="73">
        <v>969322</v>
      </c>
      <c r="F23" s="218">
        <f t="shared" si="0"/>
        <v>969938.77593599993</v>
      </c>
      <c r="G23" s="74">
        <v>5.76</v>
      </c>
      <c r="H23" s="59">
        <f>ROUND(D23*(G23/100),0)-617</f>
        <v>969322</v>
      </c>
      <c r="I23" s="59">
        <f t="shared" si="1"/>
        <v>0</v>
      </c>
      <c r="K23" s="138">
        <f>ROUND('Adjust Depr Table 2'!S33,2)</f>
        <v>5.0199999999999996</v>
      </c>
      <c r="L23" s="143"/>
      <c r="M23" s="139">
        <f>ROUND(D23*(K23/100),0)+748</f>
        <v>846077</v>
      </c>
      <c r="N23" s="139">
        <f>'Adjust Depr Table 2'!Q33</f>
        <v>846076.81818181823</v>
      </c>
      <c r="O23" s="243">
        <f t="shared" si="2"/>
        <v>-0.18181818176526576</v>
      </c>
      <c r="P23" s="242"/>
      <c r="Q23" s="241">
        <f t="shared" si="3"/>
        <v>0</v>
      </c>
    </row>
    <row r="24" spans="1:17" s="19" customFormat="1">
      <c r="A24" s="64"/>
      <c r="B24" s="70" t="s">
        <v>57</v>
      </c>
      <c r="C24" s="71">
        <v>29901164.98</v>
      </c>
      <c r="D24" s="72">
        <v>13126964</v>
      </c>
      <c r="E24" s="73">
        <v>945554</v>
      </c>
      <c r="F24" s="218">
        <f t="shared" si="0"/>
        <v>944876.81336800009</v>
      </c>
      <c r="G24" s="74">
        <v>3.16</v>
      </c>
      <c r="H24" s="59">
        <f>ROUND(D24*(G24/100),0)</f>
        <v>414812</v>
      </c>
      <c r="I24" s="59">
        <f t="shared" si="1"/>
        <v>530742</v>
      </c>
      <c r="K24" s="138">
        <f>ROUND('Adjust Depr Table 2'!S34,2)</f>
        <v>2.83</v>
      </c>
      <c r="L24" s="143"/>
      <c r="M24" s="139">
        <f>ROUND(D24*(K24/100),0)</f>
        <v>371493</v>
      </c>
      <c r="N24" s="139">
        <f>'Adjust Depr Table 2'!Q34</f>
        <v>846559.8</v>
      </c>
      <c r="O24" s="139">
        <f t="shared" si="2"/>
        <v>475066.80000000005</v>
      </c>
      <c r="P24" s="242"/>
      <c r="Q24" s="241" t="str">
        <f t="shared" si="3"/>
        <v>No</v>
      </c>
    </row>
    <row r="25" spans="1:17" s="19" customFormat="1">
      <c r="A25" s="64"/>
      <c r="B25" s="70" t="s">
        <v>58</v>
      </c>
      <c r="C25" s="71">
        <v>27841989</v>
      </c>
      <c r="D25" s="72">
        <v>728752</v>
      </c>
      <c r="E25" s="73">
        <v>614994</v>
      </c>
      <c r="F25" s="218">
        <f t="shared" si="0"/>
        <v>615307.95689999999</v>
      </c>
      <c r="G25" s="74">
        <v>2.21</v>
      </c>
      <c r="H25" s="59">
        <f>ROUND(D25*(G25/100),0)</f>
        <v>16105</v>
      </c>
      <c r="I25" s="59">
        <f t="shared" si="1"/>
        <v>598889</v>
      </c>
      <c r="K25" s="138">
        <f>ROUND('Adjust Depr Table 2'!S35,2)</f>
        <v>1.7</v>
      </c>
      <c r="L25" s="143"/>
      <c r="M25" s="139">
        <f>ROUND(D25*(K25/100),0)</f>
        <v>12389</v>
      </c>
      <c r="N25" s="139">
        <f>'Adjust Depr Table 2'!Q35</f>
        <v>472953.42857142858</v>
      </c>
      <c r="O25" s="139">
        <f t="shared" si="2"/>
        <v>460564.42857142858</v>
      </c>
      <c r="P25" s="242"/>
      <c r="Q25" s="241" t="str">
        <f t="shared" si="3"/>
        <v>No</v>
      </c>
    </row>
    <row r="26" spans="1:17" s="19" customFormat="1">
      <c r="A26" s="64"/>
      <c r="B26" s="70" t="s">
        <v>59</v>
      </c>
      <c r="C26" s="71">
        <v>34657321.799999997</v>
      </c>
      <c r="D26" s="72">
        <v>145128</v>
      </c>
      <c r="E26" s="73">
        <v>627228</v>
      </c>
      <c r="F26" s="218">
        <f t="shared" si="0"/>
        <v>627297.52457999997</v>
      </c>
      <c r="G26" s="74">
        <v>1.81</v>
      </c>
      <c r="H26" s="59">
        <f>ROUND(D26*(G26/100),0)</f>
        <v>2627</v>
      </c>
      <c r="I26" s="59">
        <f t="shared" si="1"/>
        <v>624601</v>
      </c>
      <c r="K26" s="138">
        <f>ROUND('Adjust Depr Table 2'!S36,2)</f>
        <v>1.34</v>
      </c>
      <c r="L26" s="143"/>
      <c r="M26" s="139">
        <f>ROUND(D26*(K26/100),0)</f>
        <v>1945</v>
      </c>
      <c r="N26" s="139">
        <f>'Adjust Depr Table 2'!Q36</f>
        <v>465799.39130434784</v>
      </c>
      <c r="O26" s="139">
        <f t="shared" si="2"/>
        <v>463854.39130434784</v>
      </c>
      <c r="P26" s="242"/>
      <c r="Q26" s="241" t="str">
        <f t="shared" si="3"/>
        <v>No</v>
      </c>
    </row>
    <row r="27" spans="1:17" s="19" customFormat="1">
      <c r="A27" s="64"/>
      <c r="B27" s="70" t="s">
        <v>60</v>
      </c>
      <c r="C27" s="71">
        <v>135424737.28999999</v>
      </c>
      <c r="D27" s="72">
        <v>0</v>
      </c>
      <c r="E27" s="73">
        <v>4087225</v>
      </c>
      <c r="F27" s="218">
        <f t="shared" si="0"/>
        <v>4089827.0661579994</v>
      </c>
      <c r="G27" s="74">
        <v>3.02</v>
      </c>
      <c r="H27" s="59">
        <f>ROUND(D27*(G27/100),0)</f>
        <v>0</v>
      </c>
      <c r="I27" s="59">
        <f t="shared" si="1"/>
        <v>4087225</v>
      </c>
      <c r="K27" s="138">
        <f>ROUND('Adjust Depr Table 2'!S37,2)</f>
        <v>2.62</v>
      </c>
      <c r="L27" s="143"/>
      <c r="M27" s="139">
        <f>ROUND(D27*(K27/100),0)</f>
        <v>0</v>
      </c>
      <c r="N27" s="139">
        <f>'Adjust Depr Table 2'!Q37</f>
        <v>3548555.576923077</v>
      </c>
      <c r="O27" s="139">
        <f t="shared" si="2"/>
        <v>3548555.576923077</v>
      </c>
      <c r="P27" s="242"/>
      <c r="Q27" s="241" t="str">
        <f t="shared" si="3"/>
        <v>No</v>
      </c>
    </row>
    <row r="28" spans="1:17" s="19" customFormat="1">
      <c r="A28" s="64"/>
      <c r="B28" s="70" t="s">
        <v>61</v>
      </c>
      <c r="C28" s="71">
        <v>91915875.079999998</v>
      </c>
      <c r="D28" s="72">
        <v>14959428</v>
      </c>
      <c r="E28" s="73">
        <v>3069934</v>
      </c>
      <c r="F28" s="218">
        <f t="shared" si="0"/>
        <v>3069990.2276719999</v>
      </c>
      <c r="G28" s="74">
        <v>3.34</v>
      </c>
      <c r="H28" s="59">
        <f>ROUND(D28*(G28/100),0)</f>
        <v>499645</v>
      </c>
      <c r="I28" s="59">
        <f t="shared" si="1"/>
        <v>2570289</v>
      </c>
      <c r="K28" s="138">
        <f>ROUND('Adjust Depr Table 2'!S38,2)</f>
        <v>2.98</v>
      </c>
      <c r="L28" s="143"/>
      <c r="M28" s="139">
        <f>ROUND(D28*(K28/100),0)</f>
        <v>445791</v>
      </c>
      <c r="N28" s="139">
        <f>'Adjust Depr Table 2'!Q38</f>
        <v>2737187.2</v>
      </c>
      <c r="O28" s="139">
        <f t="shared" si="2"/>
        <v>2291396.2000000002</v>
      </c>
      <c r="P28" s="242"/>
      <c r="Q28" s="241" t="str">
        <f t="shared" si="3"/>
        <v>No</v>
      </c>
    </row>
    <row r="29" spans="1:17" s="19" customFormat="1">
      <c r="A29" s="64"/>
      <c r="B29" s="70" t="s">
        <v>62</v>
      </c>
      <c r="C29" s="71">
        <v>25289573.359999999</v>
      </c>
      <c r="D29" s="72">
        <v>25289574</v>
      </c>
      <c r="E29" s="73">
        <v>890592</v>
      </c>
      <c r="F29" s="218">
        <f t="shared" si="0"/>
        <v>890192.98227200005</v>
      </c>
      <c r="G29" s="74">
        <v>3.52</v>
      </c>
      <c r="H29" s="59">
        <f>ROUND(D29*(G29/100),0)+399</f>
        <v>890592</v>
      </c>
      <c r="I29" s="59">
        <f t="shared" si="1"/>
        <v>0</v>
      </c>
      <c r="K29" s="138">
        <f>ROUND('Adjust Depr Table 2'!S39,2)</f>
        <v>3.07</v>
      </c>
      <c r="L29" s="143"/>
      <c r="M29" s="139">
        <f>ROUND(D29*(K29/100),0)-1056</f>
        <v>775334</v>
      </c>
      <c r="N29" s="139">
        <f>'Adjust Depr Table 2'!Q39</f>
        <v>775334.42857142852</v>
      </c>
      <c r="O29" s="243">
        <f t="shared" si="2"/>
        <v>0.42857142852153629</v>
      </c>
      <c r="P29" s="242"/>
      <c r="Q29" s="241">
        <f t="shared" si="3"/>
        <v>0</v>
      </c>
    </row>
    <row r="30" spans="1:17" s="19" customFormat="1">
      <c r="A30" s="64"/>
      <c r="B30" s="70" t="s">
        <v>63</v>
      </c>
      <c r="C30" s="75">
        <v>22341947.210000001</v>
      </c>
      <c r="D30" s="76">
        <v>22341947</v>
      </c>
      <c r="E30" s="77">
        <v>714438</v>
      </c>
      <c r="F30" s="216">
        <f t="shared" si="0"/>
        <v>714942.31072000007</v>
      </c>
      <c r="G30" s="74">
        <v>3.2</v>
      </c>
      <c r="H30" s="63">
        <f>ROUND(D30*(G30/100),0)-504</f>
        <v>714438</v>
      </c>
      <c r="I30" s="63">
        <f t="shared" si="1"/>
        <v>0</v>
      </c>
      <c r="K30" s="138">
        <f>ROUND('Adjust Depr Table 2'!S40,2)</f>
        <v>2.78</v>
      </c>
      <c r="L30" s="143"/>
      <c r="M30" s="140">
        <f>ROUND(D30*(K30/100),0)+485</f>
        <v>621591</v>
      </c>
      <c r="N30" s="140">
        <f>'Adjust Depr Table 2'!Q40</f>
        <v>621591.04347826086</v>
      </c>
      <c r="O30" s="244">
        <f t="shared" si="2"/>
        <v>4.3478260864503682E-2</v>
      </c>
      <c r="P30" s="242"/>
      <c r="Q30" s="241">
        <f t="shared" si="3"/>
        <v>0</v>
      </c>
    </row>
    <row r="31" spans="1:17" s="19" customFormat="1">
      <c r="A31" s="64"/>
      <c r="B31" s="78" t="s">
        <v>64</v>
      </c>
      <c r="C31" s="71">
        <f>SUM(C21:C30)</f>
        <v>396431158.26999998</v>
      </c>
      <c r="D31" s="72">
        <f>SUM(D21:D30)</f>
        <v>94673063</v>
      </c>
      <c r="E31" s="72">
        <f>SUM(E21:E30)</f>
        <v>12303611</v>
      </c>
      <c r="F31" s="221">
        <f>SUM(F21:F30)</f>
        <v>12306189.841538999</v>
      </c>
      <c r="G31" s="74">
        <f>+ROUND(E31/C31*100,2)</f>
        <v>3.1</v>
      </c>
      <c r="H31" s="72">
        <f>SUM(H21:H30)</f>
        <v>3547411</v>
      </c>
      <c r="I31" s="72">
        <f>SUM(I21:I30)</f>
        <v>8756200</v>
      </c>
      <c r="K31" s="138"/>
      <c r="L31" s="143"/>
      <c r="M31" s="145">
        <f>SUM(M21:M30)</f>
        <v>3106417</v>
      </c>
      <c r="N31" s="145">
        <f>SUM(N21:N30)</f>
        <v>10621720.41430309</v>
      </c>
      <c r="O31" s="145">
        <f>SUM(O21:O30)</f>
        <v>7515303.4143030876</v>
      </c>
      <c r="P31" s="242"/>
      <c r="Q31" s="242"/>
    </row>
    <row r="32" spans="1:17" s="19" customFormat="1">
      <c r="A32" s="64">
        <v>312</v>
      </c>
      <c r="B32" s="78" t="s">
        <v>65</v>
      </c>
      <c r="C32" s="71">
        <f>C36-D36</f>
        <v>1127695.75</v>
      </c>
      <c r="D32" s="72"/>
      <c r="E32" s="73"/>
      <c r="F32" s="220"/>
      <c r="G32" s="74"/>
      <c r="H32" s="69"/>
      <c r="I32" s="69"/>
      <c r="K32" s="138"/>
      <c r="L32" s="143"/>
      <c r="M32" s="144"/>
      <c r="N32" s="144"/>
      <c r="O32" s="144"/>
      <c r="P32" s="242"/>
      <c r="Q32" s="242"/>
    </row>
    <row r="33" spans="1:17" s="19" customFormat="1">
      <c r="A33" s="64"/>
      <c r="B33" s="70" t="s">
        <v>55</v>
      </c>
      <c r="C33" s="71">
        <v>102794003.59</v>
      </c>
      <c r="D33" s="72">
        <v>3716549</v>
      </c>
      <c r="E33" s="73">
        <v>4110747</v>
      </c>
      <c r="F33" s="218">
        <f t="shared" ref="F33:F43" si="4">C33*G33/100</f>
        <v>4111760.1436000001</v>
      </c>
      <c r="G33" s="74">
        <v>4</v>
      </c>
      <c r="H33" s="59">
        <f t="shared" ref="H33:H41" si="5">ROUND(D33*(G33/100),0)</f>
        <v>148662</v>
      </c>
      <c r="I33" s="59">
        <f t="shared" ref="I33:I43" si="6">E33-H33</f>
        <v>3962085</v>
      </c>
      <c r="K33" s="138">
        <f>ROUND('Adjust Depr Table 2'!S45,2)</f>
        <v>3.19</v>
      </c>
      <c r="L33" s="143"/>
      <c r="M33" s="139">
        <f>ROUND(D33*(K33/100),0)</f>
        <v>118558</v>
      </c>
      <c r="N33" s="139">
        <f>'Adjust Depr Table 2'!Q45</f>
        <v>3281259.3636363638</v>
      </c>
      <c r="O33" s="139">
        <f t="shared" ref="O33:O43" si="7">N33-M33</f>
        <v>3162701.3636363638</v>
      </c>
      <c r="P33" s="242"/>
      <c r="Q33" s="241" t="str">
        <f t="shared" ref="Q33:Q43" si="8">IF(C33-D33&lt;1,0,"No")</f>
        <v>No</v>
      </c>
    </row>
    <row r="34" spans="1:17" s="19" customFormat="1">
      <c r="A34" s="64"/>
      <c r="B34" s="70" t="s">
        <v>66</v>
      </c>
      <c r="C34" s="71">
        <v>14959125.039999999</v>
      </c>
      <c r="D34" s="72">
        <v>14959125</v>
      </c>
      <c r="E34" s="73">
        <v>1053970</v>
      </c>
      <c r="F34" s="218">
        <f t="shared" si="4"/>
        <v>1054618.3153199998</v>
      </c>
      <c r="G34" s="74">
        <v>7.05</v>
      </c>
      <c r="H34" s="59">
        <f>ROUND(D34*(G34/100),0)-648</f>
        <v>1053970</v>
      </c>
      <c r="I34" s="59">
        <f t="shared" si="6"/>
        <v>0</v>
      </c>
      <c r="K34" s="138">
        <f>ROUND('Adjust Depr Table 2'!S46,2)</f>
        <v>6.16</v>
      </c>
      <c r="L34" s="143"/>
      <c r="M34" s="139">
        <f>ROUND(D34*(K34/100),0)+295</f>
        <v>921777</v>
      </c>
      <c r="N34" s="139">
        <f>'Adjust Depr Table 2'!Q46</f>
        <v>921777.36363636365</v>
      </c>
      <c r="O34" s="243">
        <f t="shared" si="7"/>
        <v>0.36363636364694685</v>
      </c>
      <c r="P34" s="242"/>
      <c r="Q34" s="241">
        <f t="shared" si="8"/>
        <v>0</v>
      </c>
    </row>
    <row r="35" spans="1:17" s="19" customFormat="1">
      <c r="A35" s="64"/>
      <c r="B35" s="70" t="s">
        <v>67</v>
      </c>
      <c r="C35" s="71">
        <v>1476057.99</v>
      </c>
      <c r="D35" s="72">
        <v>0</v>
      </c>
      <c r="E35" s="73">
        <v>118541</v>
      </c>
      <c r="F35" s="218">
        <f t="shared" si="4"/>
        <v>118527.45659699998</v>
      </c>
      <c r="G35" s="74">
        <v>8.0299999999999994</v>
      </c>
      <c r="H35" s="59">
        <f t="shared" si="5"/>
        <v>0</v>
      </c>
      <c r="I35" s="59">
        <f t="shared" si="6"/>
        <v>118541</v>
      </c>
      <c r="K35" s="138">
        <f>ROUND('Adjust Depr Table 2'!S47,2)</f>
        <v>7.11</v>
      </c>
      <c r="L35" s="143"/>
      <c r="M35" s="139">
        <f t="shared" ref="M35:M41" si="9">ROUND(D35*(K35/100),0)</f>
        <v>0</v>
      </c>
      <c r="N35" s="139">
        <f>'Adjust Depr Table 2'!Q47</f>
        <v>105007.54545454546</v>
      </c>
      <c r="O35" s="139">
        <f t="shared" si="7"/>
        <v>105007.54545454546</v>
      </c>
      <c r="P35" s="242"/>
      <c r="Q35" s="241" t="str">
        <f t="shared" si="8"/>
        <v>No</v>
      </c>
    </row>
    <row r="36" spans="1:17" s="19" customFormat="1">
      <c r="A36" s="64"/>
      <c r="B36" s="70" t="s">
        <v>56</v>
      </c>
      <c r="C36" s="71">
        <v>194151378.75</v>
      </c>
      <c r="D36" s="72">
        <v>193023683</v>
      </c>
      <c r="E36" s="73">
        <v>11404356</v>
      </c>
      <c r="F36" s="218">
        <f t="shared" si="4"/>
        <v>11396685.932625001</v>
      </c>
      <c r="G36" s="74">
        <v>5.87</v>
      </c>
      <c r="H36" s="59">
        <f t="shared" si="5"/>
        <v>11330490</v>
      </c>
      <c r="I36" s="59">
        <f t="shared" si="6"/>
        <v>73866</v>
      </c>
      <c r="K36" s="138">
        <f>ROUND('Adjust Depr Table 2'!S48,2)</f>
        <v>5.0199999999999996</v>
      </c>
      <c r="L36" s="143"/>
      <c r="M36" s="139">
        <f t="shared" si="9"/>
        <v>9689789</v>
      </c>
      <c r="N36" s="139">
        <f>'Adjust Depr Table 2'!Q48</f>
        <v>9754647.4545454551</v>
      </c>
      <c r="O36" s="139">
        <f t="shared" si="7"/>
        <v>64858.454545455053</v>
      </c>
      <c r="P36" s="242"/>
      <c r="Q36" s="241" t="str">
        <f t="shared" si="8"/>
        <v>No</v>
      </c>
    </row>
    <row r="37" spans="1:17" s="19" customFormat="1">
      <c r="A37" s="64"/>
      <c r="B37" s="70" t="s">
        <v>57</v>
      </c>
      <c r="C37" s="71">
        <v>47303061.5</v>
      </c>
      <c r="D37" s="72">
        <v>10265259</v>
      </c>
      <c r="E37" s="73">
        <v>1487587</v>
      </c>
      <c r="F37" s="218">
        <f t="shared" si="4"/>
        <v>1485316.1311000001</v>
      </c>
      <c r="G37" s="74">
        <v>3.14</v>
      </c>
      <c r="H37" s="59">
        <f t="shared" si="5"/>
        <v>322329</v>
      </c>
      <c r="I37" s="59">
        <f t="shared" si="6"/>
        <v>1165258</v>
      </c>
      <c r="K37" s="138">
        <f>ROUND('Adjust Depr Table 2'!S49,2)</f>
        <v>2.56</v>
      </c>
      <c r="L37" s="143"/>
      <c r="M37" s="139">
        <f t="shared" si="9"/>
        <v>262791</v>
      </c>
      <c r="N37" s="139">
        <f>'Adjust Depr Table 2'!Q49</f>
        <v>1209011</v>
      </c>
      <c r="O37" s="139">
        <f t="shared" si="7"/>
        <v>946220</v>
      </c>
      <c r="P37" s="242"/>
      <c r="Q37" s="241" t="str">
        <f t="shared" si="8"/>
        <v>No</v>
      </c>
    </row>
    <row r="38" spans="1:17" s="19" customFormat="1">
      <c r="A38" s="64"/>
      <c r="B38" s="70" t="s">
        <v>58</v>
      </c>
      <c r="C38" s="71">
        <v>207072332.59</v>
      </c>
      <c r="D38" s="72">
        <v>105703771</v>
      </c>
      <c r="E38" s="73">
        <v>6574732</v>
      </c>
      <c r="F38" s="218">
        <f t="shared" si="4"/>
        <v>6584900.1763620004</v>
      </c>
      <c r="G38" s="74">
        <v>3.18</v>
      </c>
      <c r="H38" s="59">
        <f t="shared" si="5"/>
        <v>3361380</v>
      </c>
      <c r="I38" s="59">
        <f t="shared" si="6"/>
        <v>3213352</v>
      </c>
      <c r="K38" s="138">
        <f>ROUND('Adjust Depr Table 2'!S50,2)</f>
        <v>2.4500000000000002</v>
      </c>
      <c r="L38" s="143"/>
      <c r="M38" s="139">
        <f t="shared" si="9"/>
        <v>2589742</v>
      </c>
      <c r="N38" s="139">
        <f>'Adjust Depr Table 2'!Q50</f>
        <v>5064046.5238095243</v>
      </c>
      <c r="O38" s="139">
        <f t="shared" si="7"/>
        <v>2474304.5238095243</v>
      </c>
      <c r="P38" s="242"/>
      <c r="Q38" s="241" t="str">
        <f t="shared" si="8"/>
        <v>No</v>
      </c>
    </row>
    <row r="39" spans="1:17" s="19" customFormat="1">
      <c r="A39" s="64"/>
      <c r="B39" s="70" t="s">
        <v>59</v>
      </c>
      <c r="C39" s="71">
        <v>264954492.52000001</v>
      </c>
      <c r="D39" s="72">
        <v>49395487</v>
      </c>
      <c r="E39" s="73">
        <v>6988909</v>
      </c>
      <c r="F39" s="218">
        <f t="shared" si="4"/>
        <v>6994798.6025280012</v>
      </c>
      <c r="G39" s="74">
        <v>2.64</v>
      </c>
      <c r="H39" s="59">
        <f t="shared" si="5"/>
        <v>1304041</v>
      </c>
      <c r="I39" s="59">
        <f t="shared" si="6"/>
        <v>5684868</v>
      </c>
      <c r="K39" s="138">
        <f>ROUND('Adjust Depr Table 2'!S51,2)</f>
        <v>1.92</v>
      </c>
      <c r="L39" s="143"/>
      <c r="M39" s="139">
        <f t="shared" si="9"/>
        <v>948393</v>
      </c>
      <c r="N39" s="139">
        <f>'Adjust Depr Table 2'!Q51</f>
        <v>5079425.2608695654</v>
      </c>
      <c r="O39" s="139">
        <f t="shared" si="7"/>
        <v>4131032.2608695654</v>
      </c>
      <c r="P39" s="242"/>
      <c r="Q39" s="241" t="str">
        <f t="shared" si="8"/>
        <v>No</v>
      </c>
    </row>
    <row r="40" spans="1:17" s="19" customFormat="1">
      <c r="A40" s="64"/>
      <c r="B40" s="70" t="s">
        <v>60</v>
      </c>
      <c r="C40" s="71">
        <v>182163077.56</v>
      </c>
      <c r="D40" s="72">
        <v>69612000</v>
      </c>
      <c r="E40" s="73">
        <v>6110529</v>
      </c>
      <c r="F40" s="218">
        <f t="shared" si="4"/>
        <v>6102463.0982599994</v>
      </c>
      <c r="G40" s="74">
        <v>3.35</v>
      </c>
      <c r="H40" s="59">
        <f t="shared" si="5"/>
        <v>2332002</v>
      </c>
      <c r="I40" s="59">
        <f t="shared" si="6"/>
        <v>3778527</v>
      </c>
      <c r="K40" s="138">
        <f>ROUND('Adjust Depr Table 2'!S52,2)</f>
        <v>2.67</v>
      </c>
      <c r="L40" s="143"/>
      <c r="M40" s="139">
        <f t="shared" si="9"/>
        <v>1858640</v>
      </c>
      <c r="N40" s="139">
        <f>'Adjust Depr Table 2'!Q52</f>
        <v>4866067.923076923</v>
      </c>
      <c r="O40" s="139">
        <f t="shared" si="7"/>
        <v>3007427.923076923</v>
      </c>
      <c r="P40" s="242"/>
      <c r="Q40" s="241" t="str">
        <f t="shared" si="8"/>
        <v>No</v>
      </c>
    </row>
    <row r="41" spans="1:17" s="19" customFormat="1">
      <c r="A41" s="64"/>
      <c r="B41" s="70" t="s">
        <v>61</v>
      </c>
      <c r="C41" s="71">
        <v>310905410.86000001</v>
      </c>
      <c r="D41" s="72">
        <v>79956647</v>
      </c>
      <c r="E41" s="73">
        <v>11408395</v>
      </c>
      <c r="F41" s="218">
        <f t="shared" si="4"/>
        <v>11410228.578561999</v>
      </c>
      <c r="G41" s="74">
        <v>3.67</v>
      </c>
      <c r="H41" s="59">
        <f t="shared" si="5"/>
        <v>2934409</v>
      </c>
      <c r="I41" s="59">
        <f t="shared" si="6"/>
        <v>8473986</v>
      </c>
      <c r="K41" s="138">
        <f>ROUND('Adjust Depr Table 2'!S53,2)</f>
        <v>2.98</v>
      </c>
      <c r="L41" s="143"/>
      <c r="M41" s="139">
        <f t="shared" si="9"/>
        <v>2382708</v>
      </c>
      <c r="N41" s="139">
        <f>'Adjust Depr Table 2'!Q53</f>
        <v>9258865.9000000004</v>
      </c>
      <c r="O41" s="139">
        <f t="shared" si="7"/>
        <v>6876157.9000000004</v>
      </c>
      <c r="P41" s="242"/>
      <c r="Q41" s="241" t="str">
        <f t="shared" si="8"/>
        <v>No</v>
      </c>
    </row>
    <row r="42" spans="1:17" s="19" customFormat="1">
      <c r="A42" s="64"/>
      <c r="B42" s="70" t="s">
        <v>62</v>
      </c>
      <c r="C42" s="71">
        <v>102930250.29000001</v>
      </c>
      <c r="D42" s="72">
        <v>102930250</v>
      </c>
      <c r="E42" s="73">
        <v>3829676</v>
      </c>
      <c r="F42" s="218">
        <f t="shared" si="4"/>
        <v>3829005.310788</v>
      </c>
      <c r="G42" s="74">
        <v>3.72</v>
      </c>
      <c r="H42" s="59">
        <f>ROUND(D42*(G42/100),0)+671</f>
        <v>3829676</v>
      </c>
      <c r="I42" s="59">
        <f t="shared" si="6"/>
        <v>0</v>
      </c>
      <c r="K42" s="138">
        <f>ROUND('Adjust Depr Table 2'!S54,2)</f>
        <v>3.05</v>
      </c>
      <c r="L42" s="143"/>
      <c r="M42" s="139">
        <f>ROUND(D42*(K42/100),0)+708</f>
        <v>3140081</v>
      </c>
      <c r="N42" s="139">
        <f>'Adjust Depr Table 2'!Q54</f>
        <v>3140081.0476190476</v>
      </c>
      <c r="O42" s="243">
        <f t="shared" si="7"/>
        <v>4.7619047574698925E-2</v>
      </c>
      <c r="P42" s="242"/>
      <c r="Q42" s="241">
        <f t="shared" si="8"/>
        <v>0</v>
      </c>
    </row>
    <row r="43" spans="1:17" s="19" customFormat="1">
      <c r="A43" s="64"/>
      <c r="B43" s="70" t="s">
        <v>63</v>
      </c>
      <c r="C43" s="75">
        <v>157598866.33000001</v>
      </c>
      <c r="D43" s="76">
        <v>157598866</v>
      </c>
      <c r="E43" s="77">
        <v>5355461</v>
      </c>
      <c r="F43" s="216">
        <f t="shared" si="4"/>
        <v>5358361.4552199999</v>
      </c>
      <c r="G43" s="74">
        <v>3.4</v>
      </c>
      <c r="H43" s="63">
        <f>ROUND(D43*(G43/100),0)-2900</f>
        <v>5355461</v>
      </c>
      <c r="I43" s="63">
        <f t="shared" si="6"/>
        <v>0</v>
      </c>
      <c r="K43" s="138">
        <f>ROUND('Adjust Depr Table 2'!S55,2)</f>
        <v>2.76</v>
      </c>
      <c r="L43" s="143"/>
      <c r="M43" s="140">
        <f>ROUND(D43*(K43/100),0)+4508</f>
        <v>4354237</v>
      </c>
      <c r="N43" s="140">
        <f>'Adjust Depr Table 2'!Q55</f>
        <v>4354237.3043478262</v>
      </c>
      <c r="O43" s="244">
        <f t="shared" si="7"/>
        <v>0.30434782616794109</v>
      </c>
      <c r="P43" s="242"/>
      <c r="Q43" s="241">
        <f t="shared" si="8"/>
        <v>0</v>
      </c>
    </row>
    <row r="44" spans="1:17" s="19" customFormat="1">
      <c r="A44" s="64"/>
      <c r="B44" s="78" t="s">
        <v>68</v>
      </c>
      <c r="C44" s="71">
        <f>SUM(C33:C43)</f>
        <v>1586308057.02</v>
      </c>
      <c r="D44" s="72">
        <f>SUM(D33:D43)</f>
        <v>787161637</v>
      </c>
      <c r="E44" s="72">
        <f>SUM(E33:E43)</f>
        <v>58442903</v>
      </c>
      <c r="F44" s="221">
        <f>SUM(F33:F43)</f>
        <v>58446665.200962</v>
      </c>
      <c r="G44" s="74">
        <f>+ROUND(E44/C44*100,2)</f>
        <v>3.68</v>
      </c>
      <c r="H44" s="72">
        <f>SUM(H33:H43)</f>
        <v>31972420</v>
      </c>
      <c r="I44" s="72">
        <f>SUM(I33:I43)</f>
        <v>26470483</v>
      </c>
      <c r="K44" s="138"/>
      <c r="L44" s="143"/>
      <c r="M44" s="145">
        <f>SUM(M33:M43)</f>
        <v>26266716</v>
      </c>
      <c r="N44" s="145">
        <f>SUM(N33:N43)</f>
        <v>47034426.686995618</v>
      </c>
      <c r="O44" s="145">
        <f>SUM(O33:O43)</f>
        <v>20767710.686995618</v>
      </c>
      <c r="P44" s="242"/>
      <c r="Q44" s="242"/>
    </row>
    <row r="45" spans="1:17" s="19" customFormat="1">
      <c r="A45" s="64">
        <v>314</v>
      </c>
      <c r="B45" s="78" t="s">
        <v>69</v>
      </c>
      <c r="C45" s="71"/>
      <c r="D45" s="72"/>
      <c r="E45" s="73"/>
      <c r="F45" s="220"/>
      <c r="G45" s="74"/>
      <c r="H45" s="69"/>
      <c r="I45" s="69"/>
      <c r="K45" s="138"/>
      <c r="L45" s="143"/>
      <c r="M45" s="144"/>
      <c r="N45" s="144"/>
      <c r="O45" s="144"/>
      <c r="P45" s="242"/>
      <c r="Q45" s="242"/>
    </row>
    <row r="46" spans="1:17" s="19" customFormat="1">
      <c r="A46" s="64"/>
      <c r="B46" s="70" t="s">
        <v>55</v>
      </c>
      <c r="C46" s="71">
        <v>23714956.780000001</v>
      </c>
      <c r="D46" s="72">
        <v>0</v>
      </c>
      <c r="E46" s="73">
        <v>812009</v>
      </c>
      <c r="F46" s="218">
        <f>C46*G46/100</f>
        <v>811051.52187599998</v>
      </c>
      <c r="G46" s="74">
        <v>3.42</v>
      </c>
      <c r="H46" s="59">
        <f>ROUND(D46*(G46/100),0)</f>
        <v>0</v>
      </c>
      <c r="I46" s="59">
        <f>E46-H46</f>
        <v>812009</v>
      </c>
      <c r="K46" s="138">
        <f>ROUND('Adjust Depr Table 2'!S60,2)</f>
        <v>2.54</v>
      </c>
      <c r="L46" s="143"/>
      <c r="M46" s="139">
        <f>ROUND(D46*(K46/100),0)</f>
        <v>0</v>
      </c>
      <c r="N46" s="139">
        <f>'Adjust Depr Table 2'!Q60</f>
        <v>601261.36363636365</v>
      </c>
      <c r="O46" s="139">
        <f>N46-M46</f>
        <v>601261.36363636365</v>
      </c>
      <c r="P46" s="242"/>
      <c r="Q46" s="241" t="str">
        <f>IF(C46-D46&lt;1,0,"No")</f>
        <v>No</v>
      </c>
    </row>
    <row r="47" spans="1:17" s="19" customFormat="1">
      <c r="A47" s="64"/>
      <c r="B47" s="70" t="s">
        <v>58</v>
      </c>
      <c r="C47" s="71">
        <v>33699815.289999999</v>
      </c>
      <c r="D47" s="72">
        <v>0</v>
      </c>
      <c r="E47" s="73">
        <v>884400</v>
      </c>
      <c r="F47" s="218">
        <f>C47*G47/100</f>
        <v>882935.16059800005</v>
      </c>
      <c r="G47" s="74">
        <v>2.62</v>
      </c>
      <c r="H47" s="59">
        <f>ROUND(D47*(G47/100),0)</f>
        <v>0</v>
      </c>
      <c r="I47" s="59">
        <f>E47-H47</f>
        <v>884400</v>
      </c>
      <c r="K47" s="138">
        <f>ROUND('Adjust Depr Table 2'!S61,2)</f>
        <v>1.72</v>
      </c>
      <c r="L47" s="143"/>
      <c r="M47" s="139">
        <f>ROUND(D47*(K47/100),0)</f>
        <v>0</v>
      </c>
      <c r="N47" s="139">
        <f>'Adjust Depr Table 2'!Q61</f>
        <v>580972.52380952379</v>
      </c>
      <c r="O47" s="139">
        <f>N47-M47</f>
        <v>580972.52380952379</v>
      </c>
      <c r="P47" s="242"/>
      <c r="Q47" s="241" t="str">
        <f>IF(C47-D47&lt;1,0,"No")</f>
        <v>No</v>
      </c>
    </row>
    <row r="48" spans="1:17" s="19" customFormat="1">
      <c r="A48" s="64"/>
      <c r="B48" s="70" t="s">
        <v>59</v>
      </c>
      <c r="C48" s="71">
        <v>60137136.600000001</v>
      </c>
      <c r="D48" s="72">
        <v>0</v>
      </c>
      <c r="E48" s="73">
        <v>1606261</v>
      </c>
      <c r="F48" s="218">
        <f>C48*G48/100</f>
        <v>1605661.5472200001</v>
      </c>
      <c r="G48" s="74">
        <v>2.67</v>
      </c>
      <c r="H48" s="59">
        <f>ROUND(D48*(G48/100),0)</f>
        <v>0</v>
      </c>
      <c r="I48" s="59">
        <f>E48-H48</f>
        <v>1606261</v>
      </c>
      <c r="K48" s="138">
        <f>ROUND('Adjust Depr Table 2'!S62,2)</f>
        <v>1.89</v>
      </c>
      <c r="L48" s="143"/>
      <c r="M48" s="139">
        <f>ROUND(D48*(K48/100),0)</f>
        <v>0</v>
      </c>
      <c r="N48" s="139">
        <f>'Adjust Depr Table 2'!Q62</f>
        <v>1135479.2173913044</v>
      </c>
      <c r="O48" s="139">
        <f>N48-M48</f>
        <v>1135479.2173913044</v>
      </c>
      <c r="P48" s="242"/>
      <c r="Q48" s="241" t="str">
        <f>IF(C48-D48&lt;1,0,"No")</f>
        <v>No</v>
      </c>
    </row>
    <row r="49" spans="1:17" s="19" customFormat="1">
      <c r="A49" s="64"/>
      <c r="B49" s="70" t="s">
        <v>60</v>
      </c>
      <c r="C49" s="71">
        <v>80408959.549999997</v>
      </c>
      <c r="D49" s="72">
        <v>0</v>
      </c>
      <c r="E49" s="73">
        <v>2646915</v>
      </c>
      <c r="F49" s="218">
        <f>C49*G49/100</f>
        <v>2645454.7691949997</v>
      </c>
      <c r="G49" s="74">
        <v>3.29</v>
      </c>
      <c r="H49" s="59">
        <f>ROUND(D49*(G49/100),0)</f>
        <v>0</v>
      </c>
      <c r="I49" s="59">
        <f>E49-H49</f>
        <v>2646915</v>
      </c>
      <c r="K49" s="138">
        <f>ROUND('Adjust Depr Table 2'!S63,2)</f>
        <v>2.65</v>
      </c>
      <c r="L49" s="143"/>
      <c r="M49" s="139">
        <f>ROUND(D49*(K49/100),0)</f>
        <v>0</v>
      </c>
      <c r="N49" s="139">
        <f>'Adjust Depr Table 2'!Q63</f>
        <v>2126954.1153846155</v>
      </c>
      <c r="O49" s="139">
        <f>N49-M49</f>
        <v>2126954.1153846155</v>
      </c>
      <c r="P49" s="242"/>
      <c r="Q49" s="241" t="str">
        <f>IF(C49-D49&lt;1,0,"No")</f>
        <v>No</v>
      </c>
    </row>
    <row r="50" spans="1:17" s="19" customFormat="1">
      <c r="A50" s="64"/>
      <c r="B50" s="70" t="s">
        <v>61</v>
      </c>
      <c r="C50" s="75">
        <v>80239064.25</v>
      </c>
      <c r="D50" s="76">
        <v>0</v>
      </c>
      <c r="E50" s="77">
        <v>2960611</v>
      </c>
      <c r="F50" s="216">
        <f>C50*G50/100</f>
        <v>2960821.4708249997</v>
      </c>
      <c r="G50" s="74">
        <v>3.69</v>
      </c>
      <c r="H50" s="63">
        <f>ROUND(D50*(G50/100),0)</f>
        <v>0</v>
      </c>
      <c r="I50" s="63">
        <f>E50-H50</f>
        <v>2960611</v>
      </c>
      <c r="K50" s="138">
        <f>ROUND('Adjust Depr Table 2'!S64,2)</f>
        <v>3.08</v>
      </c>
      <c r="L50" s="143"/>
      <c r="M50" s="140">
        <f>ROUND(D50*(K50/100),0)</f>
        <v>0</v>
      </c>
      <c r="N50" s="140">
        <f>'Adjust Depr Table 2'!Q64</f>
        <v>2474064.9666666668</v>
      </c>
      <c r="O50" s="140">
        <f>N50-M50</f>
        <v>2474064.9666666668</v>
      </c>
      <c r="P50" s="242"/>
      <c r="Q50" s="241" t="str">
        <f>IF(C50-D50&lt;1,0,"No")</f>
        <v>No</v>
      </c>
    </row>
    <row r="51" spans="1:17" s="19" customFormat="1">
      <c r="A51" s="64"/>
      <c r="B51" s="78" t="s">
        <v>70</v>
      </c>
      <c r="C51" s="71">
        <f>SUM(C46:C50)</f>
        <v>278199932.47000003</v>
      </c>
      <c r="D51" s="72">
        <f>SUM(D46:D50)</f>
        <v>0</v>
      </c>
      <c r="E51" s="72">
        <f>SUM(E46:E50)</f>
        <v>8910196</v>
      </c>
      <c r="F51" s="221">
        <f>SUM(F46:F50)</f>
        <v>8905924.469713999</v>
      </c>
      <c r="G51" s="74">
        <f>+ROUND(E51/C51*100,2)</f>
        <v>3.2</v>
      </c>
      <c r="H51" s="72">
        <f>SUM(H46:H50)</f>
        <v>0</v>
      </c>
      <c r="I51" s="72">
        <f>SUM(I46:I50)</f>
        <v>8910196</v>
      </c>
      <c r="K51" s="138"/>
      <c r="L51" s="143"/>
      <c r="M51" s="145">
        <f>SUM(M46:M50)</f>
        <v>0</v>
      </c>
      <c r="N51" s="145">
        <f>SUM(N46:N50)</f>
        <v>6918732.186888475</v>
      </c>
      <c r="O51" s="145">
        <f>SUM(O46:O50)</f>
        <v>6918732.186888475</v>
      </c>
      <c r="P51" s="242"/>
      <c r="Q51" s="242"/>
    </row>
    <row r="52" spans="1:17" s="19" customFormat="1">
      <c r="A52" s="64">
        <v>315</v>
      </c>
      <c r="B52" s="78" t="s">
        <v>71</v>
      </c>
      <c r="C52" s="71"/>
      <c r="D52" s="72"/>
      <c r="E52" s="73"/>
      <c r="F52" s="220"/>
      <c r="G52" s="74"/>
      <c r="H52" s="69"/>
      <c r="I52" s="69"/>
      <c r="K52" s="138"/>
      <c r="L52" s="143"/>
      <c r="M52" s="144"/>
      <c r="N52" s="144"/>
      <c r="O52" s="144"/>
      <c r="P52" s="242"/>
      <c r="Q52" s="242"/>
    </row>
    <row r="53" spans="1:17" s="19" customFormat="1">
      <c r="A53" s="64"/>
      <c r="B53" s="70" t="s">
        <v>55</v>
      </c>
      <c r="C53" s="71">
        <v>3362383.45</v>
      </c>
      <c r="D53" s="72">
        <v>0</v>
      </c>
      <c r="E53" s="73">
        <v>88268</v>
      </c>
      <c r="F53" s="218">
        <f t="shared" ref="F53:F63" si="10">C53*G53/100</f>
        <v>88430.684735000003</v>
      </c>
      <c r="G53" s="74">
        <v>2.63</v>
      </c>
      <c r="H53" s="59">
        <f t="shared" ref="H53:H61" si="11">ROUND(D53*(G53/100),0)</f>
        <v>0</v>
      </c>
      <c r="I53" s="59">
        <f t="shared" ref="I53:I63" si="12">E53-H53</f>
        <v>88268</v>
      </c>
      <c r="K53" s="138">
        <f>ROUND('Adjust Depr Table 2'!S69,2)</f>
        <v>1.91</v>
      </c>
      <c r="L53" s="143"/>
      <c r="M53" s="139">
        <f t="shared" ref="M53:M61" si="13">ROUND(D53*(K53/100),0)</f>
        <v>0</v>
      </c>
      <c r="N53" s="139">
        <f>'Adjust Depr Table 2'!Q69</f>
        <v>64053.63636363636</v>
      </c>
      <c r="O53" s="139">
        <f t="shared" ref="O53:O63" si="14">N53-M53</f>
        <v>64053.63636363636</v>
      </c>
      <c r="P53" s="242"/>
      <c r="Q53" s="241" t="str">
        <f t="shared" ref="Q53:Q63" si="15">IF(C53-D53&lt;1,0,"No")</f>
        <v>No</v>
      </c>
    </row>
    <row r="54" spans="1:17" s="19" customFormat="1">
      <c r="A54" s="64"/>
      <c r="B54" s="70" t="s">
        <v>66</v>
      </c>
      <c r="C54" s="71">
        <v>108139.1</v>
      </c>
      <c r="D54" s="72">
        <v>0</v>
      </c>
      <c r="E54" s="73">
        <v>9139</v>
      </c>
      <c r="F54" s="218">
        <f t="shared" si="10"/>
        <v>9137.7539500000003</v>
      </c>
      <c r="G54" s="74">
        <v>8.4499999999999993</v>
      </c>
      <c r="H54" s="59">
        <f t="shared" si="11"/>
        <v>0</v>
      </c>
      <c r="I54" s="59">
        <f t="shared" si="12"/>
        <v>9139</v>
      </c>
      <c r="K54" s="138">
        <f>ROUND('Adjust Depr Table 2'!S70,2)</f>
        <v>7.61</v>
      </c>
      <c r="L54" s="143"/>
      <c r="M54" s="139">
        <f t="shared" si="13"/>
        <v>0</v>
      </c>
      <c r="N54" s="139">
        <f>'Adjust Depr Table 2'!Q70</f>
        <v>8232</v>
      </c>
      <c r="O54" s="139">
        <f t="shared" si="14"/>
        <v>8232</v>
      </c>
      <c r="P54" s="242"/>
      <c r="Q54" s="241" t="str">
        <f t="shared" si="15"/>
        <v>No</v>
      </c>
    </row>
    <row r="55" spans="1:17" s="19" customFormat="1">
      <c r="A55" s="64"/>
      <c r="B55" s="70" t="s">
        <v>67</v>
      </c>
      <c r="C55" s="71">
        <v>108269.09</v>
      </c>
      <c r="D55" s="72">
        <v>0</v>
      </c>
      <c r="E55" s="73">
        <v>9150</v>
      </c>
      <c r="F55" s="218">
        <f t="shared" si="10"/>
        <v>9148.7381049999985</v>
      </c>
      <c r="G55" s="74">
        <v>8.4499999999999993</v>
      </c>
      <c r="H55" s="59">
        <f t="shared" si="11"/>
        <v>0</v>
      </c>
      <c r="I55" s="59">
        <f t="shared" si="12"/>
        <v>9150</v>
      </c>
      <c r="K55" s="138">
        <f>ROUND('Adjust Depr Table 2'!S71,2)</f>
        <v>7.61</v>
      </c>
      <c r="L55" s="143"/>
      <c r="M55" s="139">
        <f t="shared" si="13"/>
        <v>0</v>
      </c>
      <c r="N55" s="139">
        <f>'Adjust Depr Table 2'!Q71</f>
        <v>8242.0909090909099</v>
      </c>
      <c r="O55" s="139">
        <f t="shared" si="14"/>
        <v>8242.0909090909099</v>
      </c>
      <c r="P55" s="242"/>
      <c r="Q55" s="241" t="str">
        <f t="shared" si="15"/>
        <v>No</v>
      </c>
    </row>
    <row r="56" spans="1:17" s="19" customFormat="1">
      <c r="A56" s="64"/>
      <c r="B56" s="70" t="s">
        <v>56</v>
      </c>
      <c r="C56" s="71">
        <v>12060627.85</v>
      </c>
      <c r="D56" s="72">
        <v>12060628</v>
      </c>
      <c r="E56" s="73">
        <v>693494</v>
      </c>
      <c r="F56" s="218">
        <f t="shared" si="10"/>
        <v>693486.10137500009</v>
      </c>
      <c r="G56" s="74">
        <v>5.75</v>
      </c>
      <c r="H56" s="59">
        <f>ROUND(D56*(G56/100),0)+8</f>
        <v>693494</v>
      </c>
      <c r="I56" s="59">
        <f t="shared" si="12"/>
        <v>0</v>
      </c>
      <c r="K56" s="138">
        <f>ROUND('Adjust Depr Table 2'!S72,2)</f>
        <v>5.03</v>
      </c>
      <c r="L56" s="143"/>
      <c r="M56" s="139">
        <f>ROUND(D56*(K56/100),0)-130</f>
        <v>606520</v>
      </c>
      <c r="N56" s="139">
        <f>'Adjust Depr Table 2'!Q72</f>
        <v>606519.90909090906</v>
      </c>
      <c r="O56" s="243">
        <f t="shared" si="14"/>
        <v>-9.0909090940840542E-2</v>
      </c>
      <c r="P56" s="242"/>
      <c r="Q56" s="241">
        <f t="shared" si="15"/>
        <v>0</v>
      </c>
    </row>
    <row r="57" spans="1:17" s="19" customFormat="1">
      <c r="A57" s="64"/>
      <c r="B57" s="70" t="s">
        <v>57</v>
      </c>
      <c r="C57" s="71">
        <v>657912.36</v>
      </c>
      <c r="D57" s="72">
        <v>0</v>
      </c>
      <c r="E57" s="73">
        <v>23693</v>
      </c>
      <c r="F57" s="218">
        <f t="shared" si="10"/>
        <v>23684.844959999999</v>
      </c>
      <c r="G57" s="74">
        <v>3.6</v>
      </c>
      <c r="H57" s="59">
        <f t="shared" si="11"/>
        <v>0</v>
      </c>
      <c r="I57" s="59">
        <f t="shared" si="12"/>
        <v>23693</v>
      </c>
      <c r="K57" s="138">
        <f>ROUND('Adjust Depr Table 2'!S73,2)</f>
        <v>3.29</v>
      </c>
      <c r="L57" s="143"/>
      <c r="M57" s="139">
        <f t="shared" si="13"/>
        <v>0</v>
      </c>
      <c r="N57" s="139">
        <f>'Adjust Depr Table 2'!Q73</f>
        <v>21668.066666666666</v>
      </c>
      <c r="O57" s="139">
        <f t="shared" si="14"/>
        <v>21668.066666666666</v>
      </c>
      <c r="P57" s="242"/>
      <c r="Q57" s="241" t="str">
        <f t="shared" si="15"/>
        <v>No</v>
      </c>
    </row>
    <row r="58" spans="1:17" s="19" customFormat="1">
      <c r="A58" s="64"/>
      <c r="B58" s="70" t="s">
        <v>58</v>
      </c>
      <c r="C58" s="71">
        <v>10670855.65</v>
      </c>
      <c r="D58" s="72">
        <v>3643763</v>
      </c>
      <c r="E58" s="73">
        <v>255913</v>
      </c>
      <c r="F58" s="218">
        <f t="shared" si="10"/>
        <v>256100.53559999997</v>
      </c>
      <c r="G58" s="74">
        <v>2.4</v>
      </c>
      <c r="H58" s="59">
        <f t="shared" si="11"/>
        <v>87450</v>
      </c>
      <c r="I58" s="59">
        <f t="shared" si="12"/>
        <v>168463</v>
      </c>
      <c r="K58" s="138">
        <f>ROUND('Adjust Depr Table 2'!S74,2)</f>
        <v>1.79</v>
      </c>
      <c r="L58" s="143"/>
      <c r="M58" s="139">
        <f t="shared" si="13"/>
        <v>65223</v>
      </c>
      <c r="N58" s="139">
        <f>'Adjust Depr Table 2'!Q74</f>
        <v>190831.19047619047</v>
      </c>
      <c r="O58" s="139">
        <f t="shared" si="14"/>
        <v>125608.19047619047</v>
      </c>
      <c r="P58" s="242"/>
      <c r="Q58" s="241" t="str">
        <f t="shared" si="15"/>
        <v>No</v>
      </c>
    </row>
    <row r="59" spans="1:17" s="19" customFormat="1">
      <c r="A59" s="64"/>
      <c r="B59" s="70" t="s">
        <v>59</v>
      </c>
      <c r="C59" s="71">
        <v>21783326.510000002</v>
      </c>
      <c r="D59" s="72">
        <v>0</v>
      </c>
      <c r="E59" s="73">
        <v>421018</v>
      </c>
      <c r="F59" s="218">
        <f t="shared" si="10"/>
        <v>420418.20164300001</v>
      </c>
      <c r="G59" s="74">
        <v>1.93</v>
      </c>
      <c r="H59" s="59">
        <f t="shared" si="11"/>
        <v>0</v>
      </c>
      <c r="I59" s="59">
        <f t="shared" si="12"/>
        <v>421018</v>
      </c>
      <c r="K59" s="138">
        <f>ROUND('Adjust Depr Table 2'!S75,2)</f>
        <v>1.34</v>
      </c>
      <c r="L59" s="143"/>
      <c r="M59" s="139">
        <f t="shared" si="13"/>
        <v>0</v>
      </c>
      <c r="N59" s="139">
        <f>'Adjust Depr Table 2'!Q75</f>
        <v>291381</v>
      </c>
      <c r="O59" s="139">
        <f t="shared" si="14"/>
        <v>291381</v>
      </c>
      <c r="P59" s="242"/>
      <c r="Q59" s="241" t="str">
        <f t="shared" si="15"/>
        <v>No</v>
      </c>
    </row>
    <row r="60" spans="1:17" s="19" customFormat="1">
      <c r="A60" s="64"/>
      <c r="B60" s="70" t="s">
        <v>60</v>
      </c>
      <c r="C60" s="71">
        <v>23764302.84</v>
      </c>
      <c r="D60" s="72">
        <v>0</v>
      </c>
      <c r="E60" s="73">
        <v>715699</v>
      </c>
      <c r="F60" s="218">
        <f t="shared" si="10"/>
        <v>715305.51548399997</v>
      </c>
      <c r="G60" s="74">
        <v>3.01</v>
      </c>
      <c r="H60" s="59">
        <f t="shared" si="11"/>
        <v>0</v>
      </c>
      <c r="I60" s="59">
        <f t="shared" si="12"/>
        <v>715699</v>
      </c>
      <c r="K60" s="138">
        <f>ROUND('Adjust Depr Table 2'!S76,2)</f>
        <v>2.63</v>
      </c>
      <c r="L60" s="143"/>
      <c r="M60" s="139">
        <f t="shared" si="13"/>
        <v>0</v>
      </c>
      <c r="N60" s="139">
        <f>'Adjust Depr Table 2'!Q76</f>
        <v>624719.42307692312</v>
      </c>
      <c r="O60" s="139">
        <f t="shared" si="14"/>
        <v>624719.42307692312</v>
      </c>
      <c r="P60" s="242"/>
      <c r="Q60" s="241" t="str">
        <f t="shared" si="15"/>
        <v>No</v>
      </c>
    </row>
    <row r="61" spans="1:17" s="19" customFormat="1">
      <c r="A61" s="64"/>
      <c r="B61" s="70" t="s">
        <v>61</v>
      </c>
      <c r="C61" s="71">
        <v>12751242.41</v>
      </c>
      <c r="D61" s="72">
        <v>50263</v>
      </c>
      <c r="E61" s="73">
        <v>422962</v>
      </c>
      <c r="F61" s="218">
        <f t="shared" si="10"/>
        <v>423341.24801199994</v>
      </c>
      <c r="G61" s="74">
        <v>3.32</v>
      </c>
      <c r="H61" s="59">
        <f t="shared" si="11"/>
        <v>1669</v>
      </c>
      <c r="I61" s="59">
        <f t="shared" si="12"/>
        <v>421293</v>
      </c>
      <c r="K61" s="138">
        <f>ROUND('Adjust Depr Table 2'!S77,2)</f>
        <v>2.97</v>
      </c>
      <c r="L61" s="143"/>
      <c r="M61" s="139">
        <f t="shared" si="13"/>
        <v>1493</v>
      </c>
      <c r="N61" s="139">
        <f>'Adjust Depr Table 2'!Q77</f>
        <v>378969.33333333331</v>
      </c>
      <c r="O61" s="139">
        <f t="shared" si="14"/>
        <v>377476.33333333331</v>
      </c>
      <c r="P61" s="242"/>
      <c r="Q61" s="241" t="str">
        <f t="shared" si="15"/>
        <v>No</v>
      </c>
    </row>
    <row r="62" spans="1:17" s="19" customFormat="1">
      <c r="A62" s="64"/>
      <c r="B62" s="70" t="s">
        <v>62</v>
      </c>
      <c r="C62" s="71">
        <v>12520715.15</v>
      </c>
      <c r="D62" s="72">
        <v>12520715</v>
      </c>
      <c r="E62" s="73">
        <v>439199</v>
      </c>
      <c r="F62" s="218">
        <f t="shared" si="10"/>
        <v>439477.10176500003</v>
      </c>
      <c r="G62" s="74">
        <v>3.51</v>
      </c>
      <c r="H62" s="59">
        <f>ROUND(D62*(G62/100),0)-278</f>
        <v>439199</v>
      </c>
      <c r="I62" s="59">
        <f t="shared" si="12"/>
        <v>0</v>
      </c>
      <c r="K62" s="138">
        <f>ROUND('Adjust Depr Table 2'!S78,2)</f>
        <v>3.07</v>
      </c>
      <c r="L62" s="143"/>
      <c r="M62" s="139">
        <f>ROUND(D62*(K62/100),0)-99</f>
        <v>384287</v>
      </c>
      <c r="N62" s="139">
        <f>'Adjust Depr Table 2'!Q78</f>
        <v>384287.38095238095</v>
      </c>
      <c r="O62" s="243">
        <f t="shared" si="14"/>
        <v>0.38095238094683737</v>
      </c>
      <c r="P62" s="242"/>
      <c r="Q62" s="241">
        <f t="shared" si="15"/>
        <v>0</v>
      </c>
    </row>
    <row r="63" spans="1:17" s="19" customFormat="1">
      <c r="A63" s="64"/>
      <c r="B63" s="70" t="s">
        <v>63</v>
      </c>
      <c r="C63" s="75">
        <v>17731988.489999998</v>
      </c>
      <c r="D63" s="76">
        <v>17731989</v>
      </c>
      <c r="E63" s="77">
        <v>564466</v>
      </c>
      <c r="F63" s="216">
        <f t="shared" si="10"/>
        <v>563877.23398200003</v>
      </c>
      <c r="G63" s="74">
        <v>3.18</v>
      </c>
      <c r="H63" s="63">
        <f>ROUND(D63*(G63/100),0)+589</f>
        <v>564466</v>
      </c>
      <c r="I63" s="63">
        <f t="shared" si="12"/>
        <v>0</v>
      </c>
      <c r="K63" s="138">
        <f>ROUND('Adjust Depr Table 2'!S79,2)</f>
        <v>2.78</v>
      </c>
      <c r="L63" s="143"/>
      <c r="M63" s="140">
        <f>ROUND(D63*(K63/100),0)+862</f>
        <v>493811</v>
      </c>
      <c r="N63" s="140">
        <f>'Adjust Depr Table 2'!Q79</f>
        <v>493810.91304347827</v>
      </c>
      <c r="O63" s="244">
        <f t="shared" si="14"/>
        <v>-8.6956521729007363E-2</v>
      </c>
      <c r="P63" s="242"/>
      <c r="Q63" s="241">
        <f t="shared" si="15"/>
        <v>0</v>
      </c>
    </row>
    <row r="64" spans="1:17" s="19" customFormat="1">
      <c r="A64" s="64"/>
      <c r="B64" s="78" t="s">
        <v>72</v>
      </c>
      <c r="C64" s="71">
        <f>SUM(C53:C63)</f>
        <v>115519762.90000001</v>
      </c>
      <c r="D64" s="72">
        <f>SUM(D53:D63)</f>
        <v>46007358</v>
      </c>
      <c r="E64" s="72">
        <f>SUM(E53:E63)</f>
        <v>3643001</v>
      </c>
      <c r="F64" s="221">
        <f>SUM(F53:F63)</f>
        <v>3642407.959611</v>
      </c>
      <c r="G64" s="74">
        <f>+ROUND(E64/C64*100,2)</f>
        <v>3.15</v>
      </c>
      <c r="H64" s="72">
        <f>SUM(H53:H63)</f>
        <v>1786278</v>
      </c>
      <c r="I64" s="72">
        <f>SUM(I53:I63)</f>
        <v>1856723</v>
      </c>
      <c r="K64" s="138"/>
      <c r="L64" s="143"/>
      <c r="M64" s="145">
        <f>SUM(M53:M63)</f>
        <v>1551334</v>
      </c>
      <c r="N64" s="145">
        <f>SUM(N53:N63)</f>
        <v>3072714.9439126095</v>
      </c>
      <c r="O64" s="145">
        <f>SUM(O53:O63)</f>
        <v>1521380.9439126092</v>
      </c>
      <c r="P64" s="242"/>
      <c r="Q64" s="242"/>
    </row>
    <row r="65" spans="1:17" s="19" customFormat="1">
      <c r="A65" s="64">
        <v>316</v>
      </c>
      <c r="B65" s="78" t="s">
        <v>73</v>
      </c>
      <c r="C65" s="71"/>
      <c r="D65" s="72"/>
      <c r="E65" s="67"/>
      <c r="F65" s="219"/>
      <c r="G65" s="74"/>
      <c r="H65" s="69"/>
      <c r="I65" s="69"/>
      <c r="K65" s="138"/>
      <c r="L65" s="143"/>
      <c r="M65" s="144"/>
      <c r="N65" s="144"/>
      <c r="O65" s="144"/>
      <c r="P65" s="242"/>
      <c r="Q65" s="242"/>
    </row>
    <row r="66" spans="1:17" s="19" customFormat="1">
      <c r="A66" s="64"/>
      <c r="B66" s="70" t="s">
        <v>54</v>
      </c>
      <c r="C66" s="71">
        <v>1111554.28</v>
      </c>
      <c r="D66" s="72">
        <v>0</v>
      </c>
      <c r="E66" s="73">
        <v>46409</v>
      </c>
      <c r="F66" s="218">
        <f t="shared" ref="F66:F72" si="16">C66*G66/100</f>
        <v>46462.968904000001</v>
      </c>
      <c r="G66" s="74">
        <v>4.18</v>
      </c>
      <c r="H66" s="59">
        <f t="shared" ref="H66:H72" si="17">ROUND(D66*(G66/100),0)</f>
        <v>0</v>
      </c>
      <c r="I66" s="59">
        <f t="shared" ref="I66:I72" si="18">E66-H66</f>
        <v>46409</v>
      </c>
      <c r="K66" s="138">
        <f>ROUND('Adjust Depr Table 2'!S84,2)</f>
        <v>3.4</v>
      </c>
      <c r="L66" s="143"/>
      <c r="M66" s="139">
        <f>ROUND(D66*(K66/100),0)</f>
        <v>0</v>
      </c>
      <c r="N66" s="139">
        <f>'Adjust Depr Table 2'!Q84</f>
        <v>37798.63636363636</v>
      </c>
      <c r="O66" s="139">
        <f t="shared" ref="O66:O72" si="19">N66-M66</f>
        <v>37798.63636363636</v>
      </c>
      <c r="P66" s="242"/>
      <c r="Q66" s="241" t="str">
        <f t="shared" ref="Q66:Q72" si="20">IF(C66-D66&lt;1,0,"No")</f>
        <v>No</v>
      </c>
    </row>
    <row r="67" spans="1:17" s="19" customFormat="1">
      <c r="A67" s="64"/>
      <c r="B67" s="70" t="s">
        <v>55</v>
      </c>
      <c r="C67" s="71">
        <v>2706566.34</v>
      </c>
      <c r="D67" s="72">
        <v>0</v>
      </c>
      <c r="E67" s="73">
        <v>165029</v>
      </c>
      <c r="F67" s="218">
        <f t="shared" si="16"/>
        <v>165100.54673999999</v>
      </c>
      <c r="G67" s="74">
        <v>6.1</v>
      </c>
      <c r="H67" s="59">
        <f t="shared" si="17"/>
        <v>0</v>
      </c>
      <c r="I67" s="59">
        <f t="shared" si="18"/>
        <v>165029</v>
      </c>
      <c r="K67" s="138">
        <f>ROUND('Adjust Depr Table 2'!S85,2)</f>
        <v>4.74</v>
      </c>
      <c r="L67" s="143"/>
      <c r="M67" s="139">
        <f>ROUND(D67*(K67/100),0)</f>
        <v>0</v>
      </c>
      <c r="N67" s="139">
        <f>'Adjust Depr Table 2'!Q85</f>
        <v>128343.63636363637</v>
      </c>
      <c r="O67" s="139">
        <f t="shared" si="19"/>
        <v>128343.63636363637</v>
      </c>
      <c r="P67" s="242"/>
      <c r="Q67" s="241" t="str">
        <f t="shared" si="20"/>
        <v>No</v>
      </c>
    </row>
    <row r="68" spans="1:17" s="19" customFormat="1">
      <c r="A68" s="64"/>
      <c r="B68" s="70" t="s">
        <v>56</v>
      </c>
      <c r="C68" s="71">
        <v>2139985.1800000002</v>
      </c>
      <c r="D68" s="72">
        <v>2139985</v>
      </c>
      <c r="E68" s="73">
        <v>134767</v>
      </c>
      <c r="F68" s="218">
        <f t="shared" si="16"/>
        <v>134819.06634000002</v>
      </c>
      <c r="G68" s="74">
        <v>6.3</v>
      </c>
      <c r="H68" s="59">
        <f>ROUND(D68*(G68/100),0)-52</f>
        <v>134767</v>
      </c>
      <c r="I68" s="59">
        <f t="shared" si="18"/>
        <v>0</v>
      </c>
      <c r="K68" s="138">
        <f>ROUND('Adjust Depr Table 2'!S86,2)</f>
        <v>4.97</v>
      </c>
      <c r="L68" s="143"/>
      <c r="M68" s="139">
        <f>ROUND(D68*(K68/100),0)+60</f>
        <v>106417</v>
      </c>
      <c r="N68" s="139">
        <f>'Adjust Depr Table 2'!Q86</f>
        <v>106417.27272727272</v>
      </c>
      <c r="O68" s="243">
        <f t="shared" si="19"/>
        <v>0.27272727272065822</v>
      </c>
      <c r="P68" s="242"/>
      <c r="Q68" s="241">
        <f t="shared" si="20"/>
        <v>0</v>
      </c>
    </row>
    <row r="69" spans="1:17" s="19" customFormat="1">
      <c r="A69" s="64"/>
      <c r="B69" s="70" t="s">
        <v>57</v>
      </c>
      <c r="C69" s="71">
        <v>4774642.05</v>
      </c>
      <c r="D69" s="72">
        <v>0</v>
      </c>
      <c r="E69" s="73">
        <v>180210</v>
      </c>
      <c r="F69" s="218">
        <f t="shared" si="16"/>
        <v>180004.00528499999</v>
      </c>
      <c r="G69" s="74">
        <v>3.77</v>
      </c>
      <c r="H69" s="59">
        <f t="shared" si="17"/>
        <v>0</v>
      </c>
      <c r="I69" s="59">
        <f t="shared" si="18"/>
        <v>180210</v>
      </c>
      <c r="K69" s="138">
        <f>ROUND('Adjust Depr Table 2'!S87,2)</f>
        <v>1.98</v>
      </c>
      <c r="L69" s="143"/>
      <c r="M69" s="139">
        <f>ROUND(D69*(K69/100),0)</f>
        <v>0</v>
      </c>
      <c r="N69" s="139">
        <f>'Adjust Depr Table 2'!Q87</f>
        <v>94404.3</v>
      </c>
      <c r="O69" s="139">
        <f t="shared" si="19"/>
        <v>94404.3</v>
      </c>
      <c r="P69" s="242"/>
      <c r="Q69" s="241" t="str">
        <f t="shared" si="20"/>
        <v>No</v>
      </c>
    </row>
    <row r="70" spans="1:17" s="19" customFormat="1">
      <c r="A70" s="64"/>
      <c r="B70" s="70" t="s">
        <v>58</v>
      </c>
      <c r="C70" s="71">
        <v>182562.7</v>
      </c>
      <c r="D70" s="72">
        <v>0</v>
      </c>
      <c r="E70" s="73">
        <v>6978</v>
      </c>
      <c r="F70" s="218">
        <f t="shared" si="16"/>
        <v>6973.8951399999996</v>
      </c>
      <c r="G70" s="74">
        <v>3.82</v>
      </c>
      <c r="H70" s="59">
        <f t="shared" si="17"/>
        <v>0</v>
      </c>
      <c r="I70" s="59">
        <f t="shared" si="18"/>
        <v>6978</v>
      </c>
      <c r="K70" s="138">
        <f>ROUND('Adjust Depr Table 2'!S88,2)</f>
        <v>1.43</v>
      </c>
      <c r="L70" s="143"/>
      <c r="M70" s="139">
        <f>ROUND(D70*(K70/100),0)</f>
        <v>0</v>
      </c>
      <c r="N70" s="139">
        <f>'Adjust Depr Table 2'!Q88</f>
        <v>2611.0476190476193</v>
      </c>
      <c r="O70" s="139">
        <f t="shared" si="19"/>
        <v>2611.0476190476193</v>
      </c>
      <c r="P70" s="242"/>
      <c r="Q70" s="241" t="str">
        <f t="shared" si="20"/>
        <v>No</v>
      </c>
    </row>
    <row r="71" spans="1:17" s="19" customFormat="1">
      <c r="A71" s="64"/>
      <c r="B71" s="70" t="s">
        <v>60</v>
      </c>
      <c r="C71" s="71">
        <v>2192469.65</v>
      </c>
      <c r="D71" s="72">
        <v>0</v>
      </c>
      <c r="E71" s="73">
        <v>105158</v>
      </c>
      <c r="F71" s="218">
        <f t="shared" si="16"/>
        <v>105238.54319999999</v>
      </c>
      <c r="G71" s="74">
        <v>4.8</v>
      </c>
      <c r="H71" s="59">
        <f t="shared" si="17"/>
        <v>0</v>
      </c>
      <c r="I71" s="59">
        <f t="shared" si="18"/>
        <v>105158</v>
      </c>
      <c r="K71" s="138">
        <f>ROUND('Adjust Depr Table 2'!S89,2)</f>
        <v>3.41</v>
      </c>
      <c r="L71" s="143"/>
      <c r="M71" s="139">
        <f>ROUND(D71*(K71/100),0)</f>
        <v>0</v>
      </c>
      <c r="N71" s="139">
        <f>'Adjust Depr Table 2'!Q89</f>
        <v>74786.307692307688</v>
      </c>
      <c r="O71" s="139">
        <f t="shared" si="19"/>
        <v>74786.307692307688</v>
      </c>
      <c r="P71" s="242"/>
      <c r="Q71" s="241" t="str">
        <f t="shared" si="20"/>
        <v>No</v>
      </c>
    </row>
    <row r="72" spans="1:17" s="19" customFormat="1">
      <c r="A72" s="64"/>
      <c r="B72" s="70" t="s">
        <v>61</v>
      </c>
      <c r="C72" s="75">
        <v>3964220.82</v>
      </c>
      <c r="D72" s="76">
        <v>1536289</v>
      </c>
      <c r="E72" s="77">
        <v>191731</v>
      </c>
      <c r="F72" s="216">
        <f t="shared" si="16"/>
        <v>191868.28768799998</v>
      </c>
      <c r="G72" s="74">
        <v>4.84</v>
      </c>
      <c r="H72" s="63">
        <f t="shared" si="17"/>
        <v>74356</v>
      </c>
      <c r="I72" s="63">
        <f t="shared" si="18"/>
        <v>117375</v>
      </c>
      <c r="K72" s="138">
        <f>ROUND('Adjust Depr Table 2'!S90,2)</f>
        <v>3.1</v>
      </c>
      <c r="L72" s="143"/>
      <c r="M72" s="140">
        <f>ROUND(D72*(K72/100),0)</f>
        <v>47625</v>
      </c>
      <c r="N72" s="140">
        <f>'Adjust Depr Table 2'!Q90</f>
        <v>123047.83333333333</v>
      </c>
      <c r="O72" s="140">
        <f t="shared" si="19"/>
        <v>75422.833333333328</v>
      </c>
      <c r="P72" s="242"/>
      <c r="Q72" s="241" t="str">
        <f t="shared" si="20"/>
        <v>No</v>
      </c>
    </row>
    <row r="73" spans="1:17" s="19" customFormat="1">
      <c r="A73" s="64"/>
      <c r="B73" s="78" t="s">
        <v>74</v>
      </c>
      <c r="C73" s="75">
        <f>SUM(C66:C72)</f>
        <v>17072001.02</v>
      </c>
      <c r="D73" s="76">
        <f>SUM(D66:D72)</f>
        <v>3676274</v>
      </c>
      <c r="E73" s="76">
        <f>SUM(E66:E72)</f>
        <v>830282</v>
      </c>
      <c r="F73" s="222">
        <f>SUM(F66:F72)</f>
        <v>830467.31329700002</v>
      </c>
      <c r="G73" s="74">
        <f>+ROUND(E73/C73*100,2)</f>
        <v>4.8600000000000003</v>
      </c>
      <c r="H73" s="76">
        <f>SUM(H66:H72)</f>
        <v>209123</v>
      </c>
      <c r="I73" s="76">
        <f>SUM(I66:I72)</f>
        <v>621159</v>
      </c>
      <c r="K73" s="138"/>
      <c r="L73" s="143"/>
      <c r="M73" s="146">
        <f>SUM(M66:M72)</f>
        <v>154042</v>
      </c>
      <c r="N73" s="146">
        <f>SUM(N66:N72)</f>
        <v>567409.03409923415</v>
      </c>
      <c r="O73" s="146">
        <f>SUM(O66:O72)</f>
        <v>413367.03409923409</v>
      </c>
      <c r="P73" s="242"/>
      <c r="Q73" s="242"/>
    </row>
    <row r="74" spans="1:17" ht="15.75">
      <c r="A74" s="23"/>
      <c r="B74" s="79"/>
      <c r="C74" s="71"/>
      <c r="D74" s="72"/>
      <c r="E74" s="73"/>
      <c r="F74" s="220"/>
      <c r="G74" s="49"/>
      <c r="H74" s="44"/>
      <c r="I74" s="44"/>
      <c r="K74" s="137"/>
      <c r="L74" s="126"/>
      <c r="M74" s="135"/>
      <c r="N74" s="135"/>
      <c r="O74" s="135"/>
      <c r="P74" s="241"/>
      <c r="Q74" s="241"/>
    </row>
    <row r="75" spans="1:17" ht="15.75">
      <c r="A75" s="80"/>
      <c r="B75" s="81" t="s">
        <v>75</v>
      </c>
      <c r="C75" s="82">
        <f>C19+C31+C44+C51+C64+C73</f>
        <v>2426607851.3600001</v>
      </c>
      <c r="D75" s="83">
        <f>D19+D31+D44+D51+D64+D73</f>
        <v>961388118.53999996</v>
      </c>
      <c r="E75" s="83">
        <f>E19+E31+E44+E51+E64+E73</f>
        <v>86108150</v>
      </c>
      <c r="F75" s="223">
        <f>F19+F31+F44+F51+F64+F73</f>
        <v>86109827.975243002</v>
      </c>
      <c r="G75" s="84">
        <f>+ROUND(E75/C75*100,2)</f>
        <v>3.55</v>
      </c>
      <c r="H75" s="83">
        <f>H19+H31+H44+H51+H64+H73</f>
        <v>39355250</v>
      </c>
      <c r="I75" s="83">
        <f>I19+I31+I44+I51+I64+I73</f>
        <v>46752900</v>
      </c>
      <c r="K75" s="212"/>
      <c r="L75" s="126"/>
      <c r="M75" s="147">
        <f>M19+M31+M44+M51+M64+M73</f>
        <v>32833993</v>
      </c>
      <c r="N75" s="147">
        <f>N19+N31+N44+N51+N64+N73</f>
        <v>70105617.735030204</v>
      </c>
      <c r="O75" s="147">
        <f>O19+O31+O44+O51+O64+O73</f>
        <v>37271624.735030197</v>
      </c>
      <c r="P75" s="241"/>
      <c r="Q75" s="241"/>
    </row>
    <row r="76" spans="1:17" s="19" customFormat="1">
      <c r="A76" s="85"/>
      <c r="B76" s="86"/>
      <c r="C76" s="87"/>
      <c r="D76" s="88"/>
      <c r="E76" s="89"/>
      <c r="F76" s="224"/>
      <c r="G76" s="74"/>
      <c r="H76" s="69"/>
      <c r="I76" s="69"/>
      <c r="K76" s="138"/>
      <c r="L76" s="143"/>
      <c r="M76" s="144"/>
      <c r="N76" s="144"/>
      <c r="O76" s="144"/>
      <c r="P76" s="242"/>
      <c r="Q76" s="242"/>
    </row>
    <row r="77" spans="1:17" ht="15.75">
      <c r="A77" s="23"/>
      <c r="B77" s="24" t="s">
        <v>76</v>
      </c>
      <c r="D77" s="45"/>
      <c r="E77" s="46"/>
      <c r="F77" s="217"/>
      <c r="G77" s="49"/>
      <c r="H77" s="44"/>
      <c r="I77" s="44"/>
      <c r="K77" s="137"/>
      <c r="L77" s="126"/>
      <c r="M77" s="135"/>
      <c r="N77" s="135"/>
      <c r="O77" s="135"/>
      <c r="P77" s="241"/>
      <c r="Q77" s="241"/>
    </row>
    <row r="78" spans="1:17" ht="15.75">
      <c r="A78" s="23"/>
      <c r="B78" s="48"/>
      <c r="D78" s="45"/>
      <c r="E78" s="46"/>
      <c r="F78" s="217"/>
      <c r="G78" s="49"/>
      <c r="H78" s="44"/>
      <c r="I78" s="44"/>
      <c r="K78" s="137"/>
      <c r="L78" s="126"/>
      <c r="M78" s="135"/>
      <c r="N78" s="135"/>
      <c r="O78" s="135"/>
      <c r="P78" s="241"/>
      <c r="Q78" s="241"/>
    </row>
    <row r="79" spans="1:17" s="19" customFormat="1">
      <c r="A79" s="64">
        <v>341</v>
      </c>
      <c r="B79" s="65" t="s">
        <v>53</v>
      </c>
      <c r="C79" s="65"/>
      <c r="D79" s="66"/>
      <c r="E79" s="67"/>
      <c r="F79" s="219"/>
      <c r="G79" s="68"/>
      <c r="H79" s="69"/>
      <c r="I79" s="69"/>
      <c r="K79" s="142"/>
      <c r="L79" s="143"/>
      <c r="M79" s="144"/>
      <c r="N79" s="144"/>
      <c r="O79" s="144"/>
      <c r="P79" s="242"/>
      <c r="Q79" s="242"/>
    </row>
    <row r="80" spans="1:17" s="19" customFormat="1">
      <c r="A80" s="64"/>
      <c r="B80" s="70" t="s">
        <v>77</v>
      </c>
      <c r="C80" s="71">
        <v>19534021.23</v>
      </c>
      <c r="D80" s="72">
        <v>0</v>
      </c>
      <c r="E80" s="73">
        <v>461876</v>
      </c>
      <c r="F80" s="218">
        <f t="shared" ref="F80:F99" si="21">C80*G80/100</f>
        <v>461002.90102799999</v>
      </c>
      <c r="G80" s="74">
        <v>2.36</v>
      </c>
      <c r="H80" s="59">
        <f t="shared" ref="H80:H99" si="22">ROUND(D80*(G80/100),0)</f>
        <v>0</v>
      </c>
      <c r="I80" s="59">
        <f t="shared" ref="I80:I99" si="23">E80-H80</f>
        <v>461876</v>
      </c>
      <c r="K80" s="138">
        <f>ROUND('Adjust Depr Table 3'!S99,2)</f>
        <v>1.63</v>
      </c>
      <c r="L80" s="143"/>
      <c r="M80" s="139">
        <f>ROUND(D80*(K80/100),0)</f>
        <v>0</v>
      </c>
      <c r="N80" s="139">
        <f>'Adjust Depr Table 3'!Q99</f>
        <v>318168.52777777775</v>
      </c>
      <c r="O80" s="139">
        <f t="shared" ref="O80:O99" si="24">N80-M80</f>
        <v>318168.52777777775</v>
      </c>
      <c r="P80" s="242"/>
      <c r="Q80" s="242"/>
    </row>
    <row r="81" spans="1:17" s="19" customFormat="1">
      <c r="A81" s="64"/>
      <c r="B81" s="70" t="s">
        <v>78</v>
      </c>
      <c r="C81" s="71">
        <v>2666719.81</v>
      </c>
      <c r="D81" s="72">
        <v>0</v>
      </c>
      <c r="E81" s="73">
        <v>91600</v>
      </c>
      <c r="F81" s="218">
        <f t="shared" si="21"/>
        <v>91468.489482999998</v>
      </c>
      <c r="G81" s="74">
        <v>3.43</v>
      </c>
      <c r="H81" s="59">
        <f t="shared" si="22"/>
        <v>0</v>
      </c>
      <c r="I81" s="59">
        <f t="shared" si="23"/>
        <v>91600</v>
      </c>
      <c r="K81" s="138">
        <f>ROUND('Adjust Depr Table 3'!S100,2)</f>
        <v>1.71</v>
      </c>
      <c r="L81" s="143"/>
      <c r="M81" s="139">
        <f t="shared" ref="M81:M99" si="25">ROUND(D81*(K81/100),0)</f>
        <v>0</v>
      </c>
      <c r="N81" s="139">
        <f>'Adjust Depr Table 3'!Q100</f>
        <v>45605.72</v>
      </c>
      <c r="O81" s="139">
        <f t="shared" si="24"/>
        <v>45605.72</v>
      </c>
      <c r="P81" s="242"/>
      <c r="Q81" s="242"/>
    </row>
    <row r="82" spans="1:17" s="19" customFormat="1">
      <c r="A82" s="64"/>
      <c r="B82" s="70" t="s">
        <v>79</v>
      </c>
      <c r="C82" s="71">
        <v>2666719.81</v>
      </c>
      <c r="D82" s="72">
        <v>0</v>
      </c>
      <c r="E82" s="73">
        <v>90097</v>
      </c>
      <c r="F82" s="218">
        <f t="shared" si="21"/>
        <v>90135.129577999993</v>
      </c>
      <c r="G82" s="74">
        <v>3.38</v>
      </c>
      <c r="H82" s="59">
        <f t="shared" si="22"/>
        <v>0</v>
      </c>
      <c r="I82" s="59">
        <f t="shared" si="23"/>
        <v>90097</v>
      </c>
      <c r="K82" s="138">
        <f>ROUND('Adjust Depr Table 3'!S101,2)</f>
        <v>1.68</v>
      </c>
      <c r="L82" s="143"/>
      <c r="M82" s="139">
        <f t="shared" si="25"/>
        <v>0</v>
      </c>
      <c r="N82" s="139">
        <f>'Adjust Depr Table 3'!Q101</f>
        <v>44787.6</v>
      </c>
      <c r="O82" s="139">
        <f t="shared" si="24"/>
        <v>44787.6</v>
      </c>
      <c r="P82" s="242"/>
      <c r="Q82" s="242"/>
    </row>
    <row r="83" spans="1:17" s="19" customFormat="1">
      <c r="A83" s="64"/>
      <c r="B83" s="70" t="s">
        <v>80</v>
      </c>
      <c r="C83" s="71">
        <v>2666719.81</v>
      </c>
      <c r="D83" s="72">
        <v>0</v>
      </c>
      <c r="E83" s="73">
        <v>90824</v>
      </c>
      <c r="F83" s="218">
        <f t="shared" si="21"/>
        <v>90935.145521000013</v>
      </c>
      <c r="G83" s="74">
        <v>3.41</v>
      </c>
      <c r="H83" s="59">
        <f t="shared" si="22"/>
        <v>0</v>
      </c>
      <c r="I83" s="59">
        <f t="shared" si="23"/>
        <v>90824</v>
      </c>
      <c r="K83" s="138">
        <f>ROUND('Adjust Depr Table 3'!S102,2)</f>
        <v>1.69</v>
      </c>
      <c r="L83" s="143"/>
      <c r="M83" s="139">
        <f t="shared" si="25"/>
        <v>0</v>
      </c>
      <c r="N83" s="139">
        <f>'Adjust Depr Table 3'!Q102</f>
        <v>45183.44</v>
      </c>
      <c r="O83" s="139">
        <f t="shared" si="24"/>
        <v>45183.44</v>
      </c>
      <c r="P83" s="242"/>
      <c r="Q83" s="242"/>
    </row>
    <row r="84" spans="1:17" s="19" customFormat="1">
      <c r="A84" s="64"/>
      <c r="B84" s="70" t="s">
        <v>81</v>
      </c>
      <c r="C84" s="71">
        <v>1937757.41</v>
      </c>
      <c r="D84" s="72">
        <v>0</v>
      </c>
      <c r="E84" s="73">
        <v>56828</v>
      </c>
      <c r="F84" s="218">
        <f t="shared" si="21"/>
        <v>56776.292112999996</v>
      </c>
      <c r="G84" s="74">
        <v>2.93</v>
      </c>
      <c r="H84" s="59">
        <f t="shared" si="22"/>
        <v>0</v>
      </c>
      <c r="I84" s="59">
        <f t="shared" si="23"/>
        <v>56828</v>
      </c>
      <c r="K84" s="138">
        <f>ROUND('Adjust Depr Table 3'!S103,2)</f>
        <v>1.96</v>
      </c>
      <c r="L84" s="143"/>
      <c r="M84" s="139">
        <f t="shared" si="25"/>
        <v>0</v>
      </c>
      <c r="N84" s="139">
        <f>'Adjust Depr Table 3'!Q103</f>
        <v>38062.370370370372</v>
      </c>
      <c r="O84" s="139">
        <f t="shared" si="24"/>
        <v>38062.370370370372</v>
      </c>
      <c r="P84" s="242"/>
      <c r="Q84" s="242"/>
    </row>
    <row r="85" spans="1:17" s="19" customFormat="1">
      <c r="A85" s="64"/>
      <c r="B85" s="70" t="s">
        <v>82</v>
      </c>
      <c r="C85" s="71">
        <v>1599135.43</v>
      </c>
      <c r="D85" s="72">
        <v>0</v>
      </c>
      <c r="E85" s="73">
        <v>47190</v>
      </c>
      <c r="F85" s="218">
        <f t="shared" si="21"/>
        <v>47174.495185</v>
      </c>
      <c r="G85" s="74">
        <v>2.95</v>
      </c>
      <c r="H85" s="59">
        <f t="shared" si="22"/>
        <v>0</v>
      </c>
      <c r="I85" s="59">
        <f t="shared" si="23"/>
        <v>47190</v>
      </c>
      <c r="K85" s="138">
        <f>ROUND('Adjust Depr Table 3'!S104,2)</f>
        <v>1.98</v>
      </c>
      <c r="L85" s="143"/>
      <c r="M85" s="139">
        <f t="shared" si="25"/>
        <v>0</v>
      </c>
      <c r="N85" s="139">
        <f>'Adjust Depr Table 3'!Q104</f>
        <v>31651.518518518518</v>
      </c>
      <c r="O85" s="139">
        <f t="shared" si="24"/>
        <v>31651.518518518518</v>
      </c>
      <c r="P85" s="242"/>
      <c r="Q85" s="242"/>
    </row>
    <row r="86" spans="1:17" s="19" customFormat="1">
      <c r="A86" s="64"/>
      <c r="B86" s="70" t="s">
        <v>83</v>
      </c>
      <c r="C86" s="71">
        <v>303524.78000000003</v>
      </c>
      <c r="D86" s="72">
        <v>0</v>
      </c>
      <c r="E86" s="73">
        <v>8882</v>
      </c>
      <c r="F86" s="218">
        <f t="shared" si="21"/>
        <v>8893.2760540000017</v>
      </c>
      <c r="G86" s="74">
        <v>2.93</v>
      </c>
      <c r="H86" s="59">
        <f t="shared" si="22"/>
        <v>0</v>
      </c>
      <c r="I86" s="59">
        <f t="shared" si="23"/>
        <v>8882</v>
      </c>
      <c r="K86" s="138">
        <f>ROUND('Adjust Depr Table 3'!S105,2)</f>
        <v>2.04</v>
      </c>
      <c r="L86" s="143"/>
      <c r="M86" s="139">
        <f t="shared" si="25"/>
        <v>0</v>
      </c>
      <c r="N86" s="139">
        <f>'Adjust Depr Table 3'!Q105</f>
        <v>6198.5483870967746</v>
      </c>
      <c r="O86" s="139">
        <f t="shared" si="24"/>
        <v>6198.5483870967746</v>
      </c>
      <c r="P86" s="242"/>
      <c r="Q86" s="242"/>
    </row>
    <row r="87" spans="1:17" s="19" customFormat="1">
      <c r="A87" s="64"/>
      <c r="B87" s="70" t="s">
        <v>84</v>
      </c>
      <c r="C87" s="71">
        <v>303524.78000000003</v>
      </c>
      <c r="D87" s="72">
        <v>0</v>
      </c>
      <c r="E87" s="73">
        <v>8882</v>
      </c>
      <c r="F87" s="218">
        <f t="shared" si="21"/>
        <v>8893.2760540000017</v>
      </c>
      <c r="G87" s="74">
        <v>2.93</v>
      </c>
      <c r="H87" s="59">
        <f t="shared" si="22"/>
        <v>0</v>
      </c>
      <c r="I87" s="59">
        <f t="shared" si="23"/>
        <v>8882</v>
      </c>
      <c r="K87" s="138">
        <f>ROUND('Adjust Depr Table 3'!S106,2)</f>
        <v>2.04</v>
      </c>
      <c r="L87" s="143"/>
      <c r="M87" s="139">
        <f t="shared" si="25"/>
        <v>0</v>
      </c>
      <c r="N87" s="139">
        <f>'Adjust Depr Table 3'!Q106</f>
        <v>6198.6129032258068</v>
      </c>
      <c r="O87" s="139">
        <f t="shared" si="24"/>
        <v>6198.6129032258068</v>
      </c>
      <c r="P87" s="242"/>
      <c r="Q87" s="242"/>
    </row>
    <row r="88" spans="1:17" s="19" customFormat="1">
      <c r="A88" s="64"/>
      <c r="B88" s="70" t="s">
        <v>85</v>
      </c>
      <c r="C88" s="71">
        <v>4500637.37</v>
      </c>
      <c r="D88" s="72">
        <v>0</v>
      </c>
      <c r="E88" s="73">
        <v>137706</v>
      </c>
      <c r="F88" s="218">
        <f t="shared" si="21"/>
        <v>137719.50352200001</v>
      </c>
      <c r="G88" s="74">
        <v>3.06</v>
      </c>
      <c r="H88" s="59">
        <f t="shared" si="22"/>
        <v>0</v>
      </c>
      <c r="I88" s="59">
        <f t="shared" si="23"/>
        <v>137706</v>
      </c>
      <c r="K88" s="138">
        <f>ROUND('Adjust Depr Table 3'!S107,2)</f>
        <v>2.23</v>
      </c>
      <c r="L88" s="143"/>
      <c r="M88" s="139">
        <f t="shared" si="25"/>
        <v>0</v>
      </c>
      <c r="N88" s="139">
        <f>'Adjust Depr Table 3'!Q107</f>
        <v>100485.22222222222</v>
      </c>
      <c r="O88" s="139">
        <f t="shared" si="24"/>
        <v>100485.22222222222</v>
      </c>
      <c r="P88" s="242"/>
      <c r="Q88" s="242"/>
    </row>
    <row r="89" spans="1:17" s="19" customFormat="1">
      <c r="A89" s="64"/>
      <c r="B89" s="70" t="s">
        <v>86</v>
      </c>
      <c r="C89" s="71">
        <v>88846.57</v>
      </c>
      <c r="D89" s="72">
        <v>0</v>
      </c>
      <c r="E89" s="73">
        <v>2541</v>
      </c>
      <c r="F89" s="218">
        <f t="shared" si="21"/>
        <v>2541.0119020000002</v>
      </c>
      <c r="G89" s="74">
        <v>2.86</v>
      </c>
      <c r="H89" s="59">
        <f t="shared" si="22"/>
        <v>0</v>
      </c>
      <c r="I89" s="59">
        <f t="shared" si="23"/>
        <v>2541</v>
      </c>
      <c r="K89" s="138">
        <f>ROUND('Adjust Depr Table 3'!S108,2)</f>
        <v>2.09</v>
      </c>
      <c r="L89" s="143"/>
      <c r="M89" s="139">
        <f t="shared" si="25"/>
        <v>0</v>
      </c>
      <c r="N89" s="139">
        <f>'Adjust Depr Table 3'!Q108</f>
        <v>1856.6666666666667</v>
      </c>
      <c r="O89" s="139">
        <f t="shared" si="24"/>
        <v>1856.6666666666667</v>
      </c>
      <c r="P89" s="242"/>
      <c r="Q89" s="242"/>
    </row>
    <row r="90" spans="1:17" s="19" customFormat="1">
      <c r="A90" s="64"/>
      <c r="B90" s="70" t="s">
        <v>87</v>
      </c>
      <c r="C90" s="71">
        <v>1119860.8</v>
      </c>
      <c r="D90" s="72">
        <v>0</v>
      </c>
      <c r="E90" s="73">
        <v>37693</v>
      </c>
      <c r="F90" s="218">
        <f t="shared" si="21"/>
        <v>37739.308960000002</v>
      </c>
      <c r="G90" s="74">
        <v>3.37</v>
      </c>
      <c r="H90" s="59">
        <f t="shared" si="22"/>
        <v>0</v>
      </c>
      <c r="I90" s="59">
        <f t="shared" si="23"/>
        <v>37693</v>
      </c>
      <c r="K90" s="138">
        <f>ROUND('Adjust Depr Table 3'!S109,2)</f>
        <v>2.93</v>
      </c>
      <c r="L90" s="143"/>
      <c r="M90" s="139">
        <f t="shared" si="25"/>
        <v>0</v>
      </c>
      <c r="N90" s="139">
        <f>'Adjust Depr Table 3'!Q109</f>
        <v>32863.526315789473</v>
      </c>
      <c r="O90" s="139">
        <f t="shared" si="24"/>
        <v>32863.526315789473</v>
      </c>
      <c r="P90" s="242"/>
      <c r="Q90" s="242"/>
    </row>
    <row r="91" spans="1:17" s="19" customFormat="1">
      <c r="A91" s="64"/>
      <c r="B91" s="70" t="s">
        <v>88</v>
      </c>
      <c r="C91" s="71">
        <v>1200486.53</v>
      </c>
      <c r="D91" s="72">
        <v>0</v>
      </c>
      <c r="E91" s="73">
        <v>40406</v>
      </c>
      <c r="F91" s="218">
        <f t="shared" si="21"/>
        <v>40456.396061000007</v>
      </c>
      <c r="G91" s="74">
        <v>3.37</v>
      </c>
      <c r="H91" s="59">
        <f t="shared" si="22"/>
        <v>0</v>
      </c>
      <c r="I91" s="59">
        <f t="shared" si="23"/>
        <v>40406</v>
      </c>
      <c r="K91" s="138">
        <f>ROUND('Adjust Depr Table 3'!S110,2)</f>
        <v>2.93</v>
      </c>
      <c r="L91" s="143"/>
      <c r="M91" s="139">
        <f t="shared" si="25"/>
        <v>0</v>
      </c>
      <c r="N91" s="139">
        <f>'Adjust Depr Table 3'!Q110</f>
        <v>35229.631578947367</v>
      </c>
      <c r="O91" s="139">
        <f t="shared" si="24"/>
        <v>35229.631578947367</v>
      </c>
      <c r="P91" s="242"/>
      <c r="Q91" s="242"/>
    </row>
    <row r="92" spans="1:17" s="19" customFormat="1">
      <c r="A92" s="64"/>
      <c r="B92" s="70" t="s">
        <v>89</v>
      </c>
      <c r="C92" s="71">
        <v>1135966.24</v>
      </c>
      <c r="D92" s="72">
        <v>0</v>
      </c>
      <c r="E92" s="73">
        <v>38235</v>
      </c>
      <c r="F92" s="218">
        <f t="shared" si="21"/>
        <v>38282.062288000001</v>
      </c>
      <c r="G92" s="74">
        <v>3.37</v>
      </c>
      <c r="H92" s="59">
        <f t="shared" si="22"/>
        <v>0</v>
      </c>
      <c r="I92" s="59">
        <f t="shared" si="23"/>
        <v>38235</v>
      </c>
      <c r="K92" s="138">
        <f>ROUND('Adjust Depr Table 3'!S111,2)</f>
        <v>2.93</v>
      </c>
      <c r="L92" s="143"/>
      <c r="M92" s="139">
        <f t="shared" si="25"/>
        <v>0</v>
      </c>
      <c r="N92" s="139">
        <f>'Adjust Depr Table 3'!Q111</f>
        <v>33336.15789473684</v>
      </c>
      <c r="O92" s="139">
        <f t="shared" si="24"/>
        <v>33336.15789473684</v>
      </c>
      <c r="P92" s="242"/>
      <c r="Q92" s="242"/>
    </row>
    <row r="93" spans="1:17" s="19" customFormat="1">
      <c r="A93" s="64"/>
      <c r="B93" s="70" t="s">
        <v>90</v>
      </c>
      <c r="C93" s="71">
        <v>1465228.09</v>
      </c>
      <c r="D93" s="72">
        <v>0</v>
      </c>
      <c r="E93" s="73">
        <v>48151</v>
      </c>
      <c r="F93" s="218">
        <f t="shared" si="21"/>
        <v>48206.004160999997</v>
      </c>
      <c r="G93" s="74">
        <v>3.29</v>
      </c>
      <c r="H93" s="59">
        <f t="shared" si="22"/>
        <v>0</v>
      </c>
      <c r="I93" s="59">
        <f t="shared" si="23"/>
        <v>48151</v>
      </c>
      <c r="K93" s="138">
        <f>ROUND('Adjust Depr Table 3'!S112,2)</f>
        <v>2.89</v>
      </c>
      <c r="L93" s="143"/>
      <c r="M93" s="139">
        <f t="shared" si="25"/>
        <v>0</v>
      </c>
      <c r="N93" s="139">
        <f>'Adjust Depr Table 3'!Q112</f>
        <v>42288.090909090912</v>
      </c>
      <c r="O93" s="139">
        <f t="shared" si="24"/>
        <v>42288.090909090912</v>
      </c>
      <c r="P93" s="242"/>
      <c r="Q93" s="242"/>
    </row>
    <row r="94" spans="1:17" s="19" customFormat="1">
      <c r="A94" s="64"/>
      <c r="B94" s="70" t="s">
        <v>91</v>
      </c>
      <c r="C94" s="71">
        <v>2033652.36</v>
      </c>
      <c r="D94" s="72">
        <v>0</v>
      </c>
      <c r="E94" s="73">
        <v>88263</v>
      </c>
      <c r="F94" s="218">
        <f t="shared" si="21"/>
        <v>88260.512424</v>
      </c>
      <c r="G94" s="74">
        <v>4.34</v>
      </c>
      <c r="H94" s="59">
        <f t="shared" si="22"/>
        <v>0</v>
      </c>
      <c r="I94" s="59">
        <f t="shared" si="23"/>
        <v>88263</v>
      </c>
      <c r="K94" s="138">
        <f>ROUND('Adjust Depr Table 3'!S113,2)</f>
        <v>4.05</v>
      </c>
      <c r="L94" s="143"/>
      <c r="M94" s="139">
        <f t="shared" si="25"/>
        <v>0</v>
      </c>
      <c r="N94" s="139">
        <f>'Adjust Depr Table 3'!Q113</f>
        <v>82287.434782608689</v>
      </c>
      <c r="O94" s="139">
        <f t="shared" si="24"/>
        <v>82287.434782608689</v>
      </c>
      <c r="P94" s="242"/>
      <c r="Q94" s="242"/>
    </row>
    <row r="95" spans="1:17" s="19" customFormat="1">
      <c r="A95" s="64"/>
      <c r="B95" s="70" t="s">
        <v>92</v>
      </c>
      <c r="C95" s="71">
        <v>7229721.6399999997</v>
      </c>
      <c r="D95" s="72">
        <v>0</v>
      </c>
      <c r="E95" s="73">
        <v>200136</v>
      </c>
      <c r="F95" s="218">
        <f t="shared" si="21"/>
        <v>200263.28942799999</v>
      </c>
      <c r="G95" s="74">
        <v>2.77</v>
      </c>
      <c r="H95" s="59">
        <f t="shared" si="22"/>
        <v>0</v>
      </c>
      <c r="I95" s="59">
        <f t="shared" si="23"/>
        <v>200136</v>
      </c>
      <c r="K95" s="138">
        <f>ROUND('Adjust Depr Table 3'!S114,2)</f>
        <v>1.97</v>
      </c>
      <c r="L95" s="143"/>
      <c r="M95" s="139">
        <f t="shared" si="25"/>
        <v>0</v>
      </c>
      <c r="N95" s="139">
        <f>'Adjust Depr Table 3'!Q114</f>
        <v>142266.42857142858</v>
      </c>
      <c r="O95" s="139">
        <f t="shared" si="24"/>
        <v>142266.42857142858</v>
      </c>
      <c r="P95" s="242"/>
      <c r="Q95" s="242"/>
    </row>
    <row r="96" spans="1:17" s="19" customFormat="1">
      <c r="A96" s="64"/>
      <c r="B96" s="70" t="s">
        <v>93</v>
      </c>
      <c r="C96" s="71">
        <v>933680.4</v>
      </c>
      <c r="D96" s="72">
        <v>0</v>
      </c>
      <c r="E96" s="73">
        <v>24483</v>
      </c>
      <c r="F96" s="218">
        <f t="shared" si="21"/>
        <v>24462.426480000002</v>
      </c>
      <c r="G96" s="74">
        <v>2.62</v>
      </c>
      <c r="H96" s="59">
        <f t="shared" si="22"/>
        <v>0</v>
      </c>
      <c r="I96" s="59">
        <f t="shared" si="23"/>
        <v>24483</v>
      </c>
      <c r="K96" s="138">
        <f>ROUND('Adjust Depr Table 3'!S115,2)</f>
        <v>1.85</v>
      </c>
      <c r="L96" s="143"/>
      <c r="M96" s="139">
        <f t="shared" si="25"/>
        <v>0</v>
      </c>
      <c r="N96" s="139">
        <f>'Adjust Depr Table 3'!Q115</f>
        <v>17315.785714285714</v>
      </c>
      <c r="O96" s="139">
        <f t="shared" si="24"/>
        <v>17315.785714285714</v>
      </c>
      <c r="P96" s="242"/>
      <c r="Q96" s="242"/>
    </row>
    <row r="97" spans="1:17" s="19" customFormat="1">
      <c r="A97" s="64"/>
      <c r="B97" s="70" t="s">
        <v>94</v>
      </c>
      <c r="C97" s="71">
        <v>933680.4</v>
      </c>
      <c r="D97" s="72">
        <v>0</v>
      </c>
      <c r="E97" s="73">
        <v>24700</v>
      </c>
      <c r="F97" s="218">
        <f t="shared" si="21"/>
        <v>24742.530600000002</v>
      </c>
      <c r="G97" s="74">
        <v>2.65</v>
      </c>
      <c r="H97" s="59">
        <f t="shared" si="22"/>
        <v>0</v>
      </c>
      <c r="I97" s="59">
        <f t="shared" si="23"/>
        <v>24700</v>
      </c>
      <c r="K97" s="138">
        <f>ROUND('Adjust Depr Table 3'!S116,2)</f>
        <v>1.87</v>
      </c>
      <c r="L97" s="143"/>
      <c r="M97" s="139">
        <f t="shared" si="25"/>
        <v>0</v>
      </c>
      <c r="N97" s="139">
        <f>'Adjust Depr Table 3'!Q116</f>
        <v>17483.821428571428</v>
      </c>
      <c r="O97" s="139">
        <f t="shared" si="24"/>
        <v>17483.821428571428</v>
      </c>
      <c r="P97" s="242"/>
      <c r="Q97" s="242"/>
    </row>
    <row r="98" spans="1:17" s="19" customFormat="1">
      <c r="A98" s="64"/>
      <c r="B98" s="70" t="s">
        <v>95</v>
      </c>
      <c r="C98" s="71">
        <v>933680.4</v>
      </c>
      <c r="D98" s="72">
        <v>0</v>
      </c>
      <c r="E98" s="73">
        <v>24485</v>
      </c>
      <c r="F98" s="218">
        <f t="shared" si="21"/>
        <v>24462.426480000002</v>
      </c>
      <c r="G98" s="74">
        <v>2.62</v>
      </c>
      <c r="H98" s="59">
        <f t="shared" si="22"/>
        <v>0</v>
      </c>
      <c r="I98" s="59">
        <f t="shared" si="23"/>
        <v>24485</v>
      </c>
      <c r="K98" s="138">
        <f>ROUND('Adjust Depr Table 3'!S117,2)</f>
        <v>1.85</v>
      </c>
      <c r="L98" s="143"/>
      <c r="M98" s="139">
        <f t="shared" si="25"/>
        <v>0</v>
      </c>
      <c r="N98" s="139">
        <f>'Adjust Depr Table 3'!Q117</f>
        <v>17317.071428571428</v>
      </c>
      <c r="O98" s="139">
        <f t="shared" si="24"/>
        <v>17317.071428571428</v>
      </c>
      <c r="P98" s="242"/>
      <c r="Q98" s="242"/>
    </row>
    <row r="99" spans="1:17" s="19" customFormat="1">
      <c r="A99" s="64"/>
      <c r="B99" s="70" t="s">
        <v>96</v>
      </c>
      <c r="C99" s="75">
        <v>625882</v>
      </c>
      <c r="D99" s="76">
        <v>0</v>
      </c>
      <c r="E99" s="77">
        <v>26347</v>
      </c>
      <c r="F99" s="216">
        <f t="shared" si="21"/>
        <v>26349.632200000004</v>
      </c>
      <c r="G99" s="74">
        <v>4.21</v>
      </c>
      <c r="H99" s="63">
        <f t="shared" si="22"/>
        <v>0</v>
      </c>
      <c r="I99" s="63">
        <f t="shared" si="23"/>
        <v>26347</v>
      </c>
      <c r="K99" s="138">
        <f>ROUND('Adjust Depr Table 3'!S118,2)</f>
        <v>3.96</v>
      </c>
      <c r="L99" s="143"/>
      <c r="M99" s="140">
        <f t="shared" si="25"/>
        <v>0</v>
      </c>
      <c r="N99" s="140">
        <f>'Adjust Depr Table 3'!Q118</f>
        <v>24803.434782608696</v>
      </c>
      <c r="O99" s="140">
        <f t="shared" si="24"/>
        <v>24803.434782608696</v>
      </c>
      <c r="P99" s="242"/>
      <c r="Q99" s="242"/>
    </row>
    <row r="100" spans="1:17" s="19" customFormat="1">
      <c r="A100" s="64"/>
      <c r="B100" s="78" t="s">
        <v>64</v>
      </c>
      <c r="C100" s="71">
        <f>SUM(C80:C99)</f>
        <v>53879445.859999999</v>
      </c>
      <c r="D100" s="72">
        <f>SUM(D80:D99)</f>
        <v>0</v>
      </c>
      <c r="E100" s="72">
        <f>SUM(E80:E99)</f>
        <v>1549325</v>
      </c>
      <c r="F100" s="221">
        <f>SUM(F80:F99)</f>
        <v>1548764.109522</v>
      </c>
      <c r="G100" s="74">
        <f>+ROUND(E100/C100*100,2)</f>
        <v>2.88</v>
      </c>
      <c r="H100" s="72">
        <f>SUM(H80:H99)</f>
        <v>0</v>
      </c>
      <c r="I100" s="72">
        <f>SUM(I80:I99)</f>
        <v>1549325</v>
      </c>
      <c r="K100" s="138"/>
      <c r="L100" s="143"/>
      <c r="M100" s="145">
        <f>SUM(M80:M99)</f>
        <v>0</v>
      </c>
      <c r="N100" s="145">
        <f>SUM(N80:N99)</f>
        <v>1083389.6102525173</v>
      </c>
      <c r="O100" s="145">
        <f>SUM(O80:O99)</f>
        <v>1083389.6102525173</v>
      </c>
      <c r="P100" s="242"/>
      <c r="Q100" s="242"/>
    </row>
    <row r="101" spans="1:17" s="19" customFormat="1">
      <c r="A101" s="64">
        <v>342</v>
      </c>
      <c r="B101" s="65" t="s">
        <v>97</v>
      </c>
      <c r="C101" s="65"/>
      <c r="D101" s="66"/>
      <c r="E101" s="67"/>
      <c r="F101" s="219"/>
      <c r="G101" s="68"/>
      <c r="H101" s="69"/>
      <c r="I101" s="69"/>
      <c r="K101" s="142"/>
      <c r="L101" s="143"/>
      <c r="M101" s="144"/>
      <c r="N101" s="144"/>
      <c r="O101" s="144"/>
      <c r="P101" s="242"/>
      <c r="Q101" s="242"/>
    </row>
    <row r="102" spans="1:17" s="19" customFormat="1">
      <c r="A102" s="64"/>
      <c r="B102" s="70" t="s">
        <v>77</v>
      </c>
      <c r="C102" s="71">
        <v>13766120.51</v>
      </c>
      <c r="D102" s="72">
        <v>0</v>
      </c>
      <c r="E102" s="73">
        <v>307631</v>
      </c>
      <c r="F102" s="218">
        <f t="shared" ref="F102:F109" si="26">C102*G102/100</f>
        <v>306984.48737300001</v>
      </c>
      <c r="G102" s="74">
        <v>2.23</v>
      </c>
      <c r="H102" s="59">
        <f t="shared" ref="H102:H109" si="27">ROUND(D102*(G102/100),0)</f>
        <v>0</v>
      </c>
      <c r="I102" s="59">
        <f t="shared" ref="I102:I109" si="28">E102-H102</f>
        <v>307631</v>
      </c>
      <c r="K102" s="138">
        <f>ROUND('Adjust Depr Table 3'!S123,2)</f>
        <v>1.55</v>
      </c>
      <c r="L102" s="143"/>
      <c r="M102" s="139">
        <f>ROUND(D102*(K102/100),0)</f>
        <v>0</v>
      </c>
      <c r="N102" s="139">
        <f>'Adjust Depr Table 3'!Q123</f>
        <v>212880.22222222222</v>
      </c>
      <c r="O102" s="139">
        <f t="shared" ref="O102:O109" si="29">N102-M102</f>
        <v>212880.22222222222</v>
      </c>
      <c r="P102" s="242"/>
      <c r="Q102" s="242"/>
    </row>
    <row r="103" spans="1:17" s="19" customFormat="1">
      <c r="A103" s="64"/>
      <c r="B103" s="70" t="s">
        <v>83</v>
      </c>
      <c r="C103" s="71">
        <v>70051.649999999994</v>
      </c>
      <c r="D103" s="72">
        <v>0</v>
      </c>
      <c r="E103" s="73">
        <v>1970</v>
      </c>
      <c r="F103" s="218">
        <f t="shared" si="26"/>
        <v>1968.4513649999999</v>
      </c>
      <c r="G103" s="74">
        <v>2.81</v>
      </c>
      <c r="H103" s="59">
        <f t="shared" si="27"/>
        <v>0</v>
      </c>
      <c r="I103" s="59">
        <f t="shared" si="28"/>
        <v>1970</v>
      </c>
      <c r="K103" s="138">
        <f>ROUND('Adjust Depr Table 3'!S124,2)</f>
        <v>2.0099999999999998</v>
      </c>
      <c r="L103" s="143"/>
      <c r="M103" s="139">
        <f t="shared" ref="M103:M109" si="30">ROUND(D103*(K103/100),0)</f>
        <v>0</v>
      </c>
      <c r="N103" s="139">
        <f>'Adjust Depr Table 3'!Q124</f>
        <v>1410.4516129032259</v>
      </c>
      <c r="O103" s="139">
        <f t="shared" si="29"/>
        <v>1410.4516129032259</v>
      </c>
      <c r="P103" s="242"/>
      <c r="Q103" s="242"/>
    </row>
    <row r="104" spans="1:17" s="19" customFormat="1">
      <c r="A104" s="64"/>
      <c r="B104" s="70" t="s">
        <v>84</v>
      </c>
      <c r="C104" s="71">
        <v>70051.649999999994</v>
      </c>
      <c r="D104" s="72">
        <v>0</v>
      </c>
      <c r="E104" s="73">
        <v>1970</v>
      </c>
      <c r="F104" s="218">
        <f t="shared" si="26"/>
        <v>1968.4513649999999</v>
      </c>
      <c r="G104" s="74">
        <v>2.81</v>
      </c>
      <c r="H104" s="59">
        <f t="shared" si="27"/>
        <v>0</v>
      </c>
      <c r="I104" s="59">
        <f t="shared" si="28"/>
        <v>1970</v>
      </c>
      <c r="K104" s="138">
        <f>ROUND('Adjust Depr Table 3'!S125,2)</f>
        <v>2.0099999999999998</v>
      </c>
      <c r="L104" s="143"/>
      <c r="M104" s="139">
        <f t="shared" si="30"/>
        <v>0</v>
      </c>
      <c r="N104" s="139">
        <f>'Adjust Depr Table 3'!Q125</f>
        <v>1410.483870967742</v>
      </c>
      <c r="O104" s="139">
        <f t="shared" si="29"/>
        <v>1410.483870967742</v>
      </c>
      <c r="P104" s="242"/>
      <c r="Q104" s="242"/>
    </row>
    <row r="105" spans="1:17" s="19" customFormat="1">
      <c r="A105" s="64"/>
      <c r="B105" s="70" t="s">
        <v>85</v>
      </c>
      <c r="C105" s="71">
        <v>2384532.85</v>
      </c>
      <c r="D105" s="72">
        <v>0</v>
      </c>
      <c r="E105" s="73">
        <v>70594</v>
      </c>
      <c r="F105" s="218">
        <f t="shared" si="26"/>
        <v>70582.172360000011</v>
      </c>
      <c r="G105" s="74">
        <v>2.96</v>
      </c>
      <c r="H105" s="59">
        <f t="shared" si="27"/>
        <v>0</v>
      </c>
      <c r="I105" s="59">
        <f t="shared" si="28"/>
        <v>70594</v>
      </c>
      <c r="K105" s="138">
        <f>ROUND('Adjust Depr Table 3'!S126,2)</f>
        <v>2.2400000000000002</v>
      </c>
      <c r="L105" s="143"/>
      <c r="M105" s="139">
        <f t="shared" si="30"/>
        <v>0</v>
      </c>
      <c r="N105" s="139">
        <f>'Adjust Depr Table 3'!Q126</f>
        <v>53335.777777777781</v>
      </c>
      <c r="O105" s="139">
        <f t="shared" si="29"/>
        <v>53335.777777777781</v>
      </c>
      <c r="P105" s="242"/>
      <c r="Q105" s="242"/>
    </row>
    <row r="106" spans="1:17" s="19" customFormat="1">
      <c r="A106" s="64"/>
      <c r="B106" s="70" t="s">
        <v>86</v>
      </c>
      <c r="C106" s="71">
        <v>2116650.59</v>
      </c>
      <c r="D106" s="72">
        <v>0</v>
      </c>
      <c r="E106" s="73">
        <v>57791</v>
      </c>
      <c r="F106" s="218">
        <f t="shared" si="26"/>
        <v>57784.561106999994</v>
      </c>
      <c r="G106" s="74">
        <v>2.73</v>
      </c>
      <c r="H106" s="59">
        <f t="shared" si="27"/>
        <v>0</v>
      </c>
      <c r="I106" s="59">
        <f t="shared" si="28"/>
        <v>57791</v>
      </c>
      <c r="K106" s="138">
        <f>ROUND('Adjust Depr Table 3'!S127,2)</f>
        <v>2.0499999999999998</v>
      </c>
      <c r="L106" s="143"/>
      <c r="M106" s="139">
        <f t="shared" si="30"/>
        <v>0</v>
      </c>
      <c r="N106" s="139">
        <f>'Adjust Depr Table 3'!Q127</f>
        <v>43479.694444444445</v>
      </c>
      <c r="O106" s="139">
        <f t="shared" si="29"/>
        <v>43479.694444444445</v>
      </c>
      <c r="P106" s="242"/>
      <c r="Q106" s="242"/>
    </row>
    <row r="107" spans="1:17" s="19" customFormat="1">
      <c r="A107" s="64"/>
      <c r="B107" s="70" t="s">
        <v>88</v>
      </c>
      <c r="C107" s="71">
        <v>106294.19</v>
      </c>
      <c r="D107" s="72">
        <v>0</v>
      </c>
      <c r="E107" s="73">
        <v>3475</v>
      </c>
      <c r="F107" s="218">
        <f t="shared" si="26"/>
        <v>3475.820013</v>
      </c>
      <c r="G107" s="74">
        <v>3.27</v>
      </c>
      <c r="H107" s="59">
        <f t="shared" si="27"/>
        <v>0</v>
      </c>
      <c r="I107" s="59">
        <f t="shared" si="28"/>
        <v>3475</v>
      </c>
      <c r="K107" s="138">
        <f>ROUND('Adjust Depr Table 3'!S128,2)</f>
        <v>2.93</v>
      </c>
      <c r="L107" s="143"/>
      <c r="M107" s="139">
        <f t="shared" si="30"/>
        <v>0</v>
      </c>
      <c r="N107" s="139">
        <f>'Adjust Depr Table 3'!Q128</f>
        <v>3110.2631578947367</v>
      </c>
      <c r="O107" s="139">
        <f t="shared" si="29"/>
        <v>3110.2631578947367</v>
      </c>
      <c r="P107" s="242"/>
      <c r="Q107" s="242"/>
    </row>
    <row r="108" spans="1:17" s="19" customFormat="1">
      <c r="A108" s="64"/>
      <c r="B108" s="70" t="s">
        <v>89</v>
      </c>
      <c r="C108" s="71">
        <v>357670.24</v>
      </c>
      <c r="D108" s="72">
        <v>0</v>
      </c>
      <c r="E108" s="73">
        <v>11691</v>
      </c>
      <c r="F108" s="218">
        <f t="shared" si="26"/>
        <v>11695.816847999999</v>
      </c>
      <c r="G108" s="74">
        <v>3.27</v>
      </c>
      <c r="H108" s="59">
        <f t="shared" si="27"/>
        <v>0</v>
      </c>
      <c r="I108" s="59">
        <f t="shared" si="28"/>
        <v>11691</v>
      </c>
      <c r="K108" s="138">
        <f>ROUND('Adjust Depr Table 3'!S129,2)</f>
        <v>2.93</v>
      </c>
      <c r="L108" s="143"/>
      <c r="M108" s="139">
        <f t="shared" si="30"/>
        <v>0</v>
      </c>
      <c r="N108" s="139">
        <f>'Adjust Depr Table 3'!Q129</f>
        <v>10465.684210526315</v>
      </c>
      <c r="O108" s="139">
        <f t="shared" si="29"/>
        <v>10465.684210526315</v>
      </c>
      <c r="P108" s="242"/>
      <c r="Q108" s="242"/>
    </row>
    <row r="109" spans="1:17" s="19" customFormat="1">
      <c r="A109" s="64"/>
      <c r="B109" s="70" t="s">
        <v>92</v>
      </c>
      <c r="C109" s="75">
        <v>1162203.57</v>
      </c>
      <c r="D109" s="76">
        <v>0</v>
      </c>
      <c r="E109" s="77">
        <v>31781</v>
      </c>
      <c r="F109" s="216">
        <f t="shared" si="26"/>
        <v>31728.157461000003</v>
      </c>
      <c r="G109" s="74">
        <v>2.73</v>
      </c>
      <c r="H109" s="63">
        <f t="shared" si="27"/>
        <v>0</v>
      </c>
      <c r="I109" s="63">
        <f t="shared" si="28"/>
        <v>31781</v>
      </c>
      <c r="K109" s="138">
        <f>ROUND('Adjust Depr Table 3'!S130,2)</f>
        <v>1.99</v>
      </c>
      <c r="L109" s="143"/>
      <c r="M109" s="140">
        <f t="shared" si="30"/>
        <v>0</v>
      </c>
      <c r="N109" s="140">
        <f>'Adjust Depr Table 3'!Q130</f>
        <v>23179.285714285714</v>
      </c>
      <c r="O109" s="140">
        <f t="shared" si="29"/>
        <v>23179.285714285714</v>
      </c>
      <c r="P109" s="242"/>
      <c r="Q109" s="242"/>
    </row>
    <row r="110" spans="1:17" s="19" customFormat="1">
      <c r="A110" s="64"/>
      <c r="B110" s="78" t="s">
        <v>98</v>
      </c>
      <c r="C110" s="71">
        <f>SUM(C102:C109)</f>
        <v>20033575.25</v>
      </c>
      <c r="D110" s="72">
        <f>SUM(D102:D109)</f>
        <v>0</v>
      </c>
      <c r="E110" s="72">
        <f>SUM(E102:E109)</f>
        <v>486903</v>
      </c>
      <c r="F110" s="221">
        <f>SUM(F102:F109)</f>
        <v>486187.917892</v>
      </c>
      <c r="G110" s="74">
        <f>+ROUND(E110/C110*100,2)</f>
        <v>2.4300000000000002</v>
      </c>
      <c r="H110" s="72">
        <f>SUM(H102:H109)</f>
        <v>0</v>
      </c>
      <c r="I110" s="72">
        <f>SUM(I102:I109)</f>
        <v>486903</v>
      </c>
      <c r="K110" s="138"/>
      <c r="L110" s="143"/>
      <c r="M110" s="145">
        <f>SUM(M102:M109)</f>
        <v>0</v>
      </c>
      <c r="N110" s="145">
        <f>SUM(N102:N109)</f>
        <v>349271.8630110221</v>
      </c>
      <c r="O110" s="145">
        <f>SUM(O102:O109)</f>
        <v>349271.8630110221</v>
      </c>
      <c r="P110" s="242"/>
      <c r="Q110" s="242"/>
    </row>
    <row r="111" spans="1:17" s="19" customFormat="1">
      <c r="A111" s="64">
        <v>343</v>
      </c>
      <c r="B111" s="65" t="s">
        <v>99</v>
      </c>
      <c r="C111" s="65"/>
      <c r="D111" s="66"/>
      <c r="E111" s="67"/>
      <c r="F111" s="219"/>
      <c r="G111" s="68"/>
      <c r="H111" s="69"/>
      <c r="I111" s="69"/>
      <c r="K111" s="142"/>
      <c r="L111" s="143"/>
      <c r="M111" s="144"/>
      <c r="N111" s="144"/>
      <c r="O111" s="144"/>
      <c r="P111" s="242"/>
      <c r="Q111" s="242"/>
    </row>
    <row r="112" spans="1:17" s="19" customFormat="1">
      <c r="A112" s="64"/>
      <c r="B112" s="70" t="s">
        <v>77</v>
      </c>
      <c r="C112" s="71">
        <v>21662783.59</v>
      </c>
      <c r="D112" s="72">
        <v>0</v>
      </c>
      <c r="E112" s="73">
        <v>484417</v>
      </c>
      <c r="F112" s="218">
        <f t="shared" ref="F112:F130" si="31">C112*G112/100</f>
        <v>485246.3524160001</v>
      </c>
      <c r="G112" s="74">
        <v>2.2400000000000002</v>
      </c>
      <c r="H112" s="59">
        <f t="shared" ref="H112:H130" si="32">ROUND(D112*(G112/100),0)</f>
        <v>0</v>
      </c>
      <c r="I112" s="59">
        <f t="shared" ref="I112:I130" si="33">E112-H112</f>
        <v>484417</v>
      </c>
      <c r="K112" s="138">
        <f>ROUND('Adjust Depr Table 3'!S135,2)</f>
        <v>1.57</v>
      </c>
      <c r="L112" s="143"/>
      <c r="M112" s="139">
        <f>ROUND(D112*(K112/100),0)</f>
        <v>0</v>
      </c>
      <c r="N112" s="139">
        <f>'Adjust Depr Table 3'!Q135</f>
        <v>340006.77777777775</v>
      </c>
      <c r="O112" s="139">
        <f t="shared" ref="O112:O130" si="34">N112-M112</f>
        <v>340006.77777777775</v>
      </c>
      <c r="P112" s="242"/>
      <c r="Q112" s="242"/>
    </row>
    <row r="113" spans="1:17" s="19" customFormat="1">
      <c r="A113" s="64"/>
      <c r="B113" s="70" t="s">
        <v>78</v>
      </c>
      <c r="C113" s="71">
        <v>18938769.399999999</v>
      </c>
      <c r="D113" s="72">
        <v>0</v>
      </c>
      <c r="E113" s="73">
        <v>640798</v>
      </c>
      <c r="F113" s="218">
        <f t="shared" si="31"/>
        <v>640130.40571999992</v>
      </c>
      <c r="G113" s="74">
        <v>3.38</v>
      </c>
      <c r="H113" s="59">
        <f t="shared" si="32"/>
        <v>0</v>
      </c>
      <c r="I113" s="59">
        <f t="shared" si="33"/>
        <v>640798</v>
      </c>
      <c r="K113" s="138">
        <f>ROUND('Adjust Depr Table 3'!S136,2)</f>
        <v>1.72</v>
      </c>
      <c r="L113" s="143"/>
      <c r="M113" s="139">
        <f t="shared" ref="M113:M130" si="35">ROUND(D113*(K113/100),0)</f>
        <v>0</v>
      </c>
      <c r="N113" s="139">
        <f>'Adjust Depr Table 3'!Q136</f>
        <v>324955</v>
      </c>
      <c r="O113" s="139">
        <f t="shared" si="34"/>
        <v>324955</v>
      </c>
      <c r="P113" s="242"/>
      <c r="Q113" s="242"/>
    </row>
    <row r="114" spans="1:17" s="19" customFormat="1">
      <c r="A114" s="64"/>
      <c r="B114" s="70" t="s">
        <v>79</v>
      </c>
      <c r="C114" s="71">
        <v>17021561.969999999</v>
      </c>
      <c r="D114" s="72">
        <v>0</v>
      </c>
      <c r="E114" s="73">
        <v>546139</v>
      </c>
      <c r="F114" s="218">
        <f t="shared" si="31"/>
        <v>546392.13923700002</v>
      </c>
      <c r="G114" s="74">
        <v>3.21</v>
      </c>
      <c r="H114" s="59">
        <f t="shared" si="32"/>
        <v>0</v>
      </c>
      <c r="I114" s="59">
        <f t="shared" si="33"/>
        <v>546139</v>
      </c>
      <c r="K114" s="138">
        <f>ROUND('Adjust Depr Table 3'!S137,2)</f>
        <v>1.61</v>
      </c>
      <c r="L114" s="143"/>
      <c r="M114" s="139">
        <f t="shared" si="35"/>
        <v>0</v>
      </c>
      <c r="N114" s="139">
        <f>'Adjust Depr Table 3'!Q137</f>
        <v>274525.28000000003</v>
      </c>
      <c r="O114" s="139">
        <f t="shared" si="34"/>
        <v>274525.28000000003</v>
      </c>
      <c r="P114" s="242"/>
      <c r="Q114" s="242"/>
    </row>
    <row r="115" spans="1:17" s="19" customFormat="1">
      <c r="A115" s="64"/>
      <c r="B115" s="70" t="s">
        <v>80</v>
      </c>
      <c r="C115" s="71">
        <v>17950085.800000001</v>
      </c>
      <c r="D115" s="72">
        <v>0</v>
      </c>
      <c r="E115" s="73">
        <v>580819</v>
      </c>
      <c r="F115" s="218">
        <f t="shared" si="31"/>
        <v>581582.77992000012</v>
      </c>
      <c r="G115" s="74">
        <v>3.24</v>
      </c>
      <c r="H115" s="59">
        <f t="shared" si="32"/>
        <v>0</v>
      </c>
      <c r="I115" s="59">
        <f t="shared" si="33"/>
        <v>580819</v>
      </c>
      <c r="K115" s="138">
        <f>ROUND('Adjust Depr Table 3'!S138,2)</f>
        <v>1.63</v>
      </c>
      <c r="L115" s="143"/>
      <c r="M115" s="139">
        <f t="shared" si="35"/>
        <v>0</v>
      </c>
      <c r="N115" s="139">
        <f>'Adjust Depr Table 3'!Q138</f>
        <v>292196.76</v>
      </c>
      <c r="O115" s="139">
        <f t="shared" si="34"/>
        <v>292196.76</v>
      </c>
      <c r="P115" s="242"/>
      <c r="Q115" s="242"/>
    </row>
    <row r="116" spans="1:17" s="19" customFormat="1">
      <c r="A116" s="64"/>
      <c r="B116" s="70" t="s">
        <v>81</v>
      </c>
      <c r="C116" s="71">
        <v>25858484.41</v>
      </c>
      <c r="D116" s="72">
        <v>0</v>
      </c>
      <c r="E116" s="73">
        <v>738852</v>
      </c>
      <c r="F116" s="218">
        <f t="shared" si="31"/>
        <v>739552.65412600001</v>
      </c>
      <c r="G116" s="74">
        <v>2.86</v>
      </c>
      <c r="H116" s="59">
        <f t="shared" si="32"/>
        <v>0</v>
      </c>
      <c r="I116" s="59">
        <f t="shared" si="33"/>
        <v>738852</v>
      </c>
      <c r="K116" s="138">
        <f>ROUND('Adjust Depr Table 3'!S139,2)</f>
        <v>1.97</v>
      </c>
      <c r="L116" s="143"/>
      <c r="M116" s="139">
        <f t="shared" si="35"/>
        <v>0</v>
      </c>
      <c r="N116" s="139">
        <f>'Adjust Depr Table 3'!Q139</f>
        <v>508164.14814814815</v>
      </c>
      <c r="O116" s="139">
        <f t="shared" si="34"/>
        <v>508164.14814814815</v>
      </c>
      <c r="P116" s="242"/>
      <c r="Q116" s="242"/>
    </row>
    <row r="117" spans="1:17" s="19" customFormat="1">
      <c r="A117" s="64"/>
      <c r="B117" s="70" t="s">
        <v>82</v>
      </c>
      <c r="C117" s="71">
        <v>21295538.73</v>
      </c>
      <c r="D117" s="72">
        <v>0</v>
      </c>
      <c r="E117" s="73">
        <v>603663</v>
      </c>
      <c r="F117" s="218">
        <f t="shared" si="31"/>
        <v>602663.74605900003</v>
      </c>
      <c r="G117" s="74">
        <v>2.83</v>
      </c>
      <c r="H117" s="59">
        <f t="shared" si="32"/>
        <v>0</v>
      </c>
      <c r="I117" s="59">
        <f t="shared" si="33"/>
        <v>603663</v>
      </c>
      <c r="K117" s="138">
        <f>ROUND('Adjust Depr Table 3'!S140,2)</f>
        <v>1.94</v>
      </c>
      <c r="L117" s="143"/>
      <c r="M117" s="139">
        <f t="shared" si="35"/>
        <v>0</v>
      </c>
      <c r="N117" s="139">
        <f>'Adjust Depr Table 3'!Q140</f>
        <v>413699.51851851854</v>
      </c>
      <c r="O117" s="139">
        <f t="shared" si="34"/>
        <v>413699.51851851854</v>
      </c>
      <c r="P117" s="242"/>
      <c r="Q117" s="242"/>
    </row>
    <row r="118" spans="1:17" s="19" customFormat="1">
      <c r="A118" s="64"/>
      <c r="B118" s="70" t="s">
        <v>83</v>
      </c>
      <c r="C118" s="71">
        <v>17001567.77</v>
      </c>
      <c r="D118" s="72">
        <v>0</v>
      </c>
      <c r="E118" s="73">
        <v>486319</v>
      </c>
      <c r="F118" s="218">
        <f t="shared" si="31"/>
        <v>486244.83822199999</v>
      </c>
      <c r="G118" s="74">
        <v>2.86</v>
      </c>
      <c r="H118" s="59">
        <f t="shared" si="32"/>
        <v>0</v>
      </c>
      <c r="I118" s="59">
        <f t="shared" si="33"/>
        <v>486319</v>
      </c>
      <c r="K118" s="138">
        <f>ROUND('Adjust Depr Table 3'!S141,2)</f>
        <v>2.06</v>
      </c>
      <c r="L118" s="143"/>
      <c r="M118" s="139">
        <f t="shared" si="35"/>
        <v>0</v>
      </c>
      <c r="N118" s="139">
        <f>'Adjust Depr Table 3'!Q141</f>
        <v>350161.58064516127</v>
      </c>
      <c r="O118" s="139">
        <f t="shared" si="34"/>
        <v>350161.58064516127</v>
      </c>
      <c r="P118" s="242"/>
      <c r="Q118" s="242"/>
    </row>
    <row r="119" spans="1:17" s="19" customFormat="1">
      <c r="A119" s="64"/>
      <c r="B119" s="70" t="s">
        <v>84</v>
      </c>
      <c r="C119" s="71">
        <v>16754183.57</v>
      </c>
      <c r="D119" s="72">
        <v>0</v>
      </c>
      <c r="E119" s="73">
        <v>478999</v>
      </c>
      <c r="F119" s="218">
        <f t="shared" si="31"/>
        <v>479169.65010199999</v>
      </c>
      <c r="G119" s="74">
        <v>2.86</v>
      </c>
      <c r="H119" s="59">
        <f t="shared" si="32"/>
        <v>0</v>
      </c>
      <c r="I119" s="59">
        <f t="shared" si="33"/>
        <v>478999</v>
      </c>
      <c r="K119" s="138">
        <f>ROUND('Adjust Depr Table 3'!S142,2)</f>
        <v>2.06</v>
      </c>
      <c r="L119" s="143"/>
      <c r="M119" s="139">
        <f t="shared" si="35"/>
        <v>0</v>
      </c>
      <c r="N119" s="139">
        <f>'Adjust Depr Table 3'!Q142</f>
        <v>344841.61290322582</v>
      </c>
      <c r="O119" s="139">
        <f t="shared" si="34"/>
        <v>344841.61290322582</v>
      </c>
      <c r="P119" s="242"/>
      <c r="Q119" s="242"/>
    </row>
    <row r="120" spans="1:17" s="19" customFormat="1">
      <c r="A120" s="64"/>
      <c r="B120" s="70" t="s">
        <v>85</v>
      </c>
      <c r="C120" s="71">
        <v>57736570.219999999</v>
      </c>
      <c r="D120" s="72">
        <v>0</v>
      </c>
      <c r="E120" s="73">
        <v>1723649</v>
      </c>
      <c r="F120" s="218">
        <f t="shared" si="31"/>
        <v>1726323.449578</v>
      </c>
      <c r="G120" s="74">
        <v>2.99</v>
      </c>
      <c r="H120" s="59">
        <f t="shared" si="32"/>
        <v>0</v>
      </c>
      <c r="I120" s="59">
        <f t="shared" si="33"/>
        <v>1723649</v>
      </c>
      <c r="K120" s="138">
        <f>ROUND('Adjust Depr Table 3'!S143,2)</f>
        <v>2.25</v>
      </c>
      <c r="L120" s="143"/>
      <c r="M120" s="139">
        <f t="shared" si="35"/>
        <v>0</v>
      </c>
      <c r="N120" s="139">
        <f>'Adjust Depr Table 3'!Q143</f>
        <v>1298961.2222222222</v>
      </c>
      <c r="O120" s="139">
        <f t="shared" si="34"/>
        <v>1298961.2222222222</v>
      </c>
      <c r="P120" s="242"/>
      <c r="Q120" s="242"/>
    </row>
    <row r="121" spans="1:17" s="19" customFormat="1">
      <c r="A121" s="64"/>
      <c r="B121" s="70" t="s">
        <v>86</v>
      </c>
      <c r="C121" s="71">
        <v>55010982.469999999</v>
      </c>
      <c r="D121" s="72">
        <v>0</v>
      </c>
      <c r="E121" s="73">
        <v>1517307</v>
      </c>
      <c r="F121" s="218">
        <f t="shared" si="31"/>
        <v>1518303.1161719998</v>
      </c>
      <c r="G121" s="74">
        <v>2.76</v>
      </c>
      <c r="H121" s="59">
        <f t="shared" si="32"/>
        <v>0</v>
      </c>
      <c r="I121" s="59">
        <f t="shared" si="33"/>
        <v>1517307</v>
      </c>
      <c r="K121" s="138">
        <f>ROUND('Adjust Depr Table 3'!S144,2)</f>
        <v>2.0699999999999998</v>
      </c>
      <c r="L121" s="143"/>
      <c r="M121" s="139">
        <f t="shared" si="35"/>
        <v>0</v>
      </c>
      <c r="N121" s="139">
        <f>'Adjust Depr Table 3'!Q144</f>
        <v>1138677.75</v>
      </c>
      <c r="O121" s="139">
        <f t="shared" si="34"/>
        <v>1138677.75</v>
      </c>
      <c r="P121" s="242"/>
      <c r="Q121" s="242"/>
    </row>
    <row r="122" spans="1:17" s="19" customFormat="1">
      <c r="A122" s="64"/>
      <c r="B122" s="70" t="s">
        <v>87</v>
      </c>
      <c r="C122" s="71">
        <v>354070.8</v>
      </c>
      <c r="D122" s="72">
        <v>0</v>
      </c>
      <c r="E122" s="73">
        <v>12366</v>
      </c>
      <c r="F122" s="218">
        <f t="shared" si="31"/>
        <v>12357.07092</v>
      </c>
      <c r="G122" s="74">
        <v>3.49</v>
      </c>
      <c r="H122" s="59">
        <f t="shared" si="32"/>
        <v>0</v>
      </c>
      <c r="I122" s="59">
        <f t="shared" si="33"/>
        <v>12366</v>
      </c>
      <c r="K122" s="138">
        <f>ROUND('Adjust Depr Table 3'!S145,2)</f>
        <v>3.15</v>
      </c>
      <c r="L122" s="143"/>
      <c r="M122" s="139">
        <f t="shared" si="35"/>
        <v>0</v>
      </c>
      <c r="N122" s="139">
        <f>'Adjust Depr Table 3'!Q145</f>
        <v>11166.315789473685</v>
      </c>
      <c r="O122" s="139">
        <f t="shared" si="34"/>
        <v>11166.315789473685</v>
      </c>
      <c r="P122" s="242"/>
      <c r="Q122" s="242"/>
    </row>
    <row r="123" spans="1:17" s="19" customFormat="1">
      <c r="A123" s="64"/>
      <c r="B123" s="70" t="s">
        <v>88</v>
      </c>
      <c r="C123" s="71">
        <v>300785.96999999997</v>
      </c>
      <c r="D123" s="72">
        <v>0</v>
      </c>
      <c r="E123" s="73">
        <v>9921</v>
      </c>
      <c r="F123" s="218">
        <f t="shared" si="31"/>
        <v>9925.9370099999996</v>
      </c>
      <c r="G123" s="74">
        <v>3.3</v>
      </c>
      <c r="H123" s="59">
        <f t="shared" si="32"/>
        <v>0</v>
      </c>
      <c r="I123" s="59">
        <f t="shared" si="33"/>
        <v>9921</v>
      </c>
      <c r="K123" s="138">
        <f>ROUND('Adjust Depr Table 3'!S146,2)</f>
        <v>2.95</v>
      </c>
      <c r="L123" s="143"/>
      <c r="M123" s="139">
        <f t="shared" si="35"/>
        <v>0</v>
      </c>
      <c r="N123" s="139">
        <f>'Adjust Depr Table 3'!Q146</f>
        <v>8873.4736842105267</v>
      </c>
      <c r="O123" s="139">
        <f t="shared" si="34"/>
        <v>8873.4736842105267</v>
      </c>
      <c r="P123" s="242"/>
      <c r="Q123" s="242"/>
    </row>
    <row r="124" spans="1:17" s="19" customFormat="1">
      <c r="A124" s="64"/>
      <c r="B124" s="70" t="s">
        <v>89</v>
      </c>
      <c r="C124" s="71">
        <v>388128.81</v>
      </c>
      <c r="D124" s="72">
        <v>0</v>
      </c>
      <c r="E124" s="73">
        <v>13819</v>
      </c>
      <c r="F124" s="218">
        <f t="shared" si="31"/>
        <v>13817.385635999999</v>
      </c>
      <c r="G124" s="74">
        <v>3.56</v>
      </c>
      <c r="H124" s="59">
        <f t="shared" si="32"/>
        <v>0</v>
      </c>
      <c r="I124" s="59">
        <f t="shared" si="33"/>
        <v>13819</v>
      </c>
      <c r="K124" s="138">
        <f>ROUND('Adjust Depr Table 3'!S147,2)</f>
        <v>3.23</v>
      </c>
      <c r="L124" s="143"/>
      <c r="M124" s="139">
        <f t="shared" si="35"/>
        <v>0</v>
      </c>
      <c r="N124" s="139">
        <f>'Adjust Depr Table 3'!Q147</f>
        <v>12517.842105263158</v>
      </c>
      <c r="O124" s="139">
        <f t="shared" si="34"/>
        <v>12517.842105263158</v>
      </c>
      <c r="P124" s="242"/>
      <c r="Q124" s="242"/>
    </row>
    <row r="125" spans="1:17" s="19" customFormat="1">
      <c r="A125" s="64"/>
      <c r="B125" s="70" t="s">
        <v>90</v>
      </c>
      <c r="C125" s="71">
        <v>201654.6</v>
      </c>
      <c r="D125" s="72">
        <v>0</v>
      </c>
      <c r="E125" s="73">
        <v>6494</v>
      </c>
      <c r="F125" s="218">
        <f t="shared" si="31"/>
        <v>6493.2781199999999</v>
      </c>
      <c r="G125" s="74">
        <v>3.22</v>
      </c>
      <c r="H125" s="59">
        <f t="shared" si="32"/>
        <v>0</v>
      </c>
      <c r="I125" s="59">
        <f t="shared" si="33"/>
        <v>6494</v>
      </c>
      <c r="K125" s="138">
        <f>ROUND('Adjust Depr Table 3'!S148,2)</f>
        <v>2.9</v>
      </c>
      <c r="L125" s="143"/>
      <c r="M125" s="139">
        <f t="shared" si="35"/>
        <v>0</v>
      </c>
      <c r="N125" s="139">
        <f>'Adjust Depr Table 3'!Q148</f>
        <v>5856</v>
      </c>
      <c r="O125" s="139">
        <f t="shared" si="34"/>
        <v>5856</v>
      </c>
      <c r="P125" s="242"/>
      <c r="Q125" s="242"/>
    </row>
    <row r="126" spans="1:17" s="19" customFormat="1">
      <c r="A126" s="64"/>
      <c r="B126" s="70" t="s">
        <v>91</v>
      </c>
      <c r="C126" s="71">
        <v>275099.08</v>
      </c>
      <c r="D126" s="72">
        <v>0</v>
      </c>
      <c r="E126" s="73">
        <v>8799</v>
      </c>
      <c r="F126" s="218">
        <f t="shared" si="31"/>
        <v>8803.1705600000005</v>
      </c>
      <c r="G126" s="74">
        <v>3.2</v>
      </c>
      <c r="H126" s="59">
        <f t="shared" si="32"/>
        <v>0</v>
      </c>
      <c r="I126" s="59">
        <f t="shared" si="33"/>
        <v>8799</v>
      </c>
      <c r="K126" s="138">
        <f>ROUND('Adjust Depr Table 3'!S149,2)</f>
        <v>2.89</v>
      </c>
      <c r="L126" s="143"/>
      <c r="M126" s="139">
        <f t="shared" si="35"/>
        <v>0</v>
      </c>
      <c r="N126" s="139">
        <f>'Adjust Depr Table 3'!Q149</f>
        <v>7959.391304347826</v>
      </c>
      <c r="O126" s="139">
        <f t="shared" si="34"/>
        <v>7959.391304347826</v>
      </c>
      <c r="P126" s="242"/>
      <c r="Q126" s="242"/>
    </row>
    <row r="127" spans="1:17" s="19" customFormat="1">
      <c r="A127" s="64"/>
      <c r="B127" s="70" t="s">
        <v>92</v>
      </c>
      <c r="C127" s="71">
        <v>2407952.29</v>
      </c>
      <c r="D127" s="72">
        <v>0</v>
      </c>
      <c r="E127" s="73">
        <v>87964</v>
      </c>
      <c r="F127" s="218">
        <f t="shared" si="31"/>
        <v>87890.258585000003</v>
      </c>
      <c r="G127" s="74">
        <v>3.65</v>
      </c>
      <c r="H127" s="59">
        <f t="shared" si="32"/>
        <v>0</v>
      </c>
      <c r="I127" s="59">
        <f t="shared" si="33"/>
        <v>87964</v>
      </c>
      <c r="K127" s="138">
        <f>ROUND('Adjust Depr Table 3'!S150,2)</f>
        <v>2.71</v>
      </c>
      <c r="L127" s="143"/>
      <c r="M127" s="139">
        <f t="shared" si="35"/>
        <v>0</v>
      </c>
      <c r="N127" s="139">
        <f>'Adjust Depr Table 3'!Q150</f>
        <v>65191.535714285717</v>
      </c>
      <c r="O127" s="139">
        <f t="shared" si="34"/>
        <v>65191.535714285717</v>
      </c>
      <c r="P127" s="242"/>
      <c r="Q127" s="242"/>
    </row>
    <row r="128" spans="1:17" s="19" customFormat="1">
      <c r="A128" s="64"/>
      <c r="B128" s="70" t="s">
        <v>93</v>
      </c>
      <c r="C128" s="71">
        <v>46724956.780000001</v>
      </c>
      <c r="D128" s="72">
        <v>0</v>
      </c>
      <c r="E128" s="73">
        <v>1226069</v>
      </c>
      <c r="F128" s="218">
        <f t="shared" si="31"/>
        <v>1224193.867636</v>
      </c>
      <c r="G128" s="74">
        <v>2.62</v>
      </c>
      <c r="H128" s="59">
        <f t="shared" si="32"/>
        <v>0</v>
      </c>
      <c r="I128" s="59">
        <f t="shared" si="33"/>
        <v>1226069</v>
      </c>
      <c r="K128" s="138">
        <f>ROUND('Adjust Depr Table 3'!S151,2)</f>
        <v>1.89</v>
      </c>
      <c r="L128" s="143"/>
      <c r="M128" s="139">
        <f t="shared" si="35"/>
        <v>0</v>
      </c>
      <c r="N128" s="139">
        <f>'Adjust Depr Table 3'!Q151</f>
        <v>880785.17857142852</v>
      </c>
      <c r="O128" s="139">
        <f t="shared" si="34"/>
        <v>880785.17857142852</v>
      </c>
      <c r="P128" s="242"/>
      <c r="Q128" s="242"/>
    </row>
    <row r="129" spans="1:17" s="19" customFormat="1">
      <c r="A129" s="64"/>
      <c r="B129" s="70" t="s">
        <v>94</v>
      </c>
      <c r="C129" s="71">
        <v>45508646.350000001</v>
      </c>
      <c r="D129" s="72">
        <v>0</v>
      </c>
      <c r="E129" s="73">
        <v>1216747</v>
      </c>
      <c r="F129" s="218">
        <f t="shared" si="31"/>
        <v>1215080.857545</v>
      </c>
      <c r="G129" s="74">
        <v>2.67</v>
      </c>
      <c r="H129" s="59">
        <f t="shared" si="32"/>
        <v>0</v>
      </c>
      <c r="I129" s="59">
        <f t="shared" si="33"/>
        <v>1216747</v>
      </c>
      <c r="K129" s="138">
        <f>ROUND('Adjust Depr Table 3'!S152,2)</f>
        <v>1.92</v>
      </c>
      <c r="L129" s="143"/>
      <c r="M129" s="139">
        <f t="shared" si="35"/>
        <v>0</v>
      </c>
      <c r="N129" s="139">
        <f>'Adjust Depr Table 3'!Q152</f>
        <v>875790.92857142852</v>
      </c>
      <c r="O129" s="139">
        <f t="shared" si="34"/>
        <v>875790.92857142852</v>
      </c>
      <c r="P129" s="242"/>
      <c r="Q129" s="242"/>
    </row>
    <row r="130" spans="1:17" s="19" customFormat="1">
      <c r="A130" s="64"/>
      <c r="B130" s="70" t="s">
        <v>95</v>
      </c>
      <c r="C130" s="75">
        <v>41213903.719999999</v>
      </c>
      <c r="D130" s="76">
        <v>0</v>
      </c>
      <c r="E130" s="77">
        <v>1081589</v>
      </c>
      <c r="F130" s="216">
        <f t="shared" si="31"/>
        <v>1079804.277464</v>
      </c>
      <c r="G130" s="74">
        <v>2.62</v>
      </c>
      <c r="H130" s="63">
        <f t="shared" si="32"/>
        <v>0</v>
      </c>
      <c r="I130" s="63">
        <f t="shared" si="33"/>
        <v>1081589</v>
      </c>
      <c r="K130" s="138">
        <f>ROUND('Adjust Depr Table 3'!S153,2)</f>
        <v>1.89</v>
      </c>
      <c r="L130" s="143"/>
      <c r="M130" s="140">
        <f t="shared" si="35"/>
        <v>0</v>
      </c>
      <c r="N130" s="140">
        <f>'Adjust Depr Table 3'!Q153</f>
        <v>777003.17857142852</v>
      </c>
      <c r="O130" s="140">
        <f t="shared" si="34"/>
        <v>777003.17857142852</v>
      </c>
      <c r="P130" s="242"/>
      <c r="Q130" s="242"/>
    </row>
    <row r="131" spans="1:17" s="19" customFormat="1">
      <c r="A131" s="64"/>
      <c r="B131" s="78" t="s">
        <v>100</v>
      </c>
      <c r="C131" s="71">
        <f>SUM(C112:C130)</f>
        <v>406605726.33000004</v>
      </c>
      <c r="D131" s="72">
        <f>SUM(D112:D130)</f>
        <v>0</v>
      </c>
      <c r="E131" s="72">
        <f>SUM(E112:E130)</f>
        <v>11464730</v>
      </c>
      <c r="F131" s="221">
        <f>SUM(F112:F130)</f>
        <v>11463975.235028002</v>
      </c>
      <c r="G131" s="74">
        <f>+ROUND(E131/C131*100,2)</f>
        <v>2.82</v>
      </c>
      <c r="H131" s="72">
        <f>SUM(H112:H130)</f>
        <v>0</v>
      </c>
      <c r="I131" s="72">
        <f>SUM(I112:I130)</f>
        <v>11464730</v>
      </c>
      <c r="K131" s="138"/>
      <c r="L131" s="143"/>
      <c r="M131" s="145">
        <f>SUM(M112:M130)</f>
        <v>0</v>
      </c>
      <c r="N131" s="145">
        <f>SUM(N112:N130)</f>
        <v>7931333.494526918</v>
      </c>
      <c r="O131" s="145">
        <f>SUM(O112:O130)</f>
        <v>7931333.494526918</v>
      </c>
      <c r="P131" s="242"/>
      <c r="Q131" s="242"/>
    </row>
    <row r="132" spans="1:17" s="19" customFormat="1">
      <c r="A132" s="64">
        <v>344</v>
      </c>
      <c r="B132" s="65" t="s">
        <v>101</v>
      </c>
      <c r="C132" s="65"/>
      <c r="D132" s="66"/>
      <c r="E132" s="67"/>
      <c r="F132" s="219"/>
      <c r="G132" s="68"/>
      <c r="H132" s="69"/>
      <c r="I132" s="69"/>
      <c r="K132" s="142"/>
      <c r="L132" s="143"/>
      <c r="M132" s="144"/>
      <c r="N132" s="144"/>
      <c r="O132" s="144"/>
      <c r="P132" s="242"/>
      <c r="Q132" s="242"/>
    </row>
    <row r="133" spans="1:17" s="19" customFormat="1">
      <c r="A133" s="64"/>
      <c r="B133" s="70" t="s">
        <v>77</v>
      </c>
      <c r="C133" s="71">
        <v>385287.95</v>
      </c>
      <c r="D133" s="72">
        <v>0</v>
      </c>
      <c r="E133" s="73">
        <v>10596</v>
      </c>
      <c r="F133" s="218">
        <f t="shared" ref="F133:F153" si="36">C133*G133/100</f>
        <v>10595.418625</v>
      </c>
      <c r="G133" s="74">
        <v>2.75</v>
      </c>
      <c r="H133" s="59">
        <f t="shared" ref="H133:H153" si="37">ROUND(D133*(G133/100),0)</f>
        <v>0</v>
      </c>
      <c r="I133" s="59">
        <f t="shared" ref="I133:I153" si="38">E133-H133</f>
        <v>10596</v>
      </c>
      <c r="K133" s="138">
        <f>ROUND('Adjust Depr Table 3'!S158,2)</f>
        <v>2.0499999999999998</v>
      </c>
      <c r="L133" s="143"/>
      <c r="M133" s="139">
        <f>ROUND(D133*(K133/100),0)</f>
        <v>0</v>
      </c>
      <c r="N133" s="139">
        <f>'Adjust Depr Table 3'!Q158</f>
        <v>7901.333333333333</v>
      </c>
      <c r="O133" s="139">
        <f t="shared" ref="O133:O153" si="39">N133-M133</f>
        <v>7901.333333333333</v>
      </c>
      <c r="P133" s="242"/>
      <c r="Q133" s="242"/>
    </row>
    <row r="134" spans="1:17" s="19" customFormat="1">
      <c r="A134" s="64"/>
      <c r="B134" s="70" t="s">
        <v>78</v>
      </c>
      <c r="C134" s="71">
        <v>5409806.3600000003</v>
      </c>
      <c r="D134" s="72">
        <v>0</v>
      </c>
      <c r="E134" s="73">
        <v>180024</v>
      </c>
      <c r="F134" s="218">
        <f t="shared" si="36"/>
        <v>180146.55178800001</v>
      </c>
      <c r="G134" s="74">
        <v>3.33</v>
      </c>
      <c r="H134" s="59">
        <f t="shared" si="37"/>
        <v>0</v>
      </c>
      <c r="I134" s="59">
        <f t="shared" si="38"/>
        <v>180024</v>
      </c>
      <c r="K134" s="138">
        <f>ROUND('Adjust Depr Table 3'!S159,2)</f>
        <v>1.67</v>
      </c>
      <c r="L134" s="143"/>
      <c r="M134" s="139">
        <f t="shared" ref="M134:M153" si="40">ROUND(D134*(K134/100),0)</f>
        <v>0</v>
      </c>
      <c r="N134" s="139">
        <f>'Adjust Depr Table 3'!Q159</f>
        <v>90428.160000000003</v>
      </c>
      <c r="O134" s="139">
        <f t="shared" si="39"/>
        <v>90428.160000000003</v>
      </c>
      <c r="P134" s="242"/>
      <c r="Q134" s="242"/>
    </row>
    <row r="135" spans="1:17" s="19" customFormat="1">
      <c r="A135" s="64"/>
      <c r="B135" s="70" t="s">
        <v>79</v>
      </c>
      <c r="C135" s="71">
        <v>5315973.93</v>
      </c>
      <c r="D135" s="72">
        <v>0</v>
      </c>
      <c r="E135" s="73">
        <v>175512</v>
      </c>
      <c r="F135" s="218">
        <f t="shared" si="36"/>
        <v>175427.13968999998</v>
      </c>
      <c r="G135" s="74">
        <v>3.3</v>
      </c>
      <c r="H135" s="59">
        <f t="shared" si="37"/>
        <v>0</v>
      </c>
      <c r="I135" s="59">
        <f t="shared" si="38"/>
        <v>175512</v>
      </c>
      <c r="K135" s="138">
        <f>ROUND('Adjust Depr Table 3'!S160,2)</f>
        <v>1.66</v>
      </c>
      <c r="L135" s="143"/>
      <c r="M135" s="139">
        <f t="shared" si="40"/>
        <v>0</v>
      </c>
      <c r="N135" s="139">
        <f>'Adjust Depr Table 3'!Q160</f>
        <v>88214.04</v>
      </c>
      <c r="O135" s="139">
        <f t="shared" si="39"/>
        <v>88214.04</v>
      </c>
      <c r="P135" s="242"/>
      <c r="Q135" s="242"/>
    </row>
    <row r="136" spans="1:17" s="19" customFormat="1">
      <c r="A136" s="64"/>
      <c r="B136" s="70" t="s">
        <v>80</v>
      </c>
      <c r="C136" s="71">
        <v>5368828.4000000004</v>
      </c>
      <c r="D136" s="72">
        <v>0</v>
      </c>
      <c r="E136" s="73">
        <v>180444</v>
      </c>
      <c r="F136" s="218">
        <f t="shared" si="36"/>
        <v>180392.63424000001</v>
      </c>
      <c r="G136" s="74">
        <v>3.36</v>
      </c>
      <c r="H136" s="59">
        <f t="shared" si="37"/>
        <v>0</v>
      </c>
      <c r="I136" s="59">
        <f t="shared" si="38"/>
        <v>180444</v>
      </c>
      <c r="K136" s="138">
        <f>ROUND('Adjust Depr Table 3'!S161,2)</f>
        <v>1.69</v>
      </c>
      <c r="L136" s="143"/>
      <c r="M136" s="139">
        <f t="shared" si="40"/>
        <v>0</v>
      </c>
      <c r="N136" s="139">
        <f>'Adjust Depr Table 3'!Q161</f>
        <v>90916.12</v>
      </c>
      <c r="O136" s="139">
        <f t="shared" si="39"/>
        <v>90916.12</v>
      </c>
      <c r="P136" s="242"/>
      <c r="Q136" s="242"/>
    </row>
    <row r="137" spans="1:17" s="19" customFormat="1">
      <c r="A137" s="64"/>
      <c r="B137" s="70" t="s">
        <v>81</v>
      </c>
      <c r="C137" s="71">
        <v>8212342.4100000001</v>
      </c>
      <c r="D137" s="72">
        <v>0</v>
      </c>
      <c r="E137" s="73">
        <v>236372</v>
      </c>
      <c r="F137" s="218">
        <f t="shared" si="36"/>
        <v>236515.461408</v>
      </c>
      <c r="G137" s="74">
        <v>2.88</v>
      </c>
      <c r="H137" s="59">
        <f t="shared" si="37"/>
        <v>0</v>
      </c>
      <c r="I137" s="59">
        <f t="shared" si="38"/>
        <v>236372</v>
      </c>
      <c r="K137" s="138">
        <f>ROUND('Adjust Depr Table 3'!S162,2)</f>
        <v>1.96</v>
      </c>
      <c r="L137" s="143"/>
      <c r="M137" s="139">
        <f t="shared" si="40"/>
        <v>0</v>
      </c>
      <c r="N137" s="139">
        <f>'Adjust Depr Table 3'!Q162</f>
        <v>161079.11111111112</v>
      </c>
      <c r="O137" s="139">
        <f t="shared" si="39"/>
        <v>161079.11111111112</v>
      </c>
      <c r="P137" s="242"/>
      <c r="Q137" s="242"/>
    </row>
    <row r="138" spans="1:17" s="19" customFormat="1">
      <c r="A138" s="64"/>
      <c r="B138" s="70" t="s">
        <v>82</v>
      </c>
      <c r="C138" s="71">
        <v>8155918.4000000004</v>
      </c>
      <c r="D138" s="72">
        <v>0</v>
      </c>
      <c r="E138" s="73">
        <v>234816</v>
      </c>
      <c r="F138" s="218">
        <f t="shared" si="36"/>
        <v>234890.44991999998</v>
      </c>
      <c r="G138" s="74">
        <v>2.88</v>
      </c>
      <c r="H138" s="59">
        <f t="shared" si="37"/>
        <v>0</v>
      </c>
      <c r="I138" s="59">
        <f t="shared" si="38"/>
        <v>234816</v>
      </c>
      <c r="K138" s="138">
        <f>ROUND('Adjust Depr Table 3'!S163,2)</f>
        <v>1.96</v>
      </c>
      <c r="L138" s="143"/>
      <c r="M138" s="139">
        <f t="shared" si="40"/>
        <v>0</v>
      </c>
      <c r="N138" s="139">
        <f>'Adjust Depr Table 3'!Q163</f>
        <v>159932.07407407407</v>
      </c>
      <c r="O138" s="139">
        <f t="shared" si="39"/>
        <v>159932.07407407407</v>
      </c>
      <c r="P138" s="242"/>
      <c r="Q138" s="242"/>
    </row>
    <row r="139" spans="1:17" s="19" customFormat="1">
      <c r="A139" s="64"/>
      <c r="B139" s="70" t="s">
        <v>83</v>
      </c>
      <c r="C139" s="71">
        <v>4831725.68</v>
      </c>
      <c r="D139" s="72">
        <v>0</v>
      </c>
      <c r="E139" s="73">
        <v>136522</v>
      </c>
      <c r="F139" s="218">
        <f t="shared" si="36"/>
        <v>136737.836744</v>
      </c>
      <c r="G139" s="74">
        <v>2.83</v>
      </c>
      <c r="H139" s="59">
        <f t="shared" si="37"/>
        <v>0</v>
      </c>
      <c r="I139" s="59">
        <f t="shared" si="38"/>
        <v>136522</v>
      </c>
      <c r="K139" s="138">
        <f>ROUND('Adjust Depr Table 3'!S164,2)</f>
        <v>2</v>
      </c>
      <c r="L139" s="143"/>
      <c r="M139" s="139">
        <f t="shared" si="40"/>
        <v>0</v>
      </c>
      <c r="N139" s="139">
        <f>'Adjust Depr Table 3'!Q164</f>
        <v>96509.322580645166</v>
      </c>
      <c r="O139" s="139">
        <f t="shared" si="39"/>
        <v>96509.322580645166</v>
      </c>
      <c r="P139" s="242"/>
      <c r="Q139" s="242"/>
    </row>
    <row r="140" spans="1:17" s="19" customFormat="1">
      <c r="A140" s="64"/>
      <c r="B140" s="70" t="s">
        <v>84</v>
      </c>
      <c r="C140" s="71">
        <v>4838938.32</v>
      </c>
      <c r="D140" s="72">
        <v>0</v>
      </c>
      <c r="E140" s="73">
        <v>136727</v>
      </c>
      <c r="F140" s="218">
        <f t="shared" si="36"/>
        <v>136941.95445600001</v>
      </c>
      <c r="G140" s="74">
        <v>2.83</v>
      </c>
      <c r="H140" s="59">
        <f t="shared" si="37"/>
        <v>0</v>
      </c>
      <c r="I140" s="59">
        <f t="shared" si="38"/>
        <v>136727</v>
      </c>
      <c r="K140" s="138">
        <f>ROUND('Adjust Depr Table 3'!S165,2)</f>
        <v>2</v>
      </c>
      <c r="L140" s="143"/>
      <c r="M140" s="139">
        <f t="shared" si="40"/>
        <v>0</v>
      </c>
      <c r="N140" s="139">
        <f>'Adjust Depr Table 3'!Q165</f>
        <v>96654.516129032258</v>
      </c>
      <c r="O140" s="139">
        <f t="shared" si="39"/>
        <v>96654.516129032258</v>
      </c>
      <c r="P140" s="242"/>
      <c r="Q140" s="242"/>
    </row>
    <row r="141" spans="1:17" s="19" customFormat="1">
      <c r="A141" s="64"/>
      <c r="B141" s="70" t="s">
        <v>85</v>
      </c>
      <c r="C141" s="71">
        <v>5428818.3700000001</v>
      </c>
      <c r="D141" s="72">
        <v>0</v>
      </c>
      <c r="E141" s="73">
        <v>168982</v>
      </c>
      <c r="F141" s="218">
        <f t="shared" si="36"/>
        <v>168836.251307</v>
      </c>
      <c r="G141" s="74">
        <v>3.11</v>
      </c>
      <c r="H141" s="59">
        <f t="shared" si="37"/>
        <v>0</v>
      </c>
      <c r="I141" s="59">
        <f t="shared" si="38"/>
        <v>168982</v>
      </c>
      <c r="K141" s="138">
        <f>ROUND('Adjust Depr Table 3'!S166,2)</f>
        <v>2.33</v>
      </c>
      <c r="L141" s="143"/>
      <c r="M141" s="139">
        <f t="shared" si="40"/>
        <v>0</v>
      </c>
      <c r="N141" s="139">
        <f>'Adjust Depr Table 3'!Q166</f>
        <v>126359.08333333333</v>
      </c>
      <c r="O141" s="139">
        <f t="shared" si="39"/>
        <v>126359.08333333333</v>
      </c>
      <c r="P141" s="242"/>
      <c r="Q141" s="242"/>
    </row>
    <row r="142" spans="1:17" s="19" customFormat="1">
      <c r="A142" s="64"/>
      <c r="B142" s="70" t="s">
        <v>86</v>
      </c>
      <c r="C142" s="71">
        <v>4887853.5</v>
      </c>
      <c r="D142" s="72">
        <v>0</v>
      </c>
      <c r="E142" s="73">
        <v>139055</v>
      </c>
      <c r="F142" s="218">
        <f t="shared" si="36"/>
        <v>138815.03940000001</v>
      </c>
      <c r="G142" s="74">
        <v>2.84</v>
      </c>
      <c r="H142" s="59">
        <f t="shared" si="37"/>
        <v>0</v>
      </c>
      <c r="I142" s="59">
        <f t="shared" si="38"/>
        <v>139055</v>
      </c>
      <c r="K142" s="138">
        <f>ROUND('Adjust Depr Table 3'!S167,2)</f>
        <v>2.11</v>
      </c>
      <c r="L142" s="143"/>
      <c r="M142" s="139">
        <f t="shared" si="40"/>
        <v>0</v>
      </c>
      <c r="N142" s="139">
        <f>'Adjust Depr Table 3'!Q167</f>
        <v>103084.88888888889</v>
      </c>
      <c r="O142" s="139">
        <f t="shared" si="39"/>
        <v>103084.88888888889</v>
      </c>
      <c r="P142" s="242"/>
      <c r="Q142" s="242"/>
    </row>
    <row r="143" spans="1:17" s="19" customFormat="1">
      <c r="A143" s="64"/>
      <c r="B143" s="70" t="s">
        <v>87</v>
      </c>
      <c r="C143" s="71">
        <v>1098205.33</v>
      </c>
      <c r="D143" s="72">
        <v>0</v>
      </c>
      <c r="E143" s="73">
        <v>35729</v>
      </c>
      <c r="F143" s="218">
        <f t="shared" si="36"/>
        <v>35691.673225000006</v>
      </c>
      <c r="G143" s="74">
        <v>3.25</v>
      </c>
      <c r="H143" s="59">
        <f t="shared" si="37"/>
        <v>0</v>
      </c>
      <c r="I143" s="59">
        <f t="shared" si="38"/>
        <v>35729</v>
      </c>
      <c r="K143" s="138">
        <f>ROUND('Adjust Depr Table 3'!S168,2)</f>
        <v>2.87</v>
      </c>
      <c r="L143" s="143"/>
      <c r="M143" s="139">
        <f t="shared" si="40"/>
        <v>0</v>
      </c>
      <c r="N143" s="139">
        <f>'Adjust Depr Table 3'!Q168</f>
        <v>31563.78947368421</v>
      </c>
      <c r="O143" s="139">
        <f t="shared" si="39"/>
        <v>31563.78947368421</v>
      </c>
      <c r="P143" s="242"/>
      <c r="Q143" s="242"/>
    </row>
    <row r="144" spans="1:17" s="19" customFormat="1">
      <c r="A144" s="64"/>
      <c r="B144" s="70" t="s">
        <v>88</v>
      </c>
      <c r="C144" s="71">
        <v>1963510.74</v>
      </c>
      <c r="D144" s="72">
        <v>0</v>
      </c>
      <c r="E144" s="73">
        <v>65028</v>
      </c>
      <c r="F144" s="218">
        <f t="shared" si="36"/>
        <v>64992.205494000002</v>
      </c>
      <c r="G144" s="74">
        <v>3.31</v>
      </c>
      <c r="H144" s="59">
        <f t="shared" si="37"/>
        <v>0</v>
      </c>
      <c r="I144" s="59">
        <f t="shared" si="38"/>
        <v>65028</v>
      </c>
      <c r="K144" s="138">
        <f>ROUND('Adjust Depr Table 3'!S169,2)</f>
        <v>2.94</v>
      </c>
      <c r="L144" s="143"/>
      <c r="M144" s="139">
        <f t="shared" si="40"/>
        <v>0</v>
      </c>
      <c r="N144" s="139">
        <f>'Adjust Depr Table 3'!Q169</f>
        <v>57672.684210526313</v>
      </c>
      <c r="O144" s="139">
        <f t="shared" si="39"/>
        <v>57672.684210526313</v>
      </c>
      <c r="P144" s="242"/>
      <c r="Q144" s="242"/>
    </row>
    <row r="145" spans="1:17" s="19" customFormat="1">
      <c r="A145" s="64"/>
      <c r="B145" s="70" t="s">
        <v>89</v>
      </c>
      <c r="C145" s="71">
        <v>4525028.84</v>
      </c>
      <c r="D145" s="72">
        <v>0</v>
      </c>
      <c r="E145" s="73">
        <v>185596</v>
      </c>
      <c r="F145" s="218">
        <f t="shared" si="36"/>
        <v>185526.18244</v>
      </c>
      <c r="G145" s="74">
        <v>4.0999999999999996</v>
      </c>
      <c r="H145" s="59">
        <f t="shared" si="37"/>
        <v>0</v>
      </c>
      <c r="I145" s="59">
        <f t="shared" si="38"/>
        <v>185596</v>
      </c>
      <c r="K145" s="138">
        <f>ROUND('Adjust Depr Table 3'!S170,2)</f>
        <v>3.75</v>
      </c>
      <c r="L145" s="143"/>
      <c r="M145" s="139">
        <f t="shared" si="40"/>
        <v>0</v>
      </c>
      <c r="N145" s="139">
        <f>'Adjust Depr Table 3'!Q170</f>
        <v>169661.78947368421</v>
      </c>
      <c r="O145" s="139">
        <f t="shared" si="39"/>
        <v>169661.78947368421</v>
      </c>
      <c r="P145" s="242"/>
      <c r="Q145" s="242"/>
    </row>
    <row r="146" spans="1:17" s="19" customFormat="1">
      <c r="A146" s="64"/>
      <c r="B146" s="70" t="s">
        <v>90</v>
      </c>
      <c r="C146" s="71">
        <v>1285806.3799999999</v>
      </c>
      <c r="D146" s="72">
        <v>0</v>
      </c>
      <c r="E146" s="73">
        <v>41213</v>
      </c>
      <c r="F146" s="218">
        <f t="shared" si="36"/>
        <v>41274.384797999992</v>
      </c>
      <c r="G146" s="74">
        <v>3.21</v>
      </c>
      <c r="H146" s="59">
        <f t="shared" si="37"/>
        <v>0</v>
      </c>
      <c r="I146" s="59">
        <f t="shared" si="38"/>
        <v>41213</v>
      </c>
      <c r="K146" s="138">
        <f>ROUND('Adjust Depr Table 3'!S171,2)</f>
        <v>2.85</v>
      </c>
      <c r="L146" s="143"/>
      <c r="M146" s="139">
        <f t="shared" si="40"/>
        <v>0</v>
      </c>
      <c r="N146" s="139">
        <f>'Adjust Depr Table 3'!Q171</f>
        <v>36671.909090909088</v>
      </c>
      <c r="O146" s="139">
        <f t="shared" si="39"/>
        <v>36671.909090909088</v>
      </c>
      <c r="P146" s="242"/>
      <c r="Q146" s="242"/>
    </row>
    <row r="147" spans="1:17" s="19" customFormat="1">
      <c r="A147" s="64"/>
      <c r="B147" s="70" t="s">
        <v>91</v>
      </c>
      <c r="C147" s="71">
        <v>1680579.61</v>
      </c>
      <c r="D147" s="72">
        <v>0</v>
      </c>
      <c r="E147" s="73">
        <v>53645</v>
      </c>
      <c r="F147" s="218">
        <f t="shared" si="36"/>
        <v>53610.489559000001</v>
      </c>
      <c r="G147" s="74">
        <v>3.19</v>
      </c>
      <c r="H147" s="59">
        <f t="shared" si="37"/>
        <v>0</v>
      </c>
      <c r="I147" s="59">
        <f t="shared" si="38"/>
        <v>53645</v>
      </c>
      <c r="K147" s="138">
        <f>ROUND('Adjust Depr Table 3'!S172,2)</f>
        <v>2.85</v>
      </c>
      <c r="L147" s="143"/>
      <c r="M147" s="139">
        <f t="shared" si="40"/>
        <v>0</v>
      </c>
      <c r="N147" s="139">
        <f>'Adjust Depr Table 3'!Q172</f>
        <v>47822.260869565216</v>
      </c>
      <c r="O147" s="139">
        <f t="shared" si="39"/>
        <v>47822.260869565216</v>
      </c>
      <c r="P147" s="242"/>
      <c r="Q147" s="242"/>
    </row>
    <row r="148" spans="1:17" s="19" customFormat="1">
      <c r="A148" s="64"/>
      <c r="B148" s="70" t="s">
        <v>102</v>
      </c>
      <c r="C148" s="71">
        <v>2993753.87</v>
      </c>
      <c r="D148" s="72">
        <v>0</v>
      </c>
      <c r="E148" s="73">
        <v>101657</v>
      </c>
      <c r="F148" s="218">
        <f t="shared" si="36"/>
        <v>101787.63158</v>
      </c>
      <c r="G148" s="74">
        <v>3.4</v>
      </c>
      <c r="H148" s="59">
        <f t="shared" si="37"/>
        <v>0</v>
      </c>
      <c r="I148" s="59">
        <f t="shared" si="38"/>
        <v>101657</v>
      </c>
      <c r="K148" s="138">
        <f>ROUND('Adjust Depr Table 3'!S173,2)</f>
        <v>3.14</v>
      </c>
      <c r="L148" s="143"/>
      <c r="M148" s="139">
        <f t="shared" si="40"/>
        <v>0</v>
      </c>
      <c r="N148" s="139">
        <f>'Adjust Depr Table 3'!Q173</f>
        <v>93949.037037037036</v>
      </c>
      <c r="O148" s="139">
        <f t="shared" si="39"/>
        <v>93949.037037037036</v>
      </c>
      <c r="P148" s="242"/>
      <c r="Q148" s="242"/>
    </row>
    <row r="149" spans="1:17" s="19" customFormat="1">
      <c r="A149" s="64"/>
      <c r="B149" s="70" t="s">
        <v>92</v>
      </c>
      <c r="C149" s="71">
        <v>17086.14</v>
      </c>
      <c r="D149" s="72">
        <v>0</v>
      </c>
      <c r="E149" s="73">
        <v>534</v>
      </c>
      <c r="F149" s="218">
        <f t="shared" si="36"/>
        <v>534.79618199999993</v>
      </c>
      <c r="G149" s="74">
        <v>3.13</v>
      </c>
      <c r="H149" s="59">
        <f t="shared" si="37"/>
        <v>0</v>
      </c>
      <c r="I149" s="59">
        <f t="shared" si="38"/>
        <v>534</v>
      </c>
      <c r="K149" s="138">
        <f>ROUND('Adjust Depr Table 3'!S174,2)</f>
        <v>2.25</v>
      </c>
      <c r="L149" s="143"/>
      <c r="M149" s="139">
        <f t="shared" si="40"/>
        <v>0</v>
      </c>
      <c r="N149" s="139">
        <f>'Adjust Depr Table 3'!Q174</f>
        <v>385.21428571428572</v>
      </c>
      <c r="O149" s="139">
        <f t="shared" si="39"/>
        <v>385.21428571428572</v>
      </c>
      <c r="P149" s="242"/>
      <c r="Q149" s="242"/>
    </row>
    <row r="150" spans="1:17" s="19" customFormat="1">
      <c r="A150" s="64"/>
      <c r="B150" s="70" t="s">
        <v>93</v>
      </c>
      <c r="C150" s="71">
        <v>7457690.5700000003</v>
      </c>
      <c r="D150" s="72">
        <v>0</v>
      </c>
      <c r="E150" s="73">
        <v>192569</v>
      </c>
      <c r="F150" s="218">
        <f t="shared" si="36"/>
        <v>192408.41670600002</v>
      </c>
      <c r="G150" s="74">
        <v>2.58</v>
      </c>
      <c r="H150" s="59">
        <f t="shared" si="37"/>
        <v>0</v>
      </c>
      <c r="I150" s="59">
        <f t="shared" si="38"/>
        <v>192569</v>
      </c>
      <c r="K150" s="138">
        <f>ROUND('Adjust Depr Table 3'!S175,2)</f>
        <v>1.83</v>
      </c>
      <c r="L150" s="143"/>
      <c r="M150" s="139">
        <f t="shared" si="40"/>
        <v>0</v>
      </c>
      <c r="N150" s="139">
        <f>'Adjust Depr Table 3'!Q175</f>
        <v>136130.21428571429</v>
      </c>
      <c r="O150" s="139">
        <f t="shared" si="39"/>
        <v>136130.21428571429</v>
      </c>
      <c r="P150" s="242"/>
      <c r="Q150" s="242"/>
    </row>
    <row r="151" spans="1:17" s="19" customFormat="1">
      <c r="A151" s="64"/>
      <c r="B151" s="70" t="s">
        <v>94</v>
      </c>
      <c r="C151" s="71">
        <v>7457690.5700000003</v>
      </c>
      <c r="D151" s="72">
        <v>0</v>
      </c>
      <c r="E151" s="73">
        <v>194328</v>
      </c>
      <c r="F151" s="218">
        <f t="shared" si="36"/>
        <v>194645.72387699998</v>
      </c>
      <c r="G151" s="74">
        <v>2.61</v>
      </c>
      <c r="H151" s="59">
        <f t="shared" si="37"/>
        <v>0</v>
      </c>
      <c r="I151" s="59">
        <f t="shared" si="38"/>
        <v>194328</v>
      </c>
      <c r="K151" s="138">
        <f>ROUND('Adjust Depr Table 3'!S176,2)</f>
        <v>1.84</v>
      </c>
      <c r="L151" s="143"/>
      <c r="M151" s="139">
        <f t="shared" si="40"/>
        <v>0</v>
      </c>
      <c r="N151" s="139">
        <f>'Adjust Depr Table 3'!Q176</f>
        <v>137495.03571428571</v>
      </c>
      <c r="O151" s="139">
        <f t="shared" si="39"/>
        <v>137495.03571428571</v>
      </c>
      <c r="P151" s="242"/>
      <c r="Q151" s="242"/>
    </row>
    <row r="152" spans="1:17" s="19" customFormat="1">
      <c r="A152" s="64"/>
      <c r="B152" s="70" t="s">
        <v>95</v>
      </c>
      <c r="C152" s="71">
        <v>7457690.5700000003</v>
      </c>
      <c r="D152" s="72">
        <v>0</v>
      </c>
      <c r="E152" s="73">
        <v>192583</v>
      </c>
      <c r="F152" s="218">
        <f t="shared" si="36"/>
        <v>192408.41670600002</v>
      </c>
      <c r="G152" s="74">
        <v>2.58</v>
      </c>
      <c r="H152" s="59">
        <f t="shared" si="37"/>
        <v>0</v>
      </c>
      <c r="I152" s="59">
        <f t="shared" si="38"/>
        <v>192583</v>
      </c>
      <c r="K152" s="138">
        <f>ROUND('Adjust Depr Table 3'!S177,2)</f>
        <v>1.83</v>
      </c>
      <c r="L152" s="143"/>
      <c r="M152" s="139">
        <f t="shared" si="40"/>
        <v>0</v>
      </c>
      <c r="N152" s="139">
        <f>'Adjust Depr Table 3'!Q177</f>
        <v>136140.71428571429</v>
      </c>
      <c r="O152" s="139">
        <f t="shared" si="39"/>
        <v>136140.71428571429</v>
      </c>
      <c r="P152" s="242"/>
      <c r="Q152" s="242"/>
    </row>
    <row r="153" spans="1:17" s="19" customFormat="1">
      <c r="A153" s="64"/>
      <c r="B153" s="70" t="s">
        <v>96</v>
      </c>
      <c r="C153" s="75">
        <v>15810305.550000001</v>
      </c>
      <c r="D153" s="76">
        <v>0</v>
      </c>
      <c r="E153" s="77">
        <v>665756</v>
      </c>
      <c r="F153" s="216">
        <f t="shared" si="36"/>
        <v>665613.86365499999</v>
      </c>
      <c r="G153" s="74">
        <v>4.21</v>
      </c>
      <c r="H153" s="63">
        <f t="shared" si="37"/>
        <v>0</v>
      </c>
      <c r="I153" s="63">
        <f t="shared" si="38"/>
        <v>665756</v>
      </c>
      <c r="K153" s="138">
        <f>ROUND('Adjust Depr Table 3'!S178,2)</f>
        <v>3.96</v>
      </c>
      <c r="L153" s="143"/>
      <c r="M153" s="140">
        <f t="shared" si="40"/>
        <v>0</v>
      </c>
      <c r="N153" s="140">
        <f>'Adjust Depr Table 3'!Q178</f>
        <v>625304.73913043481</v>
      </c>
      <c r="O153" s="140">
        <f t="shared" si="39"/>
        <v>625304.73913043481</v>
      </c>
      <c r="P153" s="242"/>
      <c r="Q153" s="242"/>
    </row>
    <row r="154" spans="1:17" s="19" customFormat="1">
      <c r="A154" s="64"/>
      <c r="B154" s="78" t="s">
        <v>103</v>
      </c>
      <c r="C154" s="71">
        <f>SUM(C133:C153)</f>
        <v>104582841.48999999</v>
      </c>
      <c r="D154" s="72">
        <f>SUM(D133:D153)</f>
        <v>0</v>
      </c>
      <c r="E154" s="72">
        <f>SUM(E133:E153)</f>
        <v>3327688</v>
      </c>
      <c r="F154" s="221">
        <f>SUM(F133:F153)</f>
        <v>3327792.5218000007</v>
      </c>
      <c r="G154" s="74">
        <f>+ROUND(E154/C154*100,2)</f>
        <v>3.18</v>
      </c>
      <c r="H154" s="72">
        <f>SUM(H133:H153)</f>
        <v>0</v>
      </c>
      <c r="I154" s="72">
        <f>SUM(I133:I153)</f>
        <v>3327688</v>
      </c>
      <c r="K154" s="138"/>
      <c r="L154" s="143"/>
      <c r="M154" s="145">
        <f>SUM(M133:M153)</f>
        <v>0</v>
      </c>
      <c r="N154" s="145">
        <f>SUM(N133:N153)</f>
        <v>2493876.037307688</v>
      </c>
      <c r="O154" s="145">
        <f>SUM(O133:O153)</f>
        <v>2493876.037307688</v>
      </c>
      <c r="P154" s="242"/>
      <c r="Q154" s="242"/>
    </row>
    <row r="155" spans="1:17" s="19" customFormat="1">
      <c r="A155" s="64">
        <v>345</v>
      </c>
      <c r="B155" s="65" t="s">
        <v>71</v>
      </c>
      <c r="C155" s="65"/>
      <c r="D155" s="66"/>
      <c r="E155" s="67"/>
      <c r="F155" s="219"/>
      <c r="G155" s="68"/>
      <c r="H155" s="69"/>
      <c r="I155" s="69"/>
      <c r="K155" s="142"/>
      <c r="L155" s="143"/>
      <c r="M155" s="144"/>
      <c r="N155" s="144"/>
      <c r="O155" s="144"/>
      <c r="P155" s="242"/>
      <c r="Q155" s="242"/>
    </row>
    <row r="156" spans="1:17" s="19" customFormat="1">
      <c r="A156" s="64"/>
      <c r="B156" s="70" t="s">
        <v>77</v>
      </c>
      <c r="C156" s="71">
        <v>9876096.8200000003</v>
      </c>
      <c r="D156" s="72">
        <v>0</v>
      </c>
      <c r="E156" s="73">
        <v>228225</v>
      </c>
      <c r="F156" s="218">
        <f t="shared" ref="F156:F175" si="41">C156*G156/100</f>
        <v>228137.83654200003</v>
      </c>
      <c r="G156" s="74">
        <v>2.31</v>
      </c>
      <c r="H156" s="59">
        <f t="shared" ref="H156:H175" si="42">ROUND(D156*(G156/100),0)</f>
        <v>0</v>
      </c>
      <c r="I156" s="59">
        <f t="shared" ref="I156:I175" si="43">E156-H156</f>
        <v>228225</v>
      </c>
      <c r="K156" s="138">
        <f>ROUND('Adjust Depr Table 3'!S183,2)</f>
        <v>1.6</v>
      </c>
      <c r="L156" s="143"/>
      <c r="M156" s="139">
        <f>ROUND(D156*(K156/100),0)</f>
        <v>0</v>
      </c>
      <c r="N156" s="139">
        <f>'Adjust Depr Table 3'!Q183</f>
        <v>158447.91666666666</v>
      </c>
      <c r="O156" s="139">
        <f t="shared" ref="O156:O175" si="44">N156-M156</f>
        <v>158447.91666666666</v>
      </c>
      <c r="P156" s="242"/>
      <c r="Q156" s="242"/>
    </row>
    <row r="157" spans="1:17" s="19" customFormat="1">
      <c r="A157" s="64"/>
      <c r="B157" s="70" t="s">
        <v>78</v>
      </c>
      <c r="C157" s="71">
        <v>1039394.43</v>
      </c>
      <c r="D157" s="72">
        <v>0</v>
      </c>
      <c r="E157" s="73">
        <v>34465</v>
      </c>
      <c r="F157" s="218">
        <f t="shared" si="41"/>
        <v>34507.895076000001</v>
      </c>
      <c r="G157" s="74">
        <v>3.32</v>
      </c>
      <c r="H157" s="59">
        <f t="shared" si="42"/>
        <v>0</v>
      </c>
      <c r="I157" s="59">
        <f t="shared" si="43"/>
        <v>34465</v>
      </c>
      <c r="K157" s="138">
        <f>ROUND('Adjust Depr Table 3'!S184,2)</f>
        <v>1.66</v>
      </c>
      <c r="L157" s="143"/>
      <c r="M157" s="139">
        <f t="shared" ref="M157:M175" si="45">ROUND(D157*(K157/100),0)</f>
        <v>0</v>
      </c>
      <c r="N157" s="139">
        <f>'Adjust Depr Table 3'!Q184</f>
        <v>17223.8</v>
      </c>
      <c r="O157" s="139">
        <f t="shared" si="44"/>
        <v>17223.8</v>
      </c>
      <c r="P157" s="242"/>
      <c r="Q157" s="242"/>
    </row>
    <row r="158" spans="1:17" s="19" customFormat="1">
      <c r="A158" s="64"/>
      <c r="B158" s="70" t="s">
        <v>79</v>
      </c>
      <c r="C158" s="71">
        <v>1039395.53</v>
      </c>
      <c r="D158" s="72">
        <v>0</v>
      </c>
      <c r="E158" s="73">
        <v>33870</v>
      </c>
      <c r="F158" s="218">
        <f t="shared" si="41"/>
        <v>33884.294277999994</v>
      </c>
      <c r="G158" s="74">
        <v>3.26</v>
      </c>
      <c r="H158" s="59">
        <f t="shared" si="42"/>
        <v>0</v>
      </c>
      <c r="I158" s="59">
        <f t="shared" si="43"/>
        <v>33870</v>
      </c>
      <c r="K158" s="138">
        <f>ROUND('Adjust Depr Table 3'!S185,2)</f>
        <v>1.63</v>
      </c>
      <c r="L158" s="143"/>
      <c r="M158" s="139">
        <f t="shared" si="45"/>
        <v>0</v>
      </c>
      <c r="N158" s="139">
        <f>'Adjust Depr Table 3'!Q185</f>
        <v>16897.599999999999</v>
      </c>
      <c r="O158" s="139">
        <f t="shared" si="44"/>
        <v>16897.599999999999</v>
      </c>
      <c r="P158" s="242"/>
      <c r="Q158" s="242"/>
    </row>
    <row r="159" spans="1:17" s="19" customFormat="1">
      <c r="A159" s="64"/>
      <c r="B159" s="70" t="s">
        <v>80</v>
      </c>
      <c r="C159" s="71">
        <v>1039395.53</v>
      </c>
      <c r="D159" s="72">
        <v>0</v>
      </c>
      <c r="E159" s="73">
        <v>34158</v>
      </c>
      <c r="F159" s="218">
        <f t="shared" si="41"/>
        <v>34196.112937000005</v>
      </c>
      <c r="G159" s="74">
        <v>3.29</v>
      </c>
      <c r="H159" s="59">
        <f t="shared" si="42"/>
        <v>0</v>
      </c>
      <c r="I159" s="59">
        <f t="shared" si="43"/>
        <v>34158</v>
      </c>
      <c r="K159" s="138">
        <f>ROUND('Adjust Depr Table 3'!S186,2)</f>
        <v>1.64</v>
      </c>
      <c r="L159" s="143"/>
      <c r="M159" s="139">
        <f t="shared" si="45"/>
        <v>0</v>
      </c>
      <c r="N159" s="139">
        <f>'Adjust Depr Table 3'!Q186</f>
        <v>17055.48</v>
      </c>
      <c r="O159" s="139">
        <f t="shared" si="44"/>
        <v>17055.48</v>
      </c>
      <c r="P159" s="242"/>
      <c r="Q159" s="242"/>
    </row>
    <row r="160" spans="1:17" s="19" customFormat="1">
      <c r="A160" s="64"/>
      <c r="B160" s="70" t="s">
        <v>81</v>
      </c>
      <c r="C160" s="71">
        <v>993996.86</v>
      </c>
      <c r="D160" s="72">
        <v>0</v>
      </c>
      <c r="E160" s="73">
        <v>28629</v>
      </c>
      <c r="F160" s="218">
        <f t="shared" si="41"/>
        <v>28627.109568</v>
      </c>
      <c r="G160" s="74">
        <v>2.88</v>
      </c>
      <c r="H160" s="59">
        <f t="shared" si="42"/>
        <v>0</v>
      </c>
      <c r="I160" s="59">
        <f t="shared" si="43"/>
        <v>28629</v>
      </c>
      <c r="K160" s="138">
        <f>ROUND('Adjust Depr Table 3'!S187,2)</f>
        <v>1.95</v>
      </c>
      <c r="L160" s="143"/>
      <c r="M160" s="139">
        <f t="shared" si="45"/>
        <v>0</v>
      </c>
      <c r="N160" s="139">
        <f>'Adjust Depr Table 3'!Q187</f>
        <v>19384.481481481482</v>
      </c>
      <c r="O160" s="139">
        <f t="shared" si="44"/>
        <v>19384.481481481482</v>
      </c>
      <c r="P160" s="242"/>
      <c r="Q160" s="242"/>
    </row>
    <row r="161" spans="1:17" s="19" customFormat="1">
      <c r="A161" s="64"/>
      <c r="B161" s="70" t="s">
        <v>82</v>
      </c>
      <c r="C161" s="71">
        <v>993996.86</v>
      </c>
      <c r="D161" s="72">
        <v>0</v>
      </c>
      <c r="E161" s="73">
        <v>28726</v>
      </c>
      <c r="F161" s="218">
        <f t="shared" si="41"/>
        <v>28726.509254000001</v>
      </c>
      <c r="G161" s="74">
        <v>2.89</v>
      </c>
      <c r="H161" s="59">
        <f t="shared" si="42"/>
        <v>0</v>
      </c>
      <c r="I161" s="59">
        <f t="shared" si="43"/>
        <v>28726</v>
      </c>
      <c r="K161" s="138">
        <f>ROUND('Adjust Depr Table 3'!S188,2)</f>
        <v>1.96</v>
      </c>
      <c r="L161" s="143"/>
      <c r="M161" s="139">
        <f t="shared" si="45"/>
        <v>0</v>
      </c>
      <c r="N161" s="139">
        <f>'Adjust Depr Table 3'!Q188</f>
        <v>19455.037037037036</v>
      </c>
      <c r="O161" s="139">
        <f t="shared" si="44"/>
        <v>19455.037037037036</v>
      </c>
      <c r="P161" s="242"/>
      <c r="Q161" s="242"/>
    </row>
    <row r="162" spans="1:17" s="19" customFormat="1">
      <c r="A162" s="64"/>
      <c r="B162" s="70" t="s">
        <v>83</v>
      </c>
      <c r="C162" s="71">
        <v>1251472.92</v>
      </c>
      <c r="D162" s="72">
        <v>0</v>
      </c>
      <c r="E162" s="73">
        <v>36166</v>
      </c>
      <c r="F162" s="218">
        <f t="shared" si="41"/>
        <v>36167.567387999996</v>
      </c>
      <c r="G162" s="74">
        <v>2.89</v>
      </c>
      <c r="H162" s="59">
        <f t="shared" si="42"/>
        <v>0</v>
      </c>
      <c r="I162" s="59">
        <f t="shared" si="43"/>
        <v>36166</v>
      </c>
      <c r="K162" s="138">
        <f>ROUND('Adjust Depr Table 3'!S189,2)</f>
        <v>2.0499999999999998</v>
      </c>
      <c r="L162" s="143"/>
      <c r="M162" s="139">
        <f t="shared" si="45"/>
        <v>0</v>
      </c>
      <c r="N162" s="139">
        <f>'Adjust Depr Table 3'!Q189</f>
        <v>25603.193548387098</v>
      </c>
      <c r="O162" s="139">
        <f t="shared" si="44"/>
        <v>25603.193548387098</v>
      </c>
      <c r="P162" s="242"/>
      <c r="Q162" s="242"/>
    </row>
    <row r="163" spans="1:17" s="19" customFormat="1">
      <c r="A163" s="64"/>
      <c r="B163" s="70" t="s">
        <v>84</v>
      </c>
      <c r="C163" s="71">
        <v>1220275.5900000001</v>
      </c>
      <c r="D163" s="72">
        <v>0</v>
      </c>
      <c r="E163" s="73">
        <v>35265</v>
      </c>
      <c r="F163" s="218">
        <f t="shared" si="41"/>
        <v>35265.964551000005</v>
      </c>
      <c r="G163" s="74">
        <v>2.89</v>
      </c>
      <c r="H163" s="59">
        <f t="shared" si="42"/>
        <v>0</v>
      </c>
      <c r="I163" s="59">
        <f t="shared" si="43"/>
        <v>35265</v>
      </c>
      <c r="K163" s="138">
        <f>ROUND('Adjust Depr Table 3'!S190,2)</f>
        <v>2.0499999999999998</v>
      </c>
      <c r="L163" s="143"/>
      <c r="M163" s="139">
        <f t="shared" si="45"/>
        <v>0</v>
      </c>
      <c r="N163" s="139">
        <f>'Adjust Depr Table 3'!Q190</f>
        <v>24965.258064516129</v>
      </c>
      <c r="O163" s="139">
        <f t="shared" si="44"/>
        <v>24965.258064516129</v>
      </c>
      <c r="P163" s="242"/>
      <c r="Q163" s="242"/>
    </row>
    <row r="164" spans="1:17" s="19" customFormat="1">
      <c r="A164" s="64"/>
      <c r="B164" s="70" t="s">
        <v>85</v>
      </c>
      <c r="C164" s="71">
        <v>12040203.140000001</v>
      </c>
      <c r="D164" s="72">
        <v>0</v>
      </c>
      <c r="E164" s="73">
        <v>365915</v>
      </c>
      <c r="F164" s="218">
        <f t="shared" si="41"/>
        <v>366022.17545600003</v>
      </c>
      <c r="G164" s="74">
        <v>3.04</v>
      </c>
      <c r="H164" s="59">
        <f t="shared" si="42"/>
        <v>0</v>
      </c>
      <c r="I164" s="59">
        <f t="shared" si="43"/>
        <v>365915</v>
      </c>
      <c r="K164" s="138">
        <f>ROUND('Adjust Depr Table 3'!S191,2)</f>
        <v>2.25</v>
      </c>
      <c r="L164" s="143"/>
      <c r="M164" s="139">
        <f t="shared" si="45"/>
        <v>0</v>
      </c>
      <c r="N164" s="139">
        <f>'Adjust Depr Table 3'!Q191</f>
        <v>270815.75</v>
      </c>
      <c r="O164" s="139">
        <f t="shared" si="44"/>
        <v>270815.75</v>
      </c>
      <c r="P164" s="242"/>
      <c r="Q164" s="242"/>
    </row>
    <row r="165" spans="1:17" s="19" customFormat="1">
      <c r="A165" s="64"/>
      <c r="B165" s="70" t="s">
        <v>86</v>
      </c>
      <c r="C165" s="71">
        <v>1879693.27</v>
      </c>
      <c r="D165" s="72">
        <v>0</v>
      </c>
      <c r="E165" s="73">
        <v>52810</v>
      </c>
      <c r="F165" s="218">
        <f t="shared" si="41"/>
        <v>52819.380886999999</v>
      </c>
      <c r="G165" s="74">
        <v>2.81</v>
      </c>
      <c r="H165" s="59">
        <f t="shared" si="42"/>
        <v>0</v>
      </c>
      <c r="I165" s="59">
        <f t="shared" si="43"/>
        <v>52810</v>
      </c>
      <c r="K165" s="138">
        <f>ROUND('Adjust Depr Table 3'!S192,2)</f>
        <v>2.0699999999999998</v>
      </c>
      <c r="L165" s="143"/>
      <c r="M165" s="139">
        <f t="shared" si="45"/>
        <v>0</v>
      </c>
      <c r="N165" s="139">
        <f>'Adjust Depr Table 3'!Q192</f>
        <v>38926.972222222219</v>
      </c>
      <c r="O165" s="139">
        <f t="shared" si="44"/>
        <v>38926.972222222219</v>
      </c>
      <c r="P165" s="242"/>
      <c r="Q165" s="242"/>
    </row>
    <row r="166" spans="1:17" s="19" customFormat="1">
      <c r="A166" s="64"/>
      <c r="B166" s="70" t="s">
        <v>87</v>
      </c>
      <c r="C166" s="71">
        <v>344891.29</v>
      </c>
      <c r="D166" s="72">
        <v>0</v>
      </c>
      <c r="E166" s="73">
        <v>11575</v>
      </c>
      <c r="F166" s="218">
        <f t="shared" si="41"/>
        <v>11588.347344</v>
      </c>
      <c r="G166" s="74">
        <v>3.36</v>
      </c>
      <c r="H166" s="59">
        <f t="shared" si="42"/>
        <v>0</v>
      </c>
      <c r="I166" s="59">
        <f t="shared" si="43"/>
        <v>11575</v>
      </c>
      <c r="K166" s="138">
        <f>ROUND('Adjust Depr Table 3'!S193,2)</f>
        <v>2.97</v>
      </c>
      <c r="L166" s="143"/>
      <c r="M166" s="139">
        <f t="shared" si="45"/>
        <v>0</v>
      </c>
      <c r="N166" s="139">
        <f>'Adjust Depr Table 3'!Q193</f>
        <v>10237.473684210527</v>
      </c>
      <c r="O166" s="139">
        <f t="shared" si="44"/>
        <v>10237.473684210527</v>
      </c>
      <c r="P166" s="242"/>
      <c r="Q166" s="242"/>
    </row>
    <row r="167" spans="1:17" s="19" customFormat="1">
      <c r="A167" s="64"/>
      <c r="B167" s="70" t="s">
        <v>88</v>
      </c>
      <c r="C167" s="71">
        <v>386164.65</v>
      </c>
      <c r="D167" s="72">
        <v>0</v>
      </c>
      <c r="E167" s="73">
        <v>12961</v>
      </c>
      <c r="F167" s="218">
        <f t="shared" si="41"/>
        <v>12975.132239999999</v>
      </c>
      <c r="G167" s="74">
        <v>3.36</v>
      </c>
      <c r="H167" s="59">
        <f t="shared" si="42"/>
        <v>0</v>
      </c>
      <c r="I167" s="59">
        <f t="shared" si="43"/>
        <v>12961</v>
      </c>
      <c r="K167" s="138">
        <f>ROUND('Adjust Depr Table 3'!S194,2)</f>
        <v>2.97</v>
      </c>
      <c r="L167" s="143"/>
      <c r="M167" s="139">
        <f t="shared" si="45"/>
        <v>0</v>
      </c>
      <c r="N167" s="139">
        <f>'Adjust Depr Table 3'!Q194</f>
        <v>11462.631578947368</v>
      </c>
      <c r="O167" s="139">
        <f t="shared" si="44"/>
        <v>11462.631578947368</v>
      </c>
      <c r="P167" s="242"/>
      <c r="Q167" s="242"/>
    </row>
    <row r="168" spans="1:17" s="19" customFormat="1">
      <c r="A168" s="64"/>
      <c r="B168" s="70" t="s">
        <v>89</v>
      </c>
      <c r="C168" s="71">
        <v>357452.26</v>
      </c>
      <c r="D168" s="72">
        <v>0</v>
      </c>
      <c r="E168" s="73">
        <v>11997</v>
      </c>
      <c r="F168" s="218">
        <f t="shared" si="41"/>
        <v>12010.395936000001</v>
      </c>
      <c r="G168" s="74">
        <v>3.36</v>
      </c>
      <c r="H168" s="59">
        <f t="shared" si="42"/>
        <v>0</v>
      </c>
      <c r="I168" s="59">
        <f t="shared" si="43"/>
        <v>11997</v>
      </c>
      <c r="K168" s="138">
        <f>ROUND('Adjust Depr Table 3'!S195,2)</f>
        <v>2.97</v>
      </c>
      <c r="L168" s="143"/>
      <c r="M168" s="139">
        <f t="shared" si="45"/>
        <v>0</v>
      </c>
      <c r="N168" s="139">
        <f>'Adjust Depr Table 3'!Q195</f>
        <v>10610.315789473685</v>
      </c>
      <c r="O168" s="139">
        <f t="shared" si="44"/>
        <v>10610.315789473685</v>
      </c>
      <c r="P168" s="242"/>
      <c r="Q168" s="242"/>
    </row>
    <row r="169" spans="1:17" s="19" customFormat="1">
      <c r="A169" s="64"/>
      <c r="B169" s="70" t="s">
        <v>90</v>
      </c>
      <c r="C169" s="71">
        <v>452676.95</v>
      </c>
      <c r="D169" s="72">
        <v>0</v>
      </c>
      <c r="E169" s="73">
        <v>14838</v>
      </c>
      <c r="F169" s="218">
        <f t="shared" si="41"/>
        <v>14847.803959999999</v>
      </c>
      <c r="G169" s="74">
        <v>3.28</v>
      </c>
      <c r="H169" s="59">
        <f t="shared" si="42"/>
        <v>0</v>
      </c>
      <c r="I169" s="59">
        <f t="shared" si="43"/>
        <v>14838</v>
      </c>
      <c r="K169" s="138">
        <f>ROUND('Adjust Depr Table 3'!S196,2)</f>
        <v>2.92</v>
      </c>
      <c r="L169" s="143"/>
      <c r="M169" s="139">
        <f t="shared" si="45"/>
        <v>0</v>
      </c>
      <c r="N169" s="139">
        <f>'Adjust Depr Table 3'!Q196</f>
        <v>13212.90909090909</v>
      </c>
      <c r="O169" s="139">
        <f t="shared" si="44"/>
        <v>13212.90909090909</v>
      </c>
      <c r="P169" s="242"/>
      <c r="Q169" s="242"/>
    </row>
    <row r="170" spans="1:17" s="19" customFormat="1">
      <c r="A170" s="64"/>
      <c r="B170" s="70" t="s">
        <v>91</v>
      </c>
      <c r="C170" s="71">
        <v>406784.25</v>
      </c>
      <c r="D170" s="72">
        <v>0</v>
      </c>
      <c r="E170" s="73">
        <v>13247</v>
      </c>
      <c r="F170" s="218">
        <f t="shared" si="41"/>
        <v>13261.16655</v>
      </c>
      <c r="G170" s="74">
        <v>3.26</v>
      </c>
      <c r="H170" s="59">
        <f t="shared" si="42"/>
        <v>0</v>
      </c>
      <c r="I170" s="59">
        <f t="shared" si="43"/>
        <v>13247</v>
      </c>
      <c r="K170" s="138">
        <f>ROUND('Adjust Depr Table 3'!S197,2)</f>
        <v>2.9</v>
      </c>
      <c r="L170" s="143"/>
      <c r="M170" s="139">
        <f t="shared" si="45"/>
        <v>0</v>
      </c>
      <c r="N170" s="139">
        <f>'Adjust Depr Table 3'!Q197</f>
        <v>11816.347826086956</v>
      </c>
      <c r="O170" s="139">
        <f t="shared" si="44"/>
        <v>11816.347826086956</v>
      </c>
      <c r="P170" s="242"/>
      <c r="Q170" s="242"/>
    </row>
    <row r="171" spans="1:17" s="19" customFormat="1">
      <c r="A171" s="64"/>
      <c r="B171" s="70" t="s">
        <v>92</v>
      </c>
      <c r="C171" s="71">
        <v>3028262.11</v>
      </c>
      <c r="D171" s="72">
        <v>0</v>
      </c>
      <c r="E171" s="73">
        <v>85436</v>
      </c>
      <c r="F171" s="218">
        <f t="shared" si="41"/>
        <v>85396.991502000004</v>
      </c>
      <c r="G171" s="74">
        <v>2.82</v>
      </c>
      <c r="H171" s="59">
        <f t="shared" si="42"/>
        <v>0</v>
      </c>
      <c r="I171" s="59">
        <f t="shared" si="43"/>
        <v>85436</v>
      </c>
      <c r="K171" s="138">
        <f>ROUND('Adjust Depr Table 3'!S198,2)</f>
        <v>2.0099999999999998</v>
      </c>
      <c r="L171" s="143"/>
      <c r="M171" s="139">
        <f t="shared" si="45"/>
        <v>0</v>
      </c>
      <c r="N171" s="139">
        <f>'Adjust Depr Table 3'!Q198</f>
        <v>60901.857142857145</v>
      </c>
      <c r="O171" s="139">
        <f t="shared" si="44"/>
        <v>60901.857142857145</v>
      </c>
      <c r="P171" s="242"/>
      <c r="Q171" s="242"/>
    </row>
    <row r="172" spans="1:17" s="19" customFormat="1">
      <c r="A172" s="64"/>
      <c r="B172" s="70" t="s">
        <v>93</v>
      </c>
      <c r="C172" s="71">
        <v>386034.41</v>
      </c>
      <c r="D172" s="72">
        <v>0</v>
      </c>
      <c r="E172" s="73">
        <v>10310</v>
      </c>
      <c r="F172" s="218">
        <f t="shared" si="41"/>
        <v>10307.118746999999</v>
      </c>
      <c r="G172" s="74">
        <v>2.67</v>
      </c>
      <c r="H172" s="59">
        <f t="shared" si="42"/>
        <v>0</v>
      </c>
      <c r="I172" s="59">
        <f t="shared" si="43"/>
        <v>10310</v>
      </c>
      <c r="K172" s="138">
        <f>ROUND('Adjust Depr Table 3'!S199,2)</f>
        <v>1.89</v>
      </c>
      <c r="L172" s="143"/>
      <c r="M172" s="139">
        <f t="shared" si="45"/>
        <v>0</v>
      </c>
      <c r="N172" s="139">
        <f>'Adjust Depr Table 3'!Q199</f>
        <v>7312.2857142857147</v>
      </c>
      <c r="O172" s="139">
        <f t="shared" si="44"/>
        <v>7312.2857142857147</v>
      </c>
      <c r="P172" s="242"/>
      <c r="Q172" s="242"/>
    </row>
    <row r="173" spans="1:17" s="19" customFormat="1">
      <c r="A173" s="64"/>
      <c r="B173" s="70" t="s">
        <v>94</v>
      </c>
      <c r="C173" s="71">
        <v>386034.41</v>
      </c>
      <c r="D173" s="72">
        <v>0</v>
      </c>
      <c r="E173" s="73">
        <v>10398</v>
      </c>
      <c r="F173" s="218">
        <f t="shared" si="41"/>
        <v>10384.325628999999</v>
      </c>
      <c r="G173" s="74">
        <v>2.69</v>
      </c>
      <c r="H173" s="59">
        <f t="shared" si="42"/>
        <v>0</v>
      </c>
      <c r="I173" s="59">
        <f t="shared" si="43"/>
        <v>10398</v>
      </c>
      <c r="K173" s="138">
        <f>ROUND('Adjust Depr Table 3'!S200,2)</f>
        <v>1.91</v>
      </c>
      <c r="L173" s="143"/>
      <c r="M173" s="139">
        <f t="shared" si="45"/>
        <v>0</v>
      </c>
      <c r="N173" s="139">
        <f>'Adjust Depr Table 3'!Q200</f>
        <v>7380.1785714285716</v>
      </c>
      <c r="O173" s="139">
        <f t="shared" si="44"/>
        <v>7380.1785714285716</v>
      </c>
      <c r="P173" s="242"/>
      <c r="Q173" s="242"/>
    </row>
    <row r="174" spans="1:17" s="19" customFormat="1">
      <c r="A174" s="64"/>
      <c r="B174" s="70" t="s">
        <v>95</v>
      </c>
      <c r="C174" s="71">
        <v>386034.41</v>
      </c>
      <c r="D174" s="72">
        <v>0</v>
      </c>
      <c r="E174" s="73">
        <v>10311</v>
      </c>
      <c r="F174" s="218">
        <f t="shared" si="41"/>
        <v>10307.118746999999</v>
      </c>
      <c r="G174" s="74">
        <v>2.67</v>
      </c>
      <c r="H174" s="59">
        <f t="shared" si="42"/>
        <v>0</v>
      </c>
      <c r="I174" s="59">
        <f t="shared" si="43"/>
        <v>10311</v>
      </c>
      <c r="K174" s="138">
        <f>ROUND('Adjust Depr Table 3'!S201,2)</f>
        <v>1.89</v>
      </c>
      <c r="L174" s="143"/>
      <c r="M174" s="139">
        <f t="shared" si="45"/>
        <v>0</v>
      </c>
      <c r="N174" s="139">
        <f>'Adjust Depr Table 3'!Q201</f>
        <v>7312.8214285714284</v>
      </c>
      <c r="O174" s="139">
        <f t="shared" si="44"/>
        <v>7312.8214285714284</v>
      </c>
      <c r="P174" s="242"/>
      <c r="Q174" s="242"/>
    </row>
    <row r="175" spans="1:17" s="19" customFormat="1">
      <c r="A175" s="64"/>
      <c r="B175" s="70" t="s">
        <v>96</v>
      </c>
      <c r="C175" s="75">
        <v>779800</v>
      </c>
      <c r="D175" s="76">
        <v>0</v>
      </c>
      <c r="E175" s="77">
        <v>32964</v>
      </c>
      <c r="F175" s="216">
        <f t="shared" si="41"/>
        <v>32985.540000000008</v>
      </c>
      <c r="G175" s="74">
        <v>4.2300000000000004</v>
      </c>
      <c r="H175" s="63">
        <f t="shared" si="42"/>
        <v>0</v>
      </c>
      <c r="I175" s="63">
        <f t="shared" si="43"/>
        <v>32964</v>
      </c>
      <c r="K175" s="138">
        <f>ROUND('Adjust Depr Table 3'!S202,2)</f>
        <v>3.97</v>
      </c>
      <c r="L175" s="143"/>
      <c r="M175" s="140">
        <f t="shared" si="45"/>
        <v>0</v>
      </c>
      <c r="N175" s="140">
        <f>'Adjust Depr Table 3'!Q202</f>
        <v>30962.217391304348</v>
      </c>
      <c r="O175" s="140">
        <f t="shared" si="44"/>
        <v>30962.217391304348</v>
      </c>
      <c r="P175" s="242"/>
      <c r="Q175" s="242"/>
    </row>
    <row r="176" spans="1:17" s="19" customFormat="1">
      <c r="A176" s="64"/>
      <c r="B176" s="78" t="s">
        <v>72</v>
      </c>
      <c r="C176" s="71">
        <f>SUM(C156:C175)</f>
        <v>38288055.68999999</v>
      </c>
      <c r="D176" s="72">
        <f>SUM(D156:D175)</f>
        <v>0</v>
      </c>
      <c r="E176" s="72">
        <f>SUM(E156:E175)</f>
        <v>1092266</v>
      </c>
      <c r="F176" s="221">
        <f>SUM(F156:F175)</f>
        <v>1092418.7865919999</v>
      </c>
      <c r="G176" s="74">
        <f>+ROUND(E176/C176*100,2)</f>
        <v>2.85</v>
      </c>
      <c r="H176" s="72">
        <f>SUM(H156:H175)</f>
        <v>0</v>
      </c>
      <c r="I176" s="72">
        <f>SUM(I156:I175)</f>
        <v>1092266</v>
      </c>
      <c r="K176" s="138"/>
      <c r="L176" s="143"/>
      <c r="M176" s="145">
        <f>SUM(M156:M175)</f>
        <v>0</v>
      </c>
      <c r="N176" s="145">
        <f>SUM(N156:N175)</f>
        <v>779984.5272383854</v>
      </c>
      <c r="O176" s="145">
        <f>SUM(O156:O175)</f>
        <v>779984.5272383854</v>
      </c>
      <c r="P176" s="242"/>
      <c r="Q176" s="242"/>
    </row>
    <row r="177" spans="1:17" s="19" customFormat="1">
      <c r="A177" s="64">
        <v>346</v>
      </c>
      <c r="B177" s="65" t="s">
        <v>73</v>
      </c>
      <c r="C177" s="65"/>
      <c r="D177" s="66"/>
      <c r="E177" s="67"/>
      <c r="F177" s="219"/>
      <c r="G177" s="68"/>
      <c r="H177" s="69"/>
      <c r="I177" s="69"/>
      <c r="K177" s="142"/>
      <c r="L177" s="143"/>
      <c r="M177" s="144"/>
      <c r="N177" s="144"/>
      <c r="O177" s="144"/>
      <c r="P177" s="242"/>
      <c r="Q177" s="242"/>
    </row>
    <row r="178" spans="1:17" s="19" customFormat="1">
      <c r="A178" s="64"/>
      <c r="B178" s="70" t="s">
        <v>77</v>
      </c>
      <c r="C178" s="71">
        <v>15528635.619999999</v>
      </c>
      <c r="D178" s="72">
        <v>0</v>
      </c>
      <c r="E178" s="73">
        <v>439927</v>
      </c>
      <c r="F178" s="218">
        <f t="shared" ref="F178:F183" si="46">C178*G178/100</f>
        <v>439460.38804599998</v>
      </c>
      <c r="G178" s="74">
        <v>2.83</v>
      </c>
      <c r="H178" s="59">
        <f t="shared" ref="H178:H183" si="47">ROUND(D178*(G178/100),0)</f>
        <v>0</v>
      </c>
      <c r="I178" s="59">
        <f t="shared" ref="I178:I183" si="48">E178-H178</f>
        <v>439927</v>
      </c>
      <c r="K178" s="138">
        <f>ROUND('Adjust Depr Table 3'!S207,2)</f>
        <v>1.97</v>
      </c>
      <c r="L178" s="143"/>
      <c r="M178" s="139">
        <f t="shared" ref="M178:M183" si="49">ROUND(D178*(K178/100),0)</f>
        <v>0</v>
      </c>
      <c r="N178" s="139">
        <f>'Adjust Depr Table 3'!Q207</f>
        <v>305876.33333333331</v>
      </c>
      <c r="O178" s="139">
        <f t="shared" ref="O178:O183" si="50">N178-M178</f>
        <v>305876.33333333331</v>
      </c>
      <c r="P178" s="242"/>
      <c r="Q178" s="242"/>
    </row>
    <row r="179" spans="1:17" s="19" customFormat="1">
      <c r="A179" s="64"/>
      <c r="B179" s="70" t="s">
        <v>87</v>
      </c>
      <c r="C179" s="71">
        <v>91253.04</v>
      </c>
      <c r="D179" s="72">
        <v>0</v>
      </c>
      <c r="E179" s="73">
        <v>3194</v>
      </c>
      <c r="F179" s="218">
        <f t="shared" si="46"/>
        <v>3193.8563999999997</v>
      </c>
      <c r="G179" s="74">
        <v>3.5</v>
      </c>
      <c r="H179" s="59">
        <f t="shared" si="47"/>
        <v>0</v>
      </c>
      <c r="I179" s="59">
        <f t="shared" si="48"/>
        <v>3194</v>
      </c>
      <c r="K179" s="351">
        <f>ROUND('Adjust Depr Table 3'!S208,2)</f>
        <v>2.96</v>
      </c>
      <c r="L179" s="352"/>
      <c r="M179" s="139">
        <f t="shared" si="49"/>
        <v>0</v>
      </c>
      <c r="N179" s="139">
        <f>'Adjust Depr Table 3'!Q208</f>
        <v>2699.9473684210525</v>
      </c>
      <c r="O179" s="139">
        <f t="shared" si="50"/>
        <v>2699.9473684210525</v>
      </c>
      <c r="P179" s="242"/>
      <c r="Q179" s="242"/>
    </row>
    <row r="180" spans="1:17" s="19" customFormat="1">
      <c r="A180" s="64"/>
      <c r="B180" s="70" t="s">
        <v>88</v>
      </c>
      <c r="C180" s="71">
        <v>103431.55</v>
      </c>
      <c r="D180" s="72">
        <v>0</v>
      </c>
      <c r="E180" s="73">
        <v>4555</v>
      </c>
      <c r="F180" s="218">
        <f t="shared" si="46"/>
        <v>4550.9882000000007</v>
      </c>
      <c r="G180" s="74">
        <v>4.4000000000000004</v>
      </c>
      <c r="H180" s="59">
        <f t="shared" si="47"/>
        <v>0</v>
      </c>
      <c r="I180" s="59">
        <f t="shared" si="48"/>
        <v>4555</v>
      </c>
      <c r="K180" s="351">
        <f>ROUND('Adjust Depr Table 3'!S209,2)</f>
        <v>4.0599999999999996</v>
      </c>
      <c r="L180" s="352"/>
      <c r="M180" s="139">
        <f t="shared" si="49"/>
        <v>0</v>
      </c>
      <c r="N180" s="139">
        <f>'Adjust Depr Table 3'!Q209</f>
        <v>4202</v>
      </c>
      <c r="O180" s="139">
        <f t="shared" si="50"/>
        <v>4202</v>
      </c>
      <c r="P180" s="242"/>
      <c r="Q180" s="242"/>
    </row>
    <row r="181" spans="1:17" s="19" customFormat="1">
      <c r="A181" s="64"/>
      <c r="B181" s="70" t="s">
        <v>89</v>
      </c>
      <c r="C181" s="71">
        <v>60998.54</v>
      </c>
      <c r="D181" s="72">
        <v>0</v>
      </c>
      <c r="E181" s="73">
        <v>2092</v>
      </c>
      <c r="F181" s="218">
        <f t="shared" si="46"/>
        <v>2092.249922</v>
      </c>
      <c r="G181" s="74">
        <v>3.43</v>
      </c>
      <c r="H181" s="59">
        <f t="shared" si="47"/>
        <v>0</v>
      </c>
      <c r="I181" s="59">
        <f t="shared" si="48"/>
        <v>2092</v>
      </c>
      <c r="K181" s="351">
        <f>ROUND('Adjust Depr Table 3'!S210,2)</f>
        <v>2.85</v>
      </c>
      <c r="L181" s="352"/>
      <c r="M181" s="139">
        <f t="shared" si="49"/>
        <v>0</v>
      </c>
      <c r="N181" s="139">
        <f>'Adjust Depr Table 3'!Q210</f>
        <v>1738.6315789473683</v>
      </c>
      <c r="O181" s="139">
        <f t="shared" si="50"/>
        <v>1738.6315789473683</v>
      </c>
      <c r="P181" s="242"/>
      <c r="Q181" s="242"/>
    </row>
    <row r="182" spans="1:17" s="19" customFormat="1">
      <c r="A182" s="64"/>
      <c r="B182" s="70" t="s">
        <v>90</v>
      </c>
      <c r="C182" s="71">
        <v>63896.29</v>
      </c>
      <c r="D182" s="72">
        <v>0</v>
      </c>
      <c r="E182" s="73">
        <v>2135</v>
      </c>
      <c r="F182" s="218">
        <f t="shared" si="46"/>
        <v>2134.136086</v>
      </c>
      <c r="G182" s="74">
        <v>3.34</v>
      </c>
      <c r="H182" s="59">
        <f t="shared" si="47"/>
        <v>0</v>
      </c>
      <c r="I182" s="59">
        <f t="shared" si="48"/>
        <v>2135</v>
      </c>
      <c r="K182" s="351">
        <f>ROUND('Adjust Depr Table 3'!S211,2)</f>
        <v>2.83</v>
      </c>
      <c r="L182" s="352"/>
      <c r="M182" s="139">
        <f t="shared" si="49"/>
        <v>0</v>
      </c>
      <c r="N182" s="139">
        <f>'Adjust Depr Table 3'!Q211</f>
        <v>1806.2727272727273</v>
      </c>
      <c r="O182" s="139">
        <f t="shared" si="50"/>
        <v>1806.2727272727273</v>
      </c>
      <c r="P182" s="242"/>
      <c r="Q182" s="242"/>
    </row>
    <row r="183" spans="1:17" s="19" customFormat="1">
      <c r="A183" s="64"/>
      <c r="B183" s="70" t="s">
        <v>91</v>
      </c>
      <c r="C183" s="75">
        <v>141993.37</v>
      </c>
      <c r="D183" s="76">
        <v>0</v>
      </c>
      <c r="E183" s="77">
        <v>5398</v>
      </c>
      <c r="F183" s="216">
        <f t="shared" si="46"/>
        <v>5395.7480599999999</v>
      </c>
      <c r="G183" s="74">
        <v>3.8</v>
      </c>
      <c r="H183" s="63">
        <f t="shared" si="47"/>
        <v>0</v>
      </c>
      <c r="I183" s="63">
        <f t="shared" si="48"/>
        <v>5398</v>
      </c>
      <c r="K183" s="351">
        <f>ROUND('Adjust Depr Table 3'!S212,2)</f>
        <v>3.45</v>
      </c>
      <c r="L183" s="352"/>
      <c r="M183" s="140">
        <f t="shared" si="49"/>
        <v>0</v>
      </c>
      <c r="N183" s="140">
        <f>'Adjust Depr Table 3'!Q212</f>
        <v>4900.391304347826</v>
      </c>
      <c r="O183" s="140">
        <f t="shared" si="50"/>
        <v>4900.391304347826</v>
      </c>
      <c r="P183" s="242"/>
      <c r="Q183" s="242"/>
    </row>
    <row r="184" spans="1:17" s="19" customFormat="1">
      <c r="A184" s="64"/>
      <c r="B184" s="78" t="s">
        <v>74</v>
      </c>
      <c r="C184" s="75">
        <f>SUM(C178:C183)</f>
        <v>15990208.409999996</v>
      </c>
      <c r="D184" s="76">
        <f>SUM(D178:D183)</f>
        <v>0</v>
      </c>
      <c r="E184" s="76">
        <f>SUM(E178:E183)</f>
        <v>457301</v>
      </c>
      <c r="F184" s="222">
        <f>SUM(F178:F183)</f>
        <v>456827.366714</v>
      </c>
      <c r="G184" s="74">
        <f>+ROUND(E184/C184*100,2)</f>
        <v>2.86</v>
      </c>
      <c r="H184" s="76">
        <f>SUM(H178:H183)</f>
        <v>0</v>
      </c>
      <c r="I184" s="76">
        <f>SUM(I178:I183)</f>
        <v>457301</v>
      </c>
      <c r="K184" s="138"/>
      <c r="L184" s="143"/>
      <c r="M184" s="146">
        <f>SUM(M178:M183)</f>
        <v>0</v>
      </c>
      <c r="N184" s="146">
        <f>SUM(N178:N183)</f>
        <v>321223.57631232229</v>
      </c>
      <c r="O184" s="146">
        <f>SUM(O178:O183)</f>
        <v>321223.57631232229</v>
      </c>
      <c r="P184" s="242"/>
      <c r="Q184" s="242"/>
    </row>
    <row r="185" spans="1:17" ht="15.75">
      <c r="A185" s="23"/>
      <c r="B185" s="79"/>
      <c r="C185" s="71"/>
      <c r="D185" s="72"/>
      <c r="E185" s="73"/>
      <c r="F185" s="220"/>
      <c r="G185" s="49"/>
      <c r="H185" s="44"/>
      <c r="I185" s="44"/>
      <c r="K185" s="137"/>
      <c r="L185" s="126"/>
      <c r="M185" s="135"/>
      <c r="N185" s="135"/>
      <c r="O185" s="135"/>
      <c r="P185" s="241"/>
      <c r="Q185" s="241"/>
    </row>
    <row r="186" spans="1:17" ht="15.75">
      <c r="A186" s="80"/>
      <c r="B186" s="81" t="s">
        <v>104</v>
      </c>
      <c r="C186" s="82">
        <f>C100+C110+C131+C154+C176+C184</f>
        <v>639379853.02999997</v>
      </c>
      <c r="D186" s="83">
        <f>D100+D110+D131+D154+D176+D184</f>
        <v>0</v>
      </c>
      <c r="E186" s="83">
        <f>E100+E110+E131+E154+E176+E184</f>
        <v>18378213</v>
      </c>
      <c r="F186" s="223">
        <f>F100+F110+F131+F154+F176+F184</f>
        <v>18375965.937548004</v>
      </c>
      <c r="G186" s="84">
        <f>+ROUND(E186/C186*100,2)</f>
        <v>2.87</v>
      </c>
      <c r="H186" s="83">
        <f>H100+H110+H131+H154+H176+H184</f>
        <v>0</v>
      </c>
      <c r="I186" s="83">
        <f>I100+I110+I131+I154+I176+I184</f>
        <v>18378213</v>
      </c>
      <c r="K186" s="134"/>
      <c r="L186" s="126"/>
      <c r="M186" s="147">
        <f>M100+M110+M131+M154+M176+M184</f>
        <v>0</v>
      </c>
      <c r="N186" s="147">
        <f>N100+N110+N131+N154+N176+N184</f>
        <v>12959079.108648853</v>
      </c>
      <c r="O186" s="147">
        <f>O100+O110+O131+O154+O176+O184</f>
        <v>12959079.108648853</v>
      </c>
      <c r="P186" s="241"/>
      <c r="Q186" s="241"/>
    </row>
    <row r="187" spans="1:17" s="19" customFormat="1">
      <c r="A187" s="85"/>
      <c r="B187" s="86"/>
      <c r="C187" s="87"/>
      <c r="D187" s="88"/>
      <c r="E187" s="89"/>
      <c r="F187" s="224"/>
      <c r="G187" s="74"/>
      <c r="H187" s="69"/>
      <c r="I187" s="69"/>
      <c r="K187" s="138"/>
      <c r="L187" s="143"/>
      <c r="M187" s="144"/>
      <c r="N187" s="144"/>
      <c r="O187" s="144"/>
      <c r="P187" s="242"/>
      <c r="Q187" s="242"/>
    </row>
    <row r="188" spans="1:17" ht="15.75">
      <c r="A188" s="80"/>
      <c r="B188" s="24" t="s">
        <v>105</v>
      </c>
      <c r="C188" s="87"/>
      <c r="D188" s="88"/>
      <c r="E188" s="46"/>
      <c r="F188" s="217"/>
      <c r="G188" s="49"/>
      <c r="H188" s="44"/>
      <c r="I188" s="44"/>
      <c r="K188" s="137"/>
      <c r="L188" s="126"/>
      <c r="M188" s="135"/>
      <c r="N188" s="135"/>
      <c r="O188" s="135"/>
      <c r="P188" s="241"/>
      <c r="Q188" s="241"/>
    </row>
    <row r="189" spans="1:17" ht="15.75">
      <c r="A189" s="80"/>
      <c r="B189" s="48"/>
      <c r="C189" s="87"/>
      <c r="D189" s="88"/>
      <c r="E189" s="46"/>
      <c r="F189" s="217"/>
      <c r="G189" s="49"/>
      <c r="H189" s="44"/>
      <c r="I189" s="44"/>
      <c r="K189" s="137"/>
      <c r="L189" s="126"/>
      <c r="M189" s="135"/>
      <c r="N189" s="135"/>
      <c r="O189" s="135"/>
      <c r="P189" s="241"/>
      <c r="Q189" s="241"/>
    </row>
    <row r="190" spans="1:17">
      <c r="A190" s="80">
        <v>353</v>
      </c>
      <c r="B190" s="18" t="s">
        <v>106</v>
      </c>
      <c r="C190" s="71">
        <v>269766938.30000001</v>
      </c>
      <c r="D190" s="72">
        <v>18351642</v>
      </c>
      <c r="E190" s="73">
        <v>5872454</v>
      </c>
      <c r="F190" s="218">
        <f t="shared" ref="F190:F195" si="51">C190*G190/100</f>
        <v>5880919.2549400004</v>
      </c>
      <c r="G190" s="74">
        <v>2.1800000000000002</v>
      </c>
      <c r="H190" s="59">
        <f t="shared" ref="H190:H195" si="52">ROUND(D190*(G190/100),0)</f>
        <v>400066</v>
      </c>
      <c r="I190" s="59">
        <f t="shared" ref="I190:I195" si="53">E190-H190</f>
        <v>5472388</v>
      </c>
      <c r="K190" s="138">
        <f>ROUND('Adjust Depr Table 1'!S220,2)</f>
        <v>2.1800000000000002</v>
      </c>
      <c r="L190" s="126"/>
      <c r="M190" s="139">
        <f t="shared" ref="M190:M195" si="54">ROUND(D190*(K190/100),0)</f>
        <v>400066</v>
      </c>
      <c r="N190" s="139">
        <f>'Adjust Depr Table 1'!Q220</f>
        <v>5872454</v>
      </c>
      <c r="O190" s="139">
        <f t="shared" ref="O190:O195" si="55">N190-M190</f>
        <v>5472388</v>
      </c>
      <c r="P190" s="241"/>
      <c r="Q190" s="241" t="str">
        <f>IF(C190-D190&lt;1,0,"No")</f>
        <v>No</v>
      </c>
    </row>
    <row r="191" spans="1:17">
      <c r="A191" s="80">
        <v>353.1</v>
      </c>
      <c r="B191" s="18" t="s">
        <v>107</v>
      </c>
      <c r="C191" s="71">
        <v>9476611.1600000001</v>
      </c>
      <c r="D191" s="72">
        <v>0</v>
      </c>
      <c r="E191" s="73">
        <v>598296</v>
      </c>
      <c r="F191" s="218">
        <f t="shared" si="51"/>
        <v>597974.16419599997</v>
      </c>
      <c r="G191" s="74">
        <v>6.31</v>
      </c>
      <c r="H191" s="59">
        <f t="shared" si="52"/>
        <v>0</v>
      </c>
      <c r="I191" s="59">
        <f t="shared" si="53"/>
        <v>598296</v>
      </c>
      <c r="K191" s="138">
        <f>ROUND('Adjust Depr Table 1'!S221,2)</f>
        <v>6.31</v>
      </c>
      <c r="L191" s="126"/>
      <c r="M191" s="139">
        <f t="shared" si="54"/>
        <v>0</v>
      </c>
      <c r="N191" s="139">
        <f>'Adjust Depr Table 1'!Q221</f>
        <v>598296</v>
      </c>
      <c r="O191" s="139">
        <f t="shared" si="55"/>
        <v>598296</v>
      </c>
      <c r="P191" s="241"/>
      <c r="Q191" s="241"/>
    </row>
    <row r="192" spans="1:17">
      <c r="A192" s="80">
        <v>354</v>
      </c>
      <c r="B192" s="18" t="s">
        <v>108</v>
      </c>
      <c r="C192" s="71">
        <v>3853520.91</v>
      </c>
      <c r="D192" s="72">
        <v>0</v>
      </c>
      <c r="E192" s="73">
        <v>63799</v>
      </c>
      <c r="F192" s="218">
        <f t="shared" si="51"/>
        <v>63968.447106</v>
      </c>
      <c r="G192" s="74">
        <v>1.66</v>
      </c>
      <c r="H192" s="59">
        <f t="shared" si="52"/>
        <v>0</v>
      </c>
      <c r="I192" s="59">
        <f t="shared" si="53"/>
        <v>63799</v>
      </c>
      <c r="K192" s="138">
        <f>ROUND('Adjust Depr Table 1'!S222,2)</f>
        <v>1.66</v>
      </c>
      <c r="L192" s="126"/>
      <c r="M192" s="139">
        <f t="shared" si="54"/>
        <v>0</v>
      </c>
      <c r="N192" s="139">
        <f>'Adjust Depr Table 1'!Q222</f>
        <v>63799</v>
      </c>
      <c r="O192" s="139">
        <f t="shared" si="55"/>
        <v>63799</v>
      </c>
      <c r="P192" s="241"/>
      <c r="Q192" s="241"/>
    </row>
    <row r="193" spans="1:17">
      <c r="A193" s="80">
        <v>355</v>
      </c>
      <c r="B193" s="18" t="s">
        <v>109</v>
      </c>
      <c r="C193" s="71">
        <v>166166560.00999999</v>
      </c>
      <c r="D193" s="72">
        <v>0</v>
      </c>
      <c r="E193" s="73">
        <v>4693496</v>
      </c>
      <c r="F193" s="218">
        <f t="shared" si="51"/>
        <v>4685896.9922819994</v>
      </c>
      <c r="G193" s="74">
        <v>2.82</v>
      </c>
      <c r="H193" s="59">
        <f t="shared" si="52"/>
        <v>0</v>
      </c>
      <c r="I193" s="59">
        <f t="shared" si="53"/>
        <v>4693496</v>
      </c>
      <c r="K193" s="138">
        <f>ROUND('Adjust Depr Table 1'!S223,2)</f>
        <v>2.82</v>
      </c>
      <c r="L193" s="126"/>
      <c r="M193" s="139">
        <f t="shared" si="54"/>
        <v>0</v>
      </c>
      <c r="N193" s="139">
        <f>'Adjust Depr Table 1'!Q223</f>
        <v>4693496</v>
      </c>
      <c r="O193" s="139">
        <f t="shared" si="55"/>
        <v>4693496</v>
      </c>
      <c r="P193" s="241"/>
      <c r="Q193" s="241"/>
    </row>
    <row r="194" spans="1:17">
      <c r="A194" s="80">
        <v>356</v>
      </c>
      <c r="B194" s="18" t="s">
        <v>110</v>
      </c>
      <c r="C194" s="71">
        <v>139611652.81999999</v>
      </c>
      <c r="D194" s="72">
        <v>0</v>
      </c>
      <c r="E194" s="73">
        <v>4043353</v>
      </c>
      <c r="F194" s="218">
        <f t="shared" si="51"/>
        <v>4048737.9317799998</v>
      </c>
      <c r="G194" s="74">
        <v>2.9</v>
      </c>
      <c r="H194" s="59">
        <f t="shared" si="52"/>
        <v>0</v>
      </c>
      <c r="I194" s="59">
        <f t="shared" si="53"/>
        <v>4043353</v>
      </c>
      <c r="K194" s="138">
        <f>ROUND('Adjust Depr Table 1'!S224,2)</f>
        <v>2.9</v>
      </c>
      <c r="L194" s="126"/>
      <c r="M194" s="139">
        <f t="shared" si="54"/>
        <v>0</v>
      </c>
      <c r="N194" s="139">
        <f>'Adjust Depr Table 1'!Q224</f>
        <v>4043353.0000000005</v>
      </c>
      <c r="O194" s="139">
        <f t="shared" si="55"/>
        <v>4043353.0000000005</v>
      </c>
      <c r="P194" s="241"/>
      <c r="Q194" s="241"/>
    </row>
    <row r="195" spans="1:17">
      <c r="A195" s="80">
        <v>359</v>
      </c>
      <c r="B195" s="18" t="s">
        <v>111</v>
      </c>
      <c r="C195" s="71">
        <v>23287.65</v>
      </c>
      <c r="D195" s="76">
        <v>0</v>
      </c>
      <c r="E195" s="73">
        <v>446</v>
      </c>
      <c r="F195" s="218">
        <f t="shared" si="51"/>
        <v>447.12288000000001</v>
      </c>
      <c r="G195" s="74">
        <v>1.92</v>
      </c>
      <c r="H195" s="63">
        <f t="shared" si="52"/>
        <v>0</v>
      </c>
      <c r="I195" s="63">
        <f t="shared" si="53"/>
        <v>446</v>
      </c>
      <c r="K195" s="138">
        <f>ROUND('Adjust Depr Table 1'!S225,2)</f>
        <v>1.92</v>
      </c>
      <c r="L195" s="126"/>
      <c r="M195" s="140">
        <f t="shared" si="54"/>
        <v>0</v>
      </c>
      <c r="N195" s="140">
        <f>'Adjust Depr Table 1'!Q225</f>
        <v>446</v>
      </c>
      <c r="O195" s="140">
        <f t="shared" si="55"/>
        <v>446</v>
      </c>
      <c r="P195" s="241"/>
      <c r="Q195" s="241"/>
    </row>
    <row r="196" spans="1:17">
      <c r="A196" s="80"/>
      <c r="C196" s="90"/>
      <c r="D196" s="72"/>
      <c r="E196" s="91"/>
      <c r="F196" s="225"/>
      <c r="G196" s="49"/>
      <c r="H196" s="44"/>
      <c r="I196" s="44"/>
      <c r="K196" s="137"/>
      <c r="L196" s="126"/>
      <c r="M196" s="135"/>
      <c r="N196" s="135"/>
      <c r="O196" s="135"/>
      <c r="P196" s="241"/>
      <c r="Q196" s="241"/>
    </row>
    <row r="197" spans="1:17" ht="15.75">
      <c r="A197" s="80"/>
      <c r="B197" s="81" t="s">
        <v>112</v>
      </c>
      <c r="C197" s="82">
        <f>SUM(C190:C195)</f>
        <v>588898570.85000002</v>
      </c>
      <c r="D197" s="92">
        <f>SUM(D190:D195)</f>
        <v>18351642</v>
      </c>
      <c r="E197" s="92">
        <f>SUM(E190:E195)</f>
        <v>15271844</v>
      </c>
      <c r="F197" s="226">
        <f>SUM(F190:F195)</f>
        <v>15277943.913184</v>
      </c>
      <c r="G197" s="84">
        <f>+ROUND(E197/C197*100,2)</f>
        <v>2.59</v>
      </c>
      <c r="H197" s="92">
        <f>SUM(H190:H195)</f>
        <v>400066</v>
      </c>
      <c r="I197" s="92">
        <f>SUM(I190:I195)</f>
        <v>14871778</v>
      </c>
      <c r="K197" s="134"/>
      <c r="L197" s="126"/>
      <c r="M197" s="148">
        <f>SUM(M190:M195)</f>
        <v>400066</v>
      </c>
      <c r="N197" s="148">
        <f>SUM(N190:N195)</f>
        <v>15271844</v>
      </c>
      <c r="O197" s="148">
        <f>SUM(O190:O195)</f>
        <v>14871778</v>
      </c>
      <c r="P197" s="241"/>
      <c r="Q197" s="241"/>
    </row>
    <row r="198" spans="1:17">
      <c r="A198" s="80"/>
      <c r="C198" s="87"/>
      <c r="D198" s="88"/>
      <c r="E198" s="46"/>
      <c r="F198" s="217"/>
      <c r="G198" s="49"/>
      <c r="H198" s="44"/>
      <c r="I198" s="44"/>
      <c r="K198" s="137"/>
      <c r="L198" s="126"/>
      <c r="M198" s="135"/>
      <c r="N198" s="135"/>
      <c r="O198" s="135"/>
      <c r="P198" s="241"/>
      <c r="Q198" s="241"/>
    </row>
    <row r="199" spans="1:17" ht="15.75">
      <c r="A199" s="80"/>
      <c r="B199" s="24" t="s">
        <v>113</v>
      </c>
      <c r="C199" s="87"/>
      <c r="D199" s="88"/>
      <c r="E199" s="46"/>
      <c r="F199" s="217"/>
      <c r="G199" s="49"/>
      <c r="H199" s="44"/>
      <c r="I199" s="44"/>
      <c r="K199" s="137"/>
      <c r="L199" s="126"/>
      <c r="M199" s="135"/>
      <c r="N199" s="135"/>
      <c r="O199" s="135"/>
      <c r="P199" s="241"/>
      <c r="Q199" s="241"/>
    </row>
    <row r="200" spans="1:17" ht="15.75">
      <c r="A200" s="80"/>
      <c r="B200" s="48"/>
      <c r="C200" s="87"/>
      <c r="D200" s="88"/>
      <c r="E200" s="46"/>
      <c r="F200" s="217"/>
      <c r="G200" s="49"/>
      <c r="H200" s="44"/>
      <c r="I200" s="44"/>
      <c r="K200" s="137"/>
      <c r="L200" s="126"/>
      <c r="M200" s="135"/>
      <c r="N200" s="135"/>
      <c r="O200" s="135"/>
      <c r="P200" s="241"/>
      <c r="Q200" s="241"/>
    </row>
    <row r="201" spans="1:17">
      <c r="A201" s="80">
        <v>362</v>
      </c>
      <c r="B201" s="18" t="s">
        <v>106</v>
      </c>
      <c r="C201" s="71">
        <v>228725585.62</v>
      </c>
      <c r="D201" s="72">
        <v>0</v>
      </c>
      <c r="E201" s="73">
        <v>5817664</v>
      </c>
      <c r="F201" s="218">
        <f>C201*G201/100</f>
        <v>5809629.8747479999</v>
      </c>
      <c r="G201" s="74">
        <v>2.54</v>
      </c>
      <c r="H201" s="59">
        <f>ROUND(D201*(G201/100),0)</f>
        <v>0</v>
      </c>
      <c r="I201" s="59">
        <f>E201-H201</f>
        <v>5817664</v>
      </c>
      <c r="K201" s="138">
        <f>ROUND('Adjust Depr Table 1'!S231,2)</f>
        <v>2.54</v>
      </c>
      <c r="L201" s="126"/>
      <c r="M201" s="139">
        <f>ROUND(D201*(K201/100),0)</f>
        <v>0</v>
      </c>
      <c r="N201" s="139">
        <f>'Adjust Depr Table 1'!Q231</f>
        <v>5817664</v>
      </c>
      <c r="O201" s="139">
        <f>N201-M201</f>
        <v>5817664</v>
      </c>
      <c r="P201" s="241"/>
      <c r="Q201" s="241"/>
    </row>
    <row r="202" spans="1:17">
      <c r="A202" s="80">
        <v>362.1</v>
      </c>
      <c r="B202" s="18" t="s">
        <v>114</v>
      </c>
      <c r="C202" s="71">
        <v>7252060.3200000003</v>
      </c>
      <c r="D202" s="72">
        <v>0</v>
      </c>
      <c r="E202" s="73">
        <v>138662</v>
      </c>
      <c r="F202" s="218">
        <f>C202*G202/100</f>
        <v>138514.35211199999</v>
      </c>
      <c r="G202" s="74">
        <v>1.91</v>
      </c>
      <c r="H202" s="59">
        <f>ROUND(D202*(G202/100),0)</f>
        <v>0</v>
      </c>
      <c r="I202" s="59">
        <f>E202-H202</f>
        <v>138662</v>
      </c>
      <c r="K202" s="138">
        <f>ROUND('Adjust Depr Table 1'!S232,2)</f>
        <v>1.91</v>
      </c>
      <c r="L202" s="126"/>
      <c r="M202" s="139">
        <f>ROUND(D202*(K202/100),0)</f>
        <v>0</v>
      </c>
      <c r="N202" s="139">
        <f>'Adjust Depr Table 1'!Q232</f>
        <v>138662</v>
      </c>
      <c r="O202" s="139">
        <f>N202-M202</f>
        <v>138662</v>
      </c>
      <c r="P202" s="241"/>
      <c r="Q202" s="241"/>
    </row>
    <row r="203" spans="1:17">
      <c r="A203" s="80">
        <v>368</v>
      </c>
      <c r="B203" s="18" t="s">
        <v>115</v>
      </c>
      <c r="C203" s="71">
        <v>2413995.98</v>
      </c>
      <c r="D203" s="76">
        <v>0</v>
      </c>
      <c r="E203" s="73">
        <v>26958</v>
      </c>
      <c r="F203" s="218">
        <f>C203*G203/100</f>
        <v>27036.754976000004</v>
      </c>
      <c r="G203" s="74">
        <v>1.1200000000000001</v>
      </c>
      <c r="H203" s="63">
        <f>ROUND(D203*(G203/100),0)</f>
        <v>0</v>
      </c>
      <c r="I203" s="63">
        <f>E203-H203</f>
        <v>26958</v>
      </c>
      <c r="K203" s="138">
        <f>ROUND('Adjust Depr Table 1'!S233,2)</f>
        <v>1.1200000000000001</v>
      </c>
      <c r="L203" s="126"/>
      <c r="M203" s="140">
        <f>ROUND(D203*(K203/100),0)</f>
        <v>0</v>
      </c>
      <c r="N203" s="140">
        <f>'Adjust Depr Table 1'!Q233</f>
        <v>26958</v>
      </c>
      <c r="O203" s="140">
        <f>N203-M203</f>
        <v>26958</v>
      </c>
      <c r="P203" s="241"/>
      <c r="Q203" s="241"/>
    </row>
    <row r="204" spans="1:17">
      <c r="A204" s="80"/>
      <c r="C204" s="90"/>
      <c r="D204" s="72"/>
      <c r="E204" s="91"/>
      <c r="F204" s="225"/>
      <c r="G204" s="49"/>
      <c r="H204" s="44"/>
      <c r="I204" s="44"/>
      <c r="K204" s="137"/>
      <c r="L204" s="126"/>
      <c r="M204" s="135"/>
      <c r="N204" s="135"/>
      <c r="O204" s="135"/>
      <c r="P204" s="241"/>
      <c r="Q204" s="241"/>
    </row>
    <row r="205" spans="1:17" ht="15.75">
      <c r="A205" s="80"/>
      <c r="B205" s="81" t="s">
        <v>116</v>
      </c>
      <c r="C205" s="82">
        <f>SUM(C201:C203)</f>
        <v>238391641.91999999</v>
      </c>
      <c r="D205" s="92">
        <f>SUM(D201:D203)</f>
        <v>0</v>
      </c>
      <c r="E205" s="92">
        <f>SUM(E201:E203)</f>
        <v>5983284</v>
      </c>
      <c r="F205" s="226">
        <f>SUM(F201:F203)</f>
        <v>5975180.9818359995</v>
      </c>
      <c r="G205" s="84">
        <f>+ROUND(E205/C205*100,2)</f>
        <v>2.5099999999999998</v>
      </c>
      <c r="H205" s="92">
        <f>SUM(H201:H203)</f>
        <v>0</v>
      </c>
      <c r="I205" s="92">
        <f>SUM(I201:I203)</f>
        <v>5983284</v>
      </c>
      <c r="K205" s="134"/>
      <c r="L205" s="126"/>
      <c r="M205" s="148">
        <f>SUM(M201:M203)</f>
        <v>0</v>
      </c>
      <c r="N205" s="148">
        <f>SUM(N201:N203)</f>
        <v>5983284</v>
      </c>
      <c r="O205" s="148">
        <f>SUM(O201:O203)</f>
        <v>5983284</v>
      </c>
      <c r="P205" s="241"/>
      <c r="Q205" s="241"/>
    </row>
    <row r="206" spans="1:17">
      <c r="A206" s="80"/>
      <c r="C206" s="87"/>
      <c r="D206" s="88"/>
      <c r="E206" s="46"/>
      <c r="F206" s="217"/>
      <c r="G206" s="49"/>
      <c r="H206" s="44"/>
      <c r="I206" s="44"/>
      <c r="K206" s="137"/>
      <c r="L206" s="126"/>
      <c r="M206" s="135"/>
      <c r="N206" s="135"/>
      <c r="O206" s="135"/>
      <c r="P206" s="241"/>
      <c r="Q206" s="241"/>
    </row>
    <row r="207" spans="1:17" ht="15.75">
      <c r="A207" s="80"/>
      <c r="B207" s="24" t="s">
        <v>117</v>
      </c>
      <c r="C207" s="87"/>
      <c r="D207" s="88"/>
      <c r="E207" s="46"/>
      <c r="F207" s="217"/>
      <c r="G207" s="49"/>
      <c r="H207" s="44"/>
      <c r="I207" s="44"/>
      <c r="K207" s="137"/>
      <c r="L207" s="126"/>
      <c r="M207" s="135"/>
      <c r="N207" s="135"/>
      <c r="O207" s="135"/>
      <c r="P207" s="241"/>
      <c r="Q207" s="241"/>
    </row>
    <row r="208" spans="1:17" ht="15.75">
      <c r="A208" s="80"/>
      <c r="B208" s="48"/>
      <c r="C208" s="87"/>
      <c r="D208" s="88"/>
      <c r="E208" s="46"/>
      <c r="F208" s="217"/>
      <c r="G208" s="49"/>
      <c r="H208" s="44"/>
      <c r="I208" s="44"/>
      <c r="K208" s="137"/>
      <c r="L208" s="126"/>
      <c r="M208" s="135"/>
      <c r="N208" s="135"/>
      <c r="O208" s="135"/>
      <c r="P208" s="241"/>
      <c r="Q208" s="241"/>
    </row>
    <row r="209" spans="1:17">
      <c r="A209" s="80">
        <v>390</v>
      </c>
      <c r="B209" s="86" t="s">
        <v>118</v>
      </c>
      <c r="C209" s="71">
        <v>17176820.18</v>
      </c>
      <c r="D209" s="72">
        <v>0</v>
      </c>
      <c r="E209" s="73">
        <v>170358</v>
      </c>
      <c r="F209" s="218">
        <f>C209*G209/100</f>
        <v>170050.51978199999</v>
      </c>
      <c r="G209" s="74">
        <v>0.99</v>
      </c>
      <c r="H209" s="59">
        <f>ROUND(D209*(G209/100),0)</f>
        <v>0</v>
      </c>
      <c r="I209" s="59">
        <f>E209-H209</f>
        <v>170358</v>
      </c>
      <c r="K209" s="138">
        <v>0.99</v>
      </c>
      <c r="L209" s="126"/>
      <c r="M209" s="139">
        <f>ROUND(D209*(K209/100),0)</f>
        <v>0</v>
      </c>
      <c r="N209" s="139">
        <f>'Adjust Depr Table 1'!Q239</f>
        <v>170358</v>
      </c>
      <c r="O209" s="139">
        <f>N209-M209</f>
        <v>170358</v>
      </c>
      <c r="P209" s="241"/>
      <c r="Q209" s="241"/>
    </row>
    <row r="210" spans="1:17">
      <c r="A210" s="80">
        <v>391</v>
      </c>
      <c r="B210" s="94" t="s">
        <v>119</v>
      </c>
      <c r="C210" s="71"/>
      <c r="D210" s="72"/>
      <c r="E210" s="73"/>
      <c r="F210" s="220"/>
      <c r="G210" s="74"/>
      <c r="H210" s="44"/>
      <c r="I210" s="44"/>
      <c r="K210" s="138"/>
      <c r="L210" s="126"/>
      <c r="M210" s="135"/>
      <c r="N210" s="135"/>
      <c r="O210" s="135"/>
      <c r="P210" s="241"/>
      <c r="Q210" s="241"/>
    </row>
    <row r="211" spans="1:17">
      <c r="A211" s="80"/>
      <c r="B211" s="95" t="s">
        <v>120</v>
      </c>
      <c r="C211" s="55">
        <v>2016677.53</v>
      </c>
      <c r="D211" s="56">
        <v>0</v>
      </c>
      <c r="E211" s="57">
        <v>0</v>
      </c>
      <c r="F211" s="218">
        <f>C211*G211/100</f>
        <v>0</v>
      </c>
      <c r="G211" s="58">
        <v>0</v>
      </c>
      <c r="H211" s="59">
        <f>ROUND(D211*(G211/100),0)</f>
        <v>0</v>
      </c>
      <c r="I211" s="59">
        <f>E211-H211</f>
        <v>0</v>
      </c>
      <c r="K211" s="138">
        <v>0</v>
      </c>
      <c r="L211" s="126"/>
      <c r="M211" s="139">
        <f>ROUND(D211*(K211/100),0)</f>
        <v>0</v>
      </c>
      <c r="N211" s="139">
        <f>'Adjust Depr Table 1'!Q242</f>
        <v>0</v>
      </c>
      <c r="O211" s="139">
        <f>N211-M211</f>
        <v>0</v>
      </c>
      <c r="P211" s="241"/>
      <c r="Q211" s="241"/>
    </row>
    <row r="212" spans="1:17">
      <c r="A212" s="80"/>
      <c r="B212" s="95" t="s">
        <v>121</v>
      </c>
      <c r="C212" s="60">
        <v>9301032.1600000001</v>
      </c>
      <c r="D212" s="61">
        <v>0</v>
      </c>
      <c r="E212" s="62">
        <v>465074</v>
      </c>
      <c r="F212" s="216">
        <f>C212*G212/100</f>
        <v>465051.60799999995</v>
      </c>
      <c r="G212" s="58">
        <v>5</v>
      </c>
      <c r="H212" s="63">
        <f>ROUND(D212*(G212/100),0)</f>
        <v>0</v>
      </c>
      <c r="I212" s="63">
        <f>E212-H212</f>
        <v>465074</v>
      </c>
      <c r="K212" s="138">
        <v>5</v>
      </c>
      <c r="L212" s="126"/>
      <c r="M212" s="140">
        <f>ROUND(D212*(K212/100),0)</f>
        <v>0</v>
      </c>
      <c r="N212" s="140">
        <f>'Adjust Depr Table 1'!Q243</f>
        <v>465074</v>
      </c>
      <c r="O212" s="140">
        <f>N212-M212</f>
        <v>465074</v>
      </c>
      <c r="P212" s="241"/>
      <c r="Q212" s="241"/>
    </row>
    <row r="213" spans="1:17">
      <c r="A213" s="80"/>
      <c r="B213" s="37" t="s">
        <v>122</v>
      </c>
      <c r="C213" s="55">
        <f>C211+C212</f>
        <v>11317709.689999999</v>
      </c>
      <c r="D213" s="56">
        <f>D211+D212</f>
        <v>0</v>
      </c>
      <c r="E213" s="56">
        <f>E211+E212</f>
        <v>465074</v>
      </c>
      <c r="F213" s="227">
        <f>F211+F212</f>
        <v>465051.60799999995</v>
      </c>
      <c r="G213" s="58">
        <f>+ROUND(E213/C213*100,2)</f>
        <v>4.1100000000000003</v>
      </c>
      <c r="H213" s="56">
        <f>H211+H212</f>
        <v>0</v>
      </c>
      <c r="I213" s="56">
        <f>I211+I212</f>
        <v>465074</v>
      </c>
      <c r="K213" s="138"/>
      <c r="L213" s="126"/>
      <c r="M213" s="149">
        <f>M211+M212</f>
        <v>0</v>
      </c>
      <c r="N213" s="149">
        <f>N211+N212</f>
        <v>465074</v>
      </c>
      <c r="O213" s="149">
        <f>O211+O212</f>
        <v>465074</v>
      </c>
      <c r="P213" s="241"/>
      <c r="Q213" s="241"/>
    </row>
    <row r="214" spans="1:17">
      <c r="A214" s="80">
        <v>391.1</v>
      </c>
      <c r="B214" s="94" t="s">
        <v>123</v>
      </c>
      <c r="C214" s="71"/>
      <c r="D214" s="72"/>
      <c r="E214" s="73"/>
      <c r="F214" s="220"/>
      <c r="G214" s="74"/>
      <c r="H214" s="44"/>
      <c r="I214" s="44"/>
      <c r="K214" s="138"/>
      <c r="L214" s="126"/>
      <c r="M214" s="135"/>
      <c r="N214" s="135"/>
      <c r="O214" s="135"/>
      <c r="P214" s="241"/>
      <c r="Q214" s="241"/>
    </row>
    <row r="215" spans="1:17">
      <c r="A215" s="80"/>
      <c r="B215" s="95" t="s">
        <v>120</v>
      </c>
      <c r="C215" s="55">
        <v>2771805.14</v>
      </c>
      <c r="D215" s="56">
        <v>0</v>
      </c>
      <c r="E215" s="57">
        <v>0</v>
      </c>
      <c r="F215" s="218">
        <f>C215*G215/100</f>
        <v>0</v>
      </c>
      <c r="G215" s="58">
        <v>0</v>
      </c>
      <c r="H215" s="59">
        <f>ROUND(D215*(G215/100),0)</f>
        <v>0</v>
      </c>
      <c r="I215" s="59">
        <f>E215-H215</f>
        <v>0</v>
      </c>
      <c r="K215" s="138">
        <v>0</v>
      </c>
      <c r="L215" s="126"/>
      <c r="M215" s="139">
        <f>ROUND(D215*(K215/100),0)</f>
        <v>0</v>
      </c>
      <c r="N215" s="139">
        <f>ROUND(E215*(L215/100),0)</f>
        <v>0</v>
      </c>
      <c r="O215" s="139">
        <f>N215-M215</f>
        <v>0</v>
      </c>
      <c r="P215" s="241"/>
      <c r="Q215" s="241"/>
    </row>
    <row r="216" spans="1:17">
      <c r="A216" s="80"/>
      <c r="B216" s="95" t="s">
        <v>121</v>
      </c>
      <c r="C216" s="60">
        <v>14526688.529999999</v>
      </c>
      <c r="D216" s="61">
        <v>0</v>
      </c>
      <c r="E216" s="62">
        <v>968596</v>
      </c>
      <c r="F216" s="216">
        <f>C216*G216/100</f>
        <v>968930.12495099986</v>
      </c>
      <c r="G216" s="58">
        <v>6.67</v>
      </c>
      <c r="H216" s="63">
        <f>ROUND(D216*(G216/100),0)</f>
        <v>0</v>
      </c>
      <c r="I216" s="63">
        <f>E216-H216</f>
        <v>968596</v>
      </c>
      <c r="K216" s="138">
        <v>6.67</v>
      </c>
      <c r="L216" s="126"/>
      <c r="M216" s="140">
        <f>ROUND(D216*(K216/100),0)</f>
        <v>0</v>
      </c>
      <c r="N216" s="140">
        <f>'Adjust Depr Table 1'!Q249</f>
        <v>968596</v>
      </c>
      <c r="O216" s="140">
        <f>N216-M216</f>
        <v>968596</v>
      </c>
      <c r="P216" s="241"/>
      <c r="Q216" s="241"/>
    </row>
    <row r="217" spans="1:17">
      <c r="A217" s="80"/>
      <c r="B217" s="37" t="s">
        <v>124</v>
      </c>
      <c r="C217" s="55">
        <f>C215+C216</f>
        <v>17298493.669999998</v>
      </c>
      <c r="D217" s="56">
        <f>D215+D216</f>
        <v>0</v>
      </c>
      <c r="E217" s="56">
        <f>E215+E216</f>
        <v>968596</v>
      </c>
      <c r="F217" s="227">
        <f>F215+F216</f>
        <v>968930.12495099986</v>
      </c>
      <c r="G217" s="58">
        <f>+ROUND(E217/C217*100,2)</f>
        <v>5.6</v>
      </c>
      <c r="H217" s="56">
        <f>H215+H216</f>
        <v>0</v>
      </c>
      <c r="I217" s="56">
        <f>I215+I216</f>
        <v>968596</v>
      </c>
      <c r="K217" s="138"/>
      <c r="L217" s="126"/>
      <c r="M217" s="149">
        <f>M215+M216</f>
        <v>0</v>
      </c>
      <c r="N217" s="149">
        <f>N215+N216</f>
        <v>968596</v>
      </c>
      <c r="O217" s="149">
        <f>O215+O216</f>
        <v>968596</v>
      </c>
      <c r="P217" s="241"/>
      <c r="Q217" s="241"/>
    </row>
    <row r="218" spans="1:17">
      <c r="A218" s="80">
        <v>392</v>
      </c>
      <c r="B218" s="94" t="s">
        <v>125</v>
      </c>
      <c r="C218" s="71">
        <v>17294828.559999999</v>
      </c>
      <c r="D218" s="72">
        <v>0</v>
      </c>
      <c r="E218" s="73">
        <v>1010178</v>
      </c>
      <c r="F218" s="218">
        <f>C218*G218/100</f>
        <v>1010017.9879039999</v>
      </c>
      <c r="G218" s="74">
        <v>5.84</v>
      </c>
      <c r="H218" s="59">
        <f>ROUND(D218*(G218/100),0)</f>
        <v>0</v>
      </c>
      <c r="I218" s="59">
        <f>E218-H218</f>
        <v>1010178</v>
      </c>
      <c r="K218" s="138">
        <v>5.84</v>
      </c>
      <c r="L218" s="126"/>
      <c r="M218" s="139">
        <f>ROUND(I218*(L218/100),0)</f>
        <v>0</v>
      </c>
      <c r="N218" s="139">
        <f>'Adjust Depr Table 1'!Q253</f>
        <v>1010178</v>
      </c>
      <c r="O218" s="139">
        <f>N218-M218</f>
        <v>1010178</v>
      </c>
      <c r="P218" s="241"/>
      <c r="Q218" s="241"/>
    </row>
    <row r="219" spans="1:17">
      <c r="A219" s="80">
        <v>393</v>
      </c>
      <c r="B219" s="86" t="s">
        <v>126</v>
      </c>
      <c r="C219" s="71">
        <v>132973.46</v>
      </c>
      <c r="D219" s="72">
        <v>0</v>
      </c>
      <c r="E219" s="73">
        <v>5318</v>
      </c>
      <c r="F219" s="218">
        <f>C219*G219/100</f>
        <v>5318.9384</v>
      </c>
      <c r="G219" s="74">
        <v>4</v>
      </c>
      <c r="H219" s="59">
        <f>ROUND(D219*(G219/100),0)</f>
        <v>0</v>
      </c>
      <c r="I219" s="59">
        <f>E219-H219</f>
        <v>5318</v>
      </c>
      <c r="K219" s="138">
        <v>4</v>
      </c>
      <c r="L219" s="126"/>
      <c r="M219" s="139">
        <f>ROUND(I219*(L219/100),0)</f>
        <v>0</v>
      </c>
      <c r="N219" s="139">
        <f>'Adjust Depr Table 1'!Q254</f>
        <v>5318</v>
      </c>
      <c r="O219" s="139">
        <f>N219-M219</f>
        <v>5318</v>
      </c>
      <c r="P219" s="241"/>
      <c r="Q219" s="241"/>
    </row>
    <row r="220" spans="1:17">
      <c r="A220" s="80">
        <v>394</v>
      </c>
      <c r="B220" s="96" t="s">
        <v>127</v>
      </c>
      <c r="C220" s="71"/>
      <c r="D220" s="72"/>
      <c r="E220" s="73"/>
      <c r="F220" s="220"/>
      <c r="G220" s="74"/>
      <c r="H220" s="44"/>
      <c r="I220" s="44"/>
      <c r="K220" s="138"/>
      <c r="L220" s="126"/>
      <c r="M220" s="135"/>
      <c r="N220" s="135"/>
      <c r="O220" s="135"/>
      <c r="P220" s="241"/>
      <c r="Q220" s="241"/>
    </row>
    <row r="221" spans="1:17">
      <c r="A221" s="80"/>
      <c r="B221" s="95" t="s">
        <v>120</v>
      </c>
      <c r="C221" s="55">
        <v>772161.33</v>
      </c>
      <c r="D221" s="56">
        <v>0</v>
      </c>
      <c r="E221" s="57">
        <v>0</v>
      </c>
      <c r="F221" s="218">
        <f>C221*G221/100</f>
        <v>0</v>
      </c>
      <c r="G221" s="58">
        <v>0</v>
      </c>
      <c r="H221" s="59">
        <f>ROUND(D221*(G221/100),0)</f>
        <v>0</v>
      </c>
      <c r="I221" s="59">
        <f>E221-H221</f>
        <v>0</v>
      </c>
      <c r="K221" s="138">
        <v>0</v>
      </c>
      <c r="L221" s="126"/>
      <c r="M221" s="139">
        <f>ROUND(I221*(L221/100),0)</f>
        <v>0</v>
      </c>
      <c r="N221" s="139">
        <f>'Adjust Depr Table 1'!Q257</f>
        <v>0</v>
      </c>
      <c r="O221" s="139">
        <f>N221-M221</f>
        <v>0</v>
      </c>
      <c r="P221" s="241"/>
      <c r="Q221" s="241"/>
    </row>
    <row r="222" spans="1:17">
      <c r="A222" s="80"/>
      <c r="B222" s="95" t="s">
        <v>121</v>
      </c>
      <c r="C222" s="60">
        <v>1540988.46</v>
      </c>
      <c r="D222" s="61">
        <v>0</v>
      </c>
      <c r="E222" s="62">
        <v>77077</v>
      </c>
      <c r="F222" s="216">
        <f>C222*G222/100</f>
        <v>77049.422999999995</v>
      </c>
      <c r="G222" s="58">
        <v>5</v>
      </c>
      <c r="H222" s="63">
        <f>ROUND(D222*(G222/100),0)</f>
        <v>0</v>
      </c>
      <c r="I222" s="63">
        <f>E222-H222</f>
        <v>77077</v>
      </c>
      <c r="K222" s="138">
        <v>5</v>
      </c>
      <c r="L222" s="126"/>
      <c r="M222" s="140">
        <f>ROUND(I222*(L222/100),0)</f>
        <v>0</v>
      </c>
      <c r="N222" s="140">
        <f>'Adjust Depr Table 1'!Q258</f>
        <v>77077</v>
      </c>
      <c r="O222" s="140">
        <f>N222-M222</f>
        <v>77077</v>
      </c>
      <c r="P222" s="241"/>
      <c r="Q222" s="241"/>
    </row>
    <row r="223" spans="1:17">
      <c r="A223" s="80"/>
      <c r="B223" s="37" t="s">
        <v>128</v>
      </c>
      <c r="C223" s="55">
        <f>C221+C222</f>
        <v>2313149.79</v>
      </c>
      <c r="D223" s="56">
        <f>D221+D222</f>
        <v>0</v>
      </c>
      <c r="E223" s="56">
        <f>E221+E222</f>
        <v>77077</v>
      </c>
      <c r="F223" s="227">
        <f>F221+F222</f>
        <v>77049.422999999995</v>
      </c>
      <c r="G223" s="58">
        <f>+ROUND(E223/C223*100,2)</f>
        <v>3.33</v>
      </c>
      <c r="H223" s="56">
        <f>H221+H222</f>
        <v>0</v>
      </c>
      <c r="I223" s="56">
        <f>I221+I222</f>
        <v>77077</v>
      </c>
      <c r="K223" s="138"/>
      <c r="L223" s="126"/>
      <c r="M223" s="149">
        <f>M221+M222</f>
        <v>0</v>
      </c>
      <c r="N223" s="149">
        <f>N221+N222</f>
        <v>77077</v>
      </c>
      <c r="O223" s="149">
        <f>O221+O222</f>
        <v>77077</v>
      </c>
      <c r="P223" s="241"/>
      <c r="Q223" s="241"/>
    </row>
    <row r="224" spans="1:17">
      <c r="A224" s="80">
        <v>395</v>
      </c>
      <c r="B224" s="86" t="s">
        <v>129</v>
      </c>
      <c r="C224" s="55"/>
      <c r="D224" s="56"/>
      <c r="E224" s="57"/>
      <c r="F224" s="218"/>
      <c r="G224" s="58"/>
      <c r="H224" s="44"/>
      <c r="I224" s="44"/>
      <c r="K224" s="138"/>
      <c r="L224" s="126"/>
      <c r="M224" s="135"/>
      <c r="N224" s="135"/>
      <c r="O224" s="135"/>
      <c r="P224" s="241"/>
      <c r="Q224" s="241"/>
    </row>
    <row r="225" spans="1:17">
      <c r="A225" s="80"/>
      <c r="B225" s="95" t="s">
        <v>120</v>
      </c>
      <c r="C225" s="55">
        <v>1251278.95</v>
      </c>
      <c r="D225" s="56">
        <v>0</v>
      </c>
      <c r="E225" s="57">
        <v>0</v>
      </c>
      <c r="F225" s="218">
        <f>C225*G225/100</f>
        <v>0</v>
      </c>
      <c r="G225" s="58">
        <v>0</v>
      </c>
      <c r="H225" s="59">
        <f>ROUND(D225*(G225/100),0)</f>
        <v>0</v>
      </c>
      <c r="I225" s="59">
        <f>E225-H225</f>
        <v>0</v>
      </c>
      <c r="K225" s="138">
        <v>0</v>
      </c>
      <c r="L225" s="126"/>
      <c r="M225" s="139">
        <f>ROUND(I225*(L225/100),0)</f>
        <v>0</v>
      </c>
      <c r="N225" s="139">
        <f>'Adjust Depr Table 1'!Q263</f>
        <v>0</v>
      </c>
      <c r="O225" s="139">
        <f>N225-M225</f>
        <v>0</v>
      </c>
      <c r="P225" s="241"/>
      <c r="Q225" s="241"/>
    </row>
    <row r="226" spans="1:17">
      <c r="A226" s="80"/>
      <c r="B226" s="95" t="s">
        <v>121</v>
      </c>
      <c r="C226" s="60">
        <v>4059896.75</v>
      </c>
      <c r="D226" s="61">
        <v>0</v>
      </c>
      <c r="E226" s="62">
        <v>203000</v>
      </c>
      <c r="F226" s="216">
        <f>C226*G226/100</f>
        <v>202994.83749999999</v>
      </c>
      <c r="G226" s="58">
        <v>5</v>
      </c>
      <c r="H226" s="63">
        <f>ROUND(D226*(G226/100),0)</f>
        <v>0</v>
      </c>
      <c r="I226" s="63">
        <f>E226-H226</f>
        <v>203000</v>
      </c>
      <c r="K226" s="138">
        <v>5</v>
      </c>
      <c r="L226" s="126"/>
      <c r="M226" s="140">
        <f>ROUND(I226*(L226/100),0)</f>
        <v>0</v>
      </c>
      <c r="N226" s="140">
        <f>'Adjust Depr Table 1'!Q264</f>
        <v>203000</v>
      </c>
      <c r="O226" s="140">
        <f>N226-M226</f>
        <v>203000</v>
      </c>
      <c r="P226" s="241"/>
      <c r="Q226" s="241"/>
    </row>
    <row r="227" spans="1:17">
      <c r="A227" s="80"/>
      <c r="B227" s="37" t="s">
        <v>130</v>
      </c>
      <c r="C227" s="55">
        <f>C225+C226</f>
        <v>5311175.7</v>
      </c>
      <c r="D227" s="56">
        <f>D225+D226</f>
        <v>0</v>
      </c>
      <c r="E227" s="56">
        <f>E225+E226</f>
        <v>203000</v>
      </c>
      <c r="F227" s="227">
        <f>F225+F226</f>
        <v>202994.83749999999</v>
      </c>
      <c r="G227" s="58">
        <f>+ROUND(E227/C227*100,2)</f>
        <v>3.82</v>
      </c>
      <c r="H227" s="56">
        <f>H225+H226</f>
        <v>0</v>
      </c>
      <c r="I227" s="56">
        <f>I225+I226</f>
        <v>203000</v>
      </c>
      <c r="K227" s="138"/>
      <c r="L227" s="126"/>
      <c r="M227" s="149">
        <f>M225+M226</f>
        <v>0</v>
      </c>
      <c r="N227" s="149">
        <f>N225+N226</f>
        <v>203000</v>
      </c>
      <c r="O227" s="149">
        <f>O225+O226</f>
        <v>203000</v>
      </c>
      <c r="P227" s="241"/>
      <c r="Q227" s="241"/>
    </row>
    <row r="228" spans="1:17">
      <c r="A228" s="80">
        <v>396</v>
      </c>
      <c r="B228" s="19" t="s">
        <v>131</v>
      </c>
      <c r="C228" s="71">
        <v>20685598.48</v>
      </c>
      <c r="D228" s="72">
        <v>0</v>
      </c>
      <c r="E228" s="73">
        <v>416907</v>
      </c>
      <c r="F228" s="218">
        <f>C228*G228/100</f>
        <v>417849.08929600002</v>
      </c>
      <c r="G228" s="74">
        <v>2.02</v>
      </c>
      <c r="H228" s="59">
        <f>ROUND(D228*(G228/100),0)</f>
        <v>0</v>
      </c>
      <c r="I228" s="59">
        <f>E228-H228</f>
        <v>416907</v>
      </c>
      <c r="K228" s="138">
        <v>2.02</v>
      </c>
      <c r="L228" s="126"/>
      <c r="M228" s="139">
        <f>ROUND(I228*(L228/100),0)</f>
        <v>0</v>
      </c>
      <c r="N228" s="139">
        <f>'Adjust Depr Table 1'!Q268</f>
        <v>416907</v>
      </c>
      <c r="O228" s="139">
        <f>N228-M228</f>
        <v>416907</v>
      </c>
      <c r="P228" s="241"/>
      <c r="Q228" s="241"/>
    </row>
    <row r="229" spans="1:17">
      <c r="A229" s="80">
        <v>397</v>
      </c>
      <c r="B229" s="19" t="s">
        <v>132</v>
      </c>
      <c r="C229" s="71"/>
      <c r="D229" s="72"/>
      <c r="E229" s="73"/>
      <c r="F229" s="220"/>
      <c r="G229" s="74"/>
      <c r="H229" s="44"/>
      <c r="I229" s="44"/>
      <c r="K229" s="138"/>
      <c r="L229" s="126"/>
      <c r="M229" s="135"/>
      <c r="N229" s="135"/>
      <c r="O229" s="135"/>
      <c r="P229" s="241"/>
      <c r="Q229" s="241"/>
    </row>
    <row r="230" spans="1:17">
      <c r="A230" s="80"/>
      <c r="B230" s="95" t="s">
        <v>120</v>
      </c>
      <c r="C230" s="55">
        <v>23276736.879999999</v>
      </c>
      <c r="D230" s="56">
        <v>0</v>
      </c>
      <c r="E230" s="57">
        <v>0</v>
      </c>
      <c r="F230" s="218">
        <f>C230*G230/100</f>
        <v>0</v>
      </c>
      <c r="G230" s="58">
        <v>0</v>
      </c>
      <c r="H230" s="59">
        <f>ROUND(D230*(G230/100),0)</f>
        <v>0</v>
      </c>
      <c r="I230" s="59">
        <f>E230-H230</f>
        <v>0</v>
      </c>
      <c r="K230" s="138">
        <v>0</v>
      </c>
      <c r="L230" s="126"/>
      <c r="M230" s="139">
        <f>ROUND(I230*(L230/100),0)</f>
        <v>0</v>
      </c>
      <c r="N230" s="139">
        <f>'Adjust Depr Table 1'!Q271</f>
        <v>0</v>
      </c>
      <c r="O230" s="139">
        <f>N230-M230</f>
        <v>0</v>
      </c>
      <c r="P230" s="241"/>
      <c r="Q230" s="241"/>
    </row>
    <row r="231" spans="1:17">
      <c r="A231" s="80"/>
      <c r="B231" s="95" t="s">
        <v>121</v>
      </c>
      <c r="C231" s="60">
        <v>23514697.870000001</v>
      </c>
      <c r="D231" s="61">
        <v>0</v>
      </c>
      <c r="E231" s="62">
        <v>1569449</v>
      </c>
      <c r="F231" s="216">
        <f>C231*G231/100</f>
        <v>1568430.3479289999</v>
      </c>
      <c r="G231" s="58">
        <v>6.67</v>
      </c>
      <c r="H231" s="63">
        <f>ROUND(D231*(G231/100),0)</f>
        <v>0</v>
      </c>
      <c r="I231" s="63">
        <f>E231-H231</f>
        <v>1569449</v>
      </c>
      <c r="K231" s="138">
        <v>6.67</v>
      </c>
      <c r="L231" s="126"/>
      <c r="M231" s="140">
        <f>ROUND(I231*(L231/100),0)</f>
        <v>0</v>
      </c>
      <c r="N231" s="140">
        <f>'Adjust Depr Table 1'!Q272</f>
        <v>1569449</v>
      </c>
      <c r="O231" s="140">
        <f>N231-M231</f>
        <v>1569449</v>
      </c>
      <c r="P231" s="241"/>
      <c r="Q231" s="241"/>
    </row>
    <row r="232" spans="1:17">
      <c r="A232" s="80"/>
      <c r="B232" s="37" t="s">
        <v>133</v>
      </c>
      <c r="C232" s="55">
        <f>C230+C231</f>
        <v>46791434.75</v>
      </c>
      <c r="D232" s="56">
        <f>D230+D231</f>
        <v>0</v>
      </c>
      <c r="E232" s="56">
        <f>E230+E231</f>
        <v>1569449</v>
      </c>
      <c r="F232" s="227">
        <f>F230+F231</f>
        <v>1568430.3479289999</v>
      </c>
      <c r="G232" s="58">
        <f>+ROUND(E232/C232*100,2)</f>
        <v>3.35</v>
      </c>
      <c r="H232" s="56">
        <f>H230+H231</f>
        <v>0</v>
      </c>
      <c r="I232" s="56">
        <f>I230+I231</f>
        <v>1569449</v>
      </c>
      <c r="K232" s="138"/>
      <c r="L232" s="126"/>
      <c r="M232" s="149">
        <f>M230+M231</f>
        <v>0</v>
      </c>
      <c r="N232" s="149">
        <f>N230+N231</f>
        <v>1569449</v>
      </c>
      <c r="O232" s="149">
        <f>O230+O231</f>
        <v>1569449</v>
      </c>
      <c r="P232" s="241"/>
      <c r="Q232" s="241"/>
    </row>
    <row r="233" spans="1:17">
      <c r="A233" s="80">
        <v>397.1</v>
      </c>
      <c r="B233" s="19" t="s">
        <v>134</v>
      </c>
      <c r="C233" s="71">
        <v>642538.48</v>
      </c>
      <c r="D233" s="72">
        <v>0</v>
      </c>
      <c r="E233" s="73">
        <v>0</v>
      </c>
      <c r="F233" s="218">
        <f>C233*G233/100</f>
        <v>0</v>
      </c>
      <c r="G233" s="74">
        <v>0</v>
      </c>
      <c r="H233" s="59">
        <f>ROUND(D233*(G233/100),0)</f>
        <v>0</v>
      </c>
      <c r="I233" s="59">
        <f>E233-H233</f>
        <v>0</v>
      </c>
      <c r="K233" s="138">
        <v>0</v>
      </c>
      <c r="L233" s="126"/>
      <c r="M233" s="139">
        <f>ROUND(I233*(L233/100),0)</f>
        <v>0</v>
      </c>
      <c r="N233" s="139">
        <f>ROUND(J233*(M233/100),0)</f>
        <v>0</v>
      </c>
      <c r="O233" s="139">
        <f>N233-M233</f>
        <v>0</v>
      </c>
      <c r="P233" s="241"/>
      <c r="Q233" s="241"/>
    </row>
    <row r="234" spans="1:17">
      <c r="A234" s="80">
        <v>398</v>
      </c>
      <c r="B234" s="19" t="s">
        <v>135</v>
      </c>
      <c r="C234" s="71"/>
      <c r="D234" s="72"/>
      <c r="E234" s="73"/>
      <c r="F234" s="220"/>
      <c r="G234" s="74"/>
      <c r="H234" s="44"/>
      <c r="I234" s="44"/>
      <c r="K234" s="138"/>
      <c r="L234" s="126"/>
      <c r="M234" s="135"/>
      <c r="N234" s="135"/>
      <c r="O234" s="135"/>
      <c r="P234" s="241"/>
      <c r="Q234" s="241"/>
    </row>
    <row r="235" spans="1:17">
      <c r="A235" s="80"/>
      <c r="B235" s="95" t="s">
        <v>120</v>
      </c>
      <c r="C235" s="55">
        <v>413882.29</v>
      </c>
      <c r="D235" s="56">
        <v>0</v>
      </c>
      <c r="E235" s="57">
        <v>0</v>
      </c>
      <c r="F235" s="218">
        <f>C235*G235/100</f>
        <v>0</v>
      </c>
      <c r="G235" s="58">
        <v>0</v>
      </c>
      <c r="H235" s="59">
        <f>ROUND(D235*(G235/100),0)</f>
        <v>0</v>
      </c>
      <c r="I235" s="59">
        <f>E235-H235</f>
        <v>0</v>
      </c>
      <c r="K235" s="138">
        <v>0</v>
      </c>
      <c r="L235" s="126"/>
      <c r="M235" s="139">
        <f>ROUND(I235*(L235/100),0)</f>
        <v>0</v>
      </c>
      <c r="N235" s="139">
        <f>'Adjust Depr Table 1'!Q279</f>
        <v>0</v>
      </c>
      <c r="O235" s="139">
        <f>N235-M235</f>
        <v>0</v>
      </c>
      <c r="P235" s="241"/>
      <c r="Q235" s="241"/>
    </row>
    <row r="236" spans="1:17">
      <c r="A236" s="80"/>
      <c r="B236" s="95" t="s">
        <v>121</v>
      </c>
      <c r="C236" s="60">
        <v>2014590.63</v>
      </c>
      <c r="D236" s="61">
        <v>0</v>
      </c>
      <c r="E236" s="62">
        <v>100721</v>
      </c>
      <c r="F236" s="216">
        <f>C236*G236/100</f>
        <v>100729.53149999998</v>
      </c>
      <c r="G236" s="58">
        <v>5</v>
      </c>
      <c r="H236" s="63">
        <f>ROUND(D236*(G236/100),0)</f>
        <v>0</v>
      </c>
      <c r="I236" s="63">
        <f>E236-H236</f>
        <v>100721</v>
      </c>
      <c r="K236" s="138">
        <v>5</v>
      </c>
      <c r="L236" s="126"/>
      <c r="M236" s="140">
        <f>ROUND(I236*(L236/100),0)</f>
        <v>0</v>
      </c>
      <c r="N236" s="140">
        <f>'Adjust Depr Table 1'!Q280</f>
        <v>100721</v>
      </c>
      <c r="O236" s="140">
        <f>N236-M236</f>
        <v>100721</v>
      </c>
      <c r="P236" s="241"/>
      <c r="Q236" s="241"/>
    </row>
    <row r="237" spans="1:17">
      <c r="A237" s="80"/>
      <c r="B237" s="50" t="s">
        <v>136</v>
      </c>
      <c r="C237" s="60">
        <f>C235+C236</f>
        <v>2428472.92</v>
      </c>
      <c r="D237" s="61">
        <f>D235+D236</f>
        <v>0</v>
      </c>
      <c r="E237" s="61">
        <f>E235+E236</f>
        <v>100721</v>
      </c>
      <c r="F237" s="222">
        <f>F235+F236</f>
        <v>100729.53149999998</v>
      </c>
      <c r="G237" s="58">
        <f>+ROUND(E237/C237*100,2)</f>
        <v>4.1500000000000004</v>
      </c>
      <c r="H237" s="61">
        <f>H235+H236</f>
        <v>0</v>
      </c>
      <c r="I237" s="61">
        <f>I235+I236</f>
        <v>100721</v>
      </c>
      <c r="K237" s="138"/>
      <c r="L237" s="126"/>
      <c r="M237" s="146">
        <f>M235+M236</f>
        <v>0</v>
      </c>
      <c r="N237" s="146">
        <f>N235+N236</f>
        <v>100721</v>
      </c>
      <c r="O237" s="146">
        <f>O235+O236</f>
        <v>100721</v>
      </c>
      <c r="P237" s="241"/>
      <c r="Q237" s="241"/>
    </row>
    <row r="238" spans="1:17">
      <c r="A238" s="80"/>
      <c r="B238" s="19"/>
      <c r="C238" s="71"/>
      <c r="D238" s="72"/>
      <c r="E238" s="73"/>
      <c r="F238" s="220"/>
      <c r="G238" s="74"/>
      <c r="H238" s="44"/>
      <c r="I238" s="44"/>
      <c r="K238" s="138"/>
      <c r="L238" s="126"/>
      <c r="M238" s="135"/>
      <c r="N238" s="135"/>
      <c r="O238" s="135"/>
      <c r="P238" s="241"/>
      <c r="Q238" s="241"/>
    </row>
    <row r="239" spans="1:17" ht="15.75">
      <c r="A239" s="23"/>
      <c r="B239" s="81" t="s">
        <v>137</v>
      </c>
      <c r="C239" s="82">
        <f>C209+C213+C217+C218+C219+C223+C227+C228+C232+C233+C237</f>
        <v>141393195.67999998</v>
      </c>
      <c r="D239" s="83">
        <f>D209+D213+D217+D218+D219+D223+D227+D228+D232+D233+D237</f>
        <v>0</v>
      </c>
      <c r="E239" s="83">
        <f>E209+E213+E217+E218+E219+E223+E227+E228+E232+E233+E237</f>
        <v>4986678</v>
      </c>
      <c r="F239" s="223">
        <f>F209+F213+F217+F218+F219+F223+F227+F228+F232+F233+F237</f>
        <v>4986422.4082619986</v>
      </c>
      <c r="G239" s="84">
        <f>+ROUND(E239/C239*100,2)</f>
        <v>3.53</v>
      </c>
      <c r="H239" s="83">
        <f>H209+H213+H217+H218+H219+H223+H227+H228+H232+H233+H237</f>
        <v>0</v>
      </c>
      <c r="I239" s="83">
        <f>I209+I213+I217+I218+I219+I223+I227+I228+I232+I233+I237</f>
        <v>4986678</v>
      </c>
      <c r="K239" s="134"/>
      <c r="L239" s="126"/>
      <c r="M239" s="147">
        <f>M209+M213+M217+M218+M219+M223+M227+M228+M232+M233+M237</f>
        <v>0</v>
      </c>
      <c r="N239" s="147">
        <f>N209+N213+N217+N218+N219+N223+N227+N228+N232+N233+N237</f>
        <v>4986678</v>
      </c>
      <c r="O239" s="147">
        <f>O209+O213+O217+O218+O219+O223+O227+O228+O232+O233+O237</f>
        <v>4986678</v>
      </c>
      <c r="P239" s="241"/>
      <c r="Q239" s="241"/>
    </row>
    <row r="240" spans="1:17" ht="16.5" thickBot="1">
      <c r="A240" s="23"/>
      <c r="B240" s="81" t="s">
        <v>138</v>
      </c>
      <c r="C240" s="97"/>
      <c r="D240" s="98">
        <f>D9+D75+D186+D197+D205+D239</f>
        <v>979739760.53999996</v>
      </c>
      <c r="E240" s="99"/>
      <c r="F240" s="228"/>
      <c r="G240" s="84"/>
      <c r="H240" s="99"/>
      <c r="I240" s="99"/>
      <c r="K240" s="134"/>
      <c r="L240" s="126"/>
      <c r="M240" s="150"/>
      <c r="N240" s="150"/>
      <c r="O240" s="150"/>
      <c r="P240" s="241"/>
      <c r="Q240" s="241"/>
    </row>
    <row r="241" spans="1:17" ht="17.25" thickTop="1" thickBot="1">
      <c r="A241" s="100"/>
      <c r="B241" s="101"/>
      <c r="C241" s="102"/>
      <c r="D241" s="103"/>
      <c r="E241" s="104"/>
      <c r="F241" s="229"/>
      <c r="G241" s="84"/>
      <c r="H241" s="44"/>
      <c r="I241" s="44"/>
      <c r="K241" s="134"/>
      <c r="L241" s="126"/>
      <c r="M241" s="135"/>
      <c r="N241" s="135"/>
      <c r="O241" s="135"/>
      <c r="P241" s="241"/>
      <c r="Q241" s="241"/>
    </row>
    <row r="242" spans="1:17" ht="15.75">
      <c r="A242" s="37"/>
      <c r="B242" s="38" t="s">
        <v>139</v>
      </c>
      <c r="C242" s="105"/>
      <c r="D242" s="106"/>
      <c r="E242" s="107"/>
      <c r="F242" s="230"/>
      <c r="G242" s="84"/>
      <c r="H242" s="44"/>
      <c r="I242" s="44"/>
      <c r="K242" s="134"/>
      <c r="L242" s="126"/>
      <c r="M242" s="135"/>
      <c r="N242" s="135"/>
      <c r="O242" s="135"/>
      <c r="P242" s="241"/>
      <c r="Q242" s="241"/>
    </row>
    <row r="243" spans="1:17" ht="15.75">
      <c r="A243" s="37"/>
      <c r="B243" s="108"/>
      <c r="C243" s="105"/>
      <c r="D243" s="106"/>
      <c r="E243" s="107"/>
      <c r="F243" s="230"/>
      <c r="G243" s="84"/>
      <c r="H243" s="44"/>
      <c r="I243" s="44"/>
      <c r="K243" s="134"/>
      <c r="L243" s="126"/>
      <c r="M243" s="135"/>
      <c r="N243" s="135"/>
      <c r="O243" s="135"/>
      <c r="P243" s="241"/>
      <c r="Q243" s="241"/>
    </row>
    <row r="244" spans="1:17" ht="15.75">
      <c r="A244" s="109">
        <v>391</v>
      </c>
      <c r="B244" s="37" t="s">
        <v>119</v>
      </c>
      <c r="C244" s="105"/>
      <c r="D244" s="56">
        <v>1216907</v>
      </c>
      <c r="E244" s="110">
        <f>-D244/10</f>
        <v>-121690.7</v>
      </c>
      <c r="F244" s="231">
        <f>E244</f>
        <v>-121690.7</v>
      </c>
      <c r="G244" s="74"/>
      <c r="H244" s="59">
        <f t="shared" ref="H244:H250" si="56">ROUND(D244*(G244/100),0)</f>
        <v>0</v>
      </c>
      <c r="I244" s="67">
        <f t="shared" ref="I244:I250" si="57">E244-H244</f>
        <v>-121690.7</v>
      </c>
      <c r="K244" s="138"/>
      <c r="L244" s="126"/>
      <c r="M244" s="139">
        <f t="shared" ref="M244:M250" si="58">ROUND(I244*(L244/100),0)</f>
        <v>0</v>
      </c>
      <c r="N244" s="139">
        <f>'Adjust Depr Table 1'!Q288</f>
        <v>-121690.7</v>
      </c>
      <c r="O244" s="139">
        <f t="shared" ref="O244:O250" si="59">N244-M244</f>
        <v>-121690.7</v>
      </c>
      <c r="P244" s="241"/>
      <c r="Q244" s="241"/>
    </row>
    <row r="245" spans="1:17" ht="15.75">
      <c r="A245" s="109">
        <v>391.1</v>
      </c>
      <c r="B245" s="37" t="s">
        <v>123</v>
      </c>
      <c r="C245" s="105"/>
      <c r="D245" s="56">
        <v>6179000</v>
      </c>
      <c r="E245" s="111">
        <f t="shared" ref="E245:E250" si="60">-D245/10</f>
        <v>-617900</v>
      </c>
      <c r="F245" s="231">
        <f t="shared" ref="F245:F250" si="61">E245</f>
        <v>-617900</v>
      </c>
      <c r="G245" s="74"/>
      <c r="H245" s="59">
        <f t="shared" si="56"/>
        <v>0</v>
      </c>
      <c r="I245" s="67">
        <f t="shared" si="57"/>
        <v>-617900</v>
      </c>
      <c r="K245" s="138"/>
      <c r="L245" s="126"/>
      <c r="M245" s="139">
        <f t="shared" si="58"/>
        <v>0</v>
      </c>
      <c r="N245" s="139">
        <f>'Adjust Depr Table 1'!Q289</f>
        <v>-617900</v>
      </c>
      <c r="O245" s="139">
        <f t="shared" si="59"/>
        <v>-617900</v>
      </c>
      <c r="P245" s="241"/>
      <c r="Q245" s="241"/>
    </row>
    <row r="246" spans="1:17" ht="15.75">
      <c r="A246" s="109">
        <v>393</v>
      </c>
      <c r="B246" s="112" t="s">
        <v>126</v>
      </c>
      <c r="C246" s="105"/>
      <c r="D246" s="56">
        <v>31577</v>
      </c>
      <c r="E246" s="111">
        <f t="shared" si="60"/>
        <v>-3157.7</v>
      </c>
      <c r="F246" s="231">
        <f t="shared" si="61"/>
        <v>-3157.7</v>
      </c>
      <c r="G246" s="74"/>
      <c r="H246" s="59">
        <f t="shared" si="56"/>
        <v>0</v>
      </c>
      <c r="I246" s="67">
        <f t="shared" si="57"/>
        <v>-3157.7</v>
      </c>
      <c r="K246" s="138"/>
      <c r="L246" s="126"/>
      <c r="M246" s="139">
        <f t="shared" si="58"/>
        <v>0</v>
      </c>
      <c r="N246" s="139">
        <f>'Adjust Depr Table 1'!Q290</f>
        <v>-3157.7</v>
      </c>
      <c r="O246" s="139">
        <f t="shared" si="59"/>
        <v>-3157.7</v>
      </c>
      <c r="P246" s="241"/>
      <c r="Q246" s="241"/>
    </row>
    <row r="247" spans="1:17" ht="15.75">
      <c r="A247" s="109">
        <v>394</v>
      </c>
      <c r="B247" s="113" t="s">
        <v>127</v>
      </c>
      <c r="C247" s="105"/>
      <c r="D247" s="56">
        <v>424910</v>
      </c>
      <c r="E247" s="111">
        <f t="shared" si="60"/>
        <v>-42491</v>
      </c>
      <c r="F247" s="231">
        <f t="shared" si="61"/>
        <v>-42491</v>
      </c>
      <c r="G247" s="74"/>
      <c r="H247" s="59">
        <f t="shared" si="56"/>
        <v>0</v>
      </c>
      <c r="I247" s="67">
        <f t="shared" si="57"/>
        <v>-42491</v>
      </c>
      <c r="K247" s="138"/>
      <c r="L247" s="126"/>
      <c r="M247" s="139">
        <f t="shared" si="58"/>
        <v>0</v>
      </c>
      <c r="N247" s="139">
        <f>'Adjust Depr Table 1'!Q291</f>
        <v>-42491</v>
      </c>
      <c r="O247" s="139">
        <f t="shared" si="59"/>
        <v>-42491</v>
      </c>
      <c r="P247" s="241"/>
      <c r="Q247" s="241"/>
    </row>
    <row r="248" spans="1:17" ht="15.75">
      <c r="A248" s="109">
        <v>395</v>
      </c>
      <c r="B248" s="112" t="s">
        <v>129</v>
      </c>
      <c r="C248" s="105"/>
      <c r="D248" s="56">
        <v>735653</v>
      </c>
      <c r="E248" s="111">
        <f t="shared" si="60"/>
        <v>-73565.3</v>
      </c>
      <c r="F248" s="231">
        <f t="shared" si="61"/>
        <v>-73565.3</v>
      </c>
      <c r="G248" s="74"/>
      <c r="H248" s="59">
        <f t="shared" si="56"/>
        <v>0</v>
      </c>
      <c r="I248" s="67">
        <f t="shared" si="57"/>
        <v>-73565.3</v>
      </c>
      <c r="K248" s="138"/>
      <c r="L248" s="126"/>
      <c r="M248" s="139">
        <f t="shared" si="58"/>
        <v>0</v>
      </c>
      <c r="N248" s="139">
        <f>'Adjust Depr Table 1'!Q292</f>
        <v>-73565.3</v>
      </c>
      <c r="O248" s="139">
        <f t="shared" si="59"/>
        <v>-73565.3</v>
      </c>
      <c r="P248" s="241"/>
      <c r="Q248" s="241"/>
    </row>
    <row r="249" spans="1:17" ht="15.75">
      <c r="A249" s="109">
        <v>397</v>
      </c>
      <c r="B249" s="50" t="s">
        <v>132</v>
      </c>
      <c r="C249" s="105"/>
      <c r="D249" s="56">
        <v>9419253</v>
      </c>
      <c r="E249" s="111">
        <f t="shared" si="60"/>
        <v>-941925.3</v>
      </c>
      <c r="F249" s="231">
        <f t="shared" si="61"/>
        <v>-941925.3</v>
      </c>
      <c r="G249" s="74"/>
      <c r="H249" s="59">
        <f t="shared" si="56"/>
        <v>0</v>
      </c>
      <c r="I249" s="67">
        <f t="shared" si="57"/>
        <v>-941925.3</v>
      </c>
      <c r="K249" s="138"/>
      <c r="L249" s="126"/>
      <c r="M249" s="139">
        <f t="shared" si="58"/>
        <v>0</v>
      </c>
      <c r="N249" s="139">
        <f>'Adjust Depr Table 1'!Q293</f>
        <v>-941925.3</v>
      </c>
      <c r="O249" s="139">
        <f t="shared" si="59"/>
        <v>-941925.3</v>
      </c>
      <c r="P249" s="241"/>
      <c r="Q249" s="241"/>
    </row>
    <row r="250" spans="1:17" ht="15.75">
      <c r="A250" s="109">
        <v>398</v>
      </c>
      <c r="B250" s="50" t="s">
        <v>135</v>
      </c>
      <c r="C250" s="105"/>
      <c r="D250" s="61">
        <v>1095737</v>
      </c>
      <c r="E250" s="114">
        <f t="shared" si="60"/>
        <v>-109573.7</v>
      </c>
      <c r="F250" s="237">
        <f t="shared" si="61"/>
        <v>-109573.7</v>
      </c>
      <c r="G250" s="74"/>
      <c r="H250" s="63">
        <f t="shared" si="56"/>
        <v>0</v>
      </c>
      <c r="I250" s="115">
        <f t="shared" si="57"/>
        <v>-109573.7</v>
      </c>
      <c r="K250" s="138"/>
      <c r="L250" s="126"/>
      <c r="M250" s="140">
        <f t="shared" si="58"/>
        <v>0</v>
      </c>
      <c r="N250" s="140">
        <f>'Adjust Depr Table 1'!Q294</f>
        <v>-109573.7</v>
      </c>
      <c r="O250" s="140">
        <f t="shared" si="59"/>
        <v>-109573.7</v>
      </c>
      <c r="P250" s="241"/>
      <c r="Q250" s="241"/>
    </row>
    <row r="251" spans="1:17" ht="15.75">
      <c r="A251" s="37"/>
      <c r="B251" s="108"/>
      <c r="C251" s="105"/>
      <c r="D251" s="56"/>
      <c r="E251" s="107"/>
      <c r="F251" s="230"/>
      <c r="G251" s="74"/>
      <c r="H251" s="69"/>
      <c r="I251" s="69"/>
      <c r="K251" s="138"/>
      <c r="L251" s="126"/>
      <c r="M251" s="144"/>
      <c r="N251" s="144"/>
      <c r="O251" s="144"/>
      <c r="P251" s="241"/>
      <c r="Q251" s="241"/>
    </row>
    <row r="252" spans="1:17" ht="16.5" thickBot="1">
      <c r="A252" s="37"/>
      <c r="B252" s="108" t="s">
        <v>140</v>
      </c>
      <c r="C252" s="105"/>
      <c r="D252" s="116">
        <f>SUM(D244:D250)</f>
        <v>19103037</v>
      </c>
      <c r="E252" s="117">
        <f>SUBTOTAL(9,E244:E251)</f>
        <v>-1910303.7</v>
      </c>
      <c r="F252" s="232">
        <f>SUBTOTAL(9,F244:F251)</f>
        <v>-1910303.7</v>
      </c>
      <c r="G252" s="74"/>
      <c r="H252" s="117">
        <f>SUBTOTAL(9,H244:H251)</f>
        <v>0</v>
      </c>
      <c r="I252" s="117">
        <f>SUBTOTAL(9,I244:I251)</f>
        <v>-1910303.7</v>
      </c>
      <c r="K252" s="138"/>
      <c r="L252" s="126"/>
      <c r="M252" s="151">
        <f>SUBTOTAL(9,M244:M251)</f>
        <v>0</v>
      </c>
      <c r="N252" s="151">
        <f>SUBTOTAL(9,N244:N251)</f>
        <v>-1910303.7</v>
      </c>
      <c r="O252" s="151">
        <f>SUBTOTAL(9,O244:O251)</f>
        <v>-1910303.7</v>
      </c>
      <c r="P252" s="241"/>
      <c r="Q252" s="241"/>
    </row>
    <row r="253" spans="1:17" ht="16.5" thickTop="1">
      <c r="A253" s="23"/>
      <c r="B253" s="81"/>
      <c r="C253" s="118"/>
      <c r="D253" s="119"/>
      <c r="E253" s="120"/>
      <c r="F253" s="233"/>
      <c r="G253" s="49"/>
      <c r="H253" s="44"/>
      <c r="I253" s="44"/>
      <c r="K253" s="137"/>
      <c r="L253" s="126"/>
      <c r="M253" s="135"/>
      <c r="N253" s="135"/>
      <c r="O253" s="135"/>
      <c r="P253" s="241"/>
      <c r="Q253" s="241"/>
    </row>
    <row r="254" spans="1:17" ht="16.5" thickBot="1">
      <c r="A254" s="23"/>
      <c r="B254" s="81" t="s">
        <v>141</v>
      </c>
      <c r="C254" s="121">
        <f>C9+C75+C186+C197+C205+C239</f>
        <v>4037004423.8900003</v>
      </c>
      <c r="D254" s="122"/>
      <c r="E254" s="123">
        <f>E9+E75+E186+E197+E205+E239+E252</f>
        <v>129084263.3</v>
      </c>
      <c r="F254" s="234">
        <f>F9+F75+F186+F197+F205+F239+F252</f>
        <v>129081435.51607302</v>
      </c>
      <c r="G254" s="84">
        <f>+ROUND(E254/C254*100,2)</f>
        <v>3.2</v>
      </c>
      <c r="H254" s="123">
        <f>H9+H75+H186+H197+H205+H239+H252</f>
        <v>39755316</v>
      </c>
      <c r="I254" s="123">
        <f>I9+I75+I186+I197+I205+I239+I252</f>
        <v>89328947.299999997</v>
      </c>
      <c r="K254" s="134"/>
      <c r="L254" s="126"/>
      <c r="M254" s="152">
        <f>M9+M75+M186+M197+M205+M239+M252</f>
        <v>33234059</v>
      </c>
      <c r="N254" s="152">
        <f>N9+N75+N186+N197+N205+N239+N252</f>
        <v>107662597.14367905</v>
      </c>
      <c r="O254" s="152">
        <f>O9+O75+O186+O197+O205+O239+O252</f>
        <v>74428538.143679038</v>
      </c>
      <c r="P254" s="241"/>
      <c r="Q254" s="241"/>
    </row>
    <row r="255" spans="1:17" ht="16.5" thickTop="1">
      <c r="A255" s="23"/>
      <c r="B255" s="93"/>
      <c r="C255" s="118"/>
      <c r="D255" s="119"/>
      <c r="E255" s="120"/>
      <c r="F255" s="93"/>
      <c r="G255" s="49"/>
      <c r="H255" s="44"/>
      <c r="I255" s="44"/>
      <c r="K255" s="126"/>
      <c r="L255" s="126"/>
      <c r="M255" s="135"/>
      <c r="N255" s="135"/>
      <c r="O255" s="135"/>
      <c r="P255" s="241"/>
      <c r="Q255" s="241"/>
    </row>
    <row r="256" spans="1:17" ht="15.75">
      <c r="A256" s="23"/>
      <c r="B256" s="124" t="s">
        <v>142</v>
      </c>
      <c r="C256" s="118"/>
      <c r="D256" s="119"/>
      <c r="E256" s="120"/>
      <c r="F256" s="93"/>
      <c r="G256" s="49"/>
      <c r="H256" s="44"/>
      <c r="I256" s="44"/>
      <c r="K256" s="126"/>
      <c r="L256" s="126"/>
      <c r="M256" s="135"/>
      <c r="N256" s="135"/>
      <c r="O256" s="135"/>
      <c r="P256" s="241"/>
      <c r="Q256" s="241"/>
    </row>
    <row r="257" spans="1:17" ht="15.75">
      <c r="A257" s="23"/>
      <c r="B257" s="93"/>
      <c r="C257" s="118"/>
      <c r="D257" s="119"/>
      <c r="E257" s="120"/>
      <c r="F257" s="93"/>
      <c r="G257" s="49"/>
      <c r="H257" s="44"/>
      <c r="I257" s="44"/>
      <c r="K257" s="126"/>
      <c r="L257" s="126"/>
      <c r="M257" s="350" t="s">
        <v>647</v>
      </c>
      <c r="N257" s="135"/>
      <c r="O257" s="238">
        <f>'Depr Exp-Adj 2'!O254</f>
        <v>75147971.086225629</v>
      </c>
      <c r="P257" s="241"/>
      <c r="Q257" s="241"/>
    </row>
    <row r="258" spans="1:17" ht="15.75">
      <c r="A258" s="80">
        <v>301</v>
      </c>
      <c r="B258" s="19" t="s">
        <v>143</v>
      </c>
      <c r="C258" s="87">
        <v>5040.43</v>
      </c>
      <c r="D258" s="87"/>
      <c r="E258" s="120"/>
      <c r="F258" s="93"/>
      <c r="G258" s="49"/>
      <c r="H258" s="23"/>
      <c r="I258" s="23"/>
      <c r="K258" s="126"/>
      <c r="L258" s="126"/>
      <c r="M258" s="133"/>
      <c r="N258" s="133"/>
      <c r="O258" s="133"/>
      <c r="P258" s="241"/>
      <c r="Q258" s="241"/>
    </row>
    <row r="259" spans="1:17" ht="16.5" thickBot="1">
      <c r="A259" s="109">
        <v>310</v>
      </c>
      <c r="B259" s="50" t="s">
        <v>144</v>
      </c>
      <c r="C259" s="55">
        <v>6916766.1399999997</v>
      </c>
      <c r="D259" s="55"/>
      <c r="E259" s="120"/>
      <c r="F259" s="93"/>
      <c r="G259" s="49"/>
      <c r="H259" s="23"/>
      <c r="I259" s="23"/>
      <c r="K259" s="126"/>
      <c r="L259" s="126"/>
      <c r="M259" s="350" t="s">
        <v>750</v>
      </c>
      <c r="N259" s="133"/>
      <c r="O259" s="239">
        <f>O254-O257</f>
        <v>-719432.94254659116</v>
      </c>
      <c r="P259" s="241"/>
      <c r="Q259" s="241"/>
    </row>
    <row r="260" spans="1:17" ht="16.5" thickTop="1">
      <c r="A260" s="80">
        <v>340</v>
      </c>
      <c r="B260" s="19" t="s">
        <v>144</v>
      </c>
      <c r="C260" s="87">
        <v>5964035.6900000004</v>
      </c>
      <c r="D260" s="87"/>
      <c r="E260" s="120"/>
      <c r="F260" s="93"/>
      <c r="G260" s="49"/>
      <c r="H260" s="23"/>
      <c r="I260" s="23"/>
      <c r="M260" s="23"/>
      <c r="N260" s="23"/>
      <c r="O260" s="23"/>
    </row>
    <row r="261" spans="1:17" ht="15.75">
      <c r="A261" s="80">
        <v>350</v>
      </c>
      <c r="B261" s="19" t="s">
        <v>144</v>
      </c>
      <c r="C261" s="87">
        <v>5771527.6600000001</v>
      </c>
      <c r="D261" s="87"/>
      <c r="E261" s="120"/>
      <c r="F261" s="93"/>
      <c r="G261" s="49"/>
      <c r="H261" s="23"/>
      <c r="I261" s="23"/>
    </row>
    <row r="262" spans="1:17" ht="15.75">
      <c r="A262" s="80">
        <v>350.1</v>
      </c>
      <c r="B262" s="19" t="s">
        <v>46</v>
      </c>
      <c r="C262" s="87">
        <v>55719148.420000002</v>
      </c>
      <c r="D262" s="87"/>
      <c r="E262" s="120"/>
      <c r="F262" s="93"/>
      <c r="G262" s="49"/>
      <c r="H262" s="23"/>
      <c r="I262" s="23"/>
    </row>
    <row r="263" spans="1:17" ht="15.75">
      <c r="A263" s="80">
        <v>360</v>
      </c>
      <c r="B263" s="19" t="s">
        <v>144</v>
      </c>
      <c r="C263" s="87">
        <v>10115251.35</v>
      </c>
      <c r="D263" s="87"/>
      <c r="E263" s="120"/>
      <c r="F263" s="93"/>
      <c r="G263" s="49"/>
      <c r="H263" s="23"/>
      <c r="I263" s="23"/>
    </row>
    <row r="264" spans="1:17" ht="15.75">
      <c r="A264" s="80">
        <v>389</v>
      </c>
      <c r="B264" s="19" t="s">
        <v>144</v>
      </c>
      <c r="C264" s="87">
        <v>1381311.62</v>
      </c>
      <c r="D264" s="87"/>
      <c r="E264" s="120"/>
      <c r="F264" s="93"/>
      <c r="G264" s="49"/>
      <c r="H264" s="23"/>
      <c r="I264" s="23"/>
    </row>
    <row r="265" spans="1:17" ht="15.75">
      <c r="A265" s="80">
        <v>389.1</v>
      </c>
      <c r="B265" s="19" t="s">
        <v>46</v>
      </c>
      <c r="C265" s="75">
        <v>454290.88</v>
      </c>
      <c r="D265" s="71"/>
      <c r="E265" s="120"/>
      <c r="F265" s="93"/>
      <c r="G265" s="49"/>
      <c r="H265" s="23"/>
      <c r="I265" s="23"/>
    </row>
    <row r="266" spans="1:17" ht="15.75">
      <c r="A266" s="23"/>
      <c r="B266" s="93"/>
      <c r="C266" s="118"/>
      <c r="D266" s="118"/>
      <c r="E266" s="104"/>
      <c r="F266" s="93"/>
      <c r="G266" s="49"/>
      <c r="H266" s="23"/>
      <c r="I266" s="23"/>
    </row>
    <row r="267" spans="1:17" ht="15.75">
      <c r="A267" s="23"/>
      <c r="B267" s="81" t="s">
        <v>145</v>
      </c>
      <c r="C267" s="82">
        <f>SUM(C258:C265)</f>
        <v>86327372.189999998</v>
      </c>
      <c r="D267" s="97"/>
      <c r="E267" s="104"/>
      <c r="F267" s="93"/>
      <c r="G267" s="49"/>
      <c r="H267" s="23"/>
      <c r="I267" s="23"/>
    </row>
    <row r="268" spans="1:17" ht="15.75">
      <c r="A268" s="23"/>
      <c r="B268" s="93"/>
      <c r="C268" s="118"/>
      <c r="D268" s="118"/>
      <c r="E268" s="104"/>
      <c r="F268" s="93"/>
      <c r="G268" s="49"/>
      <c r="H268" s="23"/>
      <c r="I268" s="23"/>
    </row>
    <row r="269" spans="1:17" ht="16.5" thickBot="1">
      <c r="A269" s="23"/>
      <c r="B269" s="81" t="s">
        <v>146</v>
      </c>
      <c r="C269" s="121">
        <f>C254+C267</f>
        <v>4123331796.0800004</v>
      </c>
      <c r="D269" s="97"/>
      <c r="E269" s="104"/>
      <c r="F269" s="93"/>
      <c r="G269" s="49"/>
      <c r="H269" s="23"/>
      <c r="I269" s="23"/>
    </row>
    <row r="270" spans="1:17" ht="16.5" thickTop="1">
      <c r="A270" s="23"/>
      <c r="B270" s="81"/>
      <c r="C270" s="87"/>
      <c r="D270" s="87"/>
      <c r="E270" s="104"/>
      <c r="F270" s="93"/>
      <c r="G270" s="49"/>
      <c r="H270" s="23"/>
      <c r="I270" s="23"/>
    </row>
  </sheetData>
  <printOptions horizontalCentered="1"/>
  <pageMargins left="1" right="0.5" top="1" bottom="0.75" header="0.5" footer="0.5"/>
  <pageSetup scale="33" fitToHeight="0" orientation="landscape" r:id="rId1"/>
  <rowBreaks count="3" manualBreakCount="3">
    <brk id="51" max="20" man="1"/>
    <brk id="110" max="20" man="1"/>
    <brk id="228"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B32" sqref="B32"/>
    </sheetView>
  </sheetViews>
  <sheetFormatPr defaultRowHeight="12.75"/>
  <cols>
    <col min="2" max="2" width="47.42578125" customWidth="1"/>
    <col min="4" max="4" width="14" bestFit="1" customWidth="1"/>
    <col min="5" max="6" width="13.5703125" bestFit="1" customWidth="1"/>
  </cols>
  <sheetData>
    <row r="1" spans="1:6">
      <c r="A1" s="406" t="s">
        <v>0</v>
      </c>
      <c r="B1" s="406"/>
      <c r="C1" s="406"/>
      <c r="D1" s="406"/>
      <c r="E1" s="406"/>
      <c r="F1" s="406"/>
    </row>
    <row r="2" spans="1:6">
      <c r="A2" s="407" t="s">
        <v>682</v>
      </c>
      <c r="B2" s="408"/>
      <c r="C2" s="408"/>
      <c r="D2" s="408"/>
      <c r="E2" s="408"/>
      <c r="F2" s="408"/>
    </row>
    <row r="3" spans="1:6">
      <c r="A3" s="408" t="s">
        <v>22</v>
      </c>
      <c r="B3" s="406"/>
      <c r="C3" s="406"/>
      <c r="D3" s="406"/>
      <c r="E3" s="406"/>
      <c r="F3" s="406"/>
    </row>
    <row r="4" spans="1:6">
      <c r="A4" s="408" t="s">
        <v>638</v>
      </c>
      <c r="B4" s="406"/>
      <c r="C4" s="406"/>
      <c r="D4" s="406"/>
      <c r="E4" s="406"/>
      <c r="F4" s="406"/>
    </row>
    <row r="5" spans="1:6">
      <c r="A5" s="280"/>
      <c r="B5" s="268"/>
      <c r="C5" s="268"/>
      <c r="D5" s="268"/>
      <c r="E5" s="268"/>
      <c r="F5" s="268"/>
    </row>
    <row r="6" spans="1:6">
      <c r="A6" s="280"/>
      <c r="B6" s="268"/>
      <c r="C6" s="268"/>
      <c r="D6" s="268"/>
      <c r="E6" s="268"/>
      <c r="F6" s="305" t="s">
        <v>644</v>
      </c>
    </row>
    <row r="7" spans="1:6">
      <c r="A7" s="268"/>
      <c r="B7" s="268"/>
      <c r="C7" s="268"/>
      <c r="D7" s="305" t="s">
        <v>18</v>
      </c>
      <c r="E7" s="305" t="s">
        <v>18</v>
      </c>
      <c r="F7" s="305" t="s">
        <v>645</v>
      </c>
    </row>
    <row r="8" spans="1:6">
      <c r="A8" s="268"/>
      <c r="B8" s="268"/>
      <c r="C8" s="268"/>
      <c r="D8" s="305" t="s">
        <v>683</v>
      </c>
      <c r="E8" s="305" t="s">
        <v>685</v>
      </c>
      <c r="F8" s="305" t="s">
        <v>685</v>
      </c>
    </row>
    <row r="9" spans="1:6">
      <c r="A9" s="268"/>
      <c r="B9" s="268"/>
      <c r="C9" s="268"/>
      <c r="D9" s="309" t="s">
        <v>684</v>
      </c>
      <c r="E9" s="309" t="s">
        <v>686</v>
      </c>
      <c r="F9" s="309" t="s">
        <v>687</v>
      </c>
    </row>
    <row r="10" spans="1:6">
      <c r="A10" s="268">
        <v>391</v>
      </c>
      <c r="B10" s="268" t="s">
        <v>119</v>
      </c>
      <c r="C10" s="268"/>
      <c r="D10" s="310">
        <v>1216907</v>
      </c>
      <c r="E10" s="310">
        <f>D10/10</f>
        <v>121690.7</v>
      </c>
      <c r="F10" s="310">
        <f>D10/5</f>
        <v>243381.4</v>
      </c>
    </row>
    <row r="11" spans="1:6">
      <c r="A11" s="268">
        <v>391.1</v>
      </c>
      <c r="B11" s="268" t="s">
        <v>123</v>
      </c>
      <c r="C11" s="268"/>
      <c r="D11" s="310">
        <v>6179000</v>
      </c>
      <c r="E11" s="310">
        <f t="shared" ref="E11:E16" si="0">D11/10</f>
        <v>617900</v>
      </c>
      <c r="F11" s="310">
        <f t="shared" ref="F11:F16" si="1">D11/5</f>
        <v>1235800</v>
      </c>
    </row>
    <row r="12" spans="1:6">
      <c r="A12" s="268">
        <v>393</v>
      </c>
      <c r="B12" s="268" t="s">
        <v>126</v>
      </c>
      <c r="C12" s="268"/>
      <c r="D12" s="310">
        <v>31577</v>
      </c>
      <c r="E12" s="310">
        <f t="shared" si="0"/>
        <v>3157.7</v>
      </c>
      <c r="F12" s="310">
        <f t="shared" si="1"/>
        <v>6315.4</v>
      </c>
    </row>
    <row r="13" spans="1:6">
      <c r="A13" s="268">
        <v>394</v>
      </c>
      <c r="B13" s="268" t="s">
        <v>127</v>
      </c>
      <c r="C13" s="268"/>
      <c r="D13" s="310">
        <v>424910</v>
      </c>
      <c r="E13" s="310">
        <f t="shared" si="0"/>
        <v>42491</v>
      </c>
      <c r="F13" s="310">
        <f t="shared" si="1"/>
        <v>84982</v>
      </c>
    </row>
    <row r="14" spans="1:6">
      <c r="A14" s="268">
        <v>395</v>
      </c>
      <c r="B14" s="268" t="s">
        <v>129</v>
      </c>
      <c r="C14" s="268"/>
      <c r="D14" s="310">
        <v>735653</v>
      </c>
      <c r="E14" s="310">
        <f t="shared" si="0"/>
        <v>73565.3</v>
      </c>
      <c r="F14" s="310">
        <f t="shared" si="1"/>
        <v>147130.6</v>
      </c>
    </row>
    <row r="15" spans="1:6">
      <c r="A15" s="268">
        <v>397</v>
      </c>
      <c r="B15" s="268" t="s">
        <v>132</v>
      </c>
      <c r="C15" s="268"/>
      <c r="D15" s="310">
        <v>9419253</v>
      </c>
      <c r="E15" s="310">
        <f t="shared" si="0"/>
        <v>941925.3</v>
      </c>
      <c r="F15" s="310">
        <f t="shared" si="1"/>
        <v>1883850.6</v>
      </c>
    </row>
    <row r="16" spans="1:6">
      <c r="A16" s="268">
        <v>398</v>
      </c>
      <c r="B16" s="268" t="s">
        <v>135</v>
      </c>
      <c r="C16" s="268"/>
      <c r="D16" s="312">
        <v>1095737</v>
      </c>
      <c r="E16" s="312">
        <f t="shared" si="0"/>
        <v>109573.7</v>
      </c>
      <c r="F16" s="312">
        <f t="shared" si="1"/>
        <v>219147.4</v>
      </c>
    </row>
    <row r="17" spans="1:6">
      <c r="A17" s="268"/>
      <c r="B17" s="268"/>
      <c r="C17" s="268"/>
      <c r="D17" s="268"/>
      <c r="E17" s="268"/>
      <c r="F17" s="268"/>
    </row>
    <row r="18" spans="1:6">
      <c r="A18" s="268"/>
      <c r="B18" s="268" t="s">
        <v>140</v>
      </c>
      <c r="C18" s="268"/>
      <c r="D18" s="310">
        <f>SUM(D10:D17)</f>
        <v>19103037</v>
      </c>
      <c r="E18" s="310">
        <f>SUM(E10:E17)</f>
        <v>1910303.7</v>
      </c>
      <c r="F18" s="310">
        <f>SUM(F10:F16)</f>
        <v>3820607.4</v>
      </c>
    </row>
    <row r="19" spans="1:6">
      <c r="A19" s="268"/>
      <c r="B19" s="268"/>
      <c r="C19" s="268"/>
      <c r="D19" s="268"/>
      <c r="E19" s="268"/>
      <c r="F19" s="268"/>
    </row>
    <row r="20" spans="1:6">
      <c r="A20" s="268"/>
      <c r="B20" s="268"/>
      <c r="C20" s="268"/>
      <c r="D20" s="268"/>
      <c r="E20" s="268"/>
      <c r="F20" s="268"/>
    </row>
    <row r="21" spans="1:6" ht="13.5" thickBot="1">
      <c r="A21" s="308" t="s">
        <v>688</v>
      </c>
      <c r="B21" s="268"/>
      <c r="C21" s="268"/>
      <c r="D21" s="268"/>
      <c r="E21" s="268"/>
      <c r="F21" s="311">
        <f>F18-E18</f>
        <v>1910303.7</v>
      </c>
    </row>
    <row r="22" spans="1:6" ht="13.5" thickTop="1">
      <c r="A22" s="268"/>
      <c r="B22" s="268"/>
      <c r="C22" s="268"/>
      <c r="D22" s="268"/>
      <c r="E22" s="268"/>
      <c r="F22" s="268"/>
    </row>
    <row r="23" spans="1:6">
      <c r="A23" s="268"/>
      <c r="B23" s="268"/>
      <c r="C23" s="268"/>
      <c r="D23" s="268"/>
      <c r="E23" s="268"/>
      <c r="F23" s="268"/>
    </row>
    <row r="24" spans="1:6">
      <c r="A24" s="268"/>
      <c r="B24" s="268"/>
      <c r="C24" s="268"/>
      <c r="D24" s="268"/>
      <c r="E24" s="268"/>
      <c r="F24" s="268"/>
    </row>
    <row r="25" spans="1:6">
      <c r="A25" s="268"/>
      <c r="B25" s="268"/>
      <c r="C25" s="268"/>
      <c r="D25" s="268"/>
      <c r="E25" s="268"/>
      <c r="F25" s="268"/>
    </row>
    <row r="26" spans="1:6">
      <c r="A26" s="268"/>
      <c r="B26" s="268"/>
      <c r="C26" s="268"/>
      <c r="D26" s="268"/>
      <c r="E26" s="268"/>
      <c r="F26" s="268"/>
    </row>
    <row r="27" spans="1:6">
      <c r="A27" s="273"/>
      <c r="B27" s="273"/>
      <c r="C27" s="273"/>
      <c r="D27" s="273"/>
      <c r="E27" s="273"/>
      <c r="F27" s="273"/>
    </row>
  </sheetData>
  <mergeCells count="4">
    <mergeCell ref="A1:F1"/>
    <mergeCell ref="A2:F2"/>
    <mergeCell ref="A3:F3"/>
    <mergeCell ref="A4:F4"/>
  </mergeCells>
  <pageMargins left="1.03" right="0.33"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7"/>
  <sheetViews>
    <sheetView zoomScale="64" zoomScaleNormal="64" workbookViewId="0">
      <pane xSplit="4" ySplit="9" topLeftCell="N10" activePane="bottomRight" state="frozen"/>
      <selection pane="topRight" activeCell="E1" sqref="E1"/>
      <selection pane="bottomLeft" activeCell="A10" sqref="A10"/>
      <selection pane="bottomRight" activeCell="AE10" sqref="AE10"/>
    </sheetView>
  </sheetViews>
  <sheetFormatPr defaultColWidth="12.5703125" defaultRowHeight="15"/>
  <cols>
    <col min="1" max="1" width="10" style="18" customWidth="1"/>
    <col min="2" max="2" width="3.7109375" style="18" customWidth="1"/>
    <col min="3" max="3" width="77.7109375" style="18" customWidth="1"/>
    <col min="4" max="4" width="3.5703125" style="18" customWidth="1"/>
    <col min="5" max="5" width="23.28515625" style="18" customWidth="1"/>
    <col min="6" max="6" width="3.5703125" style="18" customWidth="1"/>
    <col min="7" max="7" width="18.140625" style="18" customWidth="1"/>
    <col min="8" max="8" width="3.7109375" style="18" customWidth="1"/>
    <col min="9" max="9" width="19" style="175" customWidth="1"/>
    <col min="10" max="10" width="3.5703125" style="18" customWidth="1"/>
    <col min="11" max="11" width="29.7109375" style="18" customWidth="1"/>
    <col min="12" max="12" width="3.5703125" style="18" customWidth="1"/>
    <col min="13" max="13" width="29" style="20" customWidth="1"/>
    <col min="14" max="14" width="3.5703125" style="20" customWidth="1"/>
    <col min="15" max="15" width="30.5703125" style="20" customWidth="1"/>
    <col min="16" max="16" width="3.5703125" style="20" customWidth="1"/>
    <col min="17" max="17" width="27.28515625" style="20" customWidth="1"/>
    <col min="18" max="18" width="4.28515625" style="18" customWidth="1"/>
    <col min="19" max="19" width="20.7109375" style="18" customWidth="1"/>
    <col min="20" max="20" width="3.5703125" style="18" customWidth="1"/>
    <col min="21" max="21" width="19.5703125" style="18" customWidth="1"/>
    <col min="22" max="22" width="12.5703125" style="18"/>
    <col min="23" max="23" width="15.28515625" style="18" customWidth="1"/>
    <col min="24" max="16384" width="12.5703125" style="18"/>
  </cols>
  <sheetData>
    <row r="1" spans="1:23" ht="15.75">
      <c r="A1" s="153" t="s">
        <v>148</v>
      </c>
      <c r="B1" s="153"/>
      <c r="C1" s="153"/>
      <c r="D1" s="153"/>
      <c r="E1" s="153"/>
      <c r="F1" s="153"/>
      <c r="G1" s="153"/>
      <c r="H1" s="153"/>
      <c r="I1" s="154"/>
      <c r="J1" s="153"/>
      <c r="K1" s="153"/>
      <c r="L1" s="153"/>
      <c r="M1" s="153"/>
      <c r="N1" s="153"/>
      <c r="O1" s="153"/>
      <c r="P1" s="153"/>
      <c r="Q1" s="153"/>
      <c r="R1" s="153"/>
      <c r="S1" s="153"/>
      <c r="T1" s="153"/>
      <c r="U1" s="153"/>
      <c r="V1" s="23"/>
      <c r="W1" s="23"/>
    </row>
    <row r="2" spans="1:23" ht="15.75">
      <c r="A2" s="153"/>
      <c r="B2" s="153"/>
      <c r="C2" s="153"/>
      <c r="D2" s="153"/>
      <c r="E2" s="153"/>
      <c r="F2" s="153"/>
      <c r="G2" s="153"/>
      <c r="H2" s="153"/>
      <c r="I2" s="154"/>
      <c r="J2" s="153"/>
      <c r="K2" s="153"/>
      <c r="L2" s="153"/>
      <c r="M2" s="153"/>
      <c r="N2" s="153"/>
      <c r="O2" s="153"/>
      <c r="P2" s="153"/>
      <c r="Q2" s="153"/>
      <c r="R2" s="153"/>
      <c r="S2" s="153"/>
      <c r="T2" s="153"/>
      <c r="U2" s="153"/>
      <c r="V2" s="23"/>
      <c r="W2" s="23"/>
    </row>
    <row r="3" spans="1:23" ht="15.75">
      <c r="A3" s="153" t="s">
        <v>149</v>
      </c>
      <c r="B3" s="153"/>
      <c r="C3" s="153"/>
      <c r="D3" s="153"/>
      <c r="E3" s="153"/>
      <c r="F3" s="153"/>
      <c r="G3" s="153"/>
      <c r="H3" s="153"/>
      <c r="I3" s="154"/>
      <c r="J3" s="153"/>
      <c r="K3" s="153"/>
      <c r="L3" s="153"/>
      <c r="M3" s="153"/>
      <c r="N3" s="153"/>
      <c r="O3" s="153"/>
      <c r="P3" s="153"/>
      <c r="Q3" s="153"/>
      <c r="R3" s="153"/>
      <c r="S3" s="153"/>
      <c r="T3" s="153"/>
      <c r="U3" s="153"/>
      <c r="V3" s="23"/>
      <c r="W3" s="23"/>
    </row>
    <row r="4" spans="1:23" ht="15.75">
      <c r="A4" s="153" t="s">
        <v>150</v>
      </c>
      <c r="B4" s="153"/>
      <c r="C4" s="153"/>
      <c r="D4" s="153"/>
      <c r="E4" s="153"/>
      <c r="F4" s="153"/>
      <c r="G4" s="153"/>
      <c r="H4" s="153"/>
      <c r="I4" s="154"/>
      <c r="J4" s="153"/>
      <c r="K4" s="153"/>
      <c r="L4" s="153"/>
      <c r="M4" s="153"/>
      <c r="N4" s="153"/>
      <c r="O4" s="153"/>
      <c r="P4" s="153"/>
      <c r="Q4" s="153"/>
      <c r="R4" s="153"/>
      <c r="S4" s="153"/>
      <c r="T4" s="153"/>
      <c r="U4" s="153"/>
      <c r="V4" s="23"/>
      <c r="W4" s="23"/>
    </row>
    <row r="5" spans="1:23" ht="15.75">
      <c r="A5" s="21"/>
      <c r="B5" s="22"/>
      <c r="C5" s="22"/>
      <c r="D5" s="22"/>
      <c r="E5" s="22"/>
      <c r="F5" s="22"/>
      <c r="G5" s="22"/>
      <c r="H5" s="22"/>
      <c r="I5" s="155"/>
      <c r="J5" s="22"/>
      <c r="K5" s="22"/>
      <c r="L5" s="22"/>
      <c r="M5" s="156"/>
      <c r="N5" s="156"/>
      <c r="O5" s="156"/>
      <c r="P5" s="156"/>
      <c r="V5" s="23"/>
      <c r="W5" s="23"/>
    </row>
    <row r="6" spans="1:23" ht="15.75">
      <c r="A6" s="23"/>
      <c r="B6" s="93"/>
      <c r="C6" s="24"/>
      <c r="D6" s="28"/>
      <c r="E6" s="157" t="s">
        <v>151</v>
      </c>
      <c r="F6" s="28"/>
      <c r="G6" s="28"/>
      <c r="H6" s="28"/>
      <c r="I6" s="158" t="s">
        <v>152</v>
      </c>
      <c r="J6" s="28"/>
      <c r="K6" s="28" t="s">
        <v>153</v>
      </c>
      <c r="L6" s="28"/>
      <c r="M6" s="36" t="s">
        <v>154</v>
      </c>
      <c r="N6" s="36"/>
      <c r="O6" s="36"/>
      <c r="P6" s="36"/>
      <c r="Q6" s="159" t="s">
        <v>155</v>
      </c>
      <c r="R6" s="160"/>
      <c r="S6" s="160"/>
      <c r="T6" s="25"/>
      <c r="U6" s="28" t="s">
        <v>156</v>
      </c>
      <c r="V6" s="23"/>
      <c r="W6" s="201" t="s">
        <v>156</v>
      </c>
    </row>
    <row r="7" spans="1:23" ht="15.75">
      <c r="A7" s="23"/>
      <c r="B7" s="93"/>
      <c r="C7" s="28"/>
      <c r="D7" s="28"/>
      <c r="E7" s="157" t="s">
        <v>157</v>
      </c>
      <c r="F7" s="28"/>
      <c r="G7" s="28" t="s">
        <v>158</v>
      </c>
      <c r="H7" s="28"/>
      <c r="I7" s="158" t="s">
        <v>159</v>
      </c>
      <c r="J7" s="28"/>
      <c r="K7" s="28" t="s">
        <v>160</v>
      </c>
      <c r="L7" s="28"/>
      <c r="M7" s="36" t="s">
        <v>161</v>
      </c>
      <c r="N7" s="36"/>
      <c r="O7" s="36" t="s">
        <v>162</v>
      </c>
      <c r="P7" s="36"/>
      <c r="Q7" s="161" t="s">
        <v>163</v>
      </c>
      <c r="R7" s="162"/>
      <c r="S7" s="163"/>
      <c r="T7" s="25"/>
      <c r="U7" s="28" t="s">
        <v>164</v>
      </c>
      <c r="V7" s="23"/>
      <c r="W7" s="201" t="s">
        <v>164</v>
      </c>
    </row>
    <row r="8" spans="1:23" ht="15.75">
      <c r="A8" s="23"/>
      <c r="B8" s="93"/>
      <c r="C8" s="28" t="s">
        <v>36</v>
      </c>
      <c r="D8" s="28"/>
      <c r="E8" s="164" t="s">
        <v>165</v>
      </c>
      <c r="F8" s="28"/>
      <c r="G8" s="28" t="s">
        <v>166</v>
      </c>
      <c r="H8" s="28"/>
      <c r="I8" s="158" t="s">
        <v>167</v>
      </c>
      <c r="J8" s="28"/>
      <c r="K8" s="165" t="s">
        <v>168</v>
      </c>
      <c r="L8" s="28"/>
      <c r="M8" s="36" t="s">
        <v>169</v>
      </c>
      <c r="N8" s="36"/>
      <c r="O8" s="36" t="s">
        <v>170</v>
      </c>
      <c r="P8" s="36"/>
      <c r="Q8" s="36" t="s">
        <v>171</v>
      </c>
      <c r="R8" s="28"/>
      <c r="S8" s="24" t="s">
        <v>172</v>
      </c>
      <c r="T8" s="25"/>
      <c r="U8" s="28" t="s">
        <v>173</v>
      </c>
      <c r="V8" s="23"/>
      <c r="W8" s="201" t="s">
        <v>173</v>
      </c>
    </row>
    <row r="9" spans="1:23" ht="15.75">
      <c r="A9" s="23"/>
      <c r="B9" s="93"/>
      <c r="C9" s="166">
        <v>-1</v>
      </c>
      <c r="D9" s="35"/>
      <c r="E9" s="166">
        <v>-2</v>
      </c>
      <c r="F9" s="35"/>
      <c r="G9" s="167">
        <v>-3</v>
      </c>
      <c r="H9" s="35"/>
      <c r="I9" s="166">
        <v>-4</v>
      </c>
      <c r="J9" s="35"/>
      <c r="K9" s="166">
        <v>-5</v>
      </c>
      <c r="L9" s="36"/>
      <c r="M9" s="166">
        <v>-6</v>
      </c>
      <c r="N9" s="36"/>
      <c r="O9" s="166">
        <v>-7</v>
      </c>
      <c r="P9" s="36"/>
      <c r="Q9" s="166">
        <v>-8</v>
      </c>
      <c r="R9" s="35"/>
      <c r="S9" s="168" t="s">
        <v>174</v>
      </c>
      <c r="U9" s="168" t="s">
        <v>175</v>
      </c>
      <c r="V9" s="23"/>
      <c r="W9" s="201" t="s">
        <v>215</v>
      </c>
    </row>
    <row r="10" spans="1:23" ht="15.75">
      <c r="A10" s="23"/>
      <c r="B10" s="93"/>
      <c r="C10" s="35"/>
      <c r="D10" s="35"/>
      <c r="E10" s="35"/>
      <c r="F10" s="35"/>
      <c r="G10" s="35"/>
      <c r="H10" s="35"/>
      <c r="I10" s="158"/>
      <c r="J10" s="35"/>
      <c r="K10" s="35"/>
      <c r="L10" s="35"/>
      <c r="M10" s="36"/>
      <c r="N10" s="36"/>
      <c r="O10" s="36"/>
      <c r="P10" s="36"/>
      <c r="Q10" s="36"/>
      <c r="R10" s="35"/>
      <c r="S10" s="35"/>
      <c r="U10" s="35"/>
      <c r="V10" s="23"/>
      <c r="W10" s="201" t="s">
        <v>216</v>
      </c>
    </row>
    <row r="11" spans="1:23" ht="15.75">
      <c r="A11" s="23"/>
      <c r="B11" s="93"/>
      <c r="C11" s="34" t="s">
        <v>176</v>
      </c>
      <c r="D11" s="35"/>
      <c r="E11" s="35"/>
      <c r="F11" s="35"/>
      <c r="G11" s="35"/>
      <c r="H11" s="35"/>
      <c r="I11" s="158"/>
      <c r="J11" s="35"/>
      <c r="K11" s="35"/>
      <c r="L11" s="35"/>
      <c r="M11" s="36"/>
      <c r="N11" s="36"/>
      <c r="O11" s="36"/>
      <c r="P11" s="36"/>
      <c r="Q11" s="36"/>
      <c r="R11" s="35"/>
      <c r="S11" s="35"/>
      <c r="U11" s="35"/>
      <c r="V11" s="23"/>
      <c r="W11" s="202"/>
    </row>
    <row r="12" spans="1:23" ht="15.75">
      <c r="A12" s="23"/>
      <c r="B12" s="93"/>
      <c r="C12" s="34"/>
      <c r="D12" s="35"/>
      <c r="E12" s="35"/>
      <c r="F12" s="35"/>
      <c r="G12" s="35"/>
      <c r="H12" s="35"/>
      <c r="I12" s="158"/>
      <c r="J12" s="35"/>
      <c r="K12" s="35"/>
      <c r="L12" s="35"/>
      <c r="M12" s="36"/>
      <c r="N12" s="36"/>
      <c r="O12" s="36"/>
      <c r="P12" s="36"/>
      <c r="Q12" s="36"/>
      <c r="R12" s="35"/>
      <c r="S12" s="35"/>
      <c r="U12" s="35"/>
      <c r="V12" s="23"/>
      <c r="W12" s="202"/>
    </row>
    <row r="13" spans="1:23" ht="15.75">
      <c r="A13" s="37"/>
      <c r="B13" s="42"/>
      <c r="C13" s="38" t="s">
        <v>43</v>
      </c>
      <c r="D13" s="35"/>
      <c r="E13" s="35"/>
      <c r="F13" s="35"/>
      <c r="G13" s="35"/>
      <c r="H13" s="35"/>
      <c r="I13" s="158"/>
      <c r="J13" s="35"/>
      <c r="K13" s="35"/>
      <c r="L13" s="35"/>
      <c r="M13" s="36"/>
      <c r="N13" s="36"/>
      <c r="O13" s="36"/>
      <c r="P13" s="36"/>
      <c r="Q13" s="36"/>
      <c r="R13" s="35"/>
      <c r="S13" s="35"/>
      <c r="U13" s="35"/>
      <c r="V13" s="23"/>
      <c r="W13" s="202"/>
    </row>
    <row r="14" spans="1:23" ht="15.75">
      <c r="A14" s="37"/>
      <c r="B14" s="42"/>
      <c r="C14" s="39"/>
      <c r="D14" s="35"/>
      <c r="E14" s="35"/>
      <c r="F14" s="35"/>
      <c r="G14" s="35"/>
      <c r="H14" s="35"/>
      <c r="I14" s="158"/>
      <c r="J14" s="35"/>
      <c r="K14" s="35"/>
      <c r="L14" s="35"/>
      <c r="M14" s="36"/>
      <c r="N14" s="36"/>
      <c r="O14" s="36"/>
      <c r="P14" s="36"/>
      <c r="Q14" s="36"/>
      <c r="R14" s="35"/>
      <c r="S14" s="35"/>
      <c r="U14" s="35"/>
      <c r="V14" s="23"/>
      <c r="W14" s="202"/>
    </row>
    <row r="15" spans="1:23" ht="15.75">
      <c r="A15" s="41">
        <v>303</v>
      </c>
      <c r="B15" s="50"/>
      <c r="C15" s="50" t="s">
        <v>44</v>
      </c>
      <c r="D15" s="35"/>
      <c r="E15" s="35"/>
      <c r="F15" s="35"/>
      <c r="G15" s="169" t="s">
        <v>177</v>
      </c>
      <c r="H15" s="169" t="s">
        <v>178</v>
      </c>
      <c r="I15" s="170">
        <v>0</v>
      </c>
      <c r="J15" s="50"/>
      <c r="K15" s="60">
        <v>2333311.0499999998</v>
      </c>
      <c r="L15" s="171"/>
      <c r="M15" s="62">
        <v>1134520</v>
      </c>
      <c r="N15" s="57"/>
      <c r="O15" s="205">
        <f>ROUND((K15+(K15*-(I15/100)))-M15,0)</f>
        <v>1198791</v>
      </c>
      <c r="P15" s="57"/>
      <c r="Q15" s="62">
        <v>266398</v>
      </c>
      <c r="R15" s="50"/>
      <c r="S15" s="58">
        <v>11.42</v>
      </c>
      <c r="T15" s="50"/>
      <c r="U15" s="172">
        <v>4.5</v>
      </c>
      <c r="V15" s="23"/>
      <c r="W15" s="202"/>
    </row>
    <row r="16" spans="1:23" ht="15.75">
      <c r="A16" s="37"/>
      <c r="B16" s="42"/>
      <c r="C16" s="39"/>
      <c r="D16" s="35"/>
      <c r="E16" s="35"/>
      <c r="F16" s="35"/>
      <c r="G16" s="35"/>
      <c r="H16" s="35"/>
      <c r="I16" s="158"/>
      <c r="J16" s="35"/>
      <c r="K16" s="35"/>
      <c r="L16" s="35"/>
      <c r="M16" s="36"/>
      <c r="N16" s="36"/>
      <c r="O16" s="36"/>
      <c r="P16" s="36"/>
      <c r="Q16" s="36"/>
      <c r="R16" s="35"/>
      <c r="S16" s="35"/>
      <c r="U16" s="35"/>
      <c r="V16" s="23"/>
      <c r="W16" s="202"/>
    </row>
    <row r="17" spans="1:23" ht="15.75">
      <c r="A17" s="37"/>
      <c r="B17" s="42"/>
      <c r="C17" s="108" t="s">
        <v>179</v>
      </c>
      <c r="D17" s="35"/>
      <c r="E17" s="35"/>
      <c r="F17" s="35"/>
      <c r="G17" s="35"/>
      <c r="H17" s="35"/>
      <c r="I17" s="158"/>
      <c r="J17" s="35"/>
      <c r="K17" s="105">
        <f>SUBTOTAL(9,K15:K16)</f>
        <v>2333311.0499999998</v>
      </c>
      <c r="L17" s="173"/>
      <c r="M17" s="174">
        <f>SUBTOTAL(9,M15:M16)</f>
        <v>1134520</v>
      </c>
      <c r="N17" s="174"/>
      <c r="O17" s="174">
        <f>SUBTOTAL(9,O15:O16)</f>
        <v>1198791</v>
      </c>
      <c r="P17" s="174"/>
      <c r="Q17" s="174">
        <f>SUBTOTAL(9,Q15:Q16)</f>
        <v>266398</v>
      </c>
      <c r="R17" s="42"/>
      <c r="S17" s="43">
        <f>+ROUND(Q17/K17*100,2)</f>
        <v>11.42</v>
      </c>
      <c r="U17" s="35"/>
      <c r="V17" s="23"/>
      <c r="W17" s="202"/>
    </row>
    <row r="18" spans="1:23" ht="15.75">
      <c r="A18" s="23"/>
      <c r="B18" s="93"/>
      <c r="C18" s="35"/>
      <c r="D18" s="35"/>
      <c r="E18" s="35"/>
      <c r="F18" s="35"/>
      <c r="G18" s="35"/>
      <c r="H18" s="35"/>
      <c r="I18" s="158"/>
      <c r="J18" s="35"/>
      <c r="K18" s="35"/>
      <c r="L18" s="35"/>
      <c r="M18" s="36"/>
      <c r="N18" s="36"/>
      <c r="O18" s="36"/>
      <c r="P18" s="36"/>
      <c r="Q18" s="36"/>
      <c r="R18" s="35"/>
      <c r="S18" s="35"/>
      <c r="U18" s="35"/>
      <c r="V18" s="23"/>
      <c r="W18" s="202"/>
    </row>
    <row r="19" spans="1:23" ht="15.75">
      <c r="A19" s="23"/>
      <c r="C19" s="24" t="s">
        <v>45</v>
      </c>
      <c r="M19" s="46"/>
      <c r="N19" s="46"/>
      <c r="O19" s="46"/>
      <c r="P19" s="46"/>
      <c r="Q19" s="46"/>
      <c r="S19" s="47"/>
      <c r="U19" s="80"/>
      <c r="V19" s="23"/>
      <c r="W19" s="202"/>
    </row>
    <row r="20" spans="1:23" ht="15.75">
      <c r="A20" s="23"/>
      <c r="C20" s="48"/>
      <c r="M20" s="46"/>
      <c r="N20" s="46"/>
      <c r="O20" s="46"/>
      <c r="P20" s="46"/>
      <c r="Q20" s="46"/>
      <c r="S20" s="49"/>
      <c r="U20" s="176"/>
      <c r="V20" s="23"/>
      <c r="W20" s="202"/>
    </row>
    <row r="21" spans="1:23">
      <c r="A21" s="41">
        <v>310.10000000000002</v>
      </c>
      <c r="B21" s="50"/>
      <c r="C21" s="50" t="s">
        <v>46</v>
      </c>
      <c r="D21" s="37"/>
      <c r="E21" s="37"/>
      <c r="F21" s="37"/>
      <c r="G21" s="37"/>
      <c r="H21" s="37"/>
      <c r="I21" s="177"/>
      <c r="J21" s="37"/>
      <c r="K21" s="37"/>
      <c r="L21" s="37"/>
      <c r="M21" s="52"/>
      <c r="N21" s="52"/>
      <c r="O21" s="52"/>
      <c r="P21" s="52"/>
      <c r="Q21" s="52"/>
      <c r="R21" s="37"/>
      <c r="S21" s="53"/>
      <c r="T21" s="37"/>
      <c r="U21" s="178"/>
      <c r="V21" s="23"/>
      <c r="W21" s="202"/>
    </row>
    <row r="22" spans="1:23">
      <c r="A22" s="37"/>
      <c r="B22" s="37"/>
      <c r="C22" s="54" t="s">
        <v>47</v>
      </c>
      <c r="D22" s="50"/>
      <c r="E22" s="169">
        <v>2030</v>
      </c>
      <c r="F22" s="50"/>
      <c r="G22" s="169" t="s">
        <v>180</v>
      </c>
      <c r="H22" s="169" t="s">
        <v>181</v>
      </c>
      <c r="I22" s="170">
        <v>0</v>
      </c>
      <c r="J22" s="50"/>
      <c r="K22" s="55">
        <v>5325571.5599999996</v>
      </c>
      <c r="L22" s="171"/>
      <c r="M22" s="57">
        <v>0</v>
      </c>
      <c r="N22" s="57"/>
      <c r="O22" s="198">
        <f>ROUND((K22+(K22*-(I22/100)))-M22,0)</f>
        <v>5325572</v>
      </c>
      <c r="P22" s="57"/>
      <c r="Q22" s="57">
        <f>O22/W22</f>
        <v>507196.99999999994</v>
      </c>
      <c r="R22" s="50"/>
      <c r="S22" s="58">
        <f>Q22/K22*100</f>
        <v>9.5238040515598659</v>
      </c>
      <c r="T22" s="50"/>
      <c r="U22" s="172">
        <v>10.5</v>
      </c>
      <c r="V22" s="23"/>
      <c r="W22" s="203">
        <v>10.500006900671732</v>
      </c>
    </row>
    <row r="23" spans="1:23">
      <c r="A23" s="37"/>
      <c r="B23" s="37"/>
      <c r="C23" s="54" t="s">
        <v>48</v>
      </c>
      <c r="D23" s="50"/>
      <c r="E23" s="169">
        <v>2030</v>
      </c>
      <c r="F23" s="50"/>
      <c r="G23" s="169" t="s">
        <v>180</v>
      </c>
      <c r="H23" s="169" t="s">
        <v>181</v>
      </c>
      <c r="I23" s="170">
        <v>0</v>
      </c>
      <c r="J23" s="50"/>
      <c r="K23" s="55">
        <v>480134.08</v>
      </c>
      <c r="L23" s="171"/>
      <c r="M23" s="57">
        <v>0</v>
      </c>
      <c r="N23" s="57"/>
      <c r="O23" s="198">
        <f>ROUND((K23+(K23*-(I23/100)))-M23,0)</f>
        <v>480134</v>
      </c>
      <c r="P23" s="57"/>
      <c r="Q23" s="57">
        <f>O23/W23</f>
        <v>45727</v>
      </c>
      <c r="R23" s="50"/>
      <c r="S23" s="58">
        <f>Q23/K23*100</f>
        <v>9.5237980190866676</v>
      </c>
      <c r="T23" s="50"/>
      <c r="U23" s="172">
        <v>10.5</v>
      </c>
      <c r="V23" s="23"/>
      <c r="W23" s="203">
        <v>10.500010934458853</v>
      </c>
    </row>
    <row r="24" spans="1:23">
      <c r="A24" s="37"/>
      <c r="B24" s="37"/>
      <c r="C24" s="54" t="s">
        <v>49</v>
      </c>
      <c r="D24" s="50"/>
      <c r="E24" s="169">
        <v>2049</v>
      </c>
      <c r="F24" s="50"/>
      <c r="G24" s="169" t="s">
        <v>180</v>
      </c>
      <c r="H24" s="169" t="s">
        <v>181</v>
      </c>
      <c r="I24" s="170">
        <v>0</v>
      </c>
      <c r="J24" s="50"/>
      <c r="K24" s="55">
        <v>20170029.309999999</v>
      </c>
      <c r="L24" s="171"/>
      <c r="M24" s="57">
        <v>0</v>
      </c>
      <c r="N24" s="57"/>
      <c r="O24" s="198">
        <f>ROUND((K24+(K24*-(I24/100)))-M24,0)</f>
        <v>20170029</v>
      </c>
      <c r="P24" s="57"/>
      <c r="Q24" s="57">
        <f>O24/W24</f>
        <v>683730</v>
      </c>
      <c r="R24" s="50"/>
      <c r="S24" s="58">
        <f>Q24/K24*100</f>
        <v>3.3898314647515999</v>
      </c>
      <c r="T24" s="50"/>
      <c r="U24" s="172">
        <v>29.5</v>
      </c>
      <c r="V24" s="23"/>
      <c r="W24" s="203">
        <v>29.499991224606205</v>
      </c>
    </row>
    <row r="25" spans="1:23">
      <c r="A25" s="37"/>
      <c r="B25" s="37"/>
      <c r="C25" s="54" t="s">
        <v>50</v>
      </c>
      <c r="D25" s="50"/>
      <c r="E25" s="169">
        <v>2049</v>
      </c>
      <c r="F25" s="50"/>
      <c r="G25" s="169" t="s">
        <v>180</v>
      </c>
      <c r="H25" s="169" t="s">
        <v>181</v>
      </c>
      <c r="I25" s="170">
        <v>0</v>
      </c>
      <c r="J25" s="50"/>
      <c r="K25" s="55">
        <v>1050779.8600000001</v>
      </c>
      <c r="L25" s="171"/>
      <c r="M25" s="57">
        <v>0</v>
      </c>
      <c r="N25" s="57"/>
      <c r="O25" s="198">
        <f>ROUND((K25+(K25*-(I25/100)))-M25,0)</f>
        <v>1050780</v>
      </c>
      <c r="P25" s="57"/>
      <c r="Q25" s="57">
        <f>O25/W25</f>
        <v>35620</v>
      </c>
      <c r="R25" s="50"/>
      <c r="S25" s="58">
        <f>Q25/K25*100</f>
        <v>3.3898632202562387</v>
      </c>
      <c r="T25" s="50"/>
      <c r="U25" s="172">
        <v>29.5</v>
      </c>
      <c r="V25" s="23"/>
      <c r="W25" s="203">
        <v>29.499719258843346</v>
      </c>
    </row>
    <row r="26" spans="1:23">
      <c r="A26" s="37"/>
      <c r="B26" s="37"/>
      <c r="C26" s="54" t="s">
        <v>51</v>
      </c>
      <c r="D26" s="50"/>
      <c r="E26" s="169">
        <v>2026</v>
      </c>
      <c r="F26" s="50"/>
      <c r="G26" s="169" t="s">
        <v>180</v>
      </c>
      <c r="H26" s="169" t="s">
        <v>181</v>
      </c>
      <c r="I26" s="170">
        <v>0</v>
      </c>
      <c r="J26" s="50"/>
      <c r="K26" s="60">
        <v>6050424.8700000001</v>
      </c>
      <c r="L26" s="171"/>
      <c r="M26" s="62">
        <v>1462186</v>
      </c>
      <c r="N26" s="57"/>
      <c r="O26" s="205">
        <f>ROUND((K26+(K26*-(I26/100)))-M26,0)</f>
        <v>4588239</v>
      </c>
      <c r="P26" s="57"/>
      <c r="Q26" s="62">
        <f>O26/W26</f>
        <v>705883</v>
      </c>
      <c r="R26" s="50"/>
      <c r="S26" s="58">
        <f>Q26/K26*100</f>
        <v>11.666668294651512</v>
      </c>
      <c r="T26" s="50"/>
      <c r="U26" s="172">
        <v>6.5</v>
      </c>
      <c r="V26" s="23"/>
      <c r="W26" s="203">
        <v>6.4999992916673159</v>
      </c>
    </row>
    <row r="27" spans="1:23" ht="15.75">
      <c r="A27" s="23"/>
      <c r="C27" s="79"/>
      <c r="M27" s="46"/>
      <c r="N27" s="46"/>
      <c r="O27" s="46"/>
      <c r="P27" s="46"/>
      <c r="Q27" s="46"/>
      <c r="S27" s="49"/>
      <c r="U27" s="176"/>
      <c r="V27" s="23"/>
      <c r="W27" s="204"/>
    </row>
    <row r="28" spans="1:23">
      <c r="A28" s="23"/>
      <c r="C28" s="50" t="s">
        <v>52</v>
      </c>
      <c r="K28" s="55">
        <f>SUBTOTAL(9,K22:K27)</f>
        <v>33076939.68</v>
      </c>
      <c r="L28" s="171"/>
      <c r="M28" s="57">
        <f>SUBTOTAL(9,M22:M27)</f>
        <v>1462186</v>
      </c>
      <c r="N28" s="57"/>
      <c r="O28" s="57">
        <f>SUBTOTAL(9,O22:O27)</f>
        <v>31614754</v>
      </c>
      <c r="P28" s="57"/>
      <c r="Q28" s="57">
        <f>SUBTOTAL(9,Q22:Q27)</f>
        <v>1978157</v>
      </c>
      <c r="R28" s="50"/>
      <c r="S28" s="58">
        <f>+ROUND(Q28/K28*100,2)</f>
        <v>5.98</v>
      </c>
      <c r="U28" s="176"/>
      <c r="V28" s="23"/>
      <c r="W28" s="204"/>
    </row>
    <row r="29" spans="1:23" ht="15.75">
      <c r="A29" s="23"/>
      <c r="C29" s="79"/>
      <c r="M29" s="46"/>
      <c r="N29" s="46"/>
      <c r="O29" s="46"/>
      <c r="P29" s="46"/>
      <c r="Q29" s="46"/>
      <c r="S29" s="49"/>
      <c r="U29" s="176"/>
      <c r="V29" s="23"/>
      <c r="W29" s="204"/>
    </row>
    <row r="30" spans="1:23" s="19" customFormat="1">
      <c r="A30" s="64">
        <v>311</v>
      </c>
      <c r="B30" s="65"/>
      <c r="C30" s="65" t="s">
        <v>53</v>
      </c>
      <c r="D30" s="65"/>
      <c r="E30" s="65"/>
      <c r="F30" s="65"/>
      <c r="G30" s="65"/>
      <c r="H30" s="65"/>
      <c r="I30" s="179"/>
      <c r="J30" s="65"/>
      <c r="K30" s="65"/>
      <c r="L30" s="65"/>
      <c r="M30" s="67"/>
      <c r="N30" s="67"/>
      <c r="O30" s="67"/>
      <c r="P30" s="67"/>
      <c r="Q30" s="67"/>
      <c r="S30" s="68"/>
      <c r="U30" s="180"/>
      <c r="V30" s="181"/>
      <c r="W30" s="203"/>
    </row>
    <row r="31" spans="1:23" s="19" customFormat="1">
      <c r="A31" s="64"/>
      <c r="B31" s="65"/>
      <c r="C31" s="70" t="s">
        <v>54</v>
      </c>
      <c r="D31" s="65"/>
      <c r="E31" s="182">
        <v>2030</v>
      </c>
      <c r="F31" s="65"/>
      <c r="G31" s="183" t="s">
        <v>182</v>
      </c>
      <c r="H31" s="183" t="s">
        <v>181</v>
      </c>
      <c r="I31" s="184">
        <v>0</v>
      </c>
      <c r="J31" s="65"/>
      <c r="K31" s="71">
        <v>619445.56000000006</v>
      </c>
      <c r="L31" s="185"/>
      <c r="M31" s="73">
        <v>501279</v>
      </c>
      <c r="N31" s="73"/>
      <c r="O31" s="198">
        <f>ROUND((K31+(K31*-(I31/100)))-M31,0)</f>
        <v>118167</v>
      </c>
      <c r="P31" s="73"/>
      <c r="Q31" s="57">
        <f t="shared" ref="Q31:Q40" si="0">O31/W31</f>
        <v>11477</v>
      </c>
      <c r="S31" s="58">
        <f t="shared" ref="S31:S40" si="1">Q31/K31*100</f>
        <v>1.8527859009918479</v>
      </c>
      <c r="U31" s="186">
        <v>10.3</v>
      </c>
      <c r="V31" s="181"/>
      <c r="W31" s="203">
        <v>10.295983270889606</v>
      </c>
    </row>
    <row r="32" spans="1:23" s="19" customFormat="1">
      <c r="A32" s="64"/>
      <c r="B32" s="65"/>
      <c r="C32" s="70" t="s">
        <v>55</v>
      </c>
      <c r="D32" s="65"/>
      <c r="E32" s="182">
        <v>2030</v>
      </c>
      <c r="F32" s="65"/>
      <c r="G32" s="183" t="s">
        <v>182</v>
      </c>
      <c r="H32" s="183" t="s">
        <v>181</v>
      </c>
      <c r="I32" s="184">
        <v>-5</v>
      </c>
      <c r="J32" s="65"/>
      <c r="K32" s="71">
        <v>11599889.130000001</v>
      </c>
      <c r="L32" s="185"/>
      <c r="M32" s="73">
        <v>8333766</v>
      </c>
      <c r="N32" s="73"/>
      <c r="O32" s="199">
        <f>ROUND((K32+(K32*-(I32/100)))-M32,0)</f>
        <v>3846118</v>
      </c>
      <c r="P32" s="73"/>
      <c r="Q32" s="200">
        <f t="shared" si="0"/>
        <v>372847</v>
      </c>
      <c r="S32" s="58">
        <f t="shared" si="1"/>
        <v>3.2142289966869706</v>
      </c>
      <c r="U32" s="186">
        <v>10.3</v>
      </c>
      <c r="V32" s="181"/>
      <c r="W32" s="203">
        <v>10.315539618127543</v>
      </c>
    </row>
    <row r="33" spans="1:23" s="19" customFormat="1">
      <c r="A33" s="64"/>
      <c r="B33" s="65"/>
      <c r="C33" s="70" t="s">
        <v>56</v>
      </c>
      <c r="D33" s="65"/>
      <c r="E33" s="182">
        <v>2030</v>
      </c>
      <c r="F33" s="65"/>
      <c r="G33" s="183" t="s">
        <v>182</v>
      </c>
      <c r="H33" s="183" t="s">
        <v>181</v>
      </c>
      <c r="I33" s="184">
        <v>-5</v>
      </c>
      <c r="J33" s="65"/>
      <c r="K33" s="71">
        <v>16839214.859999999</v>
      </c>
      <c r="L33" s="185"/>
      <c r="M33" s="73">
        <v>7532370</v>
      </c>
      <c r="N33" s="73"/>
      <c r="O33" s="198">
        <f t="shared" ref="O33:O40" si="2">ROUND((K33+(K33*-(I33/100)))-M33,0)</f>
        <v>10148806</v>
      </c>
      <c r="P33" s="73"/>
      <c r="Q33" s="57">
        <f t="shared" si="0"/>
        <v>969322</v>
      </c>
      <c r="S33" s="58">
        <f t="shared" si="1"/>
        <v>5.7563372642897672</v>
      </c>
      <c r="U33" s="186">
        <v>10.5</v>
      </c>
      <c r="V33" s="181"/>
      <c r="W33" s="203">
        <v>10.470004807483994</v>
      </c>
    </row>
    <row r="34" spans="1:23" s="19" customFormat="1">
      <c r="A34" s="64"/>
      <c r="B34" s="65"/>
      <c r="C34" s="70" t="s">
        <v>57</v>
      </c>
      <c r="D34" s="65"/>
      <c r="E34" s="182">
        <v>2049</v>
      </c>
      <c r="F34" s="65"/>
      <c r="G34" s="183" t="s">
        <v>182</v>
      </c>
      <c r="H34" s="183" t="s">
        <v>181</v>
      </c>
      <c r="I34" s="184">
        <v>-7</v>
      </c>
      <c r="J34" s="65"/>
      <c r="K34" s="71">
        <v>29901164.98</v>
      </c>
      <c r="L34" s="185"/>
      <c r="M34" s="73">
        <v>4504371</v>
      </c>
      <c r="N34" s="73"/>
      <c r="O34" s="198">
        <f t="shared" si="2"/>
        <v>27489876</v>
      </c>
      <c r="P34" s="73"/>
      <c r="Q34" s="57">
        <f t="shared" si="0"/>
        <v>945554</v>
      </c>
      <c r="S34" s="58">
        <f t="shared" si="1"/>
        <v>3.1622647499936969</v>
      </c>
      <c r="U34" s="186">
        <v>29.1</v>
      </c>
      <c r="V34" s="181"/>
      <c r="W34" s="203">
        <v>29.072772152621638</v>
      </c>
    </row>
    <row r="35" spans="1:23" s="19" customFormat="1">
      <c r="A35" s="64"/>
      <c r="B35" s="65"/>
      <c r="C35" s="70" t="s">
        <v>58</v>
      </c>
      <c r="D35" s="65"/>
      <c r="E35" s="182">
        <v>2040</v>
      </c>
      <c r="F35" s="65"/>
      <c r="G35" s="183" t="s">
        <v>182</v>
      </c>
      <c r="H35" s="183" t="s">
        <v>181</v>
      </c>
      <c r="I35" s="184">
        <v>-7</v>
      </c>
      <c r="J35" s="65"/>
      <c r="K35" s="71">
        <v>27841989</v>
      </c>
      <c r="L35" s="185"/>
      <c r="M35" s="73">
        <v>17909967</v>
      </c>
      <c r="N35" s="73"/>
      <c r="O35" s="198">
        <f t="shared" si="2"/>
        <v>11880961</v>
      </c>
      <c r="P35" s="73"/>
      <c r="Q35" s="57">
        <f t="shared" si="0"/>
        <v>614994</v>
      </c>
      <c r="S35" s="58">
        <f t="shared" si="1"/>
        <v>2.2088723618129436</v>
      </c>
      <c r="U35" s="186">
        <v>19.3</v>
      </c>
      <c r="V35" s="181"/>
      <c r="W35" s="203">
        <v>19.318824248691858</v>
      </c>
    </row>
    <row r="36" spans="1:23" s="19" customFormat="1">
      <c r="A36" s="64"/>
      <c r="B36" s="65"/>
      <c r="C36" s="70" t="s">
        <v>59</v>
      </c>
      <c r="D36" s="65"/>
      <c r="E36" s="182">
        <v>2042</v>
      </c>
      <c r="F36" s="65"/>
      <c r="G36" s="183" t="s">
        <v>182</v>
      </c>
      <c r="H36" s="183" t="s">
        <v>181</v>
      </c>
      <c r="I36" s="184">
        <v>-7</v>
      </c>
      <c r="J36" s="65"/>
      <c r="K36" s="71">
        <v>34657321.799999997</v>
      </c>
      <c r="L36" s="185"/>
      <c r="M36" s="73">
        <v>23943936</v>
      </c>
      <c r="N36" s="73"/>
      <c r="O36" s="198">
        <f t="shared" si="2"/>
        <v>13139398</v>
      </c>
      <c r="P36" s="73"/>
      <c r="Q36" s="57">
        <f t="shared" si="0"/>
        <v>627228</v>
      </c>
      <c r="S36" s="58">
        <f t="shared" si="1"/>
        <v>1.8097993942509432</v>
      </c>
      <c r="U36" s="186">
        <v>20.9</v>
      </c>
      <c r="V36" s="181"/>
      <c r="W36" s="203">
        <v>20.94836008596555</v>
      </c>
    </row>
    <row r="37" spans="1:23" s="19" customFormat="1">
      <c r="A37" s="64"/>
      <c r="B37" s="65"/>
      <c r="C37" s="70" t="s">
        <v>60</v>
      </c>
      <c r="D37" s="65"/>
      <c r="E37" s="182">
        <v>2045</v>
      </c>
      <c r="F37" s="65"/>
      <c r="G37" s="183" t="s">
        <v>182</v>
      </c>
      <c r="H37" s="183" t="s">
        <v>181</v>
      </c>
      <c r="I37" s="184">
        <v>-7</v>
      </c>
      <c r="J37" s="65"/>
      <c r="K37" s="71">
        <v>135424737.28999999</v>
      </c>
      <c r="L37" s="185"/>
      <c r="M37" s="73">
        <v>43162292</v>
      </c>
      <c r="N37" s="73"/>
      <c r="O37" s="198">
        <f t="shared" si="2"/>
        <v>101742177</v>
      </c>
      <c r="P37" s="73"/>
      <c r="Q37" s="57">
        <f t="shared" si="0"/>
        <v>4087225</v>
      </c>
      <c r="S37" s="58">
        <f t="shared" si="1"/>
        <v>3.0180785887349164</v>
      </c>
      <c r="U37" s="186">
        <v>24.9</v>
      </c>
      <c r="V37" s="181"/>
      <c r="W37" s="203">
        <v>24.892727217121642</v>
      </c>
    </row>
    <row r="38" spans="1:23" s="19" customFormat="1">
      <c r="A38" s="64"/>
      <c r="B38" s="65"/>
      <c r="C38" s="70" t="s">
        <v>61</v>
      </c>
      <c r="D38" s="65"/>
      <c r="E38" s="182">
        <v>2049</v>
      </c>
      <c r="F38" s="65"/>
      <c r="G38" s="183" t="s">
        <v>182</v>
      </c>
      <c r="H38" s="183" t="s">
        <v>181</v>
      </c>
      <c r="I38" s="184">
        <v>-7</v>
      </c>
      <c r="J38" s="65"/>
      <c r="K38" s="71">
        <v>91915875.079999998</v>
      </c>
      <c r="L38" s="185"/>
      <c r="M38" s="73">
        <v>9800259</v>
      </c>
      <c r="N38" s="73"/>
      <c r="O38" s="198">
        <f t="shared" si="2"/>
        <v>88549727</v>
      </c>
      <c r="P38" s="73"/>
      <c r="Q38" s="57">
        <f t="shared" si="0"/>
        <v>3069934</v>
      </c>
      <c r="S38" s="58">
        <f t="shared" si="1"/>
        <v>3.3399388270285728</v>
      </c>
      <c r="U38" s="186">
        <v>28.8</v>
      </c>
      <c r="V38" s="181"/>
      <c r="W38" s="203">
        <v>28.844179386266937</v>
      </c>
    </row>
    <row r="39" spans="1:23" s="19" customFormat="1">
      <c r="A39" s="64"/>
      <c r="B39" s="65"/>
      <c r="C39" s="70" t="s">
        <v>62</v>
      </c>
      <c r="D39" s="65"/>
      <c r="E39" s="182">
        <v>2040</v>
      </c>
      <c r="F39" s="65"/>
      <c r="G39" s="183" t="s">
        <v>182</v>
      </c>
      <c r="H39" s="183" t="s">
        <v>181</v>
      </c>
      <c r="I39" s="184">
        <v>-7</v>
      </c>
      <c r="J39" s="65"/>
      <c r="K39" s="71">
        <v>25289573.359999999</v>
      </c>
      <c r="L39" s="185"/>
      <c r="M39" s="73">
        <v>9007550</v>
      </c>
      <c r="N39" s="73"/>
      <c r="O39" s="198">
        <f t="shared" si="2"/>
        <v>18052293</v>
      </c>
      <c r="P39" s="73"/>
      <c r="Q39" s="57">
        <f t="shared" si="0"/>
        <v>890592</v>
      </c>
      <c r="S39" s="58">
        <f t="shared" si="1"/>
        <v>3.5215777954112548</v>
      </c>
      <c r="U39" s="186">
        <v>20.3</v>
      </c>
      <c r="V39" s="181"/>
      <c r="W39" s="203">
        <v>20.269992319715424</v>
      </c>
    </row>
    <row r="40" spans="1:23" s="19" customFormat="1">
      <c r="A40" s="64"/>
      <c r="B40" s="65"/>
      <c r="C40" s="70" t="s">
        <v>63</v>
      </c>
      <c r="D40" s="65"/>
      <c r="E40" s="182">
        <v>2042</v>
      </c>
      <c r="F40" s="65"/>
      <c r="G40" s="183" t="s">
        <v>182</v>
      </c>
      <c r="H40" s="183" t="s">
        <v>181</v>
      </c>
      <c r="I40" s="184">
        <v>-7</v>
      </c>
      <c r="J40" s="65"/>
      <c r="K40" s="75">
        <v>22341947.210000001</v>
      </c>
      <c r="L40" s="185"/>
      <c r="M40" s="77">
        <v>8045353</v>
      </c>
      <c r="N40" s="73"/>
      <c r="O40" s="205">
        <f t="shared" si="2"/>
        <v>15860531</v>
      </c>
      <c r="P40" s="73"/>
      <c r="Q40" s="62">
        <f t="shared" si="0"/>
        <v>714438</v>
      </c>
      <c r="S40" s="58">
        <f t="shared" si="1"/>
        <v>3.197742762905758</v>
      </c>
      <c r="U40" s="186">
        <v>22.2</v>
      </c>
      <c r="V40" s="181"/>
      <c r="W40" s="203">
        <v>22.200010357791719</v>
      </c>
    </row>
    <row r="41" spans="1:23" s="19" customFormat="1">
      <c r="A41" s="64"/>
      <c r="B41" s="65"/>
      <c r="C41" s="78"/>
      <c r="D41" s="65"/>
      <c r="E41" s="65"/>
      <c r="F41" s="65"/>
      <c r="G41" s="183"/>
      <c r="H41" s="183"/>
      <c r="I41" s="184"/>
      <c r="J41" s="65"/>
      <c r="K41" s="71"/>
      <c r="L41" s="185"/>
      <c r="M41" s="73"/>
      <c r="N41" s="73"/>
      <c r="O41" s="73"/>
      <c r="P41" s="73"/>
      <c r="Q41" s="73"/>
      <c r="S41" s="74"/>
      <c r="U41" s="186"/>
      <c r="V41" s="181"/>
      <c r="W41" s="203"/>
    </row>
    <row r="42" spans="1:23" s="19" customFormat="1">
      <c r="A42" s="64"/>
      <c r="B42" s="65"/>
      <c r="C42" s="78" t="s">
        <v>64</v>
      </c>
      <c r="D42" s="65"/>
      <c r="E42" s="65"/>
      <c r="F42" s="65"/>
      <c r="G42" s="183"/>
      <c r="H42" s="183"/>
      <c r="I42" s="184"/>
      <c r="J42" s="65"/>
      <c r="K42" s="71">
        <f>SUBTOTAL(9,K31:K41)</f>
        <v>396431158.26999998</v>
      </c>
      <c r="L42" s="185"/>
      <c r="M42" s="73">
        <f>SUBTOTAL(9,M31:M41)</f>
        <v>132741143</v>
      </c>
      <c r="N42" s="73"/>
      <c r="O42" s="73">
        <f>SUBTOTAL(9,O31:O41)</f>
        <v>290828054</v>
      </c>
      <c r="P42" s="73"/>
      <c r="Q42" s="73">
        <f>SUBTOTAL(9,Q31:Q41)</f>
        <v>12303611</v>
      </c>
      <c r="S42" s="74">
        <f>+ROUND(Q42/K42*100,2)</f>
        <v>3.1</v>
      </c>
      <c r="U42" s="186"/>
      <c r="V42" s="181"/>
      <c r="W42" s="203"/>
    </row>
    <row r="43" spans="1:23" s="19" customFormat="1">
      <c r="A43" s="64"/>
      <c r="B43" s="65"/>
      <c r="C43" s="78"/>
      <c r="D43" s="65"/>
      <c r="E43" s="65"/>
      <c r="F43" s="65"/>
      <c r="G43" s="183"/>
      <c r="H43" s="183"/>
      <c r="I43" s="184"/>
      <c r="J43" s="65"/>
      <c r="K43" s="71"/>
      <c r="L43" s="185"/>
      <c r="M43" s="73"/>
      <c r="N43" s="73"/>
      <c r="O43" s="73"/>
      <c r="P43" s="73"/>
      <c r="Q43" s="73"/>
      <c r="S43" s="74"/>
      <c r="U43" s="186"/>
      <c r="V43" s="181"/>
      <c r="W43" s="203"/>
    </row>
    <row r="44" spans="1:23" s="19" customFormat="1">
      <c r="A44" s="64">
        <v>312</v>
      </c>
      <c r="B44" s="65"/>
      <c r="C44" s="78" t="s">
        <v>65</v>
      </c>
      <c r="D44" s="65"/>
      <c r="E44" s="65"/>
      <c r="F44" s="65"/>
      <c r="G44" s="183"/>
      <c r="H44" s="183"/>
      <c r="I44" s="184"/>
      <c r="J44" s="65"/>
      <c r="K44" s="71"/>
      <c r="L44" s="185"/>
      <c r="M44" s="73"/>
      <c r="N44" s="73"/>
      <c r="O44" s="73"/>
      <c r="P44" s="73"/>
      <c r="Q44" s="73"/>
      <c r="S44" s="74"/>
      <c r="U44" s="186"/>
      <c r="V44" s="181"/>
      <c r="W44" s="203"/>
    </row>
    <row r="45" spans="1:23" s="19" customFormat="1">
      <c r="A45" s="64"/>
      <c r="B45" s="65"/>
      <c r="C45" s="70" t="s">
        <v>55</v>
      </c>
      <c r="D45" s="65"/>
      <c r="E45" s="182">
        <v>2030</v>
      </c>
      <c r="F45" s="65"/>
      <c r="G45" s="183" t="s">
        <v>183</v>
      </c>
      <c r="H45" s="183" t="s">
        <v>181</v>
      </c>
      <c r="I45" s="184">
        <v>-5</v>
      </c>
      <c r="J45" s="65"/>
      <c r="K45" s="71">
        <v>102794003.59</v>
      </c>
      <c r="L45" s="185"/>
      <c r="M45" s="73">
        <v>66700151</v>
      </c>
      <c r="N45" s="73"/>
      <c r="O45" s="198">
        <f t="shared" ref="O45:O55" si="3">ROUND((K45+(K45*-(I45/100)))-M45,0)</f>
        <v>41233553</v>
      </c>
      <c r="P45" s="73"/>
      <c r="Q45" s="57">
        <f t="shared" ref="Q45:Q55" si="4">O45/W45</f>
        <v>4110747</v>
      </c>
      <c r="S45" s="58">
        <f t="shared" ref="S45:S55" si="5">Q45/K45*100</f>
        <v>3.9990143942597651</v>
      </c>
      <c r="U45" s="186">
        <v>10</v>
      </c>
      <c r="V45" s="181"/>
      <c r="W45" s="203">
        <v>10.030671554342799</v>
      </c>
    </row>
    <row r="46" spans="1:23" s="19" customFormat="1">
      <c r="A46" s="64"/>
      <c r="B46" s="65"/>
      <c r="C46" s="70" t="s">
        <v>66</v>
      </c>
      <c r="D46" s="65"/>
      <c r="E46" s="182">
        <v>2030</v>
      </c>
      <c r="F46" s="65"/>
      <c r="G46" s="183" t="s">
        <v>183</v>
      </c>
      <c r="H46" s="183" t="s">
        <v>181</v>
      </c>
      <c r="I46" s="184">
        <v>-5</v>
      </c>
      <c r="J46" s="65"/>
      <c r="K46" s="71">
        <v>14959125.039999999</v>
      </c>
      <c r="L46" s="185"/>
      <c r="M46" s="73">
        <v>4819574</v>
      </c>
      <c r="N46" s="73"/>
      <c r="O46" s="198">
        <f t="shared" si="3"/>
        <v>10887507</v>
      </c>
      <c r="P46" s="73"/>
      <c r="Q46" s="57">
        <f t="shared" si="4"/>
        <v>1053970</v>
      </c>
      <c r="S46" s="58">
        <f t="shared" si="5"/>
        <v>7.0456660879679358</v>
      </c>
      <c r="U46" s="186">
        <v>10.3</v>
      </c>
      <c r="V46" s="181"/>
      <c r="W46" s="203">
        <v>10.329997058739812</v>
      </c>
    </row>
    <row r="47" spans="1:23" s="19" customFormat="1">
      <c r="A47" s="64"/>
      <c r="B47" s="65"/>
      <c r="C47" s="70" t="s">
        <v>67</v>
      </c>
      <c r="D47" s="65"/>
      <c r="E47" s="182">
        <v>2030</v>
      </c>
      <c r="F47" s="65"/>
      <c r="G47" s="183" t="s">
        <v>183</v>
      </c>
      <c r="H47" s="183" t="s">
        <v>181</v>
      </c>
      <c r="I47" s="184">
        <v>-5</v>
      </c>
      <c r="J47" s="65"/>
      <c r="K47" s="71">
        <v>1476057.99</v>
      </c>
      <c r="L47" s="185"/>
      <c r="M47" s="73">
        <v>320975</v>
      </c>
      <c r="N47" s="73"/>
      <c r="O47" s="198">
        <f t="shared" si="3"/>
        <v>1228886</v>
      </c>
      <c r="P47" s="73"/>
      <c r="Q47" s="57">
        <f t="shared" si="4"/>
        <v>118540.99999999999</v>
      </c>
      <c r="S47" s="58">
        <f t="shared" si="5"/>
        <v>8.0309175386801694</v>
      </c>
      <c r="U47" s="186">
        <v>10.4</v>
      </c>
      <c r="V47" s="181"/>
      <c r="W47" s="203">
        <v>10.366759180367975</v>
      </c>
    </row>
    <row r="48" spans="1:23" s="19" customFormat="1">
      <c r="A48" s="64"/>
      <c r="B48" s="65"/>
      <c r="C48" s="70" t="s">
        <v>56</v>
      </c>
      <c r="D48" s="65"/>
      <c r="E48" s="182">
        <v>2030</v>
      </c>
      <c r="F48" s="65"/>
      <c r="G48" s="183" t="s">
        <v>183</v>
      </c>
      <c r="H48" s="183" t="s">
        <v>181</v>
      </c>
      <c r="I48" s="184">
        <v>-5</v>
      </c>
      <c r="J48" s="65"/>
      <c r="K48" s="71">
        <v>194151378.75</v>
      </c>
      <c r="L48" s="185"/>
      <c r="M48" s="73">
        <v>86850256.75</v>
      </c>
      <c r="N48" s="73"/>
      <c r="O48" s="198">
        <f t="shared" si="3"/>
        <v>117008691</v>
      </c>
      <c r="P48" s="73"/>
      <c r="Q48" s="57">
        <f t="shared" si="4"/>
        <v>11404356</v>
      </c>
      <c r="S48" s="58">
        <f t="shared" si="5"/>
        <v>5.8739505603433679</v>
      </c>
      <c r="U48" s="186">
        <v>10.3</v>
      </c>
      <c r="V48" s="181"/>
      <c r="W48" s="203">
        <v>10.259999863210163</v>
      </c>
    </row>
    <row r="49" spans="1:23" s="19" customFormat="1">
      <c r="A49" s="64"/>
      <c r="B49" s="65"/>
      <c r="C49" s="70" t="s">
        <v>57</v>
      </c>
      <c r="D49" s="65"/>
      <c r="E49" s="182">
        <v>2049</v>
      </c>
      <c r="F49" s="65"/>
      <c r="G49" s="183" t="s">
        <v>183</v>
      </c>
      <c r="H49" s="183" t="s">
        <v>181</v>
      </c>
      <c r="I49" s="184">
        <v>-7</v>
      </c>
      <c r="J49" s="65"/>
      <c r="K49" s="71">
        <v>47303061.5</v>
      </c>
      <c r="L49" s="185"/>
      <c r="M49" s="73">
        <v>11032731.539999999</v>
      </c>
      <c r="N49" s="73"/>
      <c r="O49" s="198">
        <f t="shared" si="3"/>
        <v>39581544</v>
      </c>
      <c r="P49" s="73"/>
      <c r="Q49" s="57">
        <f t="shared" si="4"/>
        <v>1487587</v>
      </c>
      <c r="S49" s="58">
        <f t="shared" si="5"/>
        <v>3.1448006806071107</v>
      </c>
      <c r="U49" s="186">
        <v>26.6</v>
      </c>
      <c r="V49" s="181"/>
      <c r="W49" s="203">
        <v>26.607885118651883</v>
      </c>
    </row>
    <row r="50" spans="1:23" s="19" customFormat="1">
      <c r="A50" s="64"/>
      <c r="B50" s="65"/>
      <c r="C50" s="70" t="s">
        <v>58</v>
      </c>
      <c r="D50" s="65"/>
      <c r="E50" s="182">
        <v>2040</v>
      </c>
      <c r="F50" s="65"/>
      <c r="G50" s="183" t="s">
        <v>183</v>
      </c>
      <c r="H50" s="183" t="s">
        <v>181</v>
      </c>
      <c r="I50" s="184">
        <v>-7</v>
      </c>
      <c r="J50" s="65"/>
      <c r="K50" s="71">
        <v>207072332.59</v>
      </c>
      <c r="L50" s="185"/>
      <c r="M50" s="73">
        <v>100727355.12</v>
      </c>
      <c r="N50" s="73"/>
      <c r="O50" s="198">
        <f t="shared" si="3"/>
        <v>120840041</v>
      </c>
      <c r="P50" s="73"/>
      <c r="Q50" s="57">
        <f t="shared" si="4"/>
        <v>6574732</v>
      </c>
      <c r="S50" s="58">
        <f t="shared" si="5"/>
        <v>3.175089553377402</v>
      </c>
      <c r="U50" s="186">
        <v>18.399999999999999</v>
      </c>
      <c r="V50" s="181"/>
      <c r="W50" s="203">
        <v>18.379462615358314</v>
      </c>
    </row>
    <row r="51" spans="1:23" s="19" customFormat="1">
      <c r="A51" s="64"/>
      <c r="B51" s="65"/>
      <c r="C51" s="70" t="s">
        <v>59</v>
      </c>
      <c r="D51" s="65"/>
      <c r="E51" s="182">
        <v>2042</v>
      </c>
      <c r="F51" s="65"/>
      <c r="G51" s="183" t="s">
        <v>183</v>
      </c>
      <c r="H51" s="183" t="s">
        <v>181</v>
      </c>
      <c r="I51" s="184">
        <v>-7</v>
      </c>
      <c r="J51" s="65"/>
      <c r="K51" s="71">
        <v>264954492.52000001</v>
      </c>
      <c r="L51" s="185"/>
      <c r="M51" s="73">
        <v>148127711.71000001</v>
      </c>
      <c r="N51" s="73"/>
      <c r="O51" s="198">
        <f t="shared" si="3"/>
        <v>135373595</v>
      </c>
      <c r="P51" s="73"/>
      <c r="Q51" s="57">
        <f t="shared" si="4"/>
        <v>6988909</v>
      </c>
      <c r="S51" s="58">
        <f t="shared" si="5"/>
        <v>2.6377771267541141</v>
      </c>
      <c r="U51" s="186">
        <v>19.399999999999999</v>
      </c>
      <c r="V51" s="181"/>
      <c r="W51" s="203">
        <v>19.369775024971709</v>
      </c>
    </row>
    <row r="52" spans="1:23" s="19" customFormat="1">
      <c r="A52" s="64"/>
      <c r="B52" s="65"/>
      <c r="C52" s="70" t="s">
        <v>60</v>
      </c>
      <c r="D52" s="65"/>
      <c r="E52" s="182">
        <v>2045</v>
      </c>
      <c r="F52" s="65"/>
      <c r="G52" s="183" t="s">
        <v>183</v>
      </c>
      <c r="H52" s="183" t="s">
        <v>181</v>
      </c>
      <c r="I52" s="184">
        <v>-7</v>
      </c>
      <c r="J52" s="65"/>
      <c r="K52" s="71">
        <v>182163077.56</v>
      </c>
      <c r="L52" s="185"/>
      <c r="M52" s="73">
        <v>55645311.229999997</v>
      </c>
      <c r="N52" s="73"/>
      <c r="O52" s="198">
        <f t="shared" si="3"/>
        <v>139269182</v>
      </c>
      <c r="P52" s="73"/>
      <c r="Q52" s="57">
        <f t="shared" si="4"/>
        <v>6110529</v>
      </c>
      <c r="S52" s="58">
        <f t="shared" si="5"/>
        <v>3.3544278466569843</v>
      </c>
      <c r="U52" s="186">
        <v>22.8</v>
      </c>
      <c r="V52" s="181"/>
      <c r="W52" s="203">
        <v>22.791673519592166</v>
      </c>
    </row>
    <row r="53" spans="1:23" s="19" customFormat="1">
      <c r="A53" s="64"/>
      <c r="B53" s="65"/>
      <c r="C53" s="70" t="s">
        <v>61</v>
      </c>
      <c r="D53" s="65"/>
      <c r="E53" s="182">
        <v>2049</v>
      </c>
      <c r="F53" s="65"/>
      <c r="G53" s="183" t="s">
        <v>183</v>
      </c>
      <c r="H53" s="183" t="s">
        <v>181</v>
      </c>
      <c r="I53" s="184">
        <v>-7</v>
      </c>
      <c r="J53" s="65"/>
      <c r="K53" s="71">
        <v>310905410.86000001</v>
      </c>
      <c r="L53" s="185"/>
      <c r="M53" s="73">
        <v>33139433.84</v>
      </c>
      <c r="N53" s="73"/>
      <c r="O53" s="198">
        <f t="shared" si="3"/>
        <v>299529356</v>
      </c>
      <c r="P53" s="73"/>
      <c r="Q53" s="57">
        <f t="shared" si="4"/>
        <v>11408395</v>
      </c>
      <c r="S53" s="58">
        <f t="shared" si="5"/>
        <v>3.6694102455287196</v>
      </c>
      <c r="U53" s="186">
        <v>26.3</v>
      </c>
      <c r="V53" s="181"/>
      <c r="W53" s="203">
        <v>26.255170512591825</v>
      </c>
    </row>
    <row r="54" spans="1:23" s="19" customFormat="1">
      <c r="A54" s="64"/>
      <c r="B54" s="65"/>
      <c r="C54" s="70" t="s">
        <v>62</v>
      </c>
      <c r="D54" s="65"/>
      <c r="E54" s="182">
        <v>2040</v>
      </c>
      <c r="F54" s="65"/>
      <c r="G54" s="183" t="s">
        <v>183</v>
      </c>
      <c r="H54" s="183" t="s">
        <v>181</v>
      </c>
      <c r="I54" s="184">
        <v>-7</v>
      </c>
      <c r="J54" s="65"/>
      <c r="K54" s="71">
        <v>102930250.29000001</v>
      </c>
      <c r="L54" s="185"/>
      <c r="M54" s="73">
        <v>36988548</v>
      </c>
      <c r="N54" s="73"/>
      <c r="O54" s="198">
        <f t="shared" si="3"/>
        <v>73146820</v>
      </c>
      <c r="P54" s="73"/>
      <c r="Q54" s="57">
        <f t="shared" si="4"/>
        <v>3829676</v>
      </c>
      <c r="S54" s="58">
        <f t="shared" si="5"/>
        <v>3.7206515958234925</v>
      </c>
      <c r="U54" s="186">
        <v>19.100000000000001</v>
      </c>
      <c r="V54" s="181"/>
      <c r="W54" s="203">
        <v>19.100002193397039</v>
      </c>
    </row>
    <row r="55" spans="1:23" s="19" customFormat="1">
      <c r="A55" s="64"/>
      <c r="B55" s="65"/>
      <c r="C55" s="70" t="s">
        <v>63</v>
      </c>
      <c r="D55" s="65"/>
      <c r="E55" s="182">
        <v>2042</v>
      </c>
      <c r="F55" s="65"/>
      <c r="G55" s="183" t="s">
        <v>183</v>
      </c>
      <c r="H55" s="183" t="s">
        <v>181</v>
      </c>
      <c r="I55" s="184">
        <v>-7</v>
      </c>
      <c r="J55" s="65"/>
      <c r="K55" s="75">
        <v>157598866.33000001</v>
      </c>
      <c r="L55" s="185"/>
      <c r="M55" s="77">
        <v>57451408</v>
      </c>
      <c r="N55" s="73"/>
      <c r="O55" s="205">
        <f t="shared" si="3"/>
        <v>111179379</v>
      </c>
      <c r="P55" s="73"/>
      <c r="Q55" s="62">
        <f t="shared" si="4"/>
        <v>5355461</v>
      </c>
      <c r="S55" s="58">
        <f t="shared" si="5"/>
        <v>3.3981595963933353</v>
      </c>
      <c r="U55" s="186">
        <v>20.8</v>
      </c>
      <c r="V55" s="181"/>
      <c r="W55" s="203">
        <v>20.760001613306493</v>
      </c>
    </row>
    <row r="56" spans="1:23" s="19" customFormat="1">
      <c r="A56" s="64"/>
      <c r="B56" s="65"/>
      <c r="C56" s="78"/>
      <c r="D56" s="65"/>
      <c r="E56" s="182"/>
      <c r="F56" s="65"/>
      <c r="G56" s="183"/>
      <c r="H56" s="183"/>
      <c r="I56" s="184"/>
      <c r="J56" s="65"/>
      <c r="K56" s="71"/>
      <c r="L56" s="185"/>
      <c r="M56" s="73"/>
      <c r="N56" s="73"/>
      <c r="O56" s="73"/>
      <c r="P56" s="73"/>
      <c r="Q56" s="73"/>
      <c r="S56" s="74"/>
      <c r="U56" s="186"/>
      <c r="V56" s="181"/>
      <c r="W56" s="203"/>
    </row>
    <row r="57" spans="1:23" s="19" customFormat="1">
      <c r="A57" s="64"/>
      <c r="B57" s="65"/>
      <c r="C57" s="78" t="s">
        <v>68</v>
      </c>
      <c r="D57" s="65"/>
      <c r="E57" s="65"/>
      <c r="F57" s="65"/>
      <c r="G57" s="183"/>
      <c r="H57" s="183"/>
      <c r="I57" s="184"/>
      <c r="J57" s="65"/>
      <c r="K57" s="71">
        <f>SUBTOTAL(9,K45:K56)</f>
        <v>1586308057.02</v>
      </c>
      <c r="L57" s="185"/>
      <c r="M57" s="73">
        <f>SUBTOTAL(9,M45:M56)</f>
        <v>601803456.19000006</v>
      </c>
      <c r="N57" s="73"/>
      <c r="O57" s="73">
        <f>SUBTOTAL(9,O45:O56)</f>
        <v>1089278554</v>
      </c>
      <c r="P57" s="73"/>
      <c r="Q57" s="73">
        <f>SUBTOTAL(9,Q45:Q56)</f>
        <v>58442903</v>
      </c>
      <c r="S57" s="74">
        <f>+ROUND(Q57/K57*100,2)</f>
        <v>3.68</v>
      </c>
      <c r="U57" s="186"/>
      <c r="V57" s="181"/>
      <c r="W57" s="203"/>
    </row>
    <row r="58" spans="1:23" s="19" customFormat="1">
      <c r="A58" s="64"/>
      <c r="B58" s="65"/>
      <c r="C58" s="78"/>
      <c r="D58" s="65"/>
      <c r="E58" s="65"/>
      <c r="F58" s="65"/>
      <c r="G58" s="183"/>
      <c r="H58" s="183"/>
      <c r="I58" s="184"/>
      <c r="J58" s="65"/>
      <c r="K58" s="71"/>
      <c r="L58" s="185"/>
      <c r="M58" s="73"/>
      <c r="N58" s="73"/>
      <c r="O58" s="73"/>
      <c r="P58" s="73"/>
      <c r="Q58" s="73"/>
      <c r="S58" s="74"/>
      <c r="U58" s="186"/>
      <c r="V58" s="181"/>
      <c r="W58" s="203"/>
    </row>
    <row r="59" spans="1:23" s="19" customFormat="1">
      <c r="A59" s="64">
        <v>314</v>
      </c>
      <c r="B59" s="65"/>
      <c r="C59" s="78" t="s">
        <v>69</v>
      </c>
      <c r="D59" s="65"/>
      <c r="E59" s="65"/>
      <c r="F59" s="65"/>
      <c r="G59" s="183"/>
      <c r="H59" s="183"/>
      <c r="I59" s="184"/>
      <c r="J59" s="65"/>
      <c r="K59" s="71"/>
      <c r="L59" s="185"/>
      <c r="M59" s="73"/>
      <c r="N59" s="73"/>
      <c r="O59" s="73"/>
      <c r="P59" s="73"/>
      <c r="Q59" s="73"/>
      <c r="S59" s="74"/>
      <c r="U59" s="186"/>
      <c r="V59" s="181"/>
      <c r="W59" s="203"/>
    </row>
    <row r="60" spans="1:23" s="19" customFormat="1">
      <c r="A60" s="64"/>
      <c r="B60" s="65"/>
      <c r="C60" s="70" t="s">
        <v>55</v>
      </c>
      <c r="D60" s="65"/>
      <c r="E60" s="182">
        <v>2030</v>
      </c>
      <c r="F60" s="65"/>
      <c r="G60" s="183" t="s">
        <v>184</v>
      </c>
      <c r="H60" s="183" t="s">
        <v>181</v>
      </c>
      <c r="I60" s="184">
        <v>-5</v>
      </c>
      <c r="J60" s="65"/>
      <c r="K60" s="71">
        <v>23714956.780000001</v>
      </c>
      <c r="L60" s="185"/>
      <c r="M60" s="73">
        <v>17101082</v>
      </c>
      <c r="N60" s="73"/>
      <c r="O60" s="198">
        <f>ROUND((K60+(K60*-(I60/100)))-M60,0)</f>
        <v>7799623</v>
      </c>
      <c r="P60" s="73"/>
      <c r="Q60" s="57">
        <f>O60/W60</f>
        <v>812009</v>
      </c>
      <c r="S60" s="58">
        <f>Q60/K60*100</f>
        <v>3.4240374441028183</v>
      </c>
      <c r="U60" s="186">
        <v>9.6</v>
      </c>
      <c r="V60" s="181"/>
      <c r="W60" s="203">
        <v>9.6053405812004549</v>
      </c>
    </row>
    <row r="61" spans="1:23" s="19" customFormat="1">
      <c r="A61" s="64"/>
      <c r="B61" s="65"/>
      <c r="C61" s="70" t="s">
        <v>58</v>
      </c>
      <c r="D61" s="65"/>
      <c r="E61" s="182">
        <v>2040</v>
      </c>
      <c r="F61" s="65"/>
      <c r="G61" s="183" t="s">
        <v>184</v>
      </c>
      <c r="H61" s="183" t="s">
        <v>181</v>
      </c>
      <c r="I61" s="184">
        <v>-7</v>
      </c>
      <c r="J61" s="65"/>
      <c r="K61" s="71">
        <v>33699815.289999999</v>
      </c>
      <c r="L61" s="185"/>
      <c r="M61" s="73">
        <v>21499392</v>
      </c>
      <c r="N61" s="73"/>
      <c r="O61" s="198">
        <f>ROUND((K61+(K61*-(I61/100)))-M61,0)</f>
        <v>14559410</v>
      </c>
      <c r="P61" s="73"/>
      <c r="Q61" s="57">
        <f>O61/W61</f>
        <v>884400</v>
      </c>
      <c r="S61" s="58">
        <f>Q61/K61*100</f>
        <v>2.6243467282814299</v>
      </c>
      <c r="U61" s="186">
        <v>16.5</v>
      </c>
      <c r="V61" s="181"/>
      <c r="W61" s="203">
        <v>16.462471732247852</v>
      </c>
    </row>
    <row r="62" spans="1:23" s="19" customFormat="1">
      <c r="A62" s="64"/>
      <c r="B62" s="65"/>
      <c r="C62" s="70" t="s">
        <v>59</v>
      </c>
      <c r="D62" s="65"/>
      <c r="E62" s="182">
        <v>2042</v>
      </c>
      <c r="F62" s="65"/>
      <c r="G62" s="183" t="s">
        <v>184</v>
      </c>
      <c r="H62" s="183" t="s">
        <v>181</v>
      </c>
      <c r="I62" s="184">
        <v>-7</v>
      </c>
      <c r="J62" s="65"/>
      <c r="K62" s="71">
        <v>60137136.600000001</v>
      </c>
      <c r="L62" s="185"/>
      <c r="M62" s="73">
        <v>34021115</v>
      </c>
      <c r="N62" s="73"/>
      <c r="O62" s="198">
        <f>ROUND((K62+(K62*-(I62/100)))-M62,0)</f>
        <v>30325621</v>
      </c>
      <c r="P62" s="73"/>
      <c r="Q62" s="57">
        <f>O62/W62</f>
        <v>1606261</v>
      </c>
      <c r="S62" s="58">
        <f>Q62/K62*100</f>
        <v>2.6709968096485657</v>
      </c>
      <c r="U62" s="186">
        <v>18.899999999999999</v>
      </c>
      <c r="V62" s="181"/>
      <c r="W62" s="203">
        <v>18.879634754252265</v>
      </c>
    </row>
    <row r="63" spans="1:23" s="19" customFormat="1">
      <c r="A63" s="64"/>
      <c r="B63" s="65"/>
      <c r="C63" s="70" t="s">
        <v>60</v>
      </c>
      <c r="D63" s="65"/>
      <c r="E63" s="182">
        <v>2045</v>
      </c>
      <c r="F63" s="65"/>
      <c r="G63" s="183" t="s">
        <v>184</v>
      </c>
      <c r="H63" s="183" t="s">
        <v>181</v>
      </c>
      <c r="I63" s="184">
        <v>-7</v>
      </c>
      <c r="J63" s="65"/>
      <c r="K63" s="71">
        <v>80408959.549999997</v>
      </c>
      <c r="L63" s="185"/>
      <c r="M63" s="73">
        <v>25108153</v>
      </c>
      <c r="N63" s="73"/>
      <c r="O63" s="198">
        <f>ROUND((K63+(K63*-(I63/100)))-M63,0)</f>
        <v>60929434</v>
      </c>
      <c r="P63" s="73"/>
      <c r="Q63" s="57">
        <f>O63/W63</f>
        <v>2646915</v>
      </c>
      <c r="S63" s="58">
        <f>Q63/K63*100</f>
        <v>3.2918160050984024</v>
      </c>
      <c r="U63" s="186">
        <v>23</v>
      </c>
      <c r="V63" s="181"/>
      <c r="W63" s="203">
        <v>23.019036878781524</v>
      </c>
    </row>
    <row r="64" spans="1:23" s="19" customFormat="1">
      <c r="A64" s="64"/>
      <c r="B64" s="65"/>
      <c r="C64" s="70" t="s">
        <v>61</v>
      </c>
      <c r="D64" s="65"/>
      <c r="E64" s="182">
        <v>2049</v>
      </c>
      <c r="F64" s="65"/>
      <c r="G64" s="183" t="s">
        <v>184</v>
      </c>
      <c r="H64" s="183" t="s">
        <v>181</v>
      </c>
      <c r="I64" s="184">
        <v>-7</v>
      </c>
      <c r="J64" s="65"/>
      <c r="K64" s="75">
        <v>80239064.25</v>
      </c>
      <c r="L64" s="185"/>
      <c r="M64" s="77">
        <v>6017115</v>
      </c>
      <c r="N64" s="73"/>
      <c r="O64" s="205">
        <f>ROUND((K64+(K64*-(I64/100)))-M64,0)</f>
        <v>79838684</v>
      </c>
      <c r="P64" s="73"/>
      <c r="Q64" s="62">
        <f>O64/W64</f>
        <v>2960611</v>
      </c>
      <c r="S64" s="58">
        <f>Q64/K64*100</f>
        <v>3.6897376953146606</v>
      </c>
      <c r="U64" s="186">
        <v>27</v>
      </c>
      <c r="V64" s="181"/>
      <c r="W64" s="203">
        <v>26.966961887259082</v>
      </c>
    </row>
    <row r="65" spans="1:23" s="19" customFormat="1">
      <c r="A65" s="64"/>
      <c r="B65" s="65"/>
      <c r="C65" s="78"/>
      <c r="D65" s="65"/>
      <c r="E65" s="182"/>
      <c r="F65" s="65"/>
      <c r="G65" s="183"/>
      <c r="H65" s="183"/>
      <c r="I65" s="184"/>
      <c r="J65" s="65"/>
      <c r="K65" s="71"/>
      <c r="L65" s="185"/>
      <c r="M65" s="73"/>
      <c r="N65" s="73"/>
      <c r="O65" s="73"/>
      <c r="P65" s="73"/>
      <c r="Q65" s="73"/>
      <c r="S65" s="74"/>
      <c r="U65" s="186"/>
      <c r="V65" s="181"/>
      <c r="W65" s="203"/>
    </row>
    <row r="66" spans="1:23" s="19" customFormat="1">
      <c r="A66" s="64"/>
      <c r="B66" s="65"/>
      <c r="C66" s="78" t="s">
        <v>70</v>
      </c>
      <c r="D66" s="65"/>
      <c r="E66" s="182"/>
      <c r="F66" s="65"/>
      <c r="G66" s="183"/>
      <c r="H66" s="183"/>
      <c r="I66" s="184"/>
      <c r="J66" s="65"/>
      <c r="K66" s="71">
        <f>SUBTOTAL(9,K60:K65)</f>
        <v>278199932.47000003</v>
      </c>
      <c r="L66" s="185"/>
      <c r="M66" s="73">
        <f>SUBTOTAL(9,M60:M65)</f>
        <v>103746857</v>
      </c>
      <c r="N66" s="73"/>
      <c r="O66" s="73">
        <f>SUBTOTAL(9,O60:O65)</f>
        <v>193452772</v>
      </c>
      <c r="P66" s="73"/>
      <c r="Q66" s="73">
        <f>SUBTOTAL(9,Q60:Q65)</f>
        <v>8910196</v>
      </c>
      <c r="S66" s="74">
        <f>+ROUND(Q66/K66*100,2)</f>
        <v>3.2</v>
      </c>
      <c r="U66" s="186"/>
      <c r="V66" s="181"/>
      <c r="W66" s="203"/>
    </row>
    <row r="67" spans="1:23" s="19" customFormat="1">
      <c r="A67" s="64"/>
      <c r="B67" s="65"/>
      <c r="C67" s="78"/>
      <c r="D67" s="65"/>
      <c r="E67" s="182"/>
      <c r="F67" s="65"/>
      <c r="G67" s="183"/>
      <c r="H67" s="183"/>
      <c r="I67" s="184"/>
      <c r="J67" s="65"/>
      <c r="K67" s="71"/>
      <c r="L67" s="185"/>
      <c r="M67" s="73"/>
      <c r="N67" s="73"/>
      <c r="O67" s="73"/>
      <c r="P67" s="73"/>
      <c r="Q67" s="73"/>
      <c r="S67" s="74"/>
      <c r="U67" s="186"/>
      <c r="V67" s="181"/>
      <c r="W67" s="203"/>
    </row>
    <row r="68" spans="1:23" s="19" customFormat="1">
      <c r="A68" s="64">
        <v>315</v>
      </c>
      <c r="B68" s="65"/>
      <c r="C68" s="78" t="s">
        <v>71</v>
      </c>
      <c r="D68" s="65"/>
      <c r="E68" s="182"/>
      <c r="F68" s="65"/>
      <c r="G68" s="183"/>
      <c r="H68" s="183"/>
      <c r="I68" s="184"/>
      <c r="J68" s="65"/>
      <c r="K68" s="71"/>
      <c r="L68" s="185"/>
      <c r="M68" s="73"/>
      <c r="N68" s="73"/>
      <c r="O68" s="73"/>
      <c r="P68" s="73"/>
      <c r="Q68" s="73"/>
      <c r="S68" s="74"/>
      <c r="U68" s="186"/>
      <c r="V68" s="181"/>
      <c r="W68" s="203"/>
    </row>
    <row r="69" spans="1:23" s="19" customFormat="1">
      <c r="A69" s="64"/>
      <c r="B69" s="65"/>
      <c r="C69" s="70" t="s">
        <v>55</v>
      </c>
      <c r="D69" s="65"/>
      <c r="E69" s="182">
        <v>2030</v>
      </c>
      <c r="F69" s="65"/>
      <c r="G69" s="183" t="s">
        <v>185</v>
      </c>
      <c r="H69" s="183" t="s">
        <v>181</v>
      </c>
      <c r="I69" s="184">
        <v>-5</v>
      </c>
      <c r="J69" s="65"/>
      <c r="K69" s="71">
        <v>3362383.45</v>
      </c>
      <c r="L69" s="185"/>
      <c r="M69" s="73">
        <v>2657793</v>
      </c>
      <c r="N69" s="73"/>
      <c r="O69" s="198">
        <f t="shared" ref="O69:O79" si="6">ROUND((K69+(K69*-(I69/100)))-M69,0)</f>
        <v>872710</v>
      </c>
      <c r="P69" s="73"/>
      <c r="Q69" s="57">
        <f t="shared" ref="Q69:Q79" si="7">O69/W69</f>
        <v>88267.999999999985</v>
      </c>
      <c r="S69" s="58">
        <f t="shared" ref="S69:S79" si="8">Q69/K69*100</f>
        <v>2.625161624561291</v>
      </c>
      <c r="U69" s="186">
        <v>9.9</v>
      </c>
      <c r="V69" s="181"/>
      <c r="W69" s="203">
        <v>9.8870485340100611</v>
      </c>
    </row>
    <row r="70" spans="1:23" s="19" customFormat="1">
      <c r="A70" s="64"/>
      <c r="B70" s="65"/>
      <c r="C70" s="70" t="s">
        <v>66</v>
      </c>
      <c r="D70" s="65"/>
      <c r="E70" s="182">
        <v>2030</v>
      </c>
      <c r="F70" s="65"/>
      <c r="G70" s="183" t="s">
        <v>185</v>
      </c>
      <c r="H70" s="183" t="s">
        <v>181</v>
      </c>
      <c r="I70" s="184">
        <v>-5</v>
      </c>
      <c r="J70" s="65"/>
      <c r="K70" s="71">
        <v>108139.1</v>
      </c>
      <c r="L70" s="185"/>
      <c r="M70" s="73">
        <v>17587</v>
      </c>
      <c r="N70" s="73"/>
      <c r="O70" s="198">
        <f t="shared" si="6"/>
        <v>95959</v>
      </c>
      <c r="P70" s="73"/>
      <c r="Q70" s="57">
        <f t="shared" si="7"/>
        <v>9139</v>
      </c>
      <c r="S70" s="58">
        <f t="shared" si="8"/>
        <v>8.4511522659241649</v>
      </c>
      <c r="U70" s="186">
        <v>10.5</v>
      </c>
      <c r="V70" s="181"/>
      <c r="W70" s="203">
        <v>10.499945289418974</v>
      </c>
    </row>
    <row r="71" spans="1:23" s="19" customFormat="1">
      <c r="A71" s="64"/>
      <c r="B71" s="65"/>
      <c r="C71" s="70" t="s">
        <v>67</v>
      </c>
      <c r="D71" s="65"/>
      <c r="E71" s="182">
        <v>2030</v>
      </c>
      <c r="F71" s="65"/>
      <c r="G71" s="183" t="s">
        <v>185</v>
      </c>
      <c r="H71" s="183" t="s">
        <v>181</v>
      </c>
      <c r="I71" s="184">
        <v>-5</v>
      </c>
      <c r="J71" s="65"/>
      <c r="K71" s="71">
        <v>108269.09</v>
      </c>
      <c r="L71" s="185"/>
      <c r="M71" s="73">
        <v>17606</v>
      </c>
      <c r="N71" s="73"/>
      <c r="O71" s="198">
        <f t="shared" si="6"/>
        <v>96077</v>
      </c>
      <c r="P71" s="73"/>
      <c r="Q71" s="57">
        <f t="shared" si="7"/>
        <v>9150</v>
      </c>
      <c r="S71" s="58">
        <f t="shared" si="8"/>
        <v>8.4511655173235507</v>
      </c>
      <c r="U71" s="186">
        <v>10.5</v>
      </c>
      <c r="V71" s="181"/>
      <c r="W71" s="203">
        <v>10.500218579234973</v>
      </c>
    </row>
    <row r="72" spans="1:23" s="19" customFormat="1">
      <c r="A72" s="64"/>
      <c r="B72" s="65"/>
      <c r="C72" s="70" t="s">
        <v>56</v>
      </c>
      <c r="D72" s="65"/>
      <c r="E72" s="182">
        <v>2030</v>
      </c>
      <c r="F72" s="65"/>
      <c r="G72" s="183" t="s">
        <v>185</v>
      </c>
      <c r="H72" s="183" t="s">
        <v>181</v>
      </c>
      <c r="I72" s="184">
        <v>-5</v>
      </c>
      <c r="J72" s="65"/>
      <c r="K72" s="71">
        <v>12060627.85</v>
      </c>
      <c r="L72" s="185"/>
      <c r="M72" s="73">
        <v>5388909</v>
      </c>
      <c r="N72" s="73"/>
      <c r="O72" s="198">
        <f t="shared" si="6"/>
        <v>7274750</v>
      </c>
      <c r="P72" s="73"/>
      <c r="Q72" s="57">
        <f t="shared" si="7"/>
        <v>693494</v>
      </c>
      <c r="S72" s="58">
        <f t="shared" si="8"/>
        <v>5.7500654909934896</v>
      </c>
      <c r="U72" s="186">
        <v>10.5</v>
      </c>
      <c r="V72" s="181"/>
      <c r="W72" s="203">
        <v>10.489997029534502</v>
      </c>
    </row>
    <row r="73" spans="1:23" s="19" customFormat="1">
      <c r="A73" s="64"/>
      <c r="B73" s="65"/>
      <c r="C73" s="70" t="s">
        <v>57</v>
      </c>
      <c r="D73" s="65"/>
      <c r="E73" s="182">
        <v>2049</v>
      </c>
      <c r="F73" s="65"/>
      <c r="G73" s="183" t="s">
        <v>185</v>
      </c>
      <c r="H73" s="183" t="s">
        <v>181</v>
      </c>
      <c r="I73" s="184">
        <v>-7</v>
      </c>
      <c r="J73" s="65"/>
      <c r="K73" s="71">
        <v>657912.36</v>
      </c>
      <c r="L73" s="185"/>
      <c r="M73" s="73">
        <v>7870</v>
      </c>
      <c r="N73" s="73"/>
      <c r="O73" s="198">
        <f t="shared" si="6"/>
        <v>696096</v>
      </c>
      <c r="P73" s="73"/>
      <c r="Q73" s="57">
        <f t="shared" si="7"/>
        <v>23693</v>
      </c>
      <c r="S73" s="58">
        <f t="shared" si="8"/>
        <v>3.6012395328763853</v>
      </c>
      <c r="U73" s="186">
        <v>29.4</v>
      </c>
      <c r="V73" s="181"/>
      <c r="W73" s="203">
        <v>29.379816823534377</v>
      </c>
    </row>
    <row r="74" spans="1:23" s="19" customFormat="1">
      <c r="A74" s="64"/>
      <c r="B74" s="65"/>
      <c r="C74" s="70" t="s">
        <v>58</v>
      </c>
      <c r="D74" s="65"/>
      <c r="E74" s="182">
        <v>2040</v>
      </c>
      <c r="F74" s="65"/>
      <c r="G74" s="183" t="s">
        <v>185</v>
      </c>
      <c r="H74" s="183" t="s">
        <v>181</v>
      </c>
      <c r="I74" s="184">
        <v>-7</v>
      </c>
      <c r="J74" s="65"/>
      <c r="K74" s="71">
        <v>10670855.65</v>
      </c>
      <c r="L74" s="185"/>
      <c r="M74" s="73">
        <v>6663401</v>
      </c>
      <c r="N74" s="73"/>
      <c r="O74" s="198">
        <f t="shared" si="6"/>
        <v>4754415</v>
      </c>
      <c r="P74" s="73"/>
      <c r="Q74" s="57">
        <f t="shared" si="7"/>
        <v>255913</v>
      </c>
      <c r="S74" s="58">
        <f t="shared" si="8"/>
        <v>2.3982425439332036</v>
      </c>
      <c r="U74" s="186">
        <v>18.600000000000001</v>
      </c>
      <c r="V74" s="181"/>
      <c r="W74" s="203">
        <v>18.578247294979153</v>
      </c>
    </row>
    <row r="75" spans="1:23" s="19" customFormat="1">
      <c r="A75" s="64"/>
      <c r="B75" s="65"/>
      <c r="C75" s="70" t="s">
        <v>59</v>
      </c>
      <c r="D75" s="65"/>
      <c r="E75" s="182">
        <v>2042</v>
      </c>
      <c r="F75" s="65"/>
      <c r="G75" s="183" t="s">
        <v>185</v>
      </c>
      <c r="H75" s="183" t="s">
        <v>181</v>
      </c>
      <c r="I75" s="184">
        <v>-7</v>
      </c>
      <c r="J75" s="65"/>
      <c r="K75" s="71">
        <v>21783326.510000002</v>
      </c>
      <c r="L75" s="185"/>
      <c r="M75" s="73">
        <v>15081564</v>
      </c>
      <c r="N75" s="73"/>
      <c r="O75" s="198">
        <f t="shared" si="6"/>
        <v>8226595</v>
      </c>
      <c r="P75" s="73"/>
      <c r="Q75" s="57">
        <f t="shared" si="7"/>
        <v>421017.99999999994</v>
      </c>
      <c r="S75" s="58">
        <f t="shared" si="8"/>
        <v>1.9327534745748065</v>
      </c>
      <c r="U75" s="186">
        <v>19.5</v>
      </c>
      <c r="V75" s="181"/>
      <c r="W75" s="203">
        <v>19.5397702711048</v>
      </c>
    </row>
    <row r="76" spans="1:23" s="19" customFormat="1">
      <c r="A76" s="64"/>
      <c r="B76" s="65"/>
      <c r="C76" s="70" t="s">
        <v>60</v>
      </c>
      <c r="D76" s="65"/>
      <c r="E76" s="182">
        <v>2045</v>
      </c>
      <c r="F76" s="65"/>
      <c r="G76" s="183" t="s">
        <v>185</v>
      </c>
      <c r="H76" s="183" t="s">
        <v>181</v>
      </c>
      <c r="I76" s="184">
        <v>-7</v>
      </c>
      <c r="J76" s="65"/>
      <c r="K76" s="71">
        <v>23764302.84</v>
      </c>
      <c r="L76" s="185"/>
      <c r="M76" s="73">
        <v>7521598</v>
      </c>
      <c r="N76" s="73"/>
      <c r="O76" s="198">
        <f t="shared" si="6"/>
        <v>17906206</v>
      </c>
      <c r="P76" s="73"/>
      <c r="Q76" s="57">
        <f t="shared" si="7"/>
        <v>715699</v>
      </c>
      <c r="S76" s="58">
        <f t="shared" si="8"/>
        <v>3.0116557797577705</v>
      </c>
      <c r="U76" s="186">
        <v>25</v>
      </c>
      <c r="V76" s="181"/>
      <c r="W76" s="203">
        <v>25.019185439689032</v>
      </c>
    </row>
    <row r="77" spans="1:23" s="19" customFormat="1">
      <c r="A77" s="64"/>
      <c r="B77" s="65"/>
      <c r="C77" s="70" t="s">
        <v>61</v>
      </c>
      <c r="D77" s="65"/>
      <c r="E77" s="182">
        <v>2049</v>
      </c>
      <c r="F77" s="65"/>
      <c r="G77" s="183" t="s">
        <v>185</v>
      </c>
      <c r="H77" s="183" t="s">
        <v>181</v>
      </c>
      <c r="I77" s="184">
        <v>-7</v>
      </c>
      <c r="J77" s="65"/>
      <c r="K77" s="71">
        <v>12751242.41</v>
      </c>
      <c r="L77" s="185"/>
      <c r="M77" s="73">
        <v>1382162</v>
      </c>
      <c r="N77" s="73"/>
      <c r="O77" s="198">
        <f t="shared" si="6"/>
        <v>12261667</v>
      </c>
      <c r="P77" s="73"/>
      <c r="Q77" s="57">
        <f t="shared" si="7"/>
        <v>422962</v>
      </c>
      <c r="S77" s="58">
        <f t="shared" si="8"/>
        <v>3.3170257956063751</v>
      </c>
      <c r="U77" s="186">
        <v>29</v>
      </c>
      <c r="V77" s="181"/>
      <c r="W77" s="203">
        <v>28.989996737295549</v>
      </c>
    </row>
    <row r="78" spans="1:23" s="19" customFormat="1">
      <c r="A78" s="64"/>
      <c r="B78" s="65"/>
      <c r="C78" s="70" t="s">
        <v>62</v>
      </c>
      <c r="D78" s="65"/>
      <c r="E78" s="182">
        <v>2040</v>
      </c>
      <c r="F78" s="65"/>
      <c r="G78" s="183" t="s">
        <v>185</v>
      </c>
      <c r="H78" s="183" t="s">
        <v>181</v>
      </c>
      <c r="I78" s="184">
        <v>-7</v>
      </c>
      <c r="J78" s="65"/>
      <c r="K78" s="71">
        <v>12520715.15</v>
      </c>
      <c r="L78" s="185"/>
      <c r="M78" s="73">
        <v>4450680</v>
      </c>
      <c r="N78" s="73"/>
      <c r="O78" s="198">
        <f t="shared" si="6"/>
        <v>8946485</v>
      </c>
      <c r="P78" s="73"/>
      <c r="Q78" s="57">
        <f t="shared" si="7"/>
        <v>439199</v>
      </c>
      <c r="S78" s="58">
        <f t="shared" si="8"/>
        <v>3.5077788667686445</v>
      </c>
      <c r="U78" s="186">
        <v>20.399999999999999</v>
      </c>
      <c r="V78" s="181"/>
      <c r="W78" s="203">
        <v>20.370003119314934</v>
      </c>
    </row>
    <row r="79" spans="1:23" s="19" customFormat="1">
      <c r="A79" s="64"/>
      <c r="B79" s="65"/>
      <c r="C79" s="70" t="s">
        <v>63</v>
      </c>
      <c r="D79" s="65"/>
      <c r="E79" s="182">
        <v>2042</v>
      </c>
      <c r="F79" s="65"/>
      <c r="G79" s="183" t="s">
        <v>185</v>
      </c>
      <c r="H79" s="183" t="s">
        <v>181</v>
      </c>
      <c r="I79" s="184">
        <v>-7</v>
      </c>
      <c r="J79" s="65"/>
      <c r="K79" s="75">
        <v>17731988.489999998</v>
      </c>
      <c r="L79" s="185"/>
      <c r="M79" s="77">
        <v>6374337</v>
      </c>
      <c r="N79" s="73"/>
      <c r="O79" s="205">
        <f t="shared" si="6"/>
        <v>12598891</v>
      </c>
      <c r="P79" s="73"/>
      <c r="Q79" s="62">
        <f t="shared" si="7"/>
        <v>564466</v>
      </c>
      <c r="S79" s="58">
        <f t="shared" si="8"/>
        <v>3.1833203609303724</v>
      </c>
      <c r="U79" s="186">
        <v>22.3</v>
      </c>
      <c r="V79" s="181"/>
      <c r="W79" s="203">
        <v>22.320017503268577</v>
      </c>
    </row>
    <row r="80" spans="1:23" s="19" customFormat="1">
      <c r="A80" s="64"/>
      <c r="B80" s="65"/>
      <c r="C80" s="78"/>
      <c r="D80" s="65"/>
      <c r="E80" s="65"/>
      <c r="F80" s="65"/>
      <c r="G80" s="183"/>
      <c r="H80" s="183"/>
      <c r="I80" s="184"/>
      <c r="J80" s="65"/>
      <c r="K80" s="71"/>
      <c r="L80" s="185"/>
      <c r="M80" s="73"/>
      <c r="N80" s="73"/>
      <c r="O80" s="73"/>
      <c r="P80" s="73"/>
      <c r="Q80" s="73"/>
      <c r="S80" s="74"/>
      <c r="U80" s="186"/>
      <c r="V80" s="181"/>
      <c r="W80" s="203"/>
    </row>
    <row r="81" spans="1:23" s="19" customFormat="1">
      <c r="A81" s="64"/>
      <c r="B81" s="65"/>
      <c r="C81" s="78" t="s">
        <v>72</v>
      </c>
      <c r="D81" s="65"/>
      <c r="E81" s="65"/>
      <c r="F81" s="65"/>
      <c r="G81" s="183"/>
      <c r="H81" s="183"/>
      <c r="I81" s="184"/>
      <c r="J81" s="65"/>
      <c r="K81" s="71">
        <f>SUBTOTAL(9,K69:K80)</f>
        <v>115519762.90000001</v>
      </c>
      <c r="L81" s="185"/>
      <c r="M81" s="73">
        <f>SUBTOTAL(9,M69:M80)</f>
        <v>49563507</v>
      </c>
      <c r="N81" s="73"/>
      <c r="O81" s="73">
        <f>SUBTOTAL(9,O69:O80)</f>
        <v>73729851</v>
      </c>
      <c r="P81" s="73"/>
      <c r="Q81" s="73">
        <f>SUBTOTAL(9,Q69:Q80)</f>
        <v>3643001</v>
      </c>
      <c r="S81" s="74">
        <f>+ROUND(Q81/K81*100,2)</f>
        <v>3.15</v>
      </c>
      <c r="U81" s="186"/>
      <c r="V81" s="181"/>
      <c r="W81" s="203"/>
    </row>
    <row r="82" spans="1:23" s="19" customFormat="1">
      <c r="A82" s="64"/>
      <c r="B82" s="65"/>
      <c r="C82" s="78"/>
      <c r="D82" s="65"/>
      <c r="E82" s="65"/>
      <c r="F82" s="65"/>
      <c r="G82" s="183"/>
      <c r="H82" s="183"/>
      <c r="I82" s="184"/>
      <c r="J82" s="65"/>
      <c r="K82" s="71"/>
      <c r="L82" s="185"/>
      <c r="M82" s="73"/>
      <c r="N82" s="73"/>
      <c r="O82" s="73"/>
      <c r="P82" s="73"/>
      <c r="Q82" s="73"/>
      <c r="S82" s="74"/>
      <c r="U82" s="186"/>
      <c r="V82" s="181"/>
      <c r="W82" s="203"/>
    </row>
    <row r="83" spans="1:23" s="19" customFormat="1">
      <c r="A83" s="64">
        <v>316</v>
      </c>
      <c r="B83" s="65"/>
      <c r="C83" s="78" t="s">
        <v>73</v>
      </c>
      <c r="D83" s="65"/>
      <c r="E83" s="65"/>
      <c r="F83" s="65"/>
      <c r="G83" s="183"/>
      <c r="H83" s="183"/>
      <c r="I83" s="184"/>
      <c r="J83" s="65"/>
      <c r="K83" s="71"/>
      <c r="L83" s="65"/>
      <c r="M83" s="67"/>
      <c r="N83" s="67"/>
      <c r="O83" s="67"/>
      <c r="P83" s="67"/>
      <c r="Q83" s="67"/>
      <c r="S83" s="74"/>
      <c r="U83" s="186"/>
      <c r="V83" s="181"/>
      <c r="W83" s="203"/>
    </row>
    <row r="84" spans="1:23" s="19" customFormat="1">
      <c r="A84" s="64"/>
      <c r="B84" s="65"/>
      <c r="C84" s="70" t="s">
        <v>54</v>
      </c>
      <c r="D84" s="65"/>
      <c r="E84" s="182">
        <v>2030</v>
      </c>
      <c r="F84" s="65"/>
      <c r="G84" s="183" t="s">
        <v>186</v>
      </c>
      <c r="H84" s="183" t="s">
        <v>181</v>
      </c>
      <c r="I84" s="184">
        <v>0</v>
      </c>
      <c r="J84" s="65"/>
      <c r="K84" s="71">
        <v>1111554.28</v>
      </c>
      <c r="L84" s="185"/>
      <c r="M84" s="73">
        <v>695769.46</v>
      </c>
      <c r="N84" s="73"/>
      <c r="O84" s="198">
        <f t="shared" ref="O84:O90" si="9">ROUND((K84+(K84*-(I84/100)))-M84,0)</f>
        <v>415785</v>
      </c>
      <c r="P84" s="73"/>
      <c r="Q84" s="57">
        <f t="shared" ref="Q84:Q90" si="10">O84/W84</f>
        <v>46409</v>
      </c>
      <c r="S84" s="58">
        <f t="shared" ref="S84:S90" si="11">Q84/K84*100</f>
        <v>4.1751447351720872</v>
      </c>
      <c r="U84" s="186">
        <v>9</v>
      </c>
      <c r="V84" s="181"/>
      <c r="W84" s="203">
        <v>8.9591458553297851</v>
      </c>
    </row>
    <row r="85" spans="1:23" s="19" customFormat="1">
      <c r="A85" s="64"/>
      <c r="B85" s="65"/>
      <c r="C85" s="70" t="s">
        <v>55</v>
      </c>
      <c r="D85" s="65"/>
      <c r="E85" s="182">
        <v>2030</v>
      </c>
      <c r="F85" s="65"/>
      <c r="G85" s="183" t="s">
        <v>186</v>
      </c>
      <c r="H85" s="183" t="s">
        <v>181</v>
      </c>
      <c r="I85" s="184">
        <v>-5</v>
      </c>
      <c r="J85" s="65"/>
      <c r="K85" s="71">
        <v>2706566.34</v>
      </c>
      <c r="L85" s="185"/>
      <c r="M85" s="73">
        <v>1294786</v>
      </c>
      <c r="N85" s="73"/>
      <c r="O85" s="198">
        <f t="shared" si="9"/>
        <v>1547109</v>
      </c>
      <c r="P85" s="73"/>
      <c r="Q85" s="57">
        <f t="shared" si="10"/>
        <v>165029</v>
      </c>
      <c r="S85" s="58">
        <f t="shared" si="11"/>
        <v>6.0973565495534832</v>
      </c>
      <c r="U85" s="186">
        <v>9.4</v>
      </c>
      <c r="V85" s="181"/>
      <c r="W85" s="203">
        <v>9.3747704948827177</v>
      </c>
    </row>
    <row r="86" spans="1:23" s="19" customFormat="1">
      <c r="A86" s="64"/>
      <c r="B86" s="65"/>
      <c r="C86" s="70" t="s">
        <v>56</v>
      </c>
      <c r="D86" s="65"/>
      <c r="E86" s="182">
        <v>2030</v>
      </c>
      <c r="F86" s="65"/>
      <c r="G86" s="183" t="s">
        <v>186</v>
      </c>
      <c r="H86" s="183" t="s">
        <v>181</v>
      </c>
      <c r="I86" s="184">
        <v>-5</v>
      </c>
      <c r="J86" s="65"/>
      <c r="K86" s="71">
        <v>2139985.1800000002</v>
      </c>
      <c r="L86" s="185"/>
      <c r="M86" s="73">
        <v>969395</v>
      </c>
      <c r="N86" s="73"/>
      <c r="O86" s="198">
        <f t="shared" si="9"/>
        <v>1277589</v>
      </c>
      <c r="P86" s="73"/>
      <c r="Q86" s="57">
        <f t="shared" si="10"/>
        <v>134767</v>
      </c>
      <c r="S86" s="58">
        <f t="shared" si="11"/>
        <v>6.2975669766086888</v>
      </c>
      <c r="U86" s="186">
        <v>9.5</v>
      </c>
      <c r="V86" s="181"/>
      <c r="W86" s="203">
        <v>9.4799839723374415</v>
      </c>
    </row>
    <row r="87" spans="1:23" s="19" customFormat="1">
      <c r="A87" s="64"/>
      <c r="B87" s="65"/>
      <c r="C87" s="70" t="s">
        <v>57</v>
      </c>
      <c r="D87" s="65"/>
      <c r="E87" s="182">
        <v>2049</v>
      </c>
      <c r="F87" s="65"/>
      <c r="G87" s="183" t="s">
        <v>186</v>
      </c>
      <c r="H87" s="183" t="s">
        <v>181</v>
      </c>
      <c r="I87" s="184">
        <v>-7</v>
      </c>
      <c r="J87" s="65"/>
      <c r="K87" s="71">
        <v>4774642.05</v>
      </c>
      <c r="L87" s="185"/>
      <c r="M87" s="73">
        <v>1942513</v>
      </c>
      <c r="N87" s="73"/>
      <c r="O87" s="198">
        <f t="shared" si="9"/>
        <v>3166354</v>
      </c>
      <c r="P87" s="73"/>
      <c r="Q87" s="57">
        <f t="shared" si="10"/>
        <v>180210</v>
      </c>
      <c r="S87" s="58">
        <f t="shared" si="11"/>
        <v>3.7743143488630735</v>
      </c>
      <c r="U87" s="186">
        <v>17.600000000000001</v>
      </c>
      <c r="V87" s="181"/>
      <c r="W87" s="203">
        <v>17.570356805948617</v>
      </c>
    </row>
    <row r="88" spans="1:23" s="19" customFormat="1">
      <c r="A88" s="64"/>
      <c r="B88" s="65"/>
      <c r="C88" s="70" t="s">
        <v>58</v>
      </c>
      <c r="D88" s="65"/>
      <c r="E88" s="182">
        <v>2040</v>
      </c>
      <c r="F88" s="65"/>
      <c r="G88" s="183" t="s">
        <v>186</v>
      </c>
      <c r="H88" s="183" t="s">
        <v>181</v>
      </c>
      <c r="I88" s="184">
        <v>-7</v>
      </c>
      <c r="J88" s="65"/>
      <c r="K88" s="71">
        <v>182562.7</v>
      </c>
      <c r="L88" s="185"/>
      <c r="M88" s="73">
        <v>127731</v>
      </c>
      <c r="N88" s="73"/>
      <c r="O88" s="198">
        <f t="shared" si="9"/>
        <v>67611</v>
      </c>
      <c r="P88" s="73"/>
      <c r="Q88" s="57">
        <f t="shared" si="10"/>
        <v>6978</v>
      </c>
      <c r="S88" s="58">
        <f t="shared" si="11"/>
        <v>3.8222484658695342</v>
      </c>
      <c r="U88" s="186">
        <v>9.6999999999999993</v>
      </c>
      <c r="V88" s="181"/>
      <c r="W88" s="203">
        <v>9.6891659501289773</v>
      </c>
    </row>
    <row r="89" spans="1:23" s="19" customFormat="1">
      <c r="A89" s="64"/>
      <c r="B89" s="65"/>
      <c r="C89" s="70" t="s">
        <v>60</v>
      </c>
      <c r="D89" s="65"/>
      <c r="E89" s="182">
        <v>2045</v>
      </c>
      <c r="F89" s="65"/>
      <c r="G89" s="183" t="s">
        <v>186</v>
      </c>
      <c r="H89" s="183" t="s">
        <v>181</v>
      </c>
      <c r="I89" s="184">
        <v>-7</v>
      </c>
      <c r="J89" s="65"/>
      <c r="K89" s="71">
        <v>2192469.65</v>
      </c>
      <c r="L89" s="185"/>
      <c r="M89" s="73">
        <v>248026</v>
      </c>
      <c r="N89" s="73"/>
      <c r="O89" s="198">
        <f t="shared" si="9"/>
        <v>2097917</v>
      </c>
      <c r="P89" s="73"/>
      <c r="Q89" s="57">
        <f t="shared" si="10"/>
        <v>105158</v>
      </c>
      <c r="S89" s="58">
        <f t="shared" si="11"/>
        <v>4.7963263710400739</v>
      </c>
      <c r="U89" s="186">
        <v>20</v>
      </c>
      <c r="V89" s="181"/>
      <c r="W89" s="203">
        <v>19.95014169154986</v>
      </c>
    </row>
    <row r="90" spans="1:23" s="19" customFormat="1">
      <c r="A90" s="64"/>
      <c r="B90" s="65"/>
      <c r="C90" s="70" t="s">
        <v>61</v>
      </c>
      <c r="D90" s="65"/>
      <c r="E90" s="182">
        <v>2049</v>
      </c>
      <c r="F90" s="65"/>
      <c r="G90" s="183" t="s">
        <v>186</v>
      </c>
      <c r="H90" s="183" t="s">
        <v>181</v>
      </c>
      <c r="I90" s="184">
        <v>-7</v>
      </c>
      <c r="J90" s="65"/>
      <c r="K90" s="75">
        <v>3964220.82</v>
      </c>
      <c r="L90" s="185"/>
      <c r="M90" s="77">
        <v>272786</v>
      </c>
      <c r="N90" s="73"/>
      <c r="O90" s="205">
        <f t="shared" si="9"/>
        <v>3968930</v>
      </c>
      <c r="P90" s="73"/>
      <c r="Q90" s="62">
        <f t="shared" si="10"/>
        <v>191731</v>
      </c>
      <c r="S90" s="58">
        <f t="shared" si="11"/>
        <v>4.8365368304584004</v>
      </c>
      <c r="U90" s="186">
        <v>20.7</v>
      </c>
      <c r="V90" s="181"/>
      <c r="W90" s="203">
        <v>20.700512697477194</v>
      </c>
    </row>
    <row r="91" spans="1:23" s="19" customFormat="1">
      <c r="A91" s="64"/>
      <c r="B91" s="65"/>
      <c r="C91" s="78"/>
      <c r="D91" s="65"/>
      <c r="E91" s="65"/>
      <c r="F91" s="65"/>
      <c r="G91" s="183"/>
      <c r="H91" s="183"/>
      <c r="I91" s="184"/>
      <c r="J91" s="65"/>
      <c r="K91" s="71"/>
      <c r="L91" s="185"/>
      <c r="M91" s="73"/>
      <c r="N91" s="73"/>
      <c r="O91" s="73"/>
      <c r="P91" s="73"/>
      <c r="Q91" s="73"/>
      <c r="S91" s="74"/>
      <c r="U91" s="186"/>
      <c r="V91" s="181"/>
      <c r="W91" s="203"/>
    </row>
    <row r="92" spans="1:23" s="19" customFormat="1">
      <c r="A92" s="64"/>
      <c r="B92" s="65"/>
      <c r="C92" s="78" t="s">
        <v>74</v>
      </c>
      <c r="D92" s="65"/>
      <c r="E92" s="65"/>
      <c r="F92" s="65"/>
      <c r="G92" s="183"/>
      <c r="H92" s="183"/>
      <c r="I92" s="184"/>
      <c r="J92" s="65"/>
      <c r="K92" s="75">
        <f>SUBTOTAL(9,K84:K91)</f>
        <v>17072001.02</v>
      </c>
      <c r="L92" s="185"/>
      <c r="M92" s="77">
        <f>SUBTOTAL(9,M84:M91)</f>
        <v>5551006.46</v>
      </c>
      <c r="N92" s="73"/>
      <c r="O92" s="77">
        <f>SUBTOTAL(9,O84:O91)</f>
        <v>12541295</v>
      </c>
      <c r="P92" s="73"/>
      <c r="Q92" s="77">
        <f>SUBTOTAL(9,Q84:Q91)</f>
        <v>830282</v>
      </c>
      <c r="S92" s="74">
        <f>+ROUND(Q92/K92*100,2)</f>
        <v>4.8600000000000003</v>
      </c>
      <c r="U92" s="186"/>
      <c r="V92" s="181"/>
      <c r="W92" s="203"/>
    </row>
    <row r="93" spans="1:23" ht="15.75">
      <c r="A93" s="23"/>
      <c r="C93" s="79"/>
      <c r="K93" s="71"/>
      <c r="L93" s="185"/>
      <c r="M93" s="73"/>
      <c r="N93" s="73"/>
      <c r="O93" s="73"/>
      <c r="P93" s="73"/>
      <c r="Q93" s="73"/>
      <c r="S93" s="49"/>
      <c r="U93" s="176"/>
      <c r="V93" s="23"/>
      <c r="W93" s="204"/>
    </row>
    <row r="94" spans="1:23" ht="15.75">
      <c r="A94" s="80"/>
      <c r="C94" s="81" t="s">
        <v>75</v>
      </c>
      <c r="G94" s="187"/>
      <c r="H94" s="187"/>
      <c r="I94" s="188"/>
      <c r="K94" s="118">
        <f>SUBTOTAL(9,K22:K93)</f>
        <v>2426607851.3600001</v>
      </c>
      <c r="L94" s="93"/>
      <c r="M94" s="120">
        <f>SUBTOTAL(9,M22:M93)</f>
        <v>894868155.6500001</v>
      </c>
      <c r="N94" s="120"/>
      <c r="O94" s="120">
        <f>SUBTOTAL(9,O22:O93)</f>
        <v>1691445280</v>
      </c>
      <c r="P94" s="120"/>
      <c r="Q94" s="120">
        <f>SUBTOTAL(9,Q22:Q93)</f>
        <v>86108150</v>
      </c>
      <c r="S94" s="84">
        <f>+ROUND(Q94/K94*100,2)</f>
        <v>3.55</v>
      </c>
      <c r="T94" s="93"/>
      <c r="U94" s="189"/>
      <c r="V94" s="23"/>
      <c r="W94" s="204"/>
    </row>
    <row r="95" spans="1:23" s="19" customFormat="1">
      <c r="A95" s="85"/>
      <c r="C95" s="86"/>
      <c r="G95" s="187"/>
      <c r="H95" s="187"/>
      <c r="I95" s="188"/>
      <c r="K95" s="87"/>
      <c r="M95" s="89"/>
      <c r="N95" s="89"/>
      <c r="O95" s="89"/>
      <c r="P95" s="89"/>
      <c r="Q95" s="89"/>
      <c r="S95" s="74"/>
      <c r="U95" s="186"/>
      <c r="V95" s="181"/>
      <c r="W95" s="203"/>
    </row>
    <row r="96" spans="1:23" ht="15.75">
      <c r="A96" s="23"/>
      <c r="C96" s="24" t="s">
        <v>76</v>
      </c>
      <c r="M96" s="46"/>
      <c r="N96" s="46"/>
      <c r="O96" s="46"/>
      <c r="P96" s="46"/>
      <c r="Q96" s="46"/>
      <c r="S96" s="49"/>
      <c r="U96" s="176"/>
      <c r="V96" s="23"/>
      <c r="W96" s="204"/>
    </row>
    <row r="97" spans="1:23" ht="15.75">
      <c r="A97" s="23"/>
      <c r="C97" s="48"/>
      <c r="M97" s="46"/>
      <c r="N97" s="46"/>
      <c r="O97" s="46"/>
      <c r="P97" s="46"/>
      <c r="Q97" s="46"/>
      <c r="S97" s="49"/>
      <c r="U97" s="176"/>
      <c r="V97" s="23"/>
      <c r="W97" s="204"/>
    </row>
    <row r="98" spans="1:23" s="19" customFormat="1">
      <c r="A98" s="64">
        <v>341</v>
      </c>
      <c r="B98" s="65"/>
      <c r="C98" s="65" t="s">
        <v>53</v>
      </c>
      <c r="D98" s="65"/>
      <c r="E98" s="65"/>
      <c r="F98" s="65"/>
      <c r="G98" s="65"/>
      <c r="H98" s="65"/>
      <c r="I98" s="179"/>
      <c r="J98" s="65"/>
      <c r="K98" s="65"/>
      <c r="L98" s="65"/>
      <c r="M98" s="67"/>
      <c r="N98" s="67"/>
      <c r="O98" s="67"/>
      <c r="P98" s="67"/>
      <c r="Q98" s="67"/>
      <c r="S98" s="68"/>
      <c r="U98" s="180"/>
      <c r="V98" s="181"/>
      <c r="W98" s="203"/>
    </row>
    <row r="99" spans="1:23" s="19" customFormat="1">
      <c r="A99" s="64"/>
      <c r="B99" s="65"/>
      <c r="C99" s="70" t="s">
        <v>77</v>
      </c>
      <c r="D99" s="65"/>
      <c r="E99" s="182">
        <v>2050</v>
      </c>
      <c r="F99" s="65"/>
      <c r="G99" s="183" t="s">
        <v>187</v>
      </c>
      <c r="H99" s="183" t="s">
        <v>181</v>
      </c>
      <c r="I99" s="184">
        <v>-3</v>
      </c>
      <c r="J99" s="65"/>
      <c r="K99" s="71">
        <v>19534021.23</v>
      </c>
      <c r="L99" s="185"/>
      <c r="M99" s="73">
        <v>8079954</v>
      </c>
      <c r="N99" s="73"/>
      <c r="O99" s="198">
        <f t="shared" ref="O99:O118" si="12">ROUND((K99+(K99*-(I99/100)))-M99,0)</f>
        <v>12040088</v>
      </c>
      <c r="P99" s="73"/>
      <c r="Q99" s="57">
        <f t="shared" ref="Q99:Q118" si="13">O99/W99</f>
        <v>461876</v>
      </c>
      <c r="S99" s="58">
        <f t="shared" ref="S99:S118" si="14">Q99/K99*100</f>
        <v>2.3644696325539933</v>
      </c>
      <c r="U99" s="186">
        <v>26.1</v>
      </c>
      <c r="V99" s="181"/>
      <c r="W99" s="203">
        <v>26.067793087322137</v>
      </c>
    </row>
    <row r="100" spans="1:23" s="19" customFormat="1">
      <c r="A100" s="64"/>
      <c r="B100" s="65"/>
      <c r="C100" s="70" t="s">
        <v>78</v>
      </c>
      <c r="D100" s="65"/>
      <c r="E100" s="182">
        <v>2034</v>
      </c>
      <c r="F100" s="65"/>
      <c r="G100" s="183" t="s">
        <v>187</v>
      </c>
      <c r="H100" s="183" t="s">
        <v>181</v>
      </c>
      <c r="I100" s="184">
        <v>-4</v>
      </c>
      <c r="J100" s="65"/>
      <c r="K100" s="71">
        <v>2666719.81</v>
      </c>
      <c r="L100" s="185"/>
      <c r="M100" s="73">
        <v>1526577</v>
      </c>
      <c r="N100" s="73"/>
      <c r="O100" s="198">
        <f t="shared" si="12"/>
        <v>1246812</v>
      </c>
      <c r="P100" s="73"/>
      <c r="Q100" s="57">
        <f t="shared" si="13"/>
        <v>91600</v>
      </c>
      <c r="S100" s="58">
        <f t="shared" si="14"/>
        <v>3.4349315461079506</v>
      </c>
      <c r="U100" s="186">
        <v>13.6</v>
      </c>
      <c r="V100" s="181"/>
      <c r="W100" s="203">
        <v>13.611484716157205</v>
      </c>
    </row>
    <row r="101" spans="1:23" s="19" customFormat="1">
      <c r="A101" s="64"/>
      <c r="B101" s="65"/>
      <c r="C101" s="70" t="s">
        <v>79</v>
      </c>
      <c r="D101" s="65"/>
      <c r="E101" s="182">
        <v>2034</v>
      </c>
      <c r="F101" s="65"/>
      <c r="G101" s="183" t="s">
        <v>187</v>
      </c>
      <c r="H101" s="183" t="s">
        <v>181</v>
      </c>
      <c r="I101" s="184">
        <v>-4</v>
      </c>
      <c r="J101" s="65"/>
      <c r="K101" s="71">
        <v>2666719.81</v>
      </c>
      <c r="L101" s="185"/>
      <c r="M101" s="73">
        <v>1547030</v>
      </c>
      <c r="N101" s="73"/>
      <c r="O101" s="198">
        <f t="shared" si="12"/>
        <v>1226359</v>
      </c>
      <c r="P101" s="73"/>
      <c r="Q101" s="57">
        <f t="shared" si="13"/>
        <v>90097</v>
      </c>
      <c r="S101" s="58">
        <f t="shared" si="14"/>
        <v>3.3785701693197381</v>
      </c>
      <c r="U101" s="186">
        <v>13.6</v>
      </c>
      <c r="V101" s="181"/>
      <c r="W101" s="203">
        <v>13.611540894813368</v>
      </c>
    </row>
    <row r="102" spans="1:23" s="19" customFormat="1">
      <c r="A102" s="64"/>
      <c r="B102" s="65"/>
      <c r="C102" s="70" t="s">
        <v>80</v>
      </c>
      <c r="D102" s="65"/>
      <c r="E102" s="182">
        <v>2034</v>
      </c>
      <c r="F102" s="65"/>
      <c r="G102" s="183" t="s">
        <v>187</v>
      </c>
      <c r="H102" s="183" t="s">
        <v>181</v>
      </c>
      <c r="I102" s="184">
        <v>-4</v>
      </c>
      <c r="J102" s="65"/>
      <c r="K102" s="71">
        <v>2666719.81</v>
      </c>
      <c r="L102" s="185"/>
      <c r="M102" s="73">
        <v>1537134</v>
      </c>
      <c r="N102" s="73"/>
      <c r="O102" s="198">
        <f t="shared" si="12"/>
        <v>1236255</v>
      </c>
      <c r="P102" s="73"/>
      <c r="Q102" s="57">
        <f t="shared" si="13"/>
        <v>90824</v>
      </c>
      <c r="S102" s="58">
        <f t="shared" si="14"/>
        <v>3.4058321260230189</v>
      </c>
      <c r="U102" s="186">
        <v>13.6</v>
      </c>
      <c r="V102" s="181"/>
      <c r="W102" s="203">
        <v>13.611545406500484</v>
      </c>
    </row>
    <row r="103" spans="1:23" s="19" customFormat="1">
      <c r="A103" s="64"/>
      <c r="B103" s="65"/>
      <c r="C103" s="70" t="s">
        <v>81</v>
      </c>
      <c r="D103" s="65"/>
      <c r="E103" s="182">
        <v>2041</v>
      </c>
      <c r="F103" s="65"/>
      <c r="G103" s="183" t="s">
        <v>187</v>
      </c>
      <c r="H103" s="183" t="s">
        <v>181</v>
      </c>
      <c r="I103" s="184">
        <v>-4</v>
      </c>
      <c r="J103" s="65"/>
      <c r="K103" s="71">
        <v>1937757.41</v>
      </c>
      <c r="L103" s="185"/>
      <c r="M103" s="73">
        <v>910073</v>
      </c>
      <c r="N103" s="73"/>
      <c r="O103" s="198">
        <f t="shared" si="12"/>
        <v>1105195</v>
      </c>
      <c r="P103" s="73"/>
      <c r="Q103" s="57">
        <f t="shared" si="13"/>
        <v>56828</v>
      </c>
      <c r="S103" s="58">
        <f t="shared" si="14"/>
        <v>2.9326684396474585</v>
      </c>
      <c r="U103" s="186">
        <v>19.399999999999999</v>
      </c>
      <c r="V103" s="181"/>
      <c r="W103" s="203">
        <v>19.4480713732667</v>
      </c>
    </row>
    <row r="104" spans="1:23" s="19" customFormat="1">
      <c r="A104" s="64"/>
      <c r="B104" s="65"/>
      <c r="C104" s="70" t="s">
        <v>82</v>
      </c>
      <c r="D104" s="65"/>
      <c r="E104" s="182">
        <v>2041</v>
      </c>
      <c r="F104" s="65"/>
      <c r="G104" s="183" t="s">
        <v>187</v>
      </c>
      <c r="H104" s="183" t="s">
        <v>181</v>
      </c>
      <c r="I104" s="184">
        <v>-4</v>
      </c>
      <c r="J104" s="65"/>
      <c r="K104" s="71">
        <v>1599135.43</v>
      </c>
      <c r="L104" s="185"/>
      <c r="M104" s="73">
        <v>744544</v>
      </c>
      <c r="N104" s="73"/>
      <c r="O104" s="198">
        <f t="shared" si="12"/>
        <v>918557</v>
      </c>
      <c r="P104" s="73"/>
      <c r="Q104" s="57">
        <f t="shared" si="13"/>
        <v>47190</v>
      </c>
      <c r="S104" s="58">
        <f t="shared" si="14"/>
        <v>2.9509695748533322</v>
      </c>
      <c r="U104" s="186">
        <v>19.5</v>
      </c>
      <c r="V104" s="181"/>
      <c r="W104" s="203">
        <v>19.46507734689553</v>
      </c>
    </row>
    <row r="105" spans="1:23" s="19" customFormat="1">
      <c r="A105" s="64"/>
      <c r="B105" s="65"/>
      <c r="C105" s="70" t="s">
        <v>83</v>
      </c>
      <c r="D105" s="65"/>
      <c r="E105" s="182">
        <v>2045</v>
      </c>
      <c r="F105" s="65"/>
      <c r="G105" s="183" t="s">
        <v>187</v>
      </c>
      <c r="H105" s="183" t="s">
        <v>181</v>
      </c>
      <c r="I105" s="184">
        <v>-4</v>
      </c>
      <c r="J105" s="65"/>
      <c r="K105" s="71">
        <v>303524.78000000003</v>
      </c>
      <c r="L105" s="185"/>
      <c r="M105" s="73">
        <v>111370</v>
      </c>
      <c r="N105" s="73"/>
      <c r="O105" s="198">
        <f t="shared" si="12"/>
        <v>204296</v>
      </c>
      <c r="P105" s="73"/>
      <c r="Q105" s="57">
        <f t="shared" si="13"/>
        <v>8882</v>
      </c>
      <c r="S105" s="58">
        <f t="shared" si="14"/>
        <v>2.9262849642786986</v>
      </c>
      <c r="U105" s="186">
        <v>23</v>
      </c>
      <c r="V105" s="181"/>
      <c r="W105" s="203">
        <v>23.001125872551228</v>
      </c>
    </row>
    <row r="106" spans="1:23" s="19" customFormat="1">
      <c r="A106" s="64"/>
      <c r="B106" s="65"/>
      <c r="C106" s="70" t="s">
        <v>84</v>
      </c>
      <c r="D106" s="65"/>
      <c r="E106" s="182">
        <v>2045</v>
      </c>
      <c r="F106" s="65"/>
      <c r="G106" s="183" t="s">
        <v>187</v>
      </c>
      <c r="H106" s="183" t="s">
        <v>181</v>
      </c>
      <c r="I106" s="184">
        <v>-4</v>
      </c>
      <c r="J106" s="65"/>
      <c r="K106" s="71">
        <v>303524.78000000003</v>
      </c>
      <c r="L106" s="185"/>
      <c r="M106" s="73">
        <v>111368</v>
      </c>
      <c r="N106" s="73"/>
      <c r="O106" s="198">
        <f t="shared" si="12"/>
        <v>204298</v>
      </c>
      <c r="P106" s="73"/>
      <c r="Q106" s="57">
        <f t="shared" si="13"/>
        <v>8882</v>
      </c>
      <c r="S106" s="58">
        <f t="shared" si="14"/>
        <v>2.9262849642786986</v>
      </c>
      <c r="U106" s="186">
        <v>23</v>
      </c>
      <c r="V106" s="181"/>
      <c r="W106" s="203">
        <v>23.001351047061473</v>
      </c>
    </row>
    <row r="107" spans="1:23" s="19" customFormat="1">
      <c r="A107" s="64"/>
      <c r="B107" s="65"/>
      <c r="C107" s="70" t="s">
        <v>85</v>
      </c>
      <c r="D107" s="65"/>
      <c r="E107" s="182">
        <v>2050</v>
      </c>
      <c r="F107" s="65"/>
      <c r="G107" s="183" t="s">
        <v>187</v>
      </c>
      <c r="H107" s="183" t="s">
        <v>181</v>
      </c>
      <c r="I107" s="184">
        <v>-4</v>
      </c>
      <c r="J107" s="65"/>
      <c r="K107" s="71">
        <v>4500637.37</v>
      </c>
      <c r="L107" s="185"/>
      <c r="M107" s="73">
        <v>883169</v>
      </c>
      <c r="N107" s="73"/>
      <c r="O107" s="198">
        <f t="shared" si="12"/>
        <v>3797494</v>
      </c>
      <c r="P107" s="73"/>
      <c r="Q107" s="57">
        <f t="shared" si="13"/>
        <v>137706</v>
      </c>
      <c r="S107" s="58">
        <f t="shared" si="14"/>
        <v>3.0596999642297331</v>
      </c>
      <c r="U107" s="186">
        <v>27.6</v>
      </c>
      <c r="V107" s="181"/>
      <c r="W107" s="203">
        <v>27.576823086866224</v>
      </c>
    </row>
    <row r="108" spans="1:23" s="19" customFormat="1">
      <c r="A108" s="64"/>
      <c r="B108" s="65"/>
      <c r="C108" s="70" t="s">
        <v>86</v>
      </c>
      <c r="D108" s="65"/>
      <c r="E108" s="182">
        <v>2050</v>
      </c>
      <c r="F108" s="65"/>
      <c r="G108" s="183" t="s">
        <v>187</v>
      </c>
      <c r="H108" s="183" t="s">
        <v>181</v>
      </c>
      <c r="I108" s="184">
        <v>-4</v>
      </c>
      <c r="J108" s="65"/>
      <c r="K108" s="71">
        <v>88846.57</v>
      </c>
      <c r="L108" s="185"/>
      <c r="M108" s="73">
        <v>22007</v>
      </c>
      <c r="N108" s="73"/>
      <c r="O108" s="198">
        <f t="shared" si="12"/>
        <v>70393</v>
      </c>
      <c r="P108" s="73"/>
      <c r="Q108" s="57">
        <f t="shared" si="13"/>
        <v>2541</v>
      </c>
      <c r="S108" s="58">
        <f t="shared" si="14"/>
        <v>2.8599866038722705</v>
      </c>
      <c r="U108" s="186">
        <v>27.7</v>
      </c>
      <c r="V108" s="181"/>
      <c r="W108" s="203">
        <v>27.702872884691068</v>
      </c>
    </row>
    <row r="109" spans="1:23" s="19" customFormat="1">
      <c r="A109" s="64"/>
      <c r="B109" s="65"/>
      <c r="C109" s="70" t="s">
        <v>87</v>
      </c>
      <c r="D109" s="65"/>
      <c r="E109" s="182">
        <v>2038</v>
      </c>
      <c r="F109" s="65"/>
      <c r="G109" s="183" t="s">
        <v>187</v>
      </c>
      <c r="H109" s="183" t="s">
        <v>181</v>
      </c>
      <c r="I109" s="184">
        <v>-2</v>
      </c>
      <c r="J109" s="65"/>
      <c r="K109" s="71">
        <v>1119860.8</v>
      </c>
      <c r="L109" s="185"/>
      <c r="M109" s="73">
        <v>495454</v>
      </c>
      <c r="N109" s="73"/>
      <c r="O109" s="198">
        <f t="shared" si="12"/>
        <v>646804</v>
      </c>
      <c r="P109" s="73"/>
      <c r="Q109" s="57">
        <f t="shared" si="13"/>
        <v>37692.999999999993</v>
      </c>
      <c r="S109" s="58">
        <f t="shared" si="14"/>
        <v>3.3658647574770004</v>
      </c>
      <c r="U109" s="186">
        <v>17.2</v>
      </c>
      <c r="V109" s="181"/>
      <c r="W109" s="203">
        <v>17.159790942615341</v>
      </c>
    </row>
    <row r="110" spans="1:23" s="19" customFormat="1">
      <c r="A110" s="64"/>
      <c r="B110" s="65"/>
      <c r="C110" s="70" t="s">
        <v>88</v>
      </c>
      <c r="D110" s="65"/>
      <c r="E110" s="182">
        <v>2038</v>
      </c>
      <c r="F110" s="65"/>
      <c r="G110" s="183" t="s">
        <v>187</v>
      </c>
      <c r="H110" s="183" t="s">
        <v>181</v>
      </c>
      <c r="I110" s="184">
        <v>-2</v>
      </c>
      <c r="J110" s="65"/>
      <c r="K110" s="71">
        <v>1200486.53</v>
      </c>
      <c r="L110" s="185"/>
      <c r="M110" s="73">
        <v>531124</v>
      </c>
      <c r="N110" s="73"/>
      <c r="O110" s="198">
        <f t="shared" si="12"/>
        <v>693372</v>
      </c>
      <c r="P110" s="73"/>
      <c r="Q110" s="57">
        <f t="shared" si="13"/>
        <v>40406</v>
      </c>
      <c r="S110" s="58">
        <f t="shared" si="14"/>
        <v>3.3658020302818392</v>
      </c>
      <c r="U110" s="186">
        <v>17.2</v>
      </c>
      <c r="V110" s="181"/>
      <c r="W110" s="203">
        <v>17.160124733950404</v>
      </c>
    </row>
    <row r="111" spans="1:23" s="19" customFormat="1">
      <c r="A111" s="64"/>
      <c r="B111" s="65"/>
      <c r="C111" s="70" t="s">
        <v>89</v>
      </c>
      <c r="D111" s="65"/>
      <c r="E111" s="182">
        <v>2038</v>
      </c>
      <c r="F111" s="65"/>
      <c r="G111" s="183" t="s">
        <v>187</v>
      </c>
      <c r="H111" s="183" t="s">
        <v>181</v>
      </c>
      <c r="I111" s="184">
        <v>-2</v>
      </c>
      <c r="J111" s="65"/>
      <c r="K111" s="71">
        <v>1135966.24</v>
      </c>
      <c r="L111" s="185"/>
      <c r="M111" s="73">
        <v>502579</v>
      </c>
      <c r="N111" s="73"/>
      <c r="O111" s="198">
        <f t="shared" si="12"/>
        <v>656107</v>
      </c>
      <c r="P111" s="73"/>
      <c r="Q111" s="57">
        <f t="shared" si="13"/>
        <v>38235</v>
      </c>
      <c r="S111" s="58">
        <f t="shared" si="14"/>
        <v>3.3658570698368639</v>
      </c>
      <c r="U111" s="186">
        <v>17.2</v>
      </c>
      <c r="V111" s="181"/>
      <c r="W111" s="203">
        <v>17.159853537334904</v>
      </c>
    </row>
    <row r="112" spans="1:23" s="19" customFormat="1">
      <c r="A112" s="64"/>
      <c r="B112" s="65"/>
      <c r="C112" s="70" t="s">
        <v>90</v>
      </c>
      <c r="D112" s="65"/>
      <c r="E112" s="182">
        <v>2041</v>
      </c>
      <c r="F112" s="65"/>
      <c r="G112" s="183" t="s">
        <v>187</v>
      </c>
      <c r="H112" s="183" t="s">
        <v>181</v>
      </c>
      <c r="I112" s="184">
        <v>-2</v>
      </c>
      <c r="J112" s="65"/>
      <c r="K112" s="71">
        <v>1465228.09</v>
      </c>
      <c r="L112" s="185"/>
      <c r="M112" s="73">
        <v>534890</v>
      </c>
      <c r="N112" s="73"/>
      <c r="O112" s="198">
        <f t="shared" si="12"/>
        <v>959643</v>
      </c>
      <c r="P112" s="73"/>
      <c r="Q112" s="57">
        <f t="shared" si="13"/>
        <v>48151</v>
      </c>
      <c r="S112" s="58">
        <f t="shared" si="14"/>
        <v>3.2862460342266573</v>
      </c>
      <c r="U112" s="186">
        <v>19.899999999999999</v>
      </c>
      <c r="V112" s="181"/>
      <c r="W112" s="203">
        <v>19.929866461755726</v>
      </c>
    </row>
    <row r="113" spans="1:23" s="19" customFormat="1">
      <c r="A113" s="64"/>
      <c r="B113" s="65"/>
      <c r="C113" s="70" t="s">
        <v>91</v>
      </c>
      <c r="D113" s="65"/>
      <c r="E113" s="182">
        <v>2042</v>
      </c>
      <c r="F113" s="65"/>
      <c r="G113" s="183" t="s">
        <v>187</v>
      </c>
      <c r="H113" s="183" t="s">
        <v>181</v>
      </c>
      <c r="I113" s="184">
        <v>-2</v>
      </c>
      <c r="J113" s="65"/>
      <c r="K113" s="71">
        <v>2033652.36</v>
      </c>
      <c r="L113" s="185"/>
      <c r="M113" s="73">
        <v>141041</v>
      </c>
      <c r="N113" s="73"/>
      <c r="O113" s="198">
        <f t="shared" si="12"/>
        <v>1933284</v>
      </c>
      <c r="P113" s="73"/>
      <c r="Q113" s="57">
        <f t="shared" si="13"/>
        <v>88263</v>
      </c>
      <c r="S113" s="58">
        <f t="shared" si="14"/>
        <v>4.3401223206113757</v>
      </c>
      <c r="U113" s="186">
        <v>21.9</v>
      </c>
      <c r="V113" s="181"/>
      <c r="W113" s="203">
        <v>21.903674246286666</v>
      </c>
    </row>
    <row r="114" spans="1:23" s="19" customFormat="1">
      <c r="A114" s="64"/>
      <c r="B114" s="65"/>
      <c r="C114" s="70" t="s">
        <v>92</v>
      </c>
      <c r="D114" s="65"/>
      <c r="E114" s="182">
        <v>2042</v>
      </c>
      <c r="F114" s="65"/>
      <c r="G114" s="183" t="s">
        <v>187</v>
      </c>
      <c r="H114" s="183" t="s">
        <v>181</v>
      </c>
      <c r="I114" s="184">
        <v>-5</v>
      </c>
      <c r="J114" s="65"/>
      <c r="K114" s="71">
        <v>7229721.6399999997</v>
      </c>
      <c r="L114" s="185"/>
      <c r="M114" s="73">
        <v>3246261.9</v>
      </c>
      <c r="N114" s="73"/>
      <c r="O114" s="198">
        <f t="shared" si="12"/>
        <v>4344946</v>
      </c>
      <c r="P114" s="73"/>
      <c r="Q114" s="57">
        <f t="shared" si="13"/>
        <v>200136</v>
      </c>
      <c r="S114" s="58">
        <f t="shared" si="14"/>
        <v>2.7682393592127292</v>
      </c>
      <c r="U114" s="186">
        <v>21.7</v>
      </c>
      <c r="V114" s="181"/>
      <c r="W114" s="203">
        <v>21.709967222288842</v>
      </c>
    </row>
    <row r="115" spans="1:23" s="19" customFormat="1">
      <c r="A115" s="64"/>
      <c r="B115" s="65"/>
      <c r="C115" s="70" t="s">
        <v>93</v>
      </c>
      <c r="D115" s="65"/>
      <c r="E115" s="182">
        <v>2042</v>
      </c>
      <c r="F115" s="65"/>
      <c r="G115" s="183" t="s">
        <v>187</v>
      </c>
      <c r="H115" s="183" t="s">
        <v>181</v>
      </c>
      <c r="I115" s="184">
        <v>-5</v>
      </c>
      <c r="J115" s="65"/>
      <c r="K115" s="71">
        <v>933680.4</v>
      </c>
      <c r="L115" s="185"/>
      <c r="M115" s="73">
        <v>448838</v>
      </c>
      <c r="N115" s="73"/>
      <c r="O115" s="198">
        <f t="shared" si="12"/>
        <v>531526</v>
      </c>
      <c r="P115" s="73"/>
      <c r="Q115" s="57">
        <f t="shared" si="13"/>
        <v>24483</v>
      </c>
      <c r="S115" s="58">
        <f t="shared" si="14"/>
        <v>2.6222034863321539</v>
      </c>
      <c r="U115" s="186">
        <v>21.7</v>
      </c>
      <c r="V115" s="181"/>
      <c r="W115" s="203">
        <v>21.710002859126742</v>
      </c>
    </row>
    <row r="116" spans="1:23" s="19" customFormat="1">
      <c r="A116" s="64"/>
      <c r="B116" s="65"/>
      <c r="C116" s="70" t="s">
        <v>94</v>
      </c>
      <c r="D116" s="65"/>
      <c r="E116" s="182">
        <v>2042</v>
      </c>
      <c r="F116" s="65"/>
      <c r="G116" s="183" t="s">
        <v>187</v>
      </c>
      <c r="H116" s="183" t="s">
        <v>181</v>
      </c>
      <c r="I116" s="184">
        <v>-5</v>
      </c>
      <c r="J116" s="65"/>
      <c r="K116" s="71">
        <v>933680.4</v>
      </c>
      <c r="L116" s="185"/>
      <c r="M116" s="73">
        <v>444133</v>
      </c>
      <c r="N116" s="73"/>
      <c r="O116" s="198">
        <f t="shared" si="12"/>
        <v>536231</v>
      </c>
      <c r="P116" s="73"/>
      <c r="Q116" s="57">
        <f t="shared" si="13"/>
        <v>24700</v>
      </c>
      <c r="S116" s="58">
        <f t="shared" si="14"/>
        <v>2.6454448438673448</v>
      </c>
      <c r="U116" s="186">
        <v>21.7</v>
      </c>
      <c r="V116" s="181"/>
      <c r="W116" s="203">
        <v>21.709757085020243</v>
      </c>
    </row>
    <row r="117" spans="1:23" s="19" customFormat="1">
      <c r="A117" s="64"/>
      <c r="B117" s="65"/>
      <c r="C117" s="70" t="s">
        <v>95</v>
      </c>
      <c r="D117" s="65"/>
      <c r="E117" s="182">
        <v>2042</v>
      </c>
      <c r="F117" s="65"/>
      <c r="G117" s="183" t="s">
        <v>187</v>
      </c>
      <c r="H117" s="183" t="s">
        <v>181</v>
      </c>
      <c r="I117" s="184">
        <v>-5</v>
      </c>
      <c r="J117" s="65"/>
      <c r="K117" s="71">
        <v>933680.4</v>
      </c>
      <c r="L117" s="185"/>
      <c r="M117" s="73">
        <v>448802</v>
      </c>
      <c r="N117" s="73"/>
      <c r="O117" s="198">
        <f t="shared" si="12"/>
        <v>531562</v>
      </c>
      <c r="P117" s="73"/>
      <c r="Q117" s="57">
        <f t="shared" si="13"/>
        <v>24485</v>
      </c>
      <c r="S117" s="58">
        <f t="shared" si="14"/>
        <v>2.6224176923923861</v>
      </c>
      <c r="U117" s="186">
        <v>21.7</v>
      </c>
      <c r="V117" s="181"/>
      <c r="W117" s="203">
        <v>21.709699816214009</v>
      </c>
    </row>
    <row r="118" spans="1:23" s="19" customFormat="1">
      <c r="A118" s="64"/>
      <c r="B118" s="65"/>
      <c r="C118" s="70" t="s">
        <v>96</v>
      </c>
      <c r="D118" s="65"/>
      <c r="E118" s="182">
        <v>2042</v>
      </c>
      <c r="F118" s="65"/>
      <c r="G118" s="183" t="s">
        <v>187</v>
      </c>
      <c r="H118" s="183" t="s">
        <v>181</v>
      </c>
      <c r="I118" s="184">
        <v>-1</v>
      </c>
      <c r="J118" s="65"/>
      <c r="K118" s="75">
        <v>625882</v>
      </c>
      <c r="L118" s="185"/>
      <c r="M118" s="77">
        <v>55403</v>
      </c>
      <c r="N118" s="73"/>
      <c r="O118" s="205">
        <f t="shared" si="12"/>
        <v>576738</v>
      </c>
      <c r="P118" s="73"/>
      <c r="Q118" s="62">
        <f t="shared" si="13"/>
        <v>26347.000000000004</v>
      </c>
      <c r="S118" s="58">
        <f t="shared" si="14"/>
        <v>4.2095794414921661</v>
      </c>
      <c r="U118" s="186">
        <v>21.9</v>
      </c>
      <c r="V118" s="181"/>
      <c r="W118" s="203">
        <v>21.890082362318289</v>
      </c>
    </row>
    <row r="119" spans="1:23" s="19" customFormat="1">
      <c r="A119" s="64"/>
      <c r="B119" s="65"/>
      <c r="C119" s="78"/>
      <c r="D119" s="65"/>
      <c r="E119" s="65"/>
      <c r="F119" s="65"/>
      <c r="G119" s="183"/>
      <c r="H119" s="183"/>
      <c r="I119" s="184"/>
      <c r="J119" s="65"/>
      <c r="K119" s="71"/>
      <c r="L119" s="185"/>
      <c r="M119" s="73"/>
      <c r="N119" s="73"/>
      <c r="O119" s="73"/>
      <c r="P119" s="73"/>
      <c r="Q119" s="73"/>
      <c r="S119" s="74"/>
      <c r="U119" s="186"/>
      <c r="V119" s="181"/>
      <c r="W119" s="203"/>
    </row>
    <row r="120" spans="1:23" s="19" customFormat="1">
      <c r="A120" s="64"/>
      <c r="B120" s="65"/>
      <c r="C120" s="78" t="s">
        <v>64</v>
      </c>
      <c r="D120" s="65"/>
      <c r="E120" s="65"/>
      <c r="F120" s="65"/>
      <c r="G120" s="183"/>
      <c r="H120" s="183"/>
      <c r="I120" s="184"/>
      <c r="J120" s="65"/>
      <c r="K120" s="71">
        <f>SUBTOTAL(9,K99:K119)</f>
        <v>53879445.859999999</v>
      </c>
      <c r="L120" s="185"/>
      <c r="M120" s="73">
        <f>SUBTOTAL(9,M99:M119)</f>
        <v>22321751.899999999</v>
      </c>
      <c r="N120" s="73"/>
      <c r="O120" s="73">
        <f>SUBTOTAL(9,O99:O119)</f>
        <v>33459960</v>
      </c>
      <c r="P120" s="73"/>
      <c r="Q120" s="73">
        <f>SUBTOTAL(9,Q99:Q119)</f>
        <v>1549325</v>
      </c>
      <c r="S120" s="74">
        <f>+ROUND(Q120/K120*100,2)</f>
        <v>2.88</v>
      </c>
      <c r="U120" s="186"/>
      <c r="V120" s="181"/>
      <c r="W120" s="203"/>
    </row>
    <row r="121" spans="1:23" s="19" customFormat="1">
      <c r="A121" s="64"/>
      <c r="B121" s="65"/>
      <c r="C121" s="78"/>
      <c r="D121" s="65"/>
      <c r="E121" s="65"/>
      <c r="F121" s="65"/>
      <c r="G121" s="183"/>
      <c r="H121" s="183"/>
      <c r="I121" s="184"/>
      <c r="J121" s="65"/>
      <c r="K121" s="71"/>
      <c r="L121" s="185"/>
      <c r="M121" s="73"/>
      <c r="N121" s="73"/>
      <c r="O121" s="73"/>
      <c r="P121" s="73"/>
      <c r="Q121" s="73"/>
      <c r="S121" s="74"/>
      <c r="U121" s="186"/>
      <c r="V121" s="181"/>
      <c r="W121" s="203"/>
    </row>
    <row r="122" spans="1:23" s="19" customFormat="1">
      <c r="A122" s="64">
        <v>342</v>
      </c>
      <c r="B122" s="65"/>
      <c r="C122" s="65" t="s">
        <v>188</v>
      </c>
      <c r="D122" s="65"/>
      <c r="E122" s="65"/>
      <c r="F122" s="65"/>
      <c r="G122" s="65"/>
      <c r="H122" s="65"/>
      <c r="I122" s="179"/>
      <c r="J122" s="65"/>
      <c r="K122" s="65"/>
      <c r="L122" s="65"/>
      <c r="M122" s="67"/>
      <c r="N122" s="67"/>
      <c r="O122" s="67"/>
      <c r="P122" s="67"/>
      <c r="Q122" s="67"/>
      <c r="S122" s="68"/>
      <c r="U122" s="180"/>
      <c r="V122" s="181"/>
      <c r="W122" s="203"/>
    </row>
    <row r="123" spans="1:23" s="19" customFormat="1">
      <c r="A123" s="64"/>
      <c r="B123" s="65"/>
      <c r="C123" s="70" t="s">
        <v>77</v>
      </c>
      <c r="D123" s="65"/>
      <c r="E123" s="182">
        <v>2050</v>
      </c>
      <c r="F123" s="65"/>
      <c r="G123" s="183" t="s">
        <v>189</v>
      </c>
      <c r="H123" s="183" t="s">
        <v>181</v>
      </c>
      <c r="I123" s="184">
        <v>-3</v>
      </c>
      <c r="J123" s="65"/>
      <c r="K123" s="71">
        <v>13766120.51</v>
      </c>
      <c r="L123" s="185"/>
      <c r="M123" s="73">
        <v>6102433</v>
      </c>
      <c r="N123" s="73"/>
      <c r="O123" s="198">
        <f t="shared" ref="O123:O130" si="15">ROUND((K123+(K123*-(I123/100)))-M123,0)</f>
        <v>8076671</v>
      </c>
      <c r="P123" s="73"/>
      <c r="Q123" s="57">
        <f t="shared" ref="Q123:Q130" si="16">O123/W123</f>
        <v>307631</v>
      </c>
      <c r="S123" s="58">
        <f t="shared" ref="S123:S130" si="17">Q123/K123*100</f>
        <v>2.2346964039471424</v>
      </c>
      <c r="U123" s="186">
        <v>26.3</v>
      </c>
      <c r="V123" s="181"/>
      <c r="W123" s="203">
        <v>26.25441194157936</v>
      </c>
    </row>
    <row r="124" spans="1:23" s="19" customFormat="1">
      <c r="A124" s="64"/>
      <c r="B124" s="65"/>
      <c r="C124" s="70" t="s">
        <v>83</v>
      </c>
      <c r="D124" s="65"/>
      <c r="E124" s="182">
        <v>2045</v>
      </c>
      <c r="F124" s="65"/>
      <c r="G124" s="183" t="s">
        <v>189</v>
      </c>
      <c r="H124" s="183" t="s">
        <v>181</v>
      </c>
      <c r="I124" s="184">
        <v>-4</v>
      </c>
      <c r="J124" s="65"/>
      <c r="K124" s="71">
        <v>70051.649999999994</v>
      </c>
      <c r="L124" s="185"/>
      <c r="M124" s="73">
        <v>26328</v>
      </c>
      <c r="N124" s="73"/>
      <c r="O124" s="198">
        <f t="shared" si="15"/>
        <v>46526</v>
      </c>
      <c r="P124" s="73"/>
      <c r="Q124" s="57">
        <f t="shared" si="16"/>
        <v>1970</v>
      </c>
      <c r="S124" s="58">
        <f t="shared" si="17"/>
        <v>2.8122107045301576</v>
      </c>
      <c r="U124" s="186">
        <v>23.6</v>
      </c>
      <c r="V124" s="181"/>
      <c r="W124" s="203">
        <v>23.617258883248731</v>
      </c>
    </row>
    <row r="125" spans="1:23" s="19" customFormat="1">
      <c r="A125" s="64"/>
      <c r="B125" s="65"/>
      <c r="C125" s="70" t="s">
        <v>84</v>
      </c>
      <c r="D125" s="65"/>
      <c r="E125" s="182">
        <v>2045</v>
      </c>
      <c r="F125" s="65"/>
      <c r="G125" s="183" t="s">
        <v>189</v>
      </c>
      <c r="H125" s="183" t="s">
        <v>181</v>
      </c>
      <c r="I125" s="184">
        <v>-4</v>
      </c>
      <c r="J125" s="65"/>
      <c r="K125" s="71">
        <v>70051.649999999994</v>
      </c>
      <c r="L125" s="185"/>
      <c r="M125" s="73">
        <v>26327</v>
      </c>
      <c r="N125" s="73"/>
      <c r="O125" s="198">
        <f t="shared" si="15"/>
        <v>46527</v>
      </c>
      <c r="P125" s="73"/>
      <c r="Q125" s="57">
        <f t="shared" si="16"/>
        <v>1970</v>
      </c>
      <c r="S125" s="58">
        <f t="shared" si="17"/>
        <v>2.8122107045301576</v>
      </c>
      <c r="U125" s="186">
        <v>23.6</v>
      </c>
      <c r="V125" s="181"/>
      <c r="W125" s="203">
        <v>23.617766497461929</v>
      </c>
    </row>
    <row r="126" spans="1:23" s="19" customFormat="1">
      <c r="A126" s="64"/>
      <c r="B126" s="65"/>
      <c r="C126" s="70" t="s">
        <v>85</v>
      </c>
      <c r="D126" s="65"/>
      <c r="E126" s="182">
        <v>2050</v>
      </c>
      <c r="F126" s="65"/>
      <c r="G126" s="183" t="s">
        <v>189</v>
      </c>
      <c r="H126" s="183" t="s">
        <v>181</v>
      </c>
      <c r="I126" s="184">
        <v>-4</v>
      </c>
      <c r="J126" s="65"/>
      <c r="K126" s="71">
        <v>2384532.85</v>
      </c>
      <c r="L126" s="185"/>
      <c r="M126" s="73">
        <v>464445</v>
      </c>
      <c r="N126" s="73"/>
      <c r="O126" s="198">
        <f t="shared" si="15"/>
        <v>2015469</v>
      </c>
      <c r="P126" s="73"/>
      <c r="Q126" s="57">
        <f t="shared" si="16"/>
        <v>70594</v>
      </c>
      <c r="S126" s="58">
        <f t="shared" si="17"/>
        <v>2.9604960149741699</v>
      </c>
      <c r="U126" s="186">
        <v>28.6</v>
      </c>
      <c r="V126" s="181"/>
      <c r="W126" s="203">
        <v>28.550145904751112</v>
      </c>
    </row>
    <row r="127" spans="1:23" s="19" customFormat="1">
      <c r="A127" s="64"/>
      <c r="B127" s="65"/>
      <c r="C127" s="70" t="s">
        <v>86</v>
      </c>
      <c r="D127" s="65"/>
      <c r="E127" s="182">
        <v>2050</v>
      </c>
      <c r="F127" s="65"/>
      <c r="G127" s="183" t="s">
        <v>189</v>
      </c>
      <c r="H127" s="183" t="s">
        <v>181</v>
      </c>
      <c r="I127" s="184">
        <v>-4</v>
      </c>
      <c r="J127" s="65"/>
      <c r="K127" s="71">
        <v>2116650.59</v>
      </c>
      <c r="L127" s="185"/>
      <c r="M127" s="73">
        <v>551382</v>
      </c>
      <c r="N127" s="73"/>
      <c r="O127" s="198">
        <f t="shared" si="15"/>
        <v>1649935</v>
      </c>
      <c r="P127" s="73"/>
      <c r="Q127" s="57">
        <f t="shared" si="16"/>
        <v>57791</v>
      </c>
      <c r="S127" s="58">
        <f t="shared" si="17"/>
        <v>2.7303042019797896</v>
      </c>
      <c r="U127" s="186">
        <v>28.6</v>
      </c>
      <c r="V127" s="181"/>
      <c r="W127" s="203">
        <v>28.55003374227821</v>
      </c>
    </row>
    <row r="128" spans="1:23" s="19" customFormat="1">
      <c r="A128" s="64"/>
      <c r="B128" s="65"/>
      <c r="C128" s="70" t="s">
        <v>88</v>
      </c>
      <c r="D128" s="65"/>
      <c r="E128" s="182">
        <v>2038</v>
      </c>
      <c r="F128" s="65"/>
      <c r="G128" s="183" t="s">
        <v>189</v>
      </c>
      <c r="H128" s="183" t="s">
        <v>181</v>
      </c>
      <c r="I128" s="184">
        <v>-2</v>
      </c>
      <c r="J128" s="65"/>
      <c r="K128" s="71">
        <v>106294.19</v>
      </c>
      <c r="L128" s="185"/>
      <c r="M128" s="73">
        <v>47199</v>
      </c>
      <c r="N128" s="73"/>
      <c r="O128" s="198">
        <f t="shared" si="15"/>
        <v>61221</v>
      </c>
      <c r="P128" s="73"/>
      <c r="Q128" s="57">
        <f t="shared" si="16"/>
        <v>3475.0000000000005</v>
      </c>
      <c r="S128" s="58">
        <f t="shared" si="17"/>
        <v>3.2692285439119493</v>
      </c>
      <c r="U128" s="186">
        <v>17.600000000000001</v>
      </c>
      <c r="V128" s="181"/>
      <c r="W128" s="203">
        <v>17.617553956834531</v>
      </c>
    </row>
    <row r="129" spans="1:23" s="19" customFormat="1">
      <c r="A129" s="64"/>
      <c r="B129" s="65"/>
      <c r="C129" s="70" t="s">
        <v>89</v>
      </c>
      <c r="D129" s="65"/>
      <c r="E129" s="182">
        <v>2038</v>
      </c>
      <c r="F129" s="65"/>
      <c r="G129" s="183" t="s">
        <v>189</v>
      </c>
      <c r="H129" s="183" t="s">
        <v>181</v>
      </c>
      <c r="I129" s="184">
        <v>-2</v>
      </c>
      <c r="J129" s="65"/>
      <c r="K129" s="71">
        <v>357670.24</v>
      </c>
      <c r="L129" s="185"/>
      <c r="M129" s="73">
        <v>158822</v>
      </c>
      <c r="N129" s="73"/>
      <c r="O129" s="198">
        <f t="shared" si="15"/>
        <v>206002</v>
      </c>
      <c r="P129" s="73"/>
      <c r="Q129" s="57">
        <f t="shared" si="16"/>
        <v>11691</v>
      </c>
      <c r="S129" s="58">
        <f t="shared" si="17"/>
        <v>3.2686532712366567</v>
      </c>
      <c r="U129" s="186">
        <v>17.600000000000001</v>
      </c>
      <c r="V129" s="181"/>
      <c r="W129" s="203">
        <v>17.620562826105552</v>
      </c>
    </row>
    <row r="130" spans="1:23" s="19" customFormat="1">
      <c r="A130" s="64"/>
      <c r="B130" s="65"/>
      <c r="C130" s="70" t="s">
        <v>92</v>
      </c>
      <c r="D130" s="65"/>
      <c r="E130" s="182">
        <v>2042</v>
      </c>
      <c r="F130" s="65"/>
      <c r="G130" s="183" t="s">
        <v>189</v>
      </c>
      <c r="H130" s="183" t="s">
        <v>181</v>
      </c>
      <c r="I130" s="184">
        <v>-5</v>
      </c>
      <c r="J130" s="65"/>
      <c r="K130" s="75">
        <v>1162203.57</v>
      </c>
      <c r="L130" s="185"/>
      <c r="M130" s="77">
        <v>513184</v>
      </c>
      <c r="N130" s="73"/>
      <c r="O130" s="205">
        <f t="shared" si="15"/>
        <v>707130</v>
      </c>
      <c r="P130" s="73"/>
      <c r="Q130" s="62">
        <f t="shared" si="16"/>
        <v>31781</v>
      </c>
      <c r="S130" s="58">
        <f t="shared" si="17"/>
        <v>2.7345467541456614</v>
      </c>
      <c r="U130" s="186">
        <v>22.3</v>
      </c>
      <c r="V130" s="181"/>
      <c r="W130" s="203">
        <v>22.25008652968755</v>
      </c>
    </row>
    <row r="131" spans="1:23" s="19" customFormat="1">
      <c r="A131" s="64"/>
      <c r="B131" s="65"/>
      <c r="C131" s="78"/>
      <c r="D131" s="65"/>
      <c r="E131" s="65"/>
      <c r="F131" s="65"/>
      <c r="G131" s="183"/>
      <c r="H131" s="183"/>
      <c r="I131" s="184"/>
      <c r="J131" s="65"/>
      <c r="K131" s="71"/>
      <c r="L131" s="185"/>
      <c r="M131" s="73"/>
      <c r="N131" s="73"/>
      <c r="O131" s="73"/>
      <c r="P131" s="73"/>
      <c r="Q131" s="73"/>
      <c r="S131" s="74"/>
      <c r="U131" s="186"/>
      <c r="V131" s="181"/>
      <c r="W131" s="203"/>
    </row>
    <row r="132" spans="1:23" s="19" customFormat="1">
      <c r="A132" s="64"/>
      <c r="B132" s="65"/>
      <c r="C132" s="78" t="s">
        <v>190</v>
      </c>
      <c r="D132" s="65"/>
      <c r="E132" s="65"/>
      <c r="F132" s="65"/>
      <c r="G132" s="183"/>
      <c r="H132" s="183"/>
      <c r="I132" s="184"/>
      <c r="J132" s="65"/>
      <c r="K132" s="71">
        <f>SUBTOTAL(9,K123:K131)</f>
        <v>20033575.25</v>
      </c>
      <c r="L132" s="185"/>
      <c r="M132" s="73">
        <f>SUBTOTAL(9,M123:M131)</f>
        <v>7890120</v>
      </c>
      <c r="N132" s="73"/>
      <c r="O132" s="73">
        <f>SUBTOTAL(9,O123:O131)</f>
        <v>12809481</v>
      </c>
      <c r="P132" s="73"/>
      <c r="Q132" s="73">
        <f>SUBTOTAL(9,Q123:Q131)</f>
        <v>486903</v>
      </c>
      <c r="S132" s="74">
        <f>+ROUND(Q132/K132*100,2)</f>
        <v>2.4300000000000002</v>
      </c>
      <c r="U132" s="186"/>
      <c r="V132" s="181"/>
      <c r="W132" s="203"/>
    </row>
    <row r="133" spans="1:23" s="19" customFormat="1">
      <c r="A133" s="64"/>
      <c r="B133" s="65"/>
      <c r="C133" s="78"/>
      <c r="D133" s="65"/>
      <c r="E133" s="65"/>
      <c r="F133" s="65"/>
      <c r="G133" s="183"/>
      <c r="H133" s="183"/>
      <c r="I133" s="184"/>
      <c r="J133" s="65"/>
      <c r="K133" s="71"/>
      <c r="L133" s="185"/>
      <c r="M133" s="73"/>
      <c r="N133" s="73"/>
      <c r="O133" s="73"/>
      <c r="P133" s="73"/>
      <c r="Q133" s="73"/>
      <c r="S133" s="74"/>
      <c r="U133" s="186"/>
      <c r="V133" s="181"/>
      <c r="W133" s="203"/>
    </row>
    <row r="134" spans="1:23" s="19" customFormat="1">
      <c r="A134" s="64">
        <v>343</v>
      </c>
      <c r="B134" s="65"/>
      <c r="C134" s="65" t="s">
        <v>99</v>
      </c>
      <c r="D134" s="65"/>
      <c r="E134" s="65"/>
      <c r="F134" s="65"/>
      <c r="G134" s="65"/>
      <c r="H134" s="65"/>
      <c r="I134" s="179"/>
      <c r="J134" s="65"/>
      <c r="K134" s="65"/>
      <c r="L134" s="65"/>
      <c r="M134" s="67"/>
      <c r="N134" s="67"/>
      <c r="O134" s="67"/>
      <c r="P134" s="67"/>
      <c r="Q134" s="67"/>
      <c r="S134" s="68"/>
      <c r="U134" s="180"/>
      <c r="V134" s="181"/>
      <c r="W134" s="203"/>
    </row>
    <row r="135" spans="1:23" s="19" customFormat="1">
      <c r="A135" s="64"/>
      <c r="B135" s="65"/>
      <c r="C135" s="70" t="s">
        <v>77</v>
      </c>
      <c r="D135" s="65"/>
      <c r="E135" s="182">
        <v>2050</v>
      </c>
      <c r="F135" s="65"/>
      <c r="G135" s="183" t="s">
        <v>191</v>
      </c>
      <c r="H135" s="183" t="s">
        <v>181</v>
      </c>
      <c r="I135" s="184">
        <v>-3</v>
      </c>
      <c r="J135" s="65"/>
      <c r="K135" s="71">
        <v>21662783.59</v>
      </c>
      <c r="L135" s="185"/>
      <c r="M135" s="73">
        <v>9422539.3200000003</v>
      </c>
      <c r="N135" s="73"/>
      <c r="O135" s="198">
        <f t="shared" ref="O135:O153" si="18">ROUND((K135+(K135*-(I135/100)))-M135,0)</f>
        <v>12890128</v>
      </c>
      <c r="P135" s="73"/>
      <c r="Q135" s="57">
        <f t="shared" ref="Q135:Q153" si="19">O135/W135</f>
        <v>484417.00000000006</v>
      </c>
      <c r="S135" s="58">
        <f t="shared" ref="S135:S153" si="20">Q135/K135*100</f>
        <v>2.236171533484816</v>
      </c>
      <c r="U135" s="186">
        <v>26.6</v>
      </c>
      <c r="V135" s="181"/>
      <c r="W135" s="203">
        <v>26.609569854072006</v>
      </c>
    </row>
    <row r="136" spans="1:23" s="19" customFormat="1">
      <c r="A136" s="64"/>
      <c r="B136" s="65"/>
      <c r="C136" s="70" t="s">
        <v>78</v>
      </c>
      <c r="D136" s="65"/>
      <c r="E136" s="182">
        <v>2034</v>
      </c>
      <c r="F136" s="65"/>
      <c r="G136" s="183" t="s">
        <v>191</v>
      </c>
      <c r="H136" s="183" t="s">
        <v>181</v>
      </c>
      <c r="I136" s="184">
        <v>-4</v>
      </c>
      <c r="J136" s="65"/>
      <c r="K136" s="71">
        <v>18938769.399999999</v>
      </c>
      <c r="L136" s="185"/>
      <c r="M136" s="73">
        <v>10814893.970000001</v>
      </c>
      <c r="N136" s="73"/>
      <c r="O136" s="198">
        <f t="shared" si="18"/>
        <v>8881426</v>
      </c>
      <c r="P136" s="73"/>
      <c r="Q136" s="57">
        <f t="shared" si="19"/>
        <v>640798</v>
      </c>
      <c r="S136" s="58">
        <f t="shared" si="20"/>
        <v>3.3835250140381348</v>
      </c>
      <c r="U136" s="186">
        <v>13.9</v>
      </c>
      <c r="V136" s="181"/>
      <c r="W136" s="203">
        <v>13.859946504202572</v>
      </c>
    </row>
    <row r="137" spans="1:23" s="19" customFormat="1">
      <c r="A137" s="64"/>
      <c r="B137" s="65"/>
      <c r="C137" s="70" t="s">
        <v>79</v>
      </c>
      <c r="D137" s="65"/>
      <c r="E137" s="182">
        <v>2034</v>
      </c>
      <c r="F137" s="65"/>
      <c r="G137" s="183" t="s">
        <v>191</v>
      </c>
      <c r="H137" s="183" t="s">
        <v>181</v>
      </c>
      <c r="I137" s="184">
        <v>-4</v>
      </c>
      <c r="J137" s="65"/>
      <c r="K137" s="71">
        <v>17021561.969999999</v>
      </c>
      <c r="L137" s="185"/>
      <c r="M137" s="73">
        <v>10158430.17</v>
      </c>
      <c r="N137" s="73"/>
      <c r="O137" s="198">
        <f t="shared" si="18"/>
        <v>7543994</v>
      </c>
      <c r="P137" s="73"/>
      <c r="Q137" s="57">
        <f t="shared" si="19"/>
        <v>546139</v>
      </c>
      <c r="S137" s="58">
        <f t="shared" si="20"/>
        <v>3.2085128319160954</v>
      </c>
      <c r="U137" s="186">
        <v>13.8</v>
      </c>
      <c r="V137" s="181"/>
      <c r="W137" s="203">
        <v>13.813322249463964</v>
      </c>
    </row>
    <row r="138" spans="1:23" s="19" customFormat="1">
      <c r="A138" s="64"/>
      <c r="B138" s="65"/>
      <c r="C138" s="70" t="s">
        <v>80</v>
      </c>
      <c r="D138" s="65"/>
      <c r="E138" s="182">
        <v>2034</v>
      </c>
      <c r="F138" s="65"/>
      <c r="G138" s="183" t="s">
        <v>191</v>
      </c>
      <c r="H138" s="183" t="s">
        <v>181</v>
      </c>
      <c r="I138" s="184">
        <v>-4</v>
      </c>
      <c r="J138" s="65"/>
      <c r="K138" s="71">
        <v>17950085.800000001</v>
      </c>
      <c r="L138" s="185"/>
      <c r="M138" s="73">
        <v>10645167.189999999</v>
      </c>
      <c r="N138" s="73"/>
      <c r="O138" s="198">
        <f t="shared" si="18"/>
        <v>8022922</v>
      </c>
      <c r="P138" s="73"/>
      <c r="Q138" s="57">
        <f t="shared" si="19"/>
        <v>580819</v>
      </c>
      <c r="S138" s="58">
        <f t="shared" si="20"/>
        <v>3.2357449790017161</v>
      </c>
      <c r="U138" s="186">
        <v>13.8</v>
      </c>
      <c r="V138" s="181"/>
      <c r="W138" s="203">
        <v>13.813119061187736</v>
      </c>
    </row>
    <row r="139" spans="1:23" s="19" customFormat="1">
      <c r="A139" s="64"/>
      <c r="B139" s="65"/>
      <c r="C139" s="70" t="s">
        <v>81</v>
      </c>
      <c r="D139" s="65"/>
      <c r="E139" s="182">
        <v>2041</v>
      </c>
      <c r="F139" s="65"/>
      <c r="G139" s="183" t="s">
        <v>191</v>
      </c>
      <c r="H139" s="183" t="s">
        <v>181</v>
      </c>
      <c r="I139" s="184">
        <v>-4</v>
      </c>
      <c r="J139" s="65"/>
      <c r="K139" s="71">
        <v>25858484.41</v>
      </c>
      <c r="L139" s="185"/>
      <c r="M139" s="73">
        <v>12138052.800000001</v>
      </c>
      <c r="N139" s="73"/>
      <c r="O139" s="198">
        <f t="shared" si="18"/>
        <v>14754771</v>
      </c>
      <c r="P139" s="73"/>
      <c r="Q139" s="57">
        <f t="shared" si="19"/>
        <v>738852</v>
      </c>
      <c r="S139" s="58">
        <f t="shared" si="20"/>
        <v>2.8572904284918996</v>
      </c>
      <c r="U139" s="186">
        <v>20</v>
      </c>
      <c r="V139" s="181"/>
      <c r="W139" s="203">
        <v>19.969859999025516</v>
      </c>
    </row>
    <row r="140" spans="1:23" s="19" customFormat="1">
      <c r="A140" s="64"/>
      <c r="B140" s="65"/>
      <c r="C140" s="70" t="s">
        <v>82</v>
      </c>
      <c r="D140" s="65"/>
      <c r="E140" s="182">
        <v>2041</v>
      </c>
      <c r="F140" s="65"/>
      <c r="G140" s="183" t="s">
        <v>191</v>
      </c>
      <c r="H140" s="183" t="s">
        <v>181</v>
      </c>
      <c r="I140" s="184">
        <v>-4</v>
      </c>
      <c r="J140" s="65"/>
      <c r="K140" s="71">
        <v>21295538.73</v>
      </c>
      <c r="L140" s="185"/>
      <c r="M140" s="73">
        <v>10125651.369999999</v>
      </c>
      <c r="N140" s="73"/>
      <c r="O140" s="198">
        <f t="shared" si="18"/>
        <v>12021709</v>
      </c>
      <c r="P140" s="73"/>
      <c r="Q140" s="57">
        <f t="shared" si="19"/>
        <v>603663</v>
      </c>
      <c r="S140" s="58">
        <f t="shared" si="20"/>
        <v>2.8346923158585899</v>
      </c>
      <c r="U140" s="186">
        <v>19.899999999999999</v>
      </c>
      <c r="V140" s="181"/>
      <c r="W140" s="203">
        <v>19.914603015258514</v>
      </c>
    </row>
    <row r="141" spans="1:23" s="19" customFormat="1">
      <c r="A141" s="64"/>
      <c r="B141" s="65"/>
      <c r="C141" s="70" t="s">
        <v>83</v>
      </c>
      <c r="D141" s="65"/>
      <c r="E141" s="182">
        <v>2045</v>
      </c>
      <c r="F141" s="65"/>
      <c r="G141" s="183" t="s">
        <v>191</v>
      </c>
      <c r="H141" s="183" t="s">
        <v>181</v>
      </c>
      <c r="I141" s="184">
        <v>-4</v>
      </c>
      <c r="J141" s="65"/>
      <c r="K141" s="71">
        <v>17001567.77</v>
      </c>
      <c r="L141" s="185"/>
      <c r="M141" s="73">
        <v>6146558.7400000002</v>
      </c>
      <c r="N141" s="73"/>
      <c r="O141" s="198">
        <f t="shared" si="18"/>
        <v>11535072</v>
      </c>
      <c r="P141" s="73"/>
      <c r="Q141" s="57">
        <f t="shared" si="19"/>
        <v>486319</v>
      </c>
      <c r="S141" s="58">
        <f t="shared" si="20"/>
        <v>2.8604362055252981</v>
      </c>
      <c r="U141" s="186">
        <v>23.7</v>
      </c>
      <c r="V141" s="181"/>
      <c r="W141" s="203">
        <v>23.719147308659544</v>
      </c>
    </row>
    <row r="142" spans="1:23" s="19" customFormat="1">
      <c r="A142" s="64"/>
      <c r="B142" s="65"/>
      <c r="C142" s="70" t="s">
        <v>84</v>
      </c>
      <c r="D142" s="65"/>
      <c r="E142" s="182">
        <v>2045</v>
      </c>
      <c r="F142" s="65"/>
      <c r="G142" s="183" t="s">
        <v>191</v>
      </c>
      <c r="H142" s="183" t="s">
        <v>181</v>
      </c>
      <c r="I142" s="184">
        <v>-4</v>
      </c>
      <c r="J142" s="65"/>
      <c r="K142" s="71">
        <v>16754183.57</v>
      </c>
      <c r="L142" s="185"/>
      <c r="M142" s="73">
        <v>6064093.3200000003</v>
      </c>
      <c r="N142" s="73"/>
      <c r="O142" s="198">
        <f t="shared" si="18"/>
        <v>11360258</v>
      </c>
      <c r="P142" s="73"/>
      <c r="Q142" s="57">
        <f t="shared" si="19"/>
        <v>478999</v>
      </c>
      <c r="S142" s="58">
        <f t="shared" si="20"/>
        <v>2.8589814478199607</v>
      </c>
      <c r="U142" s="186">
        <v>23.7</v>
      </c>
      <c r="V142" s="181"/>
      <c r="W142" s="203">
        <v>23.716663291572633</v>
      </c>
    </row>
    <row r="143" spans="1:23" s="19" customFormat="1">
      <c r="A143" s="64"/>
      <c r="B143" s="65"/>
      <c r="C143" s="70" t="s">
        <v>85</v>
      </c>
      <c r="D143" s="65"/>
      <c r="E143" s="182">
        <v>2050</v>
      </c>
      <c r="F143" s="65"/>
      <c r="G143" s="183" t="s">
        <v>191</v>
      </c>
      <c r="H143" s="183" t="s">
        <v>181</v>
      </c>
      <c r="I143" s="184">
        <v>-4</v>
      </c>
      <c r="J143" s="65"/>
      <c r="K143" s="71">
        <v>57736570.219999999</v>
      </c>
      <c r="L143" s="185"/>
      <c r="M143" s="73">
        <v>10973966.49</v>
      </c>
      <c r="N143" s="73"/>
      <c r="O143" s="198">
        <f t="shared" si="18"/>
        <v>49072067</v>
      </c>
      <c r="P143" s="73"/>
      <c r="Q143" s="57">
        <f t="shared" si="19"/>
        <v>1723649</v>
      </c>
      <c r="S143" s="58">
        <f t="shared" si="20"/>
        <v>2.9853678412697375</v>
      </c>
      <c r="U143" s="186">
        <v>28.5</v>
      </c>
      <c r="V143" s="181"/>
      <c r="W143" s="203">
        <v>28.469872346399992</v>
      </c>
    </row>
    <row r="144" spans="1:23" s="19" customFormat="1">
      <c r="A144" s="64"/>
      <c r="B144" s="65"/>
      <c r="C144" s="70" t="s">
        <v>86</v>
      </c>
      <c r="D144" s="65"/>
      <c r="E144" s="182">
        <v>2050</v>
      </c>
      <c r="F144" s="65"/>
      <c r="G144" s="183" t="s">
        <v>191</v>
      </c>
      <c r="H144" s="183" t="s">
        <v>181</v>
      </c>
      <c r="I144" s="184">
        <v>-4</v>
      </c>
      <c r="J144" s="65"/>
      <c r="K144" s="71">
        <v>55010982.469999999</v>
      </c>
      <c r="L144" s="185"/>
      <c r="M144" s="73">
        <v>14018583.890000001</v>
      </c>
      <c r="N144" s="73"/>
      <c r="O144" s="198">
        <f t="shared" si="18"/>
        <v>43192838</v>
      </c>
      <c r="P144" s="73"/>
      <c r="Q144" s="57">
        <f t="shared" si="19"/>
        <v>1517307</v>
      </c>
      <c r="S144" s="58">
        <f t="shared" si="20"/>
        <v>2.7581892412618823</v>
      </c>
      <c r="U144" s="186">
        <v>28.5</v>
      </c>
      <c r="V144" s="181"/>
      <c r="W144" s="203">
        <v>28.466775675588394</v>
      </c>
    </row>
    <row r="145" spans="1:23" s="19" customFormat="1">
      <c r="A145" s="64"/>
      <c r="B145" s="65"/>
      <c r="C145" s="70" t="s">
        <v>87</v>
      </c>
      <c r="D145" s="65"/>
      <c r="E145" s="182">
        <v>2038</v>
      </c>
      <c r="F145" s="65"/>
      <c r="G145" s="183" t="s">
        <v>191</v>
      </c>
      <c r="H145" s="183" t="s">
        <v>181</v>
      </c>
      <c r="I145" s="184">
        <v>-2</v>
      </c>
      <c r="J145" s="65"/>
      <c r="K145" s="71">
        <v>354070.8</v>
      </c>
      <c r="L145" s="185"/>
      <c r="M145" s="73">
        <v>141911</v>
      </c>
      <c r="N145" s="73"/>
      <c r="O145" s="198">
        <f t="shared" si="18"/>
        <v>219241</v>
      </c>
      <c r="P145" s="73"/>
      <c r="Q145" s="57">
        <f t="shared" si="19"/>
        <v>12365.999999999998</v>
      </c>
      <c r="S145" s="58">
        <f t="shared" si="20"/>
        <v>3.4925218346161273</v>
      </c>
      <c r="U145" s="186">
        <v>17.7</v>
      </c>
      <c r="V145" s="181"/>
      <c r="W145" s="203">
        <v>17.729338508814493</v>
      </c>
    </row>
    <row r="146" spans="1:23" s="19" customFormat="1">
      <c r="A146" s="64"/>
      <c r="B146" s="65"/>
      <c r="C146" s="70" t="s">
        <v>88</v>
      </c>
      <c r="D146" s="65"/>
      <c r="E146" s="182">
        <v>2038</v>
      </c>
      <c r="F146" s="65"/>
      <c r="G146" s="183" t="s">
        <v>191</v>
      </c>
      <c r="H146" s="183" t="s">
        <v>181</v>
      </c>
      <c r="I146" s="184">
        <v>-2</v>
      </c>
      <c r="J146" s="65"/>
      <c r="K146" s="71">
        <v>300785.96999999997</v>
      </c>
      <c r="L146" s="185"/>
      <c r="M146" s="73">
        <v>132190</v>
      </c>
      <c r="N146" s="73"/>
      <c r="O146" s="198">
        <f t="shared" si="18"/>
        <v>174612</v>
      </c>
      <c r="P146" s="73"/>
      <c r="Q146" s="57">
        <f t="shared" si="19"/>
        <v>9921</v>
      </c>
      <c r="S146" s="58">
        <f t="shared" si="20"/>
        <v>3.2983586302246746</v>
      </c>
      <c r="U146" s="186">
        <v>17.600000000000001</v>
      </c>
      <c r="V146" s="181"/>
      <c r="W146" s="203">
        <v>17.600241911097672</v>
      </c>
    </row>
    <row r="147" spans="1:23" s="19" customFormat="1">
      <c r="A147" s="64"/>
      <c r="B147" s="65"/>
      <c r="C147" s="70" t="s">
        <v>89</v>
      </c>
      <c r="D147" s="65"/>
      <c r="E147" s="182">
        <v>2038</v>
      </c>
      <c r="F147" s="65"/>
      <c r="G147" s="183" t="s">
        <v>191</v>
      </c>
      <c r="H147" s="183" t="s">
        <v>181</v>
      </c>
      <c r="I147" s="184">
        <v>-2</v>
      </c>
      <c r="J147" s="65"/>
      <c r="K147" s="71">
        <v>388128.81</v>
      </c>
      <c r="L147" s="185"/>
      <c r="M147" s="73">
        <v>150290</v>
      </c>
      <c r="N147" s="73"/>
      <c r="O147" s="198">
        <f t="shared" si="18"/>
        <v>245601</v>
      </c>
      <c r="P147" s="73"/>
      <c r="Q147" s="57">
        <f t="shared" si="19"/>
        <v>13818.999999999998</v>
      </c>
      <c r="S147" s="58">
        <f t="shared" si="20"/>
        <v>3.5604159351118505</v>
      </c>
      <c r="U147" s="186">
        <v>17.8</v>
      </c>
      <c r="V147" s="181"/>
      <c r="W147" s="203">
        <v>17.772704247774804</v>
      </c>
    </row>
    <row r="148" spans="1:23" s="19" customFormat="1">
      <c r="A148" s="64"/>
      <c r="B148" s="65"/>
      <c r="C148" s="70" t="s">
        <v>90</v>
      </c>
      <c r="D148" s="65"/>
      <c r="E148" s="182">
        <v>2041</v>
      </c>
      <c r="F148" s="65"/>
      <c r="G148" s="183" t="s">
        <v>191</v>
      </c>
      <c r="H148" s="183" t="s">
        <v>181</v>
      </c>
      <c r="I148" s="184">
        <v>-2</v>
      </c>
      <c r="J148" s="65"/>
      <c r="K148" s="71">
        <v>201654.6</v>
      </c>
      <c r="L148" s="185"/>
      <c r="M148" s="73">
        <v>72823</v>
      </c>
      <c r="N148" s="73"/>
      <c r="O148" s="198">
        <f t="shared" si="18"/>
        <v>132865</v>
      </c>
      <c r="P148" s="73"/>
      <c r="Q148" s="57">
        <f t="shared" si="19"/>
        <v>6494</v>
      </c>
      <c r="S148" s="58">
        <f t="shared" si="20"/>
        <v>3.2203579784443299</v>
      </c>
      <c r="U148" s="186">
        <v>20.5</v>
      </c>
      <c r="V148" s="181"/>
      <c r="W148" s="203">
        <v>20.459655066214967</v>
      </c>
    </row>
    <row r="149" spans="1:23" s="19" customFormat="1">
      <c r="A149" s="64"/>
      <c r="B149" s="65"/>
      <c r="C149" s="70" t="s">
        <v>91</v>
      </c>
      <c r="D149" s="65"/>
      <c r="E149" s="182">
        <v>2042</v>
      </c>
      <c r="F149" s="65"/>
      <c r="G149" s="183" t="s">
        <v>191</v>
      </c>
      <c r="H149" s="183" t="s">
        <v>181</v>
      </c>
      <c r="I149" s="184">
        <v>-2</v>
      </c>
      <c r="J149" s="65"/>
      <c r="K149" s="71">
        <v>275099.08</v>
      </c>
      <c r="L149" s="185"/>
      <c r="M149" s="73">
        <v>92033</v>
      </c>
      <c r="N149" s="73"/>
      <c r="O149" s="198">
        <f t="shared" si="18"/>
        <v>188568</v>
      </c>
      <c r="P149" s="73"/>
      <c r="Q149" s="57">
        <f t="shared" si="19"/>
        <v>8799</v>
      </c>
      <c r="S149" s="58">
        <f t="shared" si="20"/>
        <v>3.1984839789358803</v>
      </c>
      <c r="U149" s="186">
        <v>21.4</v>
      </c>
      <c r="V149" s="181"/>
      <c r="W149" s="203">
        <v>21.430617115581317</v>
      </c>
    </row>
    <row r="150" spans="1:23" s="19" customFormat="1">
      <c r="A150" s="64"/>
      <c r="B150" s="65"/>
      <c r="C150" s="70" t="s">
        <v>92</v>
      </c>
      <c r="D150" s="65"/>
      <c r="E150" s="182">
        <v>2042</v>
      </c>
      <c r="F150" s="65"/>
      <c r="G150" s="183" t="s">
        <v>191</v>
      </c>
      <c r="H150" s="183" t="s">
        <v>181</v>
      </c>
      <c r="I150" s="184">
        <v>-5</v>
      </c>
      <c r="J150" s="65"/>
      <c r="K150" s="71">
        <v>2407952.29</v>
      </c>
      <c r="L150" s="185"/>
      <c r="M150" s="73">
        <v>582589</v>
      </c>
      <c r="N150" s="73"/>
      <c r="O150" s="198">
        <f t="shared" si="18"/>
        <v>1945761</v>
      </c>
      <c r="P150" s="73"/>
      <c r="Q150" s="57">
        <f t="shared" si="19"/>
        <v>87964</v>
      </c>
      <c r="S150" s="58">
        <f t="shared" si="20"/>
        <v>3.6530624117972041</v>
      </c>
      <c r="U150" s="186">
        <v>22.1</v>
      </c>
      <c r="V150" s="181"/>
      <c r="W150" s="203">
        <v>22.119969532990769</v>
      </c>
    </row>
    <row r="151" spans="1:23" s="19" customFormat="1">
      <c r="A151" s="64"/>
      <c r="B151" s="65"/>
      <c r="C151" s="70" t="s">
        <v>93</v>
      </c>
      <c r="D151" s="65"/>
      <c r="E151" s="182">
        <v>2042</v>
      </c>
      <c r="F151" s="65"/>
      <c r="G151" s="183" t="s">
        <v>191</v>
      </c>
      <c r="H151" s="183" t="s">
        <v>181</v>
      </c>
      <c r="I151" s="184">
        <v>-5</v>
      </c>
      <c r="J151" s="65"/>
      <c r="K151" s="71">
        <v>46724956.780000001</v>
      </c>
      <c r="L151" s="185"/>
      <c r="M151" s="73">
        <v>22062972.190000001</v>
      </c>
      <c r="N151" s="73"/>
      <c r="O151" s="198">
        <f t="shared" si="18"/>
        <v>26998232</v>
      </c>
      <c r="P151" s="73"/>
      <c r="Q151" s="57">
        <f t="shared" si="19"/>
        <v>1226069</v>
      </c>
      <c r="S151" s="58">
        <f t="shared" si="20"/>
        <v>2.6240131280866215</v>
      </c>
      <c r="U151" s="186">
        <v>22</v>
      </c>
      <c r="V151" s="181"/>
      <c r="W151" s="203">
        <v>22.020157103719285</v>
      </c>
    </row>
    <row r="152" spans="1:23" s="19" customFormat="1">
      <c r="A152" s="64"/>
      <c r="B152" s="65"/>
      <c r="C152" s="70" t="s">
        <v>94</v>
      </c>
      <c r="D152" s="65"/>
      <c r="E152" s="182">
        <v>2042</v>
      </c>
      <c r="F152" s="65"/>
      <c r="G152" s="183" t="s">
        <v>191</v>
      </c>
      <c r="H152" s="183" t="s">
        <v>181</v>
      </c>
      <c r="I152" s="184">
        <v>-5</v>
      </c>
      <c r="J152" s="65"/>
      <c r="K152" s="71">
        <v>45508646.350000001</v>
      </c>
      <c r="L152" s="185"/>
      <c r="M152" s="73">
        <v>20986500.329999998</v>
      </c>
      <c r="N152" s="73"/>
      <c r="O152" s="198">
        <f t="shared" si="18"/>
        <v>26797578</v>
      </c>
      <c r="P152" s="73"/>
      <c r="Q152" s="57">
        <f t="shared" si="19"/>
        <v>1216747</v>
      </c>
      <c r="S152" s="58">
        <f t="shared" si="20"/>
        <v>2.6736611558212169</v>
      </c>
      <c r="U152" s="186">
        <v>22</v>
      </c>
      <c r="V152" s="181"/>
      <c r="W152" s="203">
        <v>22.023952391088699</v>
      </c>
    </row>
    <row r="153" spans="1:23" s="19" customFormat="1">
      <c r="A153" s="64"/>
      <c r="B153" s="65"/>
      <c r="C153" s="70" t="s">
        <v>95</v>
      </c>
      <c r="D153" s="65"/>
      <c r="E153" s="182">
        <v>2042</v>
      </c>
      <c r="F153" s="65"/>
      <c r="G153" s="183" t="s">
        <v>191</v>
      </c>
      <c r="H153" s="183" t="s">
        <v>181</v>
      </c>
      <c r="I153" s="184">
        <v>-5</v>
      </c>
      <c r="J153" s="65"/>
      <c r="K153" s="75">
        <v>41213903.719999999</v>
      </c>
      <c r="L153" s="185"/>
      <c r="M153" s="77">
        <v>19457814.420000002</v>
      </c>
      <c r="N153" s="73"/>
      <c r="O153" s="205">
        <f t="shared" si="18"/>
        <v>23816784</v>
      </c>
      <c r="P153" s="73"/>
      <c r="Q153" s="62">
        <f t="shared" si="19"/>
        <v>1081589</v>
      </c>
      <c r="S153" s="58">
        <f t="shared" si="20"/>
        <v>2.6243303894436334</v>
      </c>
      <c r="U153" s="186">
        <v>22</v>
      </c>
      <c r="V153" s="181"/>
      <c r="W153" s="203">
        <v>22.02017956913393</v>
      </c>
    </row>
    <row r="154" spans="1:23" s="19" customFormat="1">
      <c r="A154" s="64"/>
      <c r="B154" s="65"/>
      <c r="C154" s="78"/>
      <c r="D154" s="65"/>
      <c r="E154" s="65"/>
      <c r="F154" s="65"/>
      <c r="G154" s="183"/>
      <c r="H154" s="183"/>
      <c r="I154" s="184"/>
      <c r="J154" s="65"/>
      <c r="K154" s="71"/>
      <c r="L154" s="185"/>
      <c r="M154" s="73"/>
      <c r="N154" s="73"/>
      <c r="O154" s="73"/>
      <c r="P154" s="73"/>
      <c r="Q154" s="73"/>
      <c r="S154" s="74"/>
      <c r="U154" s="186"/>
      <c r="V154" s="181"/>
      <c r="W154" s="203"/>
    </row>
    <row r="155" spans="1:23" s="19" customFormat="1">
      <c r="A155" s="64"/>
      <c r="B155" s="65"/>
      <c r="C155" s="78" t="s">
        <v>100</v>
      </c>
      <c r="D155" s="65"/>
      <c r="E155" s="65"/>
      <c r="F155" s="65"/>
      <c r="G155" s="183"/>
      <c r="H155" s="183"/>
      <c r="I155" s="184"/>
      <c r="J155" s="65"/>
      <c r="K155" s="71">
        <f>SUBTOTAL(9,K135:K154)</f>
        <v>406605726.33000004</v>
      </c>
      <c r="L155" s="185"/>
      <c r="M155" s="73">
        <f>SUBTOTAL(9,M135:M154)</f>
        <v>164187060.19999999</v>
      </c>
      <c r="N155" s="73"/>
      <c r="O155" s="73">
        <f>SUBTOTAL(9,O135:O154)</f>
        <v>259794427</v>
      </c>
      <c r="P155" s="73"/>
      <c r="Q155" s="73">
        <f>SUBTOTAL(9,Q135:Q154)</f>
        <v>11464730</v>
      </c>
      <c r="S155" s="74">
        <f>+ROUND(Q155/K155*100,2)</f>
        <v>2.82</v>
      </c>
      <c r="U155" s="186"/>
      <c r="V155" s="181"/>
      <c r="W155" s="203"/>
    </row>
    <row r="156" spans="1:23" s="19" customFormat="1">
      <c r="A156" s="64"/>
      <c r="B156" s="65"/>
      <c r="C156" s="78"/>
      <c r="D156" s="65"/>
      <c r="E156" s="65"/>
      <c r="F156" s="65"/>
      <c r="G156" s="183"/>
      <c r="H156" s="183"/>
      <c r="I156" s="184"/>
      <c r="J156" s="65"/>
      <c r="K156" s="71"/>
      <c r="L156" s="185"/>
      <c r="M156" s="73"/>
      <c r="N156" s="73"/>
      <c r="O156" s="73"/>
      <c r="P156" s="73"/>
      <c r="Q156" s="73"/>
      <c r="S156" s="74"/>
      <c r="U156" s="186"/>
      <c r="V156" s="181"/>
      <c r="W156" s="203"/>
    </row>
    <row r="157" spans="1:23" s="19" customFormat="1">
      <c r="A157" s="64">
        <v>344</v>
      </c>
      <c r="B157" s="65"/>
      <c r="C157" s="65" t="s">
        <v>101</v>
      </c>
      <c r="D157" s="65"/>
      <c r="E157" s="65"/>
      <c r="F157" s="65"/>
      <c r="G157" s="65"/>
      <c r="H157" s="65"/>
      <c r="I157" s="179"/>
      <c r="J157" s="65"/>
      <c r="K157" s="65"/>
      <c r="L157" s="65"/>
      <c r="M157" s="67"/>
      <c r="N157" s="67"/>
      <c r="O157" s="67"/>
      <c r="P157" s="67"/>
      <c r="Q157" s="67"/>
      <c r="S157" s="68"/>
      <c r="U157" s="180"/>
      <c r="V157" s="181"/>
      <c r="W157" s="203"/>
    </row>
    <row r="158" spans="1:23" s="19" customFormat="1">
      <c r="A158" s="64"/>
      <c r="B158" s="65"/>
      <c r="C158" s="70" t="s">
        <v>77</v>
      </c>
      <c r="D158" s="65"/>
      <c r="E158" s="182">
        <v>2050</v>
      </c>
      <c r="F158" s="65"/>
      <c r="G158" s="183" t="s">
        <v>192</v>
      </c>
      <c r="H158" s="183" t="s">
        <v>181</v>
      </c>
      <c r="I158" s="184">
        <v>-3</v>
      </c>
      <c r="J158" s="65"/>
      <c r="K158" s="71">
        <v>385287.95</v>
      </c>
      <c r="L158" s="185"/>
      <c r="M158" s="73">
        <v>100840</v>
      </c>
      <c r="N158" s="73"/>
      <c r="O158" s="198">
        <f t="shared" ref="O158:O178" si="21">ROUND((K158+(K158*-(I158/100)))-M158,0)</f>
        <v>296007</v>
      </c>
      <c r="P158" s="73"/>
      <c r="Q158" s="57">
        <f t="shared" ref="Q158:Q178" si="22">O158/W158</f>
        <v>10596</v>
      </c>
      <c r="S158" s="58">
        <f t="shared" ref="S158:S178" si="23">Q158/K158*100</f>
        <v>2.7501508936368242</v>
      </c>
      <c r="U158" s="186">
        <v>27.9</v>
      </c>
      <c r="V158" s="181"/>
      <c r="W158" s="203">
        <v>27.935730464326159</v>
      </c>
    </row>
    <row r="159" spans="1:23" s="19" customFormat="1">
      <c r="A159" s="64"/>
      <c r="B159" s="65"/>
      <c r="C159" s="70" t="s">
        <v>78</v>
      </c>
      <c r="D159" s="65"/>
      <c r="E159" s="182">
        <v>2034</v>
      </c>
      <c r="F159" s="65"/>
      <c r="G159" s="183" t="s">
        <v>192</v>
      </c>
      <c r="H159" s="183" t="s">
        <v>181</v>
      </c>
      <c r="I159" s="184">
        <v>-4</v>
      </c>
      <c r="J159" s="65"/>
      <c r="K159" s="71">
        <v>5409806.3600000003</v>
      </c>
      <c r="L159" s="185"/>
      <c r="M159" s="73">
        <v>3149102</v>
      </c>
      <c r="N159" s="73"/>
      <c r="O159" s="198">
        <f t="shared" si="21"/>
        <v>2477097</v>
      </c>
      <c r="P159" s="73"/>
      <c r="Q159" s="57">
        <f t="shared" si="22"/>
        <v>180024</v>
      </c>
      <c r="S159" s="58">
        <f t="shared" si="23"/>
        <v>3.327734636328092</v>
      </c>
      <c r="U159" s="186">
        <v>13.8</v>
      </c>
      <c r="V159" s="181"/>
      <c r="W159" s="203">
        <v>13.759815357952274</v>
      </c>
    </row>
    <row r="160" spans="1:23" s="19" customFormat="1">
      <c r="A160" s="64"/>
      <c r="B160" s="65"/>
      <c r="C160" s="70" t="s">
        <v>79</v>
      </c>
      <c r="D160" s="65"/>
      <c r="E160" s="182">
        <v>2034</v>
      </c>
      <c r="F160" s="65"/>
      <c r="G160" s="183" t="s">
        <v>192</v>
      </c>
      <c r="H160" s="183" t="s">
        <v>181</v>
      </c>
      <c r="I160" s="184">
        <v>-4</v>
      </c>
      <c r="J160" s="65"/>
      <c r="K160" s="71">
        <v>5315973.93</v>
      </c>
      <c r="L160" s="185"/>
      <c r="M160" s="73">
        <v>3110623</v>
      </c>
      <c r="N160" s="73"/>
      <c r="O160" s="198">
        <f t="shared" si="21"/>
        <v>2417990</v>
      </c>
      <c r="P160" s="73"/>
      <c r="Q160" s="57">
        <f t="shared" si="22"/>
        <v>175512</v>
      </c>
      <c r="S160" s="58">
        <f t="shared" si="23"/>
        <v>3.3015963266772452</v>
      </c>
      <c r="U160" s="186">
        <v>13.8</v>
      </c>
      <c r="V160" s="181"/>
      <c r="W160" s="203">
        <v>13.776778795751857</v>
      </c>
    </row>
    <row r="161" spans="1:23" s="19" customFormat="1">
      <c r="A161" s="64"/>
      <c r="B161" s="65"/>
      <c r="C161" s="70" t="s">
        <v>80</v>
      </c>
      <c r="D161" s="65"/>
      <c r="E161" s="182">
        <v>2034</v>
      </c>
      <c r="F161" s="65"/>
      <c r="G161" s="183" t="s">
        <v>192</v>
      </c>
      <c r="H161" s="183" t="s">
        <v>181</v>
      </c>
      <c r="I161" s="184">
        <v>-4</v>
      </c>
      <c r="J161" s="65"/>
      <c r="K161" s="71">
        <v>5368828.4000000004</v>
      </c>
      <c r="L161" s="185"/>
      <c r="M161" s="73">
        <v>3095925</v>
      </c>
      <c r="N161" s="73"/>
      <c r="O161" s="198">
        <f t="shared" si="21"/>
        <v>2487657</v>
      </c>
      <c r="P161" s="73"/>
      <c r="Q161" s="57">
        <f t="shared" si="22"/>
        <v>180444</v>
      </c>
      <c r="S161" s="58">
        <f t="shared" si="23"/>
        <v>3.3609567405804959</v>
      </c>
      <c r="U161" s="186">
        <v>13.8</v>
      </c>
      <c r="V161" s="181"/>
      <c r="W161" s="203">
        <v>13.786310434262154</v>
      </c>
    </row>
    <row r="162" spans="1:23" s="19" customFormat="1">
      <c r="A162" s="64"/>
      <c r="B162" s="65"/>
      <c r="C162" s="70" t="s">
        <v>81</v>
      </c>
      <c r="D162" s="65"/>
      <c r="E162" s="182">
        <v>2041</v>
      </c>
      <c r="F162" s="65"/>
      <c r="G162" s="183" t="s">
        <v>192</v>
      </c>
      <c r="H162" s="183" t="s">
        <v>181</v>
      </c>
      <c r="I162" s="184">
        <v>-4</v>
      </c>
      <c r="J162" s="65"/>
      <c r="K162" s="71">
        <v>8212342.4100000001</v>
      </c>
      <c r="L162" s="185"/>
      <c r="M162" s="73">
        <v>3863206</v>
      </c>
      <c r="N162" s="73"/>
      <c r="O162" s="198">
        <f t="shared" si="21"/>
        <v>4677630</v>
      </c>
      <c r="P162" s="73"/>
      <c r="Q162" s="57">
        <f t="shared" si="22"/>
        <v>236371.99999999997</v>
      </c>
      <c r="S162" s="58">
        <f t="shared" si="23"/>
        <v>2.8782531000189993</v>
      </c>
      <c r="U162" s="186">
        <v>19.8</v>
      </c>
      <c r="V162" s="181"/>
      <c r="W162" s="203">
        <v>19.789272841114855</v>
      </c>
    </row>
    <row r="163" spans="1:23" s="19" customFormat="1">
      <c r="A163" s="64"/>
      <c r="B163" s="65"/>
      <c r="C163" s="70" t="s">
        <v>82</v>
      </c>
      <c r="D163" s="65"/>
      <c r="E163" s="182">
        <v>2041</v>
      </c>
      <c r="F163" s="65"/>
      <c r="G163" s="183" t="s">
        <v>192</v>
      </c>
      <c r="H163" s="183" t="s">
        <v>181</v>
      </c>
      <c r="I163" s="184">
        <v>-4</v>
      </c>
      <c r="J163" s="65"/>
      <c r="K163" s="71">
        <v>8155918.4000000004</v>
      </c>
      <c r="L163" s="185"/>
      <c r="M163" s="73">
        <v>3837752</v>
      </c>
      <c r="N163" s="73"/>
      <c r="O163" s="198">
        <f t="shared" si="21"/>
        <v>4644403</v>
      </c>
      <c r="P163" s="73"/>
      <c r="Q163" s="57">
        <f t="shared" si="22"/>
        <v>234816.00000000003</v>
      </c>
      <c r="S163" s="58">
        <f t="shared" si="23"/>
        <v>2.8790871669338922</v>
      </c>
      <c r="U163" s="186">
        <v>19.8</v>
      </c>
      <c r="V163" s="181"/>
      <c r="W163" s="203">
        <v>19.778903481875169</v>
      </c>
    </row>
    <row r="164" spans="1:23" s="19" customFormat="1">
      <c r="A164" s="64"/>
      <c r="B164" s="65"/>
      <c r="C164" s="70" t="s">
        <v>83</v>
      </c>
      <c r="D164" s="65"/>
      <c r="E164" s="182">
        <v>2045</v>
      </c>
      <c r="F164" s="65"/>
      <c r="G164" s="183" t="s">
        <v>192</v>
      </c>
      <c r="H164" s="183" t="s">
        <v>181</v>
      </c>
      <c r="I164" s="184">
        <v>-4</v>
      </c>
      <c r="J164" s="65"/>
      <c r="K164" s="71">
        <v>4831725.68</v>
      </c>
      <c r="L164" s="185"/>
      <c r="M164" s="73">
        <v>1839937</v>
      </c>
      <c r="N164" s="73"/>
      <c r="O164" s="198">
        <f t="shared" si="21"/>
        <v>3185058</v>
      </c>
      <c r="P164" s="73"/>
      <c r="Q164" s="57">
        <f t="shared" si="22"/>
        <v>136522</v>
      </c>
      <c r="S164" s="58">
        <f t="shared" si="23"/>
        <v>2.8255329263643132</v>
      </c>
      <c r="U164" s="186">
        <v>23.3</v>
      </c>
      <c r="V164" s="181"/>
      <c r="W164" s="203">
        <v>23.32999809554504</v>
      </c>
    </row>
    <row r="165" spans="1:23" s="19" customFormat="1">
      <c r="A165" s="64"/>
      <c r="B165" s="65"/>
      <c r="C165" s="70" t="s">
        <v>84</v>
      </c>
      <c r="D165" s="65"/>
      <c r="E165" s="182">
        <v>2045</v>
      </c>
      <c r="F165" s="65"/>
      <c r="G165" s="183" t="s">
        <v>192</v>
      </c>
      <c r="H165" s="183" t="s">
        <v>181</v>
      </c>
      <c r="I165" s="184">
        <v>-4</v>
      </c>
      <c r="J165" s="65"/>
      <c r="K165" s="71">
        <v>4838938.32</v>
      </c>
      <c r="L165" s="185"/>
      <c r="M165" s="73">
        <v>1842648</v>
      </c>
      <c r="N165" s="73"/>
      <c r="O165" s="198">
        <f t="shared" si="21"/>
        <v>3189848</v>
      </c>
      <c r="P165" s="73"/>
      <c r="Q165" s="57">
        <f t="shared" si="22"/>
        <v>136727</v>
      </c>
      <c r="S165" s="58">
        <f t="shared" si="23"/>
        <v>2.8255578178148792</v>
      </c>
      <c r="U165" s="186">
        <v>23.3</v>
      </c>
      <c r="V165" s="181"/>
      <c r="W165" s="203">
        <v>23.330051855156626</v>
      </c>
    </row>
    <row r="166" spans="1:23" s="19" customFormat="1">
      <c r="A166" s="64"/>
      <c r="B166" s="65"/>
      <c r="C166" s="70" t="s">
        <v>85</v>
      </c>
      <c r="D166" s="65"/>
      <c r="E166" s="182">
        <v>2050</v>
      </c>
      <c r="F166" s="65"/>
      <c r="G166" s="183" t="s">
        <v>192</v>
      </c>
      <c r="H166" s="183" t="s">
        <v>181</v>
      </c>
      <c r="I166" s="184">
        <v>-4</v>
      </c>
      <c r="J166" s="65"/>
      <c r="K166" s="71">
        <v>5428818.3700000001</v>
      </c>
      <c r="L166" s="185"/>
      <c r="M166" s="73">
        <v>879891</v>
      </c>
      <c r="N166" s="73"/>
      <c r="O166" s="198">
        <f t="shared" si="21"/>
        <v>4766080</v>
      </c>
      <c r="P166" s="73"/>
      <c r="Q166" s="57">
        <f t="shared" si="22"/>
        <v>168982</v>
      </c>
      <c r="S166" s="58">
        <f t="shared" si="23"/>
        <v>3.1126847222188427</v>
      </c>
      <c r="U166" s="186">
        <v>28.2</v>
      </c>
      <c r="V166" s="181"/>
      <c r="W166" s="203">
        <v>28.204660851451635</v>
      </c>
    </row>
    <row r="167" spans="1:23" s="19" customFormat="1">
      <c r="A167" s="64"/>
      <c r="B167" s="65"/>
      <c r="C167" s="70" t="s">
        <v>86</v>
      </c>
      <c r="D167" s="65"/>
      <c r="E167" s="182">
        <v>2050</v>
      </c>
      <c r="F167" s="65"/>
      <c r="G167" s="183" t="s">
        <v>192</v>
      </c>
      <c r="H167" s="183" t="s">
        <v>181</v>
      </c>
      <c r="I167" s="184">
        <v>-4</v>
      </c>
      <c r="J167" s="65"/>
      <c r="K167" s="71">
        <v>4887853.5</v>
      </c>
      <c r="L167" s="185"/>
      <c r="M167" s="73">
        <v>1176798</v>
      </c>
      <c r="N167" s="73"/>
      <c r="O167" s="198">
        <f t="shared" si="21"/>
        <v>3906570</v>
      </c>
      <c r="P167" s="73"/>
      <c r="Q167" s="57">
        <f t="shared" si="22"/>
        <v>139055</v>
      </c>
      <c r="S167" s="58">
        <f t="shared" si="23"/>
        <v>2.844909324716872</v>
      </c>
      <c r="U167" s="186">
        <v>28.1</v>
      </c>
      <c r="V167" s="181"/>
      <c r="W167" s="203">
        <v>28.093703930099601</v>
      </c>
    </row>
    <row r="168" spans="1:23" s="19" customFormat="1">
      <c r="A168" s="64"/>
      <c r="B168" s="65"/>
      <c r="C168" s="70" t="s">
        <v>87</v>
      </c>
      <c r="D168" s="65"/>
      <c r="E168" s="182">
        <v>2038</v>
      </c>
      <c r="F168" s="65"/>
      <c r="G168" s="183" t="s">
        <v>192</v>
      </c>
      <c r="H168" s="183" t="s">
        <v>181</v>
      </c>
      <c r="I168" s="184">
        <v>-2</v>
      </c>
      <c r="J168" s="65"/>
      <c r="K168" s="71">
        <v>1098205.33</v>
      </c>
      <c r="L168" s="185"/>
      <c r="M168" s="73">
        <v>498493</v>
      </c>
      <c r="N168" s="73"/>
      <c r="O168" s="198">
        <f t="shared" si="21"/>
        <v>621676</v>
      </c>
      <c r="P168" s="73"/>
      <c r="Q168" s="57">
        <f t="shared" si="22"/>
        <v>35729</v>
      </c>
      <c r="S168" s="58">
        <f t="shared" si="23"/>
        <v>3.2533988885302532</v>
      </c>
      <c r="U168" s="186">
        <v>17.399999999999999</v>
      </c>
      <c r="V168" s="181"/>
      <c r="W168" s="203">
        <v>17.399759299168743</v>
      </c>
    </row>
    <row r="169" spans="1:23" s="19" customFormat="1">
      <c r="A169" s="64"/>
      <c r="B169" s="65"/>
      <c r="C169" s="70" t="s">
        <v>88</v>
      </c>
      <c r="D169" s="65"/>
      <c r="E169" s="182">
        <v>2038</v>
      </c>
      <c r="F169" s="65"/>
      <c r="G169" s="183" t="s">
        <v>192</v>
      </c>
      <c r="H169" s="183" t="s">
        <v>181</v>
      </c>
      <c r="I169" s="184">
        <v>-2</v>
      </c>
      <c r="J169" s="65"/>
      <c r="K169" s="71">
        <v>1963510.74</v>
      </c>
      <c r="L169" s="185"/>
      <c r="M169" s="73">
        <v>867730</v>
      </c>
      <c r="N169" s="73"/>
      <c r="O169" s="198">
        <f t="shared" si="21"/>
        <v>1135051</v>
      </c>
      <c r="P169" s="73"/>
      <c r="Q169" s="57">
        <f t="shared" si="22"/>
        <v>65028</v>
      </c>
      <c r="S169" s="58">
        <f t="shared" si="23"/>
        <v>3.3118229849865752</v>
      </c>
      <c r="U169" s="186">
        <v>17.5</v>
      </c>
      <c r="V169" s="181"/>
      <c r="W169" s="203">
        <v>17.454804084394414</v>
      </c>
    </row>
    <row r="170" spans="1:23" s="19" customFormat="1">
      <c r="A170" s="64"/>
      <c r="B170" s="65"/>
      <c r="C170" s="70" t="s">
        <v>89</v>
      </c>
      <c r="D170" s="65"/>
      <c r="E170" s="182">
        <v>2038</v>
      </c>
      <c r="F170" s="65"/>
      <c r="G170" s="183" t="s">
        <v>192</v>
      </c>
      <c r="H170" s="183" t="s">
        <v>181</v>
      </c>
      <c r="I170" s="184">
        <v>-2</v>
      </c>
      <c r="J170" s="65"/>
      <c r="K170" s="71">
        <v>4525028.84</v>
      </c>
      <c r="L170" s="185"/>
      <c r="M170" s="73">
        <v>1301455</v>
      </c>
      <c r="N170" s="73"/>
      <c r="O170" s="198">
        <f t="shared" si="21"/>
        <v>3314074</v>
      </c>
      <c r="P170" s="73"/>
      <c r="Q170" s="57">
        <f t="shared" si="22"/>
        <v>185596</v>
      </c>
      <c r="S170" s="58">
        <f t="shared" si="23"/>
        <v>4.1015429196689945</v>
      </c>
      <c r="U170" s="186">
        <v>17.899999999999999</v>
      </c>
      <c r="V170" s="181"/>
      <c r="W170" s="203">
        <v>17.856386991098947</v>
      </c>
    </row>
    <row r="171" spans="1:23" s="19" customFormat="1">
      <c r="A171" s="64"/>
      <c r="B171" s="65"/>
      <c r="C171" s="70" t="s">
        <v>90</v>
      </c>
      <c r="D171" s="65"/>
      <c r="E171" s="182">
        <v>2041</v>
      </c>
      <c r="F171" s="65"/>
      <c r="G171" s="183" t="s">
        <v>192</v>
      </c>
      <c r="H171" s="183" t="s">
        <v>181</v>
      </c>
      <c r="I171" s="184">
        <v>-2</v>
      </c>
      <c r="J171" s="65"/>
      <c r="K171" s="71">
        <v>1285806.3799999999</v>
      </c>
      <c r="L171" s="185"/>
      <c r="M171" s="73">
        <v>479024</v>
      </c>
      <c r="N171" s="73"/>
      <c r="O171" s="198">
        <f t="shared" si="21"/>
        <v>832499</v>
      </c>
      <c r="P171" s="73"/>
      <c r="Q171" s="57">
        <f t="shared" si="22"/>
        <v>41213</v>
      </c>
      <c r="S171" s="58">
        <f t="shared" si="23"/>
        <v>3.2052259687807743</v>
      </c>
      <c r="U171" s="186">
        <v>20.2</v>
      </c>
      <c r="V171" s="181"/>
      <c r="W171" s="203">
        <v>20.199912648921458</v>
      </c>
    </row>
    <row r="172" spans="1:23" s="19" customFormat="1">
      <c r="A172" s="64"/>
      <c r="B172" s="65"/>
      <c r="C172" s="70" t="s">
        <v>91</v>
      </c>
      <c r="D172" s="65"/>
      <c r="E172" s="182">
        <v>2042</v>
      </c>
      <c r="F172" s="65"/>
      <c r="G172" s="183" t="s">
        <v>192</v>
      </c>
      <c r="H172" s="183" t="s">
        <v>181</v>
      </c>
      <c r="I172" s="184">
        <v>-2</v>
      </c>
      <c r="J172" s="65"/>
      <c r="K172" s="71">
        <v>1680579.61</v>
      </c>
      <c r="L172" s="185"/>
      <c r="M172" s="73">
        <v>580668</v>
      </c>
      <c r="N172" s="73"/>
      <c r="O172" s="198">
        <f t="shared" si="21"/>
        <v>1133523</v>
      </c>
      <c r="P172" s="73"/>
      <c r="Q172" s="57">
        <f t="shared" si="22"/>
        <v>53645</v>
      </c>
      <c r="S172" s="58">
        <f t="shared" si="23"/>
        <v>3.1920534844523072</v>
      </c>
      <c r="U172" s="186">
        <v>21.1</v>
      </c>
      <c r="V172" s="181"/>
      <c r="W172" s="203">
        <v>21.130077360425016</v>
      </c>
    </row>
    <row r="173" spans="1:23" s="19" customFormat="1">
      <c r="A173" s="64"/>
      <c r="B173" s="65"/>
      <c r="C173" s="70" t="s">
        <v>102</v>
      </c>
      <c r="D173" s="65"/>
      <c r="E173" s="182">
        <v>2046</v>
      </c>
      <c r="F173" s="65"/>
      <c r="G173" s="183" t="s">
        <v>192</v>
      </c>
      <c r="H173" s="183" t="s">
        <v>181</v>
      </c>
      <c r="I173" s="184">
        <v>-1</v>
      </c>
      <c r="J173" s="65"/>
      <c r="K173" s="71">
        <v>2993753.87</v>
      </c>
      <c r="L173" s="185"/>
      <c r="M173" s="73">
        <v>457130</v>
      </c>
      <c r="N173" s="73"/>
      <c r="O173" s="198">
        <f t="shared" si="21"/>
        <v>2566561</v>
      </c>
      <c r="P173" s="73"/>
      <c r="Q173" s="57">
        <f t="shared" si="22"/>
        <v>101657</v>
      </c>
      <c r="S173" s="58">
        <f t="shared" si="23"/>
        <v>3.3956365290644284</v>
      </c>
      <c r="U173" s="186">
        <v>25.2</v>
      </c>
      <c r="V173" s="181"/>
      <c r="W173" s="203">
        <v>25.247262854500921</v>
      </c>
    </row>
    <row r="174" spans="1:23" s="19" customFormat="1">
      <c r="A174" s="64"/>
      <c r="B174" s="65"/>
      <c r="C174" s="70" t="s">
        <v>92</v>
      </c>
      <c r="D174" s="65"/>
      <c r="E174" s="182">
        <v>2042</v>
      </c>
      <c r="F174" s="65"/>
      <c r="G174" s="183" t="s">
        <v>192</v>
      </c>
      <c r="H174" s="183" t="s">
        <v>181</v>
      </c>
      <c r="I174" s="184">
        <v>-5</v>
      </c>
      <c r="J174" s="65"/>
      <c r="K174" s="71">
        <v>17086.14</v>
      </c>
      <c r="L174" s="185"/>
      <c r="M174" s="73">
        <v>6300</v>
      </c>
      <c r="N174" s="73"/>
      <c r="O174" s="198">
        <f t="shared" si="21"/>
        <v>11640</v>
      </c>
      <c r="P174" s="73"/>
      <c r="Q174" s="57">
        <f t="shared" si="22"/>
        <v>534</v>
      </c>
      <c r="S174" s="58">
        <f t="shared" si="23"/>
        <v>3.1253401880120379</v>
      </c>
      <c r="U174" s="186">
        <v>21.8</v>
      </c>
      <c r="V174" s="181"/>
      <c r="W174" s="203">
        <v>21.797752808988765</v>
      </c>
    </row>
    <row r="175" spans="1:23" s="19" customFormat="1">
      <c r="A175" s="64"/>
      <c r="B175" s="65"/>
      <c r="C175" s="70" t="s">
        <v>93</v>
      </c>
      <c r="D175" s="65"/>
      <c r="E175" s="182">
        <v>2042</v>
      </c>
      <c r="F175" s="65"/>
      <c r="G175" s="183" t="s">
        <v>192</v>
      </c>
      <c r="H175" s="183" t="s">
        <v>181</v>
      </c>
      <c r="I175" s="184">
        <v>-5</v>
      </c>
      <c r="J175" s="65"/>
      <c r="K175" s="71">
        <v>7457690.5700000003</v>
      </c>
      <c r="L175" s="185"/>
      <c r="M175" s="73">
        <v>3646045</v>
      </c>
      <c r="N175" s="73"/>
      <c r="O175" s="198">
        <f t="shared" si="21"/>
        <v>4184530</v>
      </c>
      <c r="P175" s="73"/>
      <c r="Q175" s="57">
        <f t="shared" si="22"/>
        <v>192569</v>
      </c>
      <c r="S175" s="58">
        <f t="shared" si="23"/>
        <v>2.5821532576672723</v>
      </c>
      <c r="U175" s="186">
        <v>21.7</v>
      </c>
      <c r="V175" s="181"/>
      <c r="W175" s="203">
        <v>21.730029236273751</v>
      </c>
    </row>
    <row r="176" spans="1:23" s="19" customFormat="1">
      <c r="A176" s="64"/>
      <c r="B176" s="65"/>
      <c r="C176" s="70" t="s">
        <v>94</v>
      </c>
      <c r="D176" s="65"/>
      <c r="E176" s="182">
        <v>2042</v>
      </c>
      <c r="F176" s="65"/>
      <c r="G176" s="183" t="s">
        <v>192</v>
      </c>
      <c r="H176" s="183" t="s">
        <v>181</v>
      </c>
      <c r="I176" s="184">
        <v>-5</v>
      </c>
      <c r="J176" s="65"/>
      <c r="K176" s="71">
        <v>7457690.5700000003</v>
      </c>
      <c r="L176" s="185"/>
      <c r="M176" s="73">
        <v>3607830</v>
      </c>
      <c r="N176" s="73"/>
      <c r="O176" s="198">
        <f t="shared" si="21"/>
        <v>4222745</v>
      </c>
      <c r="P176" s="73"/>
      <c r="Q176" s="57">
        <f t="shared" si="22"/>
        <v>194328</v>
      </c>
      <c r="S176" s="58">
        <f t="shared" si="23"/>
        <v>2.605739647897459</v>
      </c>
      <c r="U176" s="186">
        <v>21.7</v>
      </c>
      <c r="V176" s="181"/>
      <c r="W176" s="203">
        <v>21.729987443909266</v>
      </c>
    </row>
    <row r="177" spans="1:23" s="19" customFormat="1">
      <c r="A177" s="64"/>
      <c r="B177" s="65"/>
      <c r="C177" s="70" t="s">
        <v>95</v>
      </c>
      <c r="D177" s="65"/>
      <c r="E177" s="182">
        <v>2042</v>
      </c>
      <c r="F177" s="65"/>
      <c r="G177" s="183" t="s">
        <v>192</v>
      </c>
      <c r="H177" s="183" t="s">
        <v>181</v>
      </c>
      <c r="I177" s="184">
        <v>-5</v>
      </c>
      <c r="J177" s="65"/>
      <c r="K177" s="71">
        <v>7457690.5700000003</v>
      </c>
      <c r="L177" s="185"/>
      <c r="M177" s="73">
        <v>3645751</v>
      </c>
      <c r="N177" s="73"/>
      <c r="O177" s="198">
        <f t="shared" si="21"/>
        <v>4184824</v>
      </c>
      <c r="P177" s="73"/>
      <c r="Q177" s="57">
        <f t="shared" si="22"/>
        <v>192583</v>
      </c>
      <c r="S177" s="58">
        <f t="shared" si="23"/>
        <v>2.5823409833427831</v>
      </c>
      <c r="U177" s="186">
        <v>21.7</v>
      </c>
      <c r="V177" s="181"/>
      <c r="W177" s="203">
        <v>21.729976166120583</v>
      </c>
    </row>
    <row r="178" spans="1:23" s="19" customFormat="1">
      <c r="A178" s="64"/>
      <c r="B178" s="65"/>
      <c r="C178" s="70" t="s">
        <v>96</v>
      </c>
      <c r="D178" s="65"/>
      <c r="E178" s="182">
        <v>2042</v>
      </c>
      <c r="F178" s="65"/>
      <c r="G178" s="183" t="s">
        <v>192</v>
      </c>
      <c r="H178" s="183" t="s">
        <v>181</v>
      </c>
      <c r="I178" s="184">
        <v>-1</v>
      </c>
      <c r="J178" s="65"/>
      <c r="K178" s="75">
        <v>15810305.550000001</v>
      </c>
      <c r="L178" s="185"/>
      <c r="M178" s="77">
        <v>1428297</v>
      </c>
      <c r="N178" s="73"/>
      <c r="O178" s="205">
        <f t="shared" si="21"/>
        <v>14540112</v>
      </c>
      <c r="P178" s="73"/>
      <c r="Q178" s="62">
        <f t="shared" si="22"/>
        <v>665756</v>
      </c>
      <c r="S178" s="58">
        <f t="shared" si="23"/>
        <v>4.2108990107404969</v>
      </c>
      <c r="U178" s="186">
        <v>21.8</v>
      </c>
      <c r="V178" s="181"/>
      <c r="W178" s="203">
        <v>21.840001441969729</v>
      </c>
    </row>
    <row r="179" spans="1:23" s="19" customFormat="1">
      <c r="A179" s="64"/>
      <c r="B179" s="65"/>
      <c r="C179" s="78"/>
      <c r="D179" s="65"/>
      <c r="E179" s="65"/>
      <c r="F179" s="65"/>
      <c r="G179" s="183"/>
      <c r="H179" s="183"/>
      <c r="I179" s="184"/>
      <c r="J179" s="65"/>
      <c r="K179" s="71"/>
      <c r="L179" s="185"/>
      <c r="M179" s="73"/>
      <c r="N179" s="73"/>
      <c r="O179" s="73"/>
      <c r="P179" s="73"/>
      <c r="Q179" s="73"/>
      <c r="S179" s="74"/>
      <c r="U179" s="186"/>
      <c r="V179" s="181"/>
      <c r="W179" s="203"/>
    </row>
    <row r="180" spans="1:23" s="19" customFormat="1">
      <c r="A180" s="64"/>
      <c r="B180" s="65"/>
      <c r="C180" s="78" t="s">
        <v>103</v>
      </c>
      <c r="D180" s="65"/>
      <c r="E180" s="65"/>
      <c r="F180" s="65"/>
      <c r="G180" s="183"/>
      <c r="H180" s="183"/>
      <c r="I180" s="184"/>
      <c r="J180" s="65"/>
      <c r="K180" s="71">
        <f>SUBTOTAL(9,K158:K179)</f>
        <v>104582841.48999999</v>
      </c>
      <c r="L180" s="185"/>
      <c r="M180" s="73">
        <f>SUBTOTAL(9,M158:M179)</f>
        <v>39415445</v>
      </c>
      <c r="N180" s="73"/>
      <c r="O180" s="73">
        <f>SUBTOTAL(9,O158:O179)</f>
        <v>68795575</v>
      </c>
      <c r="P180" s="73"/>
      <c r="Q180" s="73">
        <f>SUBTOTAL(9,Q158:Q179)</f>
        <v>3327688</v>
      </c>
      <c r="S180" s="74">
        <f>+ROUND(Q180/K180*100,2)</f>
        <v>3.18</v>
      </c>
      <c r="U180" s="186"/>
      <c r="V180" s="181"/>
      <c r="W180" s="203"/>
    </row>
    <row r="181" spans="1:23" s="19" customFormat="1">
      <c r="A181" s="64"/>
      <c r="B181" s="65"/>
      <c r="C181" s="78"/>
      <c r="D181" s="65"/>
      <c r="E181" s="65"/>
      <c r="F181" s="65"/>
      <c r="G181" s="183"/>
      <c r="H181" s="183"/>
      <c r="I181" s="184"/>
      <c r="J181" s="65"/>
      <c r="K181" s="71"/>
      <c r="L181" s="185"/>
      <c r="M181" s="73"/>
      <c r="N181" s="73"/>
      <c r="O181" s="73"/>
      <c r="P181" s="73"/>
      <c r="Q181" s="73"/>
      <c r="S181" s="74"/>
      <c r="U181" s="186"/>
      <c r="V181" s="181"/>
      <c r="W181" s="203"/>
    </row>
    <row r="182" spans="1:23" s="19" customFormat="1">
      <c r="A182" s="64">
        <v>345</v>
      </c>
      <c r="B182" s="65"/>
      <c r="C182" s="65" t="s">
        <v>71</v>
      </c>
      <c r="D182" s="65"/>
      <c r="E182" s="65"/>
      <c r="F182" s="65"/>
      <c r="G182" s="65"/>
      <c r="H182" s="65"/>
      <c r="I182" s="179"/>
      <c r="J182" s="65"/>
      <c r="K182" s="65"/>
      <c r="L182" s="65"/>
      <c r="M182" s="67"/>
      <c r="N182" s="67"/>
      <c r="O182" s="67"/>
      <c r="P182" s="67"/>
      <c r="Q182" s="67"/>
      <c r="S182" s="68"/>
      <c r="U182" s="180"/>
      <c r="V182" s="181"/>
      <c r="W182" s="203"/>
    </row>
    <row r="183" spans="1:23" s="19" customFormat="1">
      <c r="A183" s="64"/>
      <c r="B183" s="65"/>
      <c r="C183" s="70" t="s">
        <v>77</v>
      </c>
      <c r="D183" s="65"/>
      <c r="E183" s="182">
        <v>2050</v>
      </c>
      <c r="F183" s="65"/>
      <c r="G183" s="183" t="s">
        <v>192</v>
      </c>
      <c r="H183" s="183" t="s">
        <v>181</v>
      </c>
      <c r="I183" s="184">
        <v>-3</v>
      </c>
      <c r="J183" s="65"/>
      <c r="K183" s="71">
        <v>9876096.8200000003</v>
      </c>
      <c r="L183" s="185"/>
      <c r="M183" s="73">
        <v>4171972</v>
      </c>
      <c r="N183" s="73"/>
      <c r="O183" s="198">
        <f t="shared" ref="O183:O202" si="24">ROUND((K183+(K183*-(I183/100)))-M183,0)</f>
        <v>6000408</v>
      </c>
      <c r="P183" s="73"/>
      <c r="Q183" s="57">
        <f t="shared" ref="Q183:Q202" si="25">O183/W183</f>
        <v>228225</v>
      </c>
      <c r="S183" s="58">
        <f t="shared" ref="S183:S202" si="26">Q183/K183*100</f>
        <v>2.3108825699017395</v>
      </c>
      <c r="U183" s="186">
        <v>26.3</v>
      </c>
      <c r="V183" s="181"/>
      <c r="W183" s="203">
        <v>26.291633256654617</v>
      </c>
    </row>
    <row r="184" spans="1:23" s="19" customFormat="1">
      <c r="A184" s="64"/>
      <c r="B184" s="65"/>
      <c r="C184" s="70" t="s">
        <v>78</v>
      </c>
      <c r="D184" s="65"/>
      <c r="E184" s="182">
        <v>2034</v>
      </c>
      <c r="F184" s="65"/>
      <c r="G184" s="183" t="s">
        <v>192</v>
      </c>
      <c r="H184" s="183" t="s">
        <v>181</v>
      </c>
      <c r="I184" s="184">
        <v>-4</v>
      </c>
      <c r="J184" s="65"/>
      <c r="K184" s="71">
        <v>1039394.43</v>
      </c>
      <c r="L184" s="185"/>
      <c r="M184" s="73">
        <v>608799</v>
      </c>
      <c r="N184" s="73"/>
      <c r="O184" s="198">
        <f t="shared" si="24"/>
        <v>472171</v>
      </c>
      <c r="P184" s="73"/>
      <c r="Q184" s="57">
        <f t="shared" si="25"/>
        <v>34465</v>
      </c>
      <c r="S184" s="58">
        <f t="shared" si="26"/>
        <v>3.3158730704377546</v>
      </c>
      <c r="U184" s="186">
        <v>13.7</v>
      </c>
      <c r="V184" s="181"/>
      <c r="W184" s="203">
        <v>13.700014507471348</v>
      </c>
    </row>
    <row r="185" spans="1:23" s="19" customFormat="1">
      <c r="A185" s="64"/>
      <c r="B185" s="65"/>
      <c r="C185" s="70" t="s">
        <v>79</v>
      </c>
      <c r="D185" s="65"/>
      <c r="E185" s="182">
        <v>2034</v>
      </c>
      <c r="F185" s="65"/>
      <c r="G185" s="183" t="s">
        <v>192</v>
      </c>
      <c r="H185" s="183" t="s">
        <v>181</v>
      </c>
      <c r="I185" s="184">
        <v>-4</v>
      </c>
      <c r="J185" s="65"/>
      <c r="K185" s="71">
        <v>1039395.53</v>
      </c>
      <c r="L185" s="185"/>
      <c r="M185" s="73">
        <v>616956</v>
      </c>
      <c r="N185" s="73"/>
      <c r="O185" s="198">
        <f t="shared" si="24"/>
        <v>464015</v>
      </c>
      <c r="P185" s="73"/>
      <c r="Q185" s="57">
        <f t="shared" si="25"/>
        <v>33870</v>
      </c>
      <c r="S185" s="58">
        <f t="shared" si="26"/>
        <v>3.2586247508684205</v>
      </c>
      <c r="U185" s="186">
        <v>13.7</v>
      </c>
      <c r="V185" s="181"/>
      <c r="W185" s="203">
        <v>13.699881901387659</v>
      </c>
    </row>
    <row r="186" spans="1:23" s="19" customFormat="1">
      <c r="A186" s="64"/>
      <c r="B186" s="65"/>
      <c r="C186" s="70" t="s">
        <v>80</v>
      </c>
      <c r="D186" s="65"/>
      <c r="E186" s="182">
        <v>2034</v>
      </c>
      <c r="F186" s="65"/>
      <c r="G186" s="183" t="s">
        <v>192</v>
      </c>
      <c r="H186" s="183" t="s">
        <v>181</v>
      </c>
      <c r="I186" s="184">
        <v>-4</v>
      </c>
      <c r="J186" s="65"/>
      <c r="K186" s="71">
        <v>1039395.53</v>
      </c>
      <c r="L186" s="185"/>
      <c r="M186" s="73">
        <v>613009</v>
      </c>
      <c r="N186" s="73"/>
      <c r="O186" s="198">
        <f t="shared" si="24"/>
        <v>467962</v>
      </c>
      <c r="P186" s="73"/>
      <c r="Q186" s="57">
        <f t="shared" si="25"/>
        <v>34158</v>
      </c>
      <c r="S186" s="58">
        <f t="shared" si="26"/>
        <v>3.2863331632761588</v>
      </c>
      <c r="U186" s="186">
        <v>13.7</v>
      </c>
      <c r="V186" s="181"/>
      <c r="W186" s="203">
        <v>13.699923883131332</v>
      </c>
    </row>
    <row r="187" spans="1:23" s="19" customFormat="1">
      <c r="A187" s="64"/>
      <c r="B187" s="65"/>
      <c r="C187" s="70" t="s">
        <v>81</v>
      </c>
      <c r="D187" s="65"/>
      <c r="E187" s="182">
        <v>2041</v>
      </c>
      <c r="F187" s="65"/>
      <c r="G187" s="183" t="s">
        <v>192</v>
      </c>
      <c r="H187" s="183" t="s">
        <v>181</v>
      </c>
      <c r="I187" s="184">
        <v>-4</v>
      </c>
      <c r="J187" s="65"/>
      <c r="K187" s="71">
        <v>993996.86</v>
      </c>
      <c r="L187" s="185"/>
      <c r="M187" s="73">
        <v>470616</v>
      </c>
      <c r="N187" s="73"/>
      <c r="O187" s="198">
        <f t="shared" si="24"/>
        <v>563141</v>
      </c>
      <c r="P187" s="73"/>
      <c r="Q187" s="57">
        <f t="shared" si="25"/>
        <v>28629</v>
      </c>
      <c r="S187" s="58">
        <f t="shared" si="26"/>
        <v>2.8801901849066205</v>
      </c>
      <c r="U187" s="186">
        <v>19.7</v>
      </c>
      <c r="V187" s="181"/>
      <c r="W187" s="203">
        <v>19.670299346816165</v>
      </c>
    </row>
    <row r="188" spans="1:23" s="19" customFormat="1">
      <c r="A188" s="64"/>
      <c r="B188" s="65"/>
      <c r="C188" s="70" t="s">
        <v>82</v>
      </c>
      <c r="D188" s="65"/>
      <c r="E188" s="182">
        <v>2041</v>
      </c>
      <c r="F188" s="65"/>
      <c r="G188" s="183" t="s">
        <v>192</v>
      </c>
      <c r="H188" s="183" t="s">
        <v>181</v>
      </c>
      <c r="I188" s="184">
        <v>-4</v>
      </c>
      <c r="J188" s="65"/>
      <c r="K188" s="71">
        <v>993996.86</v>
      </c>
      <c r="L188" s="185"/>
      <c r="M188" s="73">
        <v>468711</v>
      </c>
      <c r="N188" s="73"/>
      <c r="O188" s="198">
        <f t="shared" si="24"/>
        <v>565046</v>
      </c>
      <c r="P188" s="73"/>
      <c r="Q188" s="57">
        <f t="shared" si="25"/>
        <v>28726</v>
      </c>
      <c r="S188" s="58">
        <f t="shared" si="26"/>
        <v>2.8899487670413766</v>
      </c>
      <c r="U188" s="186">
        <v>19.7</v>
      </c>
      <c r="V188" s="181"/>
      <c r="W188" s="203">
        <v>19.670194249112303</v>
      </c>
    </row>
    <row r="189" spans="1:23" s="19" customFormat="1">
      <c r="A189" s="64"/>
      <c r="B189" s="65"/>
      <c r="C189" s="70" t="s">
        <v>83</v>
      </c>
      <c r="D189" s="65"/>
      <c r="E189" s="182">
        <v>2045</v>
      </c>
      <c r="F189" s="65"/>
      <c r="G189" s="183" t="s">
        <v>192</v>
      </c>
      <c r="H189" s="183" t="s">
        <v>181</v>
      </c>
      <c r="I189" s="184">
        <v>-4</v>
      </c>
      <c r="J189" s="65"/>
      <c r="K189" s="71">
        <v>1251472.92</v>
      </c>
      <c r="L189" s="185"/>
      <c r="M189" s="73">
        <v>457774</v>
      </c>
      <c r="N189" s="73"/>
      <c r="O189" s="198">
        <f t="shared" si="24"/>
        <v>843758</v>
      </c>
      <c r="P189" s="73"/>
      <c r="Q189" s="57">
        <f t="shared" si="25"/>
        <v>36166</v>
      </c>
      <c r="S189" s="58">
        <f t="shared" si="26"/>
        <v>2.8898747565388789</v>
      </c>
      <c r="U189" s="186">
        <v>23.3</v>
      </c>
      <c r="V189" s="181"/>
      <c r="W189" s="203">
        <v>23.330144334457778</v>
      </c>
    </row>
    <row r="190" spans="1:23" s="19" customFormat="1">
      <c r="A190" s="64"/>
      <c r="B190" s="65"/>
      <c r="C190" s="70" t="s">
        <v>84</v>
      </c>
      <c r="D190" s="65"/>
      <c r="E190" s="182">
        <v>2045</v>
      </c>
      <c r="F190" s="65"/>
      <c r="G190" s="183" t="s">
        <v>192</v>
      </c>
      <c r="H190" s="183" t="s">
        <v>181</v>
      </c>
      <c r="I190" s="184">
        <v>-4</v>
      </c>
      <c r="J190" s="65"/>
      <c r="K190" s="71">
        <v>1220275.5900000001</v>
      </c>
      <c r="L190" s="185"/>
      <c r="M190" s="73">
        <v>446353</v>
      </c>
      <c r="N190" s="73"/>
      <c r="O190" s="198">
        <f t="shared" si="24"/>
        <v>822734</v>
      </c>
      <c r="P190" s="73"/>
      <c r="Q190" s="57">
        <f t="shared" si="25"/>
        <v>35265</v>
      </c>
      <c r="S190" s="58">
        <f t="shared" si="26"/>
        <v>2.8899209562980768</v>
      </c>
      <c r="U190" s="186">
        <v>23.3</v>
      </c>
      <c r="V190" s="181"/>
      <c r="W190" s="203">
        <v>23.330043952927831</v>
      </c>
    </row>
    <row r="191" spans="1:23" s="19" customFormat="1">
      <c r="A191" s="64"/>
      <c r="B191" s="65"/>
      <c r="C191" s="70" t="s">
        <v>85</v>
      </c>
      <c r="D191" s="65"/>
      <c r="E191" s="182">
        <v>2050</v>
      </c>
      <c r="F191" s="65"/>
      <c r="G191" s="183" t="s">
        <v>192</v>
      </c>
      <c r="H191" s="183" t="s">
        <v>181</v>
      </c>
      <c r="I191" s="184">
        <v>-4</v>
      </c>
      <c r="J191" s="65"/>
      <c r="K191" s="71">
        <v>12040203.140000001</v>
      </c>
      <c r="L191" s="185"/>
      <c r="M191" s="73">
        <v>2290836</v>
      </c>
      <c r="N191" s="73"/>
      <c r="O191" s="198">
        <f t="shared" si="24"/>
        <v>10230975</v>
      </c>
      <c r="P191" s="73"/>
      <c r="Q191" s="57">
        <f t="shared" si="25"/>
        <v>365915</v>
      </c>
      <c r="S191" s="58">
        <f t="shared" si="26"/>
        <v>3.0391098534239513</v>
      </c>
      <c r="U191" s="186">
        <v>28</v>
      </c>
      <c r="V191" s="181"/>
      <c r="W191" s="203">
        <v>27.95997704384898</v>
      </c>
    </row>
    <row r="192" spans="1:23" s="19" customFormat="1">
      <c r="A192" s="64"/>
      <c r="B192" s="65"/>
      <c r="C192" s="70" t="s">
        <v>86</v>
      </c>
      <c r="D192" s="65"/>
      <c r="E192" s="182">
        <v>2050</v>
      </c>
      <c r="F192" s="65"/>
      <c r="G192" s="183" t="s">
        <v>192</v>
      </c>
      <c r="H192" s="183" t="s">
        <v>181</v>
      </c>
      <c r="I192" s="184">
        <v>-4</v>
      </c>
      <c r="J192" s="65"/>
      <c r="K192" s="71">
        <v>1879693.27</v>
      </c>
      <c r="L192" s="185"/>
      <c r="M192" s="73">
        <v>478322</v>
      </c>
      <c r="N192" s="73"/>
      <c r="O192" s="198">
        <f t="shared" si="24"/>
        <v>1476559</v>
      </c>
      <c r="P192" s="73"/>
      <c r="Q192" s="57">
        <f t="shared" si="25"/>
        <v>52810</v>
      </c>
      <c r="S192" s="58">
        <f t="shared" si="26"/>
        <v>2.8095009352243943</v>
      </c>
      <c r="U192" s="186">
        <v>28</v>
      </c>
      <c r="V192" s="181"/>
      <c r="W192" s="203">
        <v>27.959837152054536</v>
      </c>
    </row>
    <row r="193" spans="1:23" s="19" customFormat="1">
      <c r="A193" s="64"/>
      <c r="B193" s="65"/>
      <c r="C193" s="70" t="s">
        <v>87</v>
      </c>
      <c r="D193" s="65"/>
      <c r="E193" s="182">
        <v>2038</v>
      </c>
      <c r="F193" s="65"/>
      <c r="G193" s="183" t="s">
        <v>192</v>
      </c>
      <c r="H193" s="183" t="s">
        <v>181</v>
      </c>
      <c r="I193" s="184">
        <v>-2</v>
      </c>
      <c r="J193" s="65"/>
      <c r="K193" s="71">
        <v>344891.29</v>
      </c>
      <c r="L193" s="185"/>
      <c r="M193" s="73">
        <v>150379</v>
      </c>
      <c r="N193" s="73"/>
      <c r="O193" s="198">
        <f t="shared" si="24"/>
        <v>201410</v>
      </c>
      <c r="P193" s="73"/>
      <c r="Q193" s="57">
        <f t="shared" si="25"/>
        <v>11575</v>
      </c>
      <c r="S193" s="58">
        <f t="shared" si="26"/>
        <v>3.3561299851904063</v>
      </c>
      <c r="U193" s="186">
        <v>17.399999999999999</v>
      </c>
      <c r="V193" s="181"/>
      <c r="W193" s="203">
        <v>17.400431965442763</v>
      </c>
    </row>
    <row r="194" spans="1:23" s="19" customFormat="1">
      <c r="A194" s="64"/>
      <c r="B194" s="65"/>
      <c r="C194" s="70" t="s">
        <v>88</v>
      </c>
      <c r="D194" s="65"/>
      <c r="E194" s="182">
        <v>2038</v>
      </c>
      <c r="F194" s="65"/>
      <c r="G194" s="183" t="s">
        <v>192</v>
      </c>
      <c r="H194" s="183" t="s">
        <v>181</v>
      </c>
      <c r="I194" s="184">
        <v>-2</v>
      </c>
      <c r="J194" s="65"/>
      <c r="K194" s="71">
        <v>386164.65</v>
      </c>
      <c r="L194" s="185"/>
      <c r="M194" s="73">
        <v>168375</v>
      </c>
      <c r="N194" s="73"/>
      <c r="O194" s="198">
        <f t="shared" si="24"/>
        <v>225513</v>
      </c>
      <c r="P194" s="73"/>
      <c r="Q194" s="57">
        <f t="shared" si="25"/>
        <v>12961</v>
      </c>
      <c r="S194" s="58">
        <f t="shared" si="26"/>
        <v>3.3563403589634624</v>
      </c>
      <c r="U194" s="186">
        <v>17.399999999999999</v>
      </c>
      <c r="V194" s="181"/>
      <c r="W194" s="203">
        <v>17.399351901859426</v>
      </c>
    </row>
    <row r="195" spans="1:23" s="19" customFormat="1">
      <c r="A195" s="64"/>
      <c r="B195" s="65"/>
      <c r="C195" s="70" t="s">
        <v>89</v>
      </c>
      <c r="D195" s="65"/>
      <c r="E195" s="182">
        <v>2038</v>
      </c>
      <c r="F195" s="65"/>
      <c r="G195" s="183" t="s">
        <v>192</v>
      </c>
      <c r="H195" s="183" t="s">
        <v>181</v>
      </c>
      <c r="I195" s="184">
        <v>-2</v>
      </c>
      <c r="J195" s="65"/>
      <c r="K195" s="71">
        <v>357452.26</v>
      </c>
      <c r="L195" s="185"/>
      <c r="M195" s="73">
        <v>155856</v>
      </c>
      <c r="N195" s="73"/>
      <c r="O195" s="198">
        <f t="shared" si="24"/>
        <v>208745</v>
      </c>
      <c r="P195" s="73"/>
      <c r="Q195" s="57">
        <f t="shared" si="25"/>
        <v>11997</v>
      </c>
      <c r="S195" s="58">
        <f t="shared" si="26"/>
        <v>3.3562523845841676</v>
      </c>
      <c r="U195" s="186">
        <v>17.399999999999999</v>
      </c>
      <c r="V195" s="181"/>
      <c r="W195" s="203">
        <v>17.399766608318746</v>
      </c>
    </row>
    <row r="196" spans="1:23" s="19" customFormat="1">
      <c r="A196" s="64"/>
      <c r="B196" s="65"/>
      <c r="C196" s="70" t="s">
        <v>90</v>
      </c>
      <c r="D196" s="65"/>
      <c r="E196" s="182">
        <v>2041</v>
      </c>
      <c r="F196" s="65"/>
      <c r="G196" s="183" t="s">
        <v>192</v>
      </c>
      <c r="H196" s="183" t="s">
        <v>181</v>
      </c>
      <c r="I196" s="184">
        <v>-2</v>
      </c>
      <c r="J196" s="65"/>
      <c r="K196" s="71">
        <v>452676.95</v>
      </c>
      <c r="L196" s="185"/>
      <c r="M196" s="73">
        <v>161993</v>
      </c>
      <c r="N196" s="73"/>
      <c r="O196" s="198">
        <f t="shared" si="24"/>
        <v>299737</v>
      </c>
      <c r="P196" s="73"/>
      <c r="Q196" s="57">
        <f t="shared" si="25"/>
        <v>14838</v>
      </c>
      <c r="S196" s="58">
        <f t="shared" si="26"/>
        <v>3.2778342259308766</v>
      </c>
      <c r="U196" s="186">
        <v>20.2</v>
      </c>
      <c r="V196" s="181"/>
      <c r="W196" s="203">
        <v>20.200633508559104</v>
      </c>
    </row>
    <row r="197" spans="1:23" s="19" customFormat="1">
      <c r="A197" s="64"/>
      <c r="B197" s="65"/>
      <c r="C197" s="70" t="s">
        <v>91</v>
      </c>
      <c r="D197" s="65"/>
      <c r="E197" s="182">
        <v>2042</v>
      </c>
      <c r="F197" s="65"/>
      <c r="G197" s="183" t="s">
        <v>192</v>
      </c>
      <c r="H197" s="183" t="s">
        <v>181</v>
      </c>
      <c r="I197" s="184">
        <v>-2</v>
      </c>
      <c r="J197" s="65"/>
      <c r="K197" s="71">
        <v>406784.25</v>
      </c>
      <c r="L197" s="185"/>
      <c r="M197" s="73">
        <v>135008</v>
      </c>
      <c r="N197" s="73"/>
      <c r="O197" s="198">
        <f t="shared" si="24"/>
        <v>279912</v>
      </c>
      <c r="P197" s="73"/>
      <c r="Q197" s="57">
        <f t="shared" si="25"/>
        <v>13247</v>
      </c>
      <c r="S197" s="58">
        <f t="shared" si="26"/>
        <v>3.2565174290794197</v>
      </c>
      <c r="U197" s="186">
        <v>21.1</v>
      </c>
      <c r="V197" s="181"/>
      <c r="W197" s="203">
        <v>21.130218162602855</v>
      </c>
    </row>
    <row r="198" spans="1:23" s="19" customFormat="1">
      <c r="A198" s="64"/>
      <c r="B198" s="65"/>
      <c r="C198" s="70" t="s">
        <v>92</v>
      </c>
      <c r="D198" s="65"/>
      <c r="E198" s="182">
        <v>2042</v>
      </c>
      <c r="F198" s="65"/>
      <c r="G198" s="183" t="s">
        <v>192</v>
      </c>
      <c r="H198" s="183" t="s">
        <v>181</v>
      </c>
      <c r="I198" s="184">
        <v>-5</v>
      </c>
      <c r="J198" s="65"/>
      <c r="K198" s="71">
        <v>3028262.11</v>
      </c>
      <c r="L198" s="185"/>
      <c r="M198" s="73">
        <v>1323010</v>
      </c>
      <c r="N198" s="73"/>
      <c r="O198" s="198">
        <f t="shared" si="24"/>
        <v>1856665</v>
      </c>
      <c r="P198" s="73"/>
      <c r="Q198" s="57">
        <f t="shared" si="25"/>
        <v>85436</v>
      </c>
      <c r="S198" s="58">
        <f t="shared" si="26"/>
        <v>2.8212881480064489</v>
      </c>
      <c r="U198" s="186">
        <v>21.7</v>
      </c>
      <c r="V198" s="181"/>
      <c r="W198" s="203">
        <v>21.731647080855847</v>
      </c>
    </row>
    <row r="199" spans="1:23" s="19" customFormat="1">
      <c r="A199" s="64"/>
      <c r="B199" s="65"/>
      <c r="C199" s="70" t="s">
        <v>93</v>
      </c>
      <c r="D199" s="65"/>
      <c r="E199" s="182">
        <v>2042</v>
      </c>
      <c r="F199" s="65"/>
      <c r="G199" s="183" t="s">
        <v>192</v>
      </c>
      <c r="H199" s="183" t="s">
        <v>181</v>
      </c>
      <c r="I199" s="184">
        <v>-5</v>
      </c>
      <c r="J199" s="65"/>
      <c r="K199" s="71">
        <v>386034.41</v>
      </c>
      <c r="L199" s="185"/>
      <c r="M199" s="73">
        <v>181290</v>
      </c>
      <c r="N199" s="73"/>
      <c r="O199" s="198">
        <f t="shared" si="24"/>
        <v>224046</v>
      </c>
      <c r="P199" s="73"/>
      <c r="Q199" s="57">
        <f t="shared" si="25"/>
        <v>10310</v>
      </c>
      <c r="S199" s="58">
        <f t="shared" si="26"/>
        <v>2.6707463720656408</v>
      </c>
      <c r="U199" s="186">
        <v>21.7</v>
      </c>
      <c r="V199" s="181"/>
      <c r="W199" s="203">
        <v>21.730940834141609</v>
      </c>
    </row>
    <row r="200" spans="1:23" s="19" customFormat="1">
      <c r="A200" s="64"/>
      <c r="B200" s="65"/>
      <c r="C200" s="70" t="s">
        <v>94</v>
      </c>
      <c r="D200" s="65"/>
      <c r="E200" s="182">
        <v>2042</v>
      </c>
      <c r="F200" s="65"/>
      <c r="G200" s="183" t="s">
        <v>192</v>
      </c>
      <c r="H200" s="183" t="s">
        <v>181</v>
      </c>
      <c r="I200" s="184">
        <v>-5</v>
      </c>
      <c r="J200" s="65"/>
      <c r="K200" s="71">
        <v>386034.41</v>
      </c>
      <c r="L200" s="185"/>
      <c r="M200" s="73">
        <v>179389</v>
      </c>
      <c r="N200" s="73"/>
      <c r="O200" s="198">
        <f t="shared" si="24"/>
        <v>225947</v>
      </c>
      <c r="P200" s="73"/>
      <c r="Q200" s="57">
        <f t="shared" si="25"/>
        <v>10398</v>
      </c>
      <c r="S200" s="58">
        <f t="shared" si="26"/>
        <v>2.6935422673849208</v>
      </c>
      <c r="U200" s="186">
        <v>21.7</v>
      </c>
      <c r="V200" s="181"/>
      <c r="W200" s="203">
        <v>21.729851894595114</v>
      </c>
    </row>
    <row r="201" spans="1:23" s="19" customFormat="1">
      <c r="A201" s="64"/>
      <c r="B201" s="65"/>
      <c r="C201" s="70" t="s">
        <v>95</v>
      </c>
      <c r="D201" s="65"/>
      <c r="E201" s="182">
        <v>2042</v>
      </c>
      <c r="F201" s="65"/>
      <c r="G201" s="183" t="s">
        <v>192</v>
      </c>
      <c r="H201" s="183" t="s">
        <v>181</v>
      </c>
      <c r="I201" s="184">
        <v>-5</v>
      </c>
      <c r="J201" s="65"/>
      <c r="K201" s="71">
        <v>386034.41</v>
      </c>
      <c r="L201" s="185"/>
      <c r="M201" s="73">
        <v>181275</v>
      </c>
      <c r="N201" s="73"/>
      <c r="O201" s="198">
        <f t="shared" si="24"/>
        <v>224061</v>
      </c>
      <c r="P201" s="73"/>
      <c r="Q201" s="57">
        <f t="shared" si="25"/>
        <v>10311</v>
      </c>
      <c r="S201" s="58">
        <f t="shared" si="26"/>
        <v>2.6710054163306323</v>
      </c>
      <c r="U201" s="186">
        <v>21.7</v>
      </c>
      <c r="V201" s="181"/>
      <c r="W201" s="203">
        <v>21.730288041897005</v>
      </c>
    </row>
    <row r="202" spans="1:23" s="19" customFormat="1">
      <c r="A202" s="64"/>
      <c r="B202" s="65"/>
      <c r="C202" s="70" t="s">
        <v>96</v>
      </c>
      <c r="D202" s="65"/>
      <c r="E202" s="182">
        <v>2042</v>
      </c>
      <c r="F202" s="65"/>
      <c r="G202" s="183" t="s">
        <v>192</v>
      </c>
      <c r="H202" s="183" t="s">
        <v>181</v>
      </c>
      <c r="I202" s="184">
        <v>-1</v>
      </c>
      <c r="J202" s="65"/>
      <c r="K202" s="75">
        <v>779800</v>
      </c>
      <c r="L202" s="185"/>
      <c r="M202" s="77">
        <v>67669</v>
      </c>
      <c r="N202" s="73"/>
      <c r="O202" s="205">
        <f t="shared" si="24"/>
        <v>719929</v>
      </c>
      <c r="P202" s="73"/>
      <c r="Q202" s="62">
        <f t="shared" si="25"/>
        <v>32964</v>
      </c>
      <c r="S202" s="58">
        <f t="shared" si="26"/>
        <v>4.22723775327007</v>
      </c>
      <c r="U202" s="186">
        <v>21.8</v>
      </c>
      <c r="V202" s="181"/>
      <c r="W202" s="203">
        <v>21.839855600048537</v>
      </c>
    </row>
    <row r="203" spans="1:23" s="19" customFormat="1">
      <c r="A203" s="64"/>
      <c r="B203" s="65"/>
      <c r="C203" s="78"/>
      <c r="D203" s="65"/>
      <c r="E203" s="65"/>
      <c r="F203" s="65"/>
      <c r="G203" s="183"/>
      <c r="H203" s="183"/>
      <c r="I203" s="184"/>
      <c r="J203" s="65"/>
      <c r="K203" s="71"/>
      <c r="L203" s="185"/>
      <c r="M203" s="73"/>
      <c r="N203" s="73"/>
      <c r="O203" s="73"/>
      <c r="P203" s="73"/>
      <c r="Q203" s="73"/>
      <c r="S203" s="74"/>
      <c r="U203" s="186"/>
      <c r="V203" s="181"/>
      <c r="W203" s="203"/>
    </row>
    <row r="204" spans="1:23" s="19" customFormat="1">
      <c r="A204" s="64"/>
      <c r="B204" s="65"/>
      <c r="C204" s="78" t="s">
        <v>72</v>
      </c>
      <c r="D204" s="65"/>
      <c r="E204" s="65"/>
      <c r="F204" s="65"/>
      <c r="G204" s="183"/>
      <c r="H204" s="183"/>
      <c r="I204" s="184"/>
      <c r="J204" s="65"/>
      <c r="K204" s="71">
        <f>SUBTOTAL(9,K183:K203)</f>
        <v>38288055.68999999</v>
      </c>
      <c r="L204" s="185"/>
      <c r="M204" s="73">
        <f>SUBTOTAL(9,M183:M203)</f>
        <v>13327592</v>
      </c>
      <c r="N204" s="73"/>
      <c r="O204" s="73">
        <f>SUBTOTAL(9,O183:O203)</f>
        <v>26372734</v>
      </c>
      <c r="P204" s="73"/>
      <c r="Q204" s="73">
        <f>SUBTOTAL(9,Q183:Q203)</f>
        <v>1092266</v>
      </c>
      <c r="S204" s="74">
        <f>+ROUND(Q204/K204*100,2)</f>
        <v>2.85</v>
      </c>
      <c r="U204" s="186"/>
      <c r="V204" s="181"/>
      <c r="W204" s="203"/>
    </row>
    <row r="205" spans="1:23" s="19" customFormat="1">
      <c r="A205" s="64"/>
      <c r="B205" s="65"/>
      <c r="C205" s="78"/>
      <c r="D205" s="65"/>
      <c r="E205" s="65"/>
      <c r="F205" s="65"/>
      <c r="G205" s="183"/>
      <c r="H205" s="183"/>
      <c r="I205" s="184"/>
      <c r="J205" s="65"/>
      <c r="K205" s="71"/>
      <c r="L205" s="185"/>
      <c r="M205" s="73"/>
      <c r="N205" s="73"/>
      <c r="O205" s="73"/>
      <c r="P205" s="73"/>
      <c r="Q205" s="73"/>
      <c r="S205" s="74"/>
      <c r="U205" s="186"/>
      <c r="V205" s="181"/>
      <c r="W205" s="203"/>
    </row>
    <row r="206" spans="1:23" s="19" customFormat="1">
      <c r="A206" s="64">
        <v>346</v>
      </c>
      <c r="B206" s="65"/>
      <c r="C206" s="65" t="s">
        <v>73</v>
      </c>
      <c r="D206" s="65"/>
      <c r="E206" s="65"/>
      <c r="F206" s="65"/>
      <c r="G206" s="65"/>
      <c r="H206" s="65"/>
      <c r="I206" s="179"/>
      <c r="J206" s="65"/>
      <c r="K206" s="65"/>
      <c r="L206" s="65"/>
      <c r="M206" s="67"/>
      <c r="N206" s="67"/>
      <c r="O206" s="67"/>
      <c r="P206" s="67"/>
      <c r="Q206" s="67"/>
      <c r="S206" s="68"/>
      <c r="U206" s="180"/>
      <c r="V206" s="181"/>
      <c r="W206" s="203"/>
    </row>
    <row r="207" spans="1:23" s="19" customFormat="1">
      <c r="A207" s="64"/>
      <c r="B207" s="65"/>
      <c r="C207" s="70" t="s">
        <v>77</v>
      </c>
      <c r="D207" s="65"/>
      <c r="E207" s="182">
        <v>2050</v>
      </c>
      <c r="F207" s="65"/>
      <c r="G207" s="183" t="s">
        <v>193</v>
      </c>
      <c r="H207" s="183" t="s">
        <v>181</v>
      </c>
      <c r="I207" s="184">
        <v>-3</v>
      </c>
      <c r="J207" s="65"/>
      <c r="K207" s="71">
        <v>15528635.619999999</v>
      </c>
      <c r="L207" s="185"/>
      <c r="M207" s="73">
        <v>4517088</v>
      </c>
      <c r="N207" s="73"/>
      <c r="O207" s="198">
        <f t="shared" ref="O207:O212" si="27">ROUND((K207+(K207*-(I207/100)))-M207,0)</f>
        <v>11477407</v>
      </c>
      <c r="P207" s="73"/>
      <c r="Q207" s="57">
        <f t="shared" ref="Q207:Q212" si="28">O207/W207</f>
        <v>439927</v>
      </c>
      <c r="S207" s="58">
        <f t="shared" ref="S207:S212" si="29">Q207/K207*100</f>
        <v>2.8330048483679984</v>
      </c>
      <c r="U207" s="186">
        <v>26.1</v>
      </c>
      <c r="V207" s="181"/>
      <c r="W207" s="203">
        <v>26.0893443684975</v>
      </c>
    </row>
    <row r="208" spans="1:23" s="19" customFormat="1">
      <c r="A208" s="64"/>
      <c r="B208" s="65"/>
      <c r="C208" s="70" t="s">
        <v>87</v>
      </c>
      <c r="D208" s="65"/>
      <c r="E208" s="182">
        <v>2038</v>
      </c>
      <c r="F208" s="65"/>
      <c r="G208" s="183" t="s">
        <v>193</v>
      </c>
      <c r="H208" s="183" t="s">
        <v>181</v>
      </c>
      <c r="I208" s="184">
        <v>-2</v>
      </c>
      <c r="J208" s="65"/>
      <c r="K208" s="71">
        <v>91253.04</v>
      </c>
      <c r="L208" s="185"/>
      <c r="M208" s="73">
        <v>39954</v>
      </c>
      <c r="N208" s="73"/>
      <c r="O208" s="198">
        <f t="shared" si="27"/>
        <v>53124</v>
      </c>
      <c r="P208" s="73"/>
      <c r="Q208" s="57">
        <f t="shared" si="28"/>
        <v>3194</v>
      </c>
      <c r="S208" s="58">
        <f t="shared" si="29"/>
        <v>3.5001573646204007</v>
      </c>
      <c r="U208" s="186">
        <v>16.600000000000001</v>
      </c>
      <c r="V208" s="181"/>
      <c r="W208" s="203">
        <v>16.63243581715717</v>
      </c>
    </row>
    <row r="209" spans="1:23" s="19" customFormat="1">
      <c r="A209" s="64"/>
      <c r="B209" s="65"/>
      <c r="C209" s="70" t="s">
        <v>88</v>
      </c>
      <c r="D209" s="65"/>
      <c r="E209" s="182">
        <v>2038</v>
      </c>
      <c r="F209" s="65"/>
      <c r="G209" s="183" t="s">
        <v>193</v>
      </c>
      <c r="H209" s="183" t="s">
        <v>181</v>
      </c>
      <c r="I209" s="184">
        <v>-2</v>
      </c>
      <c r="J209" s="65"/>
      <c r="K209" s="71">
        <v>103431.55</v>
      </c>
      <c r="L209" s="185"/>
      <c r="M209" s="73">
        <v>23594</v>
      </c>
      <c r="N209" s="73"/>
      <c r="O209" s="198">
        <f t="shared" si="27"/>
        <v>81906</v>
      </c>
      <c r="P209" s="73"/>
      <c r="Q209" s="57">
        <f t="shared" si="28"/>
        <v>4555</v>
      </c>
      <c r="S209" s="58">
        <f t="shared" si="29"/>
        <v>4.4038787004545519</v>
      </c>
      <c r="U209" s="186">
        <v>18</v>
      </c>
      <c r="V209" s="181"/>
      <c r="W209" s="203">
        <v>17.981558726673985</v>
      </c>
    </row>
    <row r="210" spans="1:23" s="19" customFormat="1">
      <c r="A210" s="64"/>
      <c r="B210" s="65"/>
      <c r="C210" s="70" t="s">
        <v>89</v>
      </c>
      <c r="D210" s="65"/>
      <c r="E210" s="182">
        <v>2038</v>
      </c>
      <c r="F210" s="65"/>
      <c r="G210" s="183" t="s">
        <v>193</v>
      </c>
      <c r="H210" s="183" t="s">
        <v>181</v>
      </c>
      <c r="I210" s="184">
        <v>-2</v>
      </c>
      <c r="J210" s="65"/>
      <c r="K210" s="71">
        <v>60998.54</v>
      </c>
      <c r="L210" s="185"/>
      <c r="M210" s="73">
        <v>27965</v>
      </c>
      <c r="N210" s="73"/>
      <c r="O210" s="198">
        <f t="shared" si="27"/>
        <v>34254</v>
      </c>
      <c r="P210" s="73"/>
      <c r="Q210" s="57">
        <f t="shared" si="28"/>
        <v>2092</v>
      </c>
      <c r="S210" s="58">
        <f t="shared" si="29"/>
        <v>3.4295902819969131</v>
      </c>
      <c r="U210" s="186">
        <v>16.399999999999999</v>
      </c>
      <c r="V210" s="181"/>
      <c r="W210" s="203">
        <v>16.373804971319313</v>
      </c>
    </row>
    <row r="211" spans="1:23" s="19" customFormat="1">
      <c r="A211" s="64"/>
      <c r="B211" s="65"/>
      <c r="C211" s="70" t="s">
        <v>90</v>
      </c>
      <c r="D211" s="65"/>
      <c r="E211" s="182">
        <v>2041</v>
      </c>
      <c r="F211" s="65"/>
      <c r="G211" s="183" t="s">
        <v>193</v>
      </c>
      <c r="H211" s="183" t="s">
        <v>181</v>
      </c>
      <c r="I211" s="184">
        <v>-2</v>
      </c>
      <c r="J211" s="65"/>
      <c r="K211" s="71">
        <v>63896.29</v>
      </c>
      <c r="L211" s="185"/>
      <c r="M211" s="73">
        <v>24158</v>
      </c>
      <c r="N211" s="73"/>
      <c r="O211" s="198">
        <f t="shared" si="27"/>
        <v>41016</v>
      </c>
      <c r="P211" s="73"/>
      <c r="Q211" s="57">
        <f t="shared" si="28"/>
        <v>2135</v>
      </c>
      <c r="S211" s="58">
        <f t="shared" si="29"/>
        <v>3.3413520565904529</v>
      </c>
      <c r="U211" s="186">
        <v>19.2</v>
      </c>
      <c r="V211" s="181"/>
      <c r="W211" s="203">
        <v>19.211241217798595</v>
      </c>
    </row>
    <row r="212" spans="1:23" s="19" customFormat="1">
      <c r="A212" s="64"/>
      <c r="B212" s="65"/>
      <c r="C212" s="70" t="s">
        <v>91</v>
      </c>
      <c r="D212" s="65"/>
      <c r="E212" s="182">
        <v>2042</v>
      </c>
      <c r="F212" s="65"/>
      <c r="G212" s="183" t="s">
        <v>193</v>
      </c>
      <c r="H212" s="183" t="s">
        <v>181</v>
      </c>
      <c r="I212" s="184">
        <v>-2</v>
      </c>
      <c r="J212" s="65"/>
      <c r="K212" s="75">
        <v>141993.37</v>
      </c>
      <c r="L212" s="185"/>
      <c r="M212" s="77">
        <v>29284</v>
      </c>
      <c r="N212" s="73"/>
      <c r="O212" s="205">
        <f t="shared" si="27"/>
        <v>115549</v>
      </c>
      <c r="P212" s="73"/>
      <c r="Q212" s="62">
        <f t="shared" si="28"/>
        <v>5398</v>
      </c>
      <c r="S212" s="58">
        <f t="shared" si="29"/>
        <v>3.8015859472875393</v>
      </c>
      <c r="U212" s="186">
        <v>21.4</v>
      </c>
      <c r="V212" s="181"/>
      <c r="W212" s="203">
        <v>21.405891070766952</v>
      </c>
    </row>
    <row r="213" spans="1:23" s="19" customFormat="1">
      <c r="A213" s="64"/>
      <c r="B213" s="65"/>
      <c r="C213" s="78"/>
      <c r="D213" s="65"/>
      <c r="E213" s="65"/>
      <c r="F213" s="65"/>
      <c r="G213" s="183"/>
      <c r="H213" s="183"/>
      <c r="I213" s="184"/>
      <c r="J213" s="65"/>
      <c r="K213" s="71"/>
      <c r="L213" s="185"/>
      <c r="M213" s="73"/>
      <c r="N213" s="73"/>
      <c r="O213" s="73"/>
      <c r="P213" s="73"/>
      <c r="Q213" s="73"/>
      <c r="S213" s="74"/>
      <c r="U213" s="186"/>
      <c r="V213" s="181"/>
      <c r="W213" s="203"/>
    </row>
    <row r="214" spans="1:23" s="19" customFormat="1">
      <c r="A214" s="64"/>
      <c r="B214" s="65"/>
      <c r="C214" s="78" t="s">
        <v>74</v>
      </c>
      <c r="D214" s="65"/>
      <c r="E214" s="65"/>
      <c r="F214" s="65"/>
      <c r="G214" s="183"/>
      <c r="H214" s="183"/>
      <c r="I214" s="184"/>
      <c r="J214" s="65"/>
      <c r="K214" s="75">
        <f>SUBTOTAL(9,K207:K213)</f>
        <v>15990208.409999996</v>
      </c>
      <c r="L214" s="185"/>
      <c r="M214" s="77">
        <f>SUBTOTAL(9,M207:M213)</f>
        <v>4662043</v>
      </c>
      <c r="N214" s="73"/>
      <c r="O214" s="77">
        <f>SUBTOTAL(9,O207:O213)</f>
        <v>11803256</v>
      </c>
      <c r="P214" s="73"/>
      <c r="Q214" s="77">
        <f>SUBTOTAL(9,Q207:Q213)</f>
        <v>457301</v>
      </c>
      <c r="S214" s="74">
        <f>+ROUND(Q214/K214*100,2)</f>
        <v>2.86</v>
      </c>
      <c r="U214" s="186"/>
      <c r="V214" s="181"/>
      <c r="W214" s="203"/>
    </row>
    <row r="215" spans="1:23" ht="15.75">
      <c r="A215" s="23"/>
      <c r="C215" s="79"/>
      <c r="K215" s="71"/>
      <c r="L215" s="185"/>
      <c r="M215" s="73"/>
      <c r="N215" s="73"/>
      <c r="O215" s="73"/>
      <c r="P215" s="73"/>
      <c r="Q215" s="73"/>
      <c r="S215" s="49"/>
      <c r="U215" s="176"/>
      <c r="V215" s="23"/>
      <c r="W215" s="204"/>
    </row>
    <row r="216" spans="1:23" ht="15.75">
      <c r="A216" s="80"/>
      <c r="C216" s="81" t="s">
        <v>104</v>
      </c>
      <c r="G216" s="187"/>
      <c r="H216" s="187"/>
      <c r="I216" s="188"/>
      <c r="K216" s="118">
        <f>SUBTOTAL(9,K99:K215)</f>
        <v>639379853.02999985</v>
      </c>
      <c r="L216" s="93"/>
      <c r="M216" s="120">
        <f>SUBTOTAL(9,M99:M215)</f>
        <v>251804012.10000002</v>
      </c>
      <c r="N216" s="120"/>
      <c r="O216" s="120">
        <f>SUBTOTAL(9,O99:O215)</f>
        <v>413035433</v>
      </c>
      <c r="P216" s="120"/>
      <c r="Q216" s="120">
        <f>SUBTOTAL(9,Q99:Q215)</f>
        <v>18378213</v>
      </c>
      <c r="S216" s="84">
        <f>+ROUND(Q216/K216*100,2)</f>
        <v>2.87</v>
      </c>
      <c r="T216" s="93"/>
      <c r="U216" s="189"/>
      <c r="V216" s="23"/>
      <c r="W216" s="204"/>
    </row>
    <row r="217" spans="1:23" s="19" customFormat="1">
      <c r="A217" s="85"/>
      <c r="C217" s="86"/>
      <c r="G217" s="187"/>
      <c r="H217" s="187"/>
      <c r="I217" s="188"/>
      <c r="K217" s="87"/>
      <c r="M217" s="89"/>
      <c r="N217" s="89"/>
      <c r="O217" s="89"/>
      <c r="P217" s="89"/>
      <c r="Q217" s="89"/>
      <c r="S217" s="74"/>
      <c r="U217" s="186"/>
      <c r="V217" s="181"/>
      <c r="W217" s="203"/>
    </row>
    <row r="218" spans="1:23" ht="15.75">
      <c r="A218" s="80"/>
      <c r="C218" s="24" t="s">
        <v>105</v>
      </c>
      <c r="G218" s="25"/>
      <c r="I218" s="188"/>
      <c r="K218" s="87"/>
      <c r="M218" s="46"/>
      <c r="N218" s="46"/>
      <c r="O218" s="46"/>
      <c r="P218" s="46"/>
      <c r="Q218" s="46"/>
      <c r="S218" s="49"/>
      <c r="U218" s="176"/>
      <c r="V218" s="23"/>
      <c r="W218" s="204"/>
    </row>
    <row r="219" spans="1:23" ht="15.75">
      <c r="A219" s="80"/>
      <c r="C219" s="48"/>
      <c r="G219" s="25"/>
      <c r="I219" s="188"/>
      <c r="K219" s="87"/>
      <c r="M219" s="46"/>
      <c r="N219" s="46"/>
      <c r="O219" s="46"/>
      <c r="P219" s="46"/>
      <c r="Q219" s="46"/>
      <c r="S219" s="49"/>
      <c r="U219" s="176"/>
      <c r="V219" s="23"/>
      <c r="W219" s="204"/>
    </row>
    <row r="220" spans="1:23">
      <c r="A220" s="80">
        <v>353</v>
      </c>
      <c r="C220" s="18" t="s">
        <v>106</v>
      </c>
      <c r="E220" s="182"/>
      <c r="G220" s="183" t="s">
        <v>194</v>
      </c>
      <c r="H220" s="183" t="s">
        <v>178</v>
      </c>
      <c r="I220" s="184">
        <v>-25</v>
      </c>
      <c r="J220" s="65"/>
      <c r="K220" s="71">
        <v>269766938.30000001</v>
      </c>
      <c r="L220" s="185"/>
      <c r="M220" s="73">
        <v>66231238.189999998</v>
      </c>
      <c r="N220" s="73"/>
      <c r="O220" s="198">
        <f t="shared" ref="O220:O225" si="30">ROUND((K220+(K220*-(I220/100)))-M220,0)</f>
        <v>270977435</v>
      </c>
      <c r="P220" s="73"/>
      <c r="Q220" s="57">
        <f t="shared" ref="Q220:Q225" si="31">O220/W220</f>
        <v>5872454</v>
      </c>
      <c r="R220" s="19"/>
      <c r="S220" s="58">
        <f t="shared" ref="S220:S225" si="32">Q220/K220*100</f>
        <v>2.1768620117078297</v>
      </c>
      <c r="T220" s="19"/>
      <c r="U220" s="186">
        <v>46.1</v>
      </c>
      <c r="V220" s="23"/>
      <c r="W220" s="203">
        <v>46.143815685912564</v>
      </c>
    </row>
    <row r="221" spans="1:23">
      <c r="A221" s="80">
        <v>353.1</v>
      </c>
      <c r="C221" s="19" t="s">
        <v>195</v>
      </c>
      <c r="E221" s="182"/>
      <c r="G221" s="183" t="s">
        <v>196</v>
      </c>
      <c r="H221" s="183" t="s">
        <v>178</v>
      </c>
      <c r="I221" s="184">
        <v>-10</v>
      </c>
      <c r="J221" s="65"/>
      <c r="K221" s="71">
        <v>9476611.1600000001</v>
      </c>
      <c r="L221" s="185"/>
      <c r="M221" s="73">
        <v>6039041</v>
      </c>
      <c r="N221" s="73"/>
      <c r="O221" s="198">
        <f t="shared" si="30"/>
        <v>4385231</v>
      </c>
      <c r="P221" s="73"/>
      <c r="Q221" s="57">
        <f t="shared" si="31"/>
        <v>598296</v>
      </c>
      <c r="R221" s="19"/>
      <c r="S221" s="58">
        <f t="shared" si="32"/>
        <v>6.3133961064621751</v>
      </c>
      <c r="T221" s="19"/>
      <c r="U221" s="186">
        <v>7.3</v>
      </c>
      <c r="V221" s="23"/>
      <c r="W221" s="203">
        <v>7.3295342104911283</v>
      </c>
    </row>
    <row r="222" spans="1:23">
      <c r="A222" s="80">
        <v>354</v>
      </c>
      <c r="C222" s="18" t="s">
        <v>108</v>
      </c>
      <c r="E222" s="182"/>
      <c r="G222" s="183" t="s">
        <v>197</v>
      </c>
      <c r="H222" s="183" t="s">
        <v>178</v>
      </c>
      <c r="I222" s="184">
        <v>0</v>
      </c>
      <c r="J222" s="65"/>
      <c r="K222" s="71">
        <v>3853520.91</v>
      </c>
      <c r="L222" s="185"/>
      <c r="M222" s="73">
        <v>1918285</v>
      </c>
      <c r="N222" s="73"/>
      <c r="O222" s="198">
        <f t="shared" si="30"/>
        <v>1935236</v>
      </c>
      <c r="P222" s="73"/>
      <c r="Q222" s="57">
        <f t="shared" si="31"/>
        <v>63799</v>
      </c>
      <c r="R222" s="19"/>
      <c r="S222" s="58">
        <f t="shared" si="32"/>
        <v>1.6556027978060199</v>
      </c>
      <c r="T222" s="19"/>
      <c r="U222" s="186">
        <v>30.3</v>
      </c>
      <c r="V222" s="23"/>
      <c r="W222" s="203">
        <v>30.333328108591044</v>
      </c>
    </row>
    <row r="223" spans="1:23">
      <c r="A223" s="80">
        <v>355</v>
      </c>
      <c r="C223" s="18" t="s">
        <v>109</v>
      </c>
      <c r="E223" s="182"/>
      <c r="G223" s="183" t="s">
        <v>198</v>
      </c>
      <c r="H223" s="183" t="s">
        <v>178</v>
      </c>
      <c r="I223" s="184">
        <v>-60</v>
      </c>
      <c r="J223" s="65"/>
      <c r="K223" s="71">
        <v>166166560.00999999</v>
      </c>
      <c r="L223" s="185"/>
      <c r="M223" s="73">
        <v>59294869</v>
      </c>
      <c r="N223" s="73"/>
      <c r="O223" s="198">
        <f t="shared" si="30"/>
        <v>206571627</v>
      </c>
      <c r="P223" s="73"/>
      <c r="Q223" s="57">
        <f t="shared" si="31"/>
        <v>4693496</v>
      </c>
      <c r="R223" s="19"/>
      <c r="S223" s="58">
        <f t="shared" si="32"/>
        <v>2.8245731269381418</v>
      </c>
      <c r="T223" s="19"/>
      <c r="U223" s="186">
        <v>44</v>
      </c>
      <c r="V223" s="23"/>
      <c r="W223" s="203">
        <v>44.012315553267754</v>
      </c>
    </row>
    <row r="224" spans="1:23">
      <c r="A224" s="80">
        <v>356</v>
      </c>
      <c r="C224" s="18" t="s">
        <v>110</v>
      </c>
      <c r="E224" s="182"/>
      <c r="G224" s="183" t="s">
        <v>185</v>
      </c>
      <c r="H224" s="183" t="s">
        <v>178</v>
      </c>
      <c r="I224" s="184">
        <v>-60</v>
      </c>
      <c r="J224" s="65"/>
      <c r="K224" s="71">
        <v>139611652.81999999</v>
      </c>
      <c r="L224" s="185"/>
      <c r="M224" s="73">
        <v>63120142</v>
      </c>
      <c r="N224" s="73"/>
      <c r="O224" s="198">
        <f t="shared" si="30"/>
        <v>160258503</v>
      </c>
      <c r="P224" s="73"/>
      <c r="Q224" s="57">
        <f t="shared" si="31"/>
        <v>4043353.0000000005</v>
      </c>
      <c r="R224" s="19"/>
      <c r="S224" s="58">
        <f t="shared" si="32"/>
        <v>2.8961429209731206</v>
      </c>
      <c r="T224" s="19"/>
      <c r="U224" s="186">
        <v>39.6</v>
      </c>
      <c r="V224" s="23"/>
      <c r="W224" s="203">
        <v>39.635051156799811</v>
      </c>
    </row>
    <row r="225" spans="1:23">
      <c r="A225" s="80">
        <v>359</v>
      </c>
      <c r="C225" s="18" t="s">
        <v>111</v>
      </c>
      <c r="G225" s="183" t="s">
        <v>197</v>
      </c>
      <c r="H225" s="183" t="s">
        <v>178</v>
      </c>
      <c r="I225" s="184">
        <v>0</v>
      </c>
      <c r="J225" s="65"/>
      <c r="K225" s="71">
        <v>23287.65</v>
      </c>
      <c r="L225" s="185"/>
      <c r="M225" s="73">
        <v>15186</v>
      </c>
      <c r="N225" s="73"/>
      <c r="O225" s="198">
        <f t="shared" si="30"/>
        <v>8102</v>
      </c>
      <c r="P225" s="73"/>
      <c r="Q225" s="57">
        <f t="shared" si="31"/>
        <v>446</v>
      </c>
      <c r="R225" s="19"/>
      <c r="S225" s="58">
        <f t="shared" si="32"/>
        <v>1.9151782167801386</v>
      </c>
      <c r="T225" s="19"/>
      <c r="U225" s="186">
        <v>18.2</v>
      </c>
      <c r="V225" s="23"/>
      <c r="W225" s="203">
        <v>18.165919282511211</v>
      </c>
    </row>
    <row r="226" spans="1:23">
      <c r="A226" s="80"/>
      <c r="G226" s="25"/>
      <c r="I226" s="188"/>
      <c r="K226" s="90"/>
      <c r="M226" s="91"/>
      <c r="N226" s="46"/>
      <c r="O226" s="91"/>
      <c r="P226" s="46"/>
      <c r="Q226" s="91"/>
      <c r="S226" s="49"/>
      <c r="U226" s="176"/>
      <c r="V226" s="23"/>
      <c r="W226" s="204"/>
    </row>
    <row r="227" spans="1:23" ht="15.75">
      <c r="A227" s="80"/>
      <c r="C227" s="81" t="s">
        <v>112</v>
      </c>
      <c r="G227" s="28"/>
      <c r="H227" s="93"/>
      <c r="I227" s="158"/>
      <c r="J227" s="93"/>
      <c r="K227" s="118">
        <f>SUBTOTAL(9,K220:K226)</f>
        <v>588898570.85000002</v>
      </c>
      <c r="L227" s="93"/>
      <c r="M227" s="120">
        <f>SUBTOTAL(9,M220:M226)</f>
        <v>196618761.19</v>
      </c>
      <c r="N227" s="120"/>
      <c r="O227" s="120">
        <f>SUBTOTAL(9,O220:O226)</f>
        <v>644136134</v>
      </c>
      <c r="P227" s="120"/>
      <c r="Q227" s="120">
        <f>SUBTOTAL(9,Q220:Q226)</f>
        <v>15271844</v>
      </c>
      <c r="S227" s="84">
        <f>+ROUND(Q227/K227*100,2)</f>
        <v>2.59</v>
      </c>
      <c r="T227" s="93"/>
      <c r="U227" s="189"/>
      <c r="V227" s="23"/>
      <c r="W227" s="204"/>
    </row>
    <row r="228" spans="1:23">
      <c r="A228" s="80"/>
      <c r="G228" s="25"/>
      <c r="I228" s="188"/>
      <c r="K228" s="87"/>
      <c r="M228" s="46"/>
      <c r="N228" s="46"/>
      <c r="O228" s="46"/>
      <c r="P228" s="46"/>
      <c r="Q228" s="46"/>
      <c r="S228" s="49"/>
      <c r="U228" s="176"/>
      <c r="V228" s="23"/>
      <c r="W228" s="204"/>
    </row>
    <row r="229" spans="1:23" ht="15.75">
      <c r="A229" s="80"/>
      <c r="B229" s="23"/>
      <c r="C229" s="24" t="s">
        <v>113</v>
      </c>
      <c r="D229" s="23"/>
      <c r="E229" s="23"/>
      <c r="F229" s="23"/>
      <c r="G229" s="25"/>
      <c r="H229" s="23"/>
      <c r="I229" s="188"/>
      <c r="J229" s="23"/>
      <c r="K229" s="87"/>
      <c r="L229" s="23"/>
      <c r="M229" s="46"/>
      <c r="N229" s="46"/>
      <c r="O229" s="46"/>
      <c r="P229" s="46"/>
      <c r="Q229" s="46"/>
      <c r="R229" s="23"/>
      <c r="S229" s="49"/>
      <c r="T229" s="23"/>
      <c r="U229" s="176"/>
      <c r="V229" s="23"/>
      <c r="W229" s="204"/>
    </row>
    <row r="230" spans="1:23" ht="15.75">
      <c r="A230" s="80"/>
      <c r="C230" s="48"/>
      <c r="G230" s="25"/>
      <c r="I230" s="188"/>
      <c r="K230" s="87"/>
      <c r="M230" s="46"/>
      <c r="N230" s="46"/>
      <c r="O230" s="46"/>
      <c r="P230" s="46"/>
      <c r="Q230" s="46"/>
      <c r="S230" s="49"/>
      <c r="U230" s="176"/>
      <c r="V230" s="23"/>
      <c r="W230" s="204"/>
    </row>
    <row r="231" spans="1:23">
      <c r="A231" s="80">
        <v>362</v>
      </c>
      <c r="C231" s="18" t="s">
        <v>106</v>
      </c>
      <c r="G231" s="183" t="s">
        <v>199</v>
      </c>
      <c r="H231" s="183" t="s">
        <v>178</v>
      </c>
      <c r="I231" s="184">
        <v>-10</v>
      </c>
      <c r="J231" s="65"/>
      <c r="K231" s="71">
        <v>228725585.62</v>
      </c>
      <c r="L231" s="185"/>
      <c r="M231" s="73">
        <v>85293813.819999993</v>
      </c>
      <c r="N231" s="73"/>
      <c r="O231" s="198">
        <f>ROUND((K231+(K231*-(I231/100)))-M231,0)</f>
        <v>166304330</v>
      </c>
      <c r="P231" s="73"/>
      <c r="Q231" s="57">
        <f>O231/W231</f>
        <v>5817664</v>
      </c>
      <c r="R231" s="19"/>
      <c r="S231" s="206">
        <f>Q231/K231*100</f>
        <v>2.543512560796477</v>
      </c>
      <c r="T231" s="19"/>
      <c r="U231" s="186">
        <v>28.6</v>
      </c>
      <c r="V231" s="23"/>
      <c r="W231" s="203">
        <v>28.586100881728473</v>
      </c>
    </row>
    <row r="232" spans="1:23">
      <c r="A232" s="80">
        <v>362.1</v>
      </c>
      <c r="C232" s="18" t="s">
        <v>114</v>
      </c>
      <c r="G232" s="183" t="s">
        <v>200</v>
      </c>
      <c r="H232" s="183" t="s">
        <v>178</v>
      </c>
      <c r="I232" s="184">
        <v>0</v>
      </c>
      <c r="J232" s="65"/>
      <c r="K232" s="71">
        <v>7252060.3200000003</v>
      </c>
      <c r="L232" s="185"/>
      <c r="M232" s="73">
        <v>3734264</v>
      </c>
      <c r="N232" s="73"/>
      <c r="O232" s="198">
        <f>ROUND((K232+(K232*-(I232/100)))-M232,0)</f>
        <v>3517796</v>
      </c>
      <c r="P232" s="73"/>
      <c r="Q232" s="57">
        <f>O232/W232</f>
        <v>138662</v>
      </c>
      <c r="R232" s="19"/>
      <c r="S232" s="206">
        <f>Q232/K232*100</f>
        <v>1.9120359440143211</v>
      </c>
      <c r="T232" s="19"/>
      <c r="U232" s="186">
        <v>25.4</v>
      </c>
      <c r="V232" s="23"/>
      <c r="W232" s="203">
        <v>25.369574937618093</v>
      </c>
    </row>
    <row r="233" spans="1:23">
      <c r="A233" s="80">
        <v>368</v>
      </c>
      <c r="C233" s="18" t="s">
        <v>115</v>
      </c>
      <c r="G233" s="183" t="s">
        <v>191</v>
      </c>
      <c r="H233" s="183" t="s">
        <v>178</v>
      </c>
      <c r="I233" s="184">
        <v>0</v>
      </c>
      <c r="J233" s="65"/>
      <c r="K233" s="71">
        <v>2413995.98</v>
      </c>
      <c r="L233" s="185"/>
      <c r="M233" s="73">
        <v>1281788</v>
      </c>
      <c r="N233" s="73"/>
      <c r="O233" s="198">
        <f>ROUND((K233+(K233*-(I233/100)))-M233,0)</f>
        <v>1132208</v>
      </c>
      <c r="P233" s="73"/>
      <c r="Q233" s="57">
        <f>O233/W233</f>
        <v>26958</v>
      </c>
      <c r="R233" s="19"/>
      <c r="S233" s="206">
        <f>Q233/K233*100</f>
        <v>1.116737568055105</v>
      </c>
      <c r="T233" s="19"/>
      <c r="U233" s="186">
        <v>42</v>
      </c>
      <c r="V233" s="23"/>
      <c r="W233" s="203">
        <v>41.998961347280954</v>
      </c>
    </row>
    <row r="234" spans="1:23">
      <c r="A234" s="80"/>
      <c r="G234" s="25"/>
      <c r="I234" s="188"/>
      <c r="K234" s="90"/>
      <c r="M234" s="91"/>
      <c r="N234" s="46"/>
      <c r="O234" s="91"/>
      <c r="P234" s="46"/>
      <c r="Q234" s="91"/>
      <c r="S234" s="49"/>
      <c r="U234" s="176"/>
      <c r="V234" s="23"/>
      <c r="W234" s="202"/>
    </row>
    <row r="235" spans="1:23" ht="15.75">
      <c r="A235" s="80"/>
      <c r="C235" s="81" t="s">
        <v>116</v>
      </c>
      <c r="G235" s="28"/>
      <c r="H235" s="93"/>
      <c r="I235" s="158"/>
      <c r="J235" s="93"/>
      <c r="K235" s="118">
        <f>SUBTOTAL(9,K231:K234)</f>
        <v>238391641.91999999</v>
      </c>
      <c r="L235" s="93"/>
      <c r="M235" s="120">
        <f>SUBTOTAL(9,M231:M234)</f>
        <v>90309865.819999993</v>
      </c>
      <c r="N235" s="120"/>
      <c r="O235" s="120">
        <f>SUBTOTAL(9,O231:O234)</f>
        <v>170954334</v>
      </c>
      <c r="P235" s="120"/>
      <c r="Q235" s="120">
        <f>SUBTOTAL(9,Q231:Q234)</f>
        <v>5983284</v>
      </c>
      <c r="R235" s="93"/>
      <c r="S235" s="84">
        <f>+ROUND(Q235/K235*100,2)</f>
        <v>2.5099999999999998</v>
      </c>
      <c r="T235" s="93"/>
      <c r="U235" s="189"/>
      <c r="V235" s="23"/>
      <c r="W235" s="202"/>
    </row>
    <row r="236" spans="1:23">
      <c r="A236" s="80"/>
      <c r="G236" s="25"/>
      <c r="I236" s="188"/>
      <c r="K236" s="87"/>
      <c r="M236" s="46"/>
      <c r="N236" s="46"/>
      <c r="O236" s="46"/>
      <c r="P236" s="46"/>
      <c r="Q236" s="46"/>
      <c r="S236" s="49"/>
      <c r="U236" s="176"/>
      <c r="V236" s="23"/>
      <c r="W236" s="202"/>
    </row>
    <row r="237" spans="1:23" ht="15.75">
      <c r="A237" s="80"/>
      <c r="C237" s="24" t="s">
        <v>117</v>
      </c>
      <c r="G237" s="25"/>
      <c r="I237" s="188"/>
      <c r="K237" s="87"/>
      <c r="M237" s="46"/>
      <c r="N237" s="46"/>
      <c r="O237" s="46"/>
      <c r="P237" s="46"/>
      <c r="Q237" s="46"/>
      <c r="S237" s="49"/>
      <c r="U237" s="176"/>
      <c r="V237" s="23"/>
      <c r="W237" s="202"/>
    </row>
    <row r="238" spans="1:23" ht="15.75">
      <c r="A238" s="80"/>
      <c r="C238" s="48"/>
      <c r="G238" s="25"/>
      <c r="I238" s="188"/>
      <c r="K238" s="87"/>
      <c r="M238" s="46"/>
      <c r="N238" s="46"/>
      <c r="O238" s="46"/>
      <c r="P238" s="46"/>
      <c r="Q238" s="46"/>
      <c r="S238" s="49"/>
      <c r="U238" s="176"/>
      <c r="V238" s="23"/>
      <c r="W238" s="202"/>
    </row>
    <row r="239" spans="1:23">
      <c r="A239" s="80">
        <v>390</v>
      </c>
      <c r="C239" s="86" t="s">
        <v>53</v>
      </c>
      <c r="G239" s="183" t="s">
        <v>201</v>
      </c>
      <c r="H239" s="183" t="s">
        <v>178</v>
      </c>
      <c r="I239" s="184">
        <v>0</v>
      </c>
      <c r="J239" s="65"/>
      <c r="K239" s="71">
        <v>17176820.18</v>
      </c>
      <c r="L239" s="185"/>
      <c r="M239" s="73">
        <v>9684841</v>
      </c>
      <c r="N239" s="73"/>
      <c r="O239" s="73">
        <v>7491979</v>
      </c>
      <c r="P239" s="73"/>
      <c r="Q239" s="73">
        <v>170358</v>
      </c>
      <c r="R239" s="19"/>
      <c r="S239" s="74">
        <v>0.99</v>
      </c>
      <c r="T239" s="19"/>
      <c r="U239" s="186">
        <v>44</v>
      </c>
      <c r="V239" s="23"/>
      <c r="W239" s="202"/>
    </row>
    <row r="240" spans="1:23">
      <c r="A240" s="80"/>
      <c r="C240" s="86"/>
      <c r="G240" s="183"/>
      <c r="H240" s="183"/>
      <c r="I240" s="184"/>
      <c r="J240" s="65"/>
      <c r="K240" s="71"/>
      <c r="L240" s="185"/>
      <c r="M240" s="73"/>
      <c r="N240" s="73"/>
      <c r="O240" s="73"/>
      <c r="P240" s="73"/>
      <c r="Q240" s="73"/>
      <c r="R240" s="19"/>
      <c r="S240" s="74"/>
      <c r="T240" s="19"/>
      <c r="U240" s="186"/>
      <c r="V240" s="23"/>
      <c r="W240" s="202"/>
    </row>
    <row r="241" spans="1:23">
      <c r="A241" s="80">
        <v>391</v>
      </c>
      <c r="C241" s="94" t="s">
        <v>119</v>
      </c>
      <c r="G241" s="183"/>
      <c r="H241" s="183"/>
      <c r="I241" s="184"/>
      <c r="J241" s="65"/>
      <c r="K241" s="71"/>
      <c r="L241" s="185"/>
      <c r="M241" s="73"/>
      <c r="N241" s="73"/>
      <c r="O241" s="73"/>
      <c r="P241" s="73"/>
      <c r="Q241" s="73"/>
      <c r="R241" s="19"/>
      <c r="S241" s="74"/>
      <c r="T241" s="19"/>
      <c r="U241" s="186"/>
      <c r="V241" s="23"/>
      <c r="W241" s="202"/>
    </row>
    <row r="242" spans="1:23">
      <c r="A242" s="80"/>
      <c r="C242" s="95" t="s">
        <v>120</v>
      </c>
      <c r="D242" s="37"/>
      <c r="E242" s="37"/>
      <c r="F242" s="37"/>
      <c r="G242" s="169"/>
      <c r="H242" s="169"/>
      <c r="I242" s="170"/>
      <c r="J242" s="50"/>
      <c r="K242" s="55">
        <v>2016677.53</v>
      </c>
      <c r="L242" s="171"/>
      <c r="M242" s="57">
        <v>2016678</v>
      </c>
      <c r="N242" s="57"/>
      <c r="O242" s="57">
        <v>0</v>
      </c>
      <c r="P242" s="57"/>
      <c r="Q242" s="57">
        <v>0</v>
      </c>
      <c r="R242" s="50"/>
      <c r="S242" s="58">
        <v>0</v>
      </c>
      <c r="T242" s="50"/>
      <c r="U242" s="172">
        <v>0</v>
      </c>
      <c r="V242" s="23"/>
      <c r="W242" s="202"/>
    </row>
    <row r="243" spans="1:23">
      <c r="A243" s="80"/>
      <c r="C243" s="95" t="s">
        <v>121</v>
      </c>
      <c r="D243" s="37"/>
      <c r="E243" s="37"/>
      <c r="F243" s="37"/>
      <c r="G243" s="169" t="s">
        <v>202</v>
      </c>
      <c r="H243" s="169" t="s">
        <v>178</v>
      </c>
      <c r="I243" s="170">
        <v>0</v>
      </c>
      <c r="J243" s="50"/>
      <c r="K243" s="60">
        <v>9301032.1600000001</v>
      </c>
      <c r="L243" s="171"/>
      <c r="M243" s="62">
        <v>2720987</v>
      </c>
      <c r="N243" s="57"/>
      <c r="O243" s="62">
        <v>6580045</v>
      </c>
      <c r="P243" s="57"/>
      <c r="Q243" s="62">
        <v>465074</v>
      </c>
      <c r="R243" s="50"/>
      <c r="S243" s="58">
        <v>5</v>
      </c>
      <c r="T243" s="50"/>
      <c r="U243" s="172">
        <v>14.1</v>
      </c>
      <c r="V243" s="23"/>
      <c r="W243" s="202"/>
    </row>
    <row r="244" spans="1:23">
      <c r="A244" s="80"/>
      <c r="C244" s="37"/>
      <c r="D244" s="37"/>
      <c r="E244" s="37"/>
      <c r="F244" s="37"/>
      <c r="G244" s="169"/>
      <c r="H244" s="169"/>
      <c r="I244" s="170"/>
      <c r="J244" s="50"/>
      <c r="K244" s="55"/>
      <c r="L244" s="171"/>
      <c r="M244" s="57"/>
      <c r="N244" s="57"/>
      <c r="O244" s="57"/>
      <c r="P244" s="57"/>
      <c r="Q244" s="57"/>
      <c r="R244" s="50"/>
      <c r="S244" s="58"/>
      <c r="T244" s="50"/>
      <c r="U244" s="172"/>
      <c r="V244" s="23"/>
      <c r="W244" s="202"/>
    </row>
    <row r="245" spans="1:23">
      <c r="A245" s="80"/>
      <c r="C245" s="37" t="s">
        <v>122</v>
      </c>
      <c r="D245" s="37"/>
      <c r="E245" s="37"/>
      <c r="F245" s="37"/>
      <c r="G245" s="169"/>
      <c r="H245" s="169"/>
      <c r="I245" s="170"/>
      <c r="J245" s="50"/>
      <c r="K245" s="55">
        <f>SUBTOTAL(9,K242:K244)</f>
        <v>11317709.689999999</v>
      </c>
      <c r="L245" s="171"/>
      <c r="M245" s="57">
        <f>SUBTOTAL(9,M242:M244)</f>
        <v>4737665</v>
      </c>
      <c r="N245" s="57"/>
      <c r="O245" s="57">
        <f>SUBTOTAL(9,O242:O244)</f>
        <v>6580045</v>
      </c>
      <c r="P245" s="57"/>
      <c r="Q245" s="57">
        <f>SUBTOTAL(9,Q242:Q244)</f>
        <v>465074</v>
      </c>
      <c r="R245" s="50"/>
      <c r="S245" s="58">
        <f>+ROUND(Q245/K245*100,2)</f>
        <v>4.1100000000000003</v>
      </c>
      <c r="T245" s="50"/>
      <c r="U245" s="172"/>
      <c r="V245" s="23"/>
      <c r="W245" s="202"/>
    </row>
    <row r="246" spans="1:23">
      <c r="A246" s="80"/>
      <c r="C246" s="94"/>
      <c r="G246" s="183"/>
      <c r="H246" s="183"/>
      <c r="I246" s="184"/>
      <c r="J246" s="65"/>
      <c r="K246" s="71"/>
      <c r="L246" s="185"/>
      <c r="M246" s="73"/>
      <c r="N246" s="73"/>
      <c r="O246" s="73"/>
      <c r="P246" s="73"/>
      <c r="Q246" s="73"/>
      <c r="R246" s="19"/>
      <c r="S246" s="74"/>
      <c r="T246" s="19"/>
      <c r="U246" s="186"/>
      <c r="V246" s="23"/>
      <c r="W246" s="202"/>
    </row>
    <row r="247" spans="1:23">
      <c r="A247" s="80">
        <v>391.1</v>
      </c>
      <c r="C247" s="94" t="s">
        <v>123</v>
      </c>
      <c r="G247" s="183"/>
      <c r="H247" s="183"/>
      <c r="I247" s="184"/>
      <c r="J247" s="65"/>
      <c r="K247" s="71"/>
      <c r="L247" s="185"/>
      <c r="M247" s="73"/>
      <c r="N247" s="73"/>
      <c r="O247" s="73"/>
      <c r="P247" s="73"/>
      <c r="Q247" s="73"/>
      <c r="R247" s="19"/>
      <c r="S247" s="74"/>
      <c r="T247" s="19"/>
      <c r="U247" s="186"/>
      <c r="V247" s="23"/>
      <c r="W247" s="202"/>
    </row>
    <row r="248" spans="1:23">
      <c r="A248" s="80"/>
      <c r="C248" s="95" t="s">
        <v>120</v>
      </c>
      <c r="G248" s="169"/>
      <c r="H248" s="169"/>
      <c r="I248" s="170"/>
      <c r="J248" s="50"/>
      <c r="K248" s="55">
        <v>2771805.14</v>
      </c>
      <c r="L248" s="171"/>
      <c r="M248" s="57">
        <v>2771805</v>
      </c>
      <c r="N248" s="57"/>
      <c r="O248" s="57">
        <v>0</v>
      </c>
      <c r="P248" s="57"/>
      <c r="Q248" s="57">
        <v>0</v>
      </c>
      <c r="R248" s="50"/>
      <c r="S248" s="58">
        <v>0</v>
      </c>
      <c r="T248" s="50"/>
      <c r="U248" s="172">
        <v>0</v>
      </c>
      <c r="V248" s="23"/>
      <c r="W248" s="202"/>
    </row>
    <row r="249" spans="1:23">
      <c r="A249" s="80"/>
      <c r="C249" s="95" t="s">
        <v>121</v>
      </c>
      <c r="G249" s="169" t="s">
        <v>203</v>
      </c>
      <c r="H249" s="169" t="s">
        <v>178</v>
      </c>
      <c r="I249" s="170">
        <v>0</v>
      </c>
      <c r="J249" s="50"/>
      <c r="K249" s="60">
        <v>14526688.529999999</v>
      </c>
      <c r="L249" s="171"/>
      <c r="M249" s="62">
        <v>7449052</v>
      </c>
      <c r="N249" s="57"/>
      <c r="O249" s="62">
        <v>7077637</v>
      </c>
      <c r="P249" s="57"/>
      <c r="Q249" s="62">
        <v>968596</v>
      </c>
      <c r="R249" s="50"/>
      <c r="S249" s="58">
        <v>6.67</v>
      </c>
      <c r="T249" s="50"/>
      <c r="U249" s="172">
        <v>7.3</v>
      </c>
      <c r="V249" s="23"/>
      <c r="W249" s="202"/>
    </row>
    <row r="250" spans="1:23">
      <c r="A250" s="80"/>
      <c r="C250" s="37"/>
      <c r="G250" s="183"/>
      <c r="H250" s="183"/>
      <c r="I250" s="184"/>
      <c r="J250" s="65"/>
      <c r="K250" s="71"/>
      <c r="L250" s="185"/>
      <c r="M250" s="73"/>
      <c r="N250" s="73"/>
      <c r="O250" s="73"/>
      <c r="P250" s="73"/>
      <c r="Q250" s="73"/>
      <c r="R250" s="19"/>
      <c r="S250" s="74"/>
      <c r="T250" s="19"/>
      <c r="U250" s="186"/>
      <c r="V250" s="23"/>
      <c r="W250" s="202"/>
    </row>
    <row r="251" spans="1:23">
      <c r="A251" s="80"/>
      <c r="C251" s="37" t="s">
        <v>124</v>
      </c>
      <c r="G251" s="183"/>
      <c r="H251" s="183"/>
      <c r="I251" s="184"/>
      <c r="J251" s="65"/>
      <c r="K251" s="55">
        <f>SUBTOTAL(9,K248:K250)</f>
        <v>17298493.669999998</v>
      </c>
      <c r="L251" s="171"/>
      <c r="M251" s="57">
        <f>SUBTOTAL(9,M248:M250)</f>
        <v>10220857</v>
      </c>
      <c r="N251" s="57"/>
      <c r="O251" s="57">
        <f>SUBTOTAL(9,O248:O250)</f>
        <v>7077637</v>
      </c>
      <c r="P251" s="57"/>
      <c r="Q251" s="57">
        <f>SUBTOTAL(9,Q248:Q250)</f>
        <v>968596</v>
      </c>
      <c r="R251" s="50"/>
      <c r="S251" s="58">
        <f>+ROUND(Q251/K251*100,2)</f>
        <v>5.6</v>
      </c>
      <c r="T251" s="19"/>
      <c r="U251" s="186"/>
      <c r="V251" s="23"/>
      <c r="W251" s="202"/>
    </row>
    <row r="252" spans="1:23">
      <c r="A252" s="80"/>
      <c r="C252" s="94"/>
      <c r="G252" s="183"/>
      <c r="H252" s="183"/>
      <c r="I252" s="184"/>
      <c r="J252" s="65"/>
      <c r="K252" s="71"/>
      <c r="L252" s="185"/>
      <c r="M252" s="73"/>
      <c r="N252" s="73"/>
      <c r="O252" s="73"/>
      <c r="P252" s="73"/>
      <c r="Q252" s="73"/>
      <c r="R252" s="19"/>
      <c r="S252" s="74"/>
      <c r="T252" s="19"/>
      <c r="U252" s="186"/>
      <c r="V252" s="23"/>
      <c r="W252" s="202"/>
    </row>
    <row r="253" spans="1:23">
      <c r="A253" s="80">
        <v>392</v>
      </c>
      <c r="C253" s="94" t="s">
        <v>125</v>
      </c>
      <c r="G253" s="183" t="s">
        <v>204</v>
      </c>
      <c r="H253" s="183" t="s">
        <v>178</v>
      </c>
      <c r="I253" s="184">
        <v>0</v>
      </c>
      <c r="J253" s="65"/>
      <c r="K253" s="71">
        <v>17294828.559999999</v>
      </c>
      <c r="L253" s="185"/>
      <c r="M253" s="73">
        <v>9084603</v>
      </c>
      <c r="N253" s="73"/>
      <c r="O253" s="73">
        <v>8210226</v>
      </c>
      <c r="P253" s="73"/>
      <c r="Q253" s="73">
        <v>1010178</v>
      </c>
      <c r="R253" s="19"/>
      <c r="S253" s="74">
        <v>5.84</v>
      </c>
      <c r="T253" s="19"/>
      <c r="U253" s="186">
        <v>8.1</v>
      </c>
      <c r="V253" s="23"/>
      <c r="W253" s="202"/>
    </row>
    <row r="254" spans="1:23">
      <c r="A254" s="80">
        <v>393</v>
      </c>
      <c r="C254" s="86" t="s">
        <v>126</v>
      </c>
      <c r="G254" s="183" t="s">
        <v>205</v>
      </c>
      <c r="H254" s="183" t="s">
        <v>178</v>
      </c>
      <c r="I254" s="184">
        <v>0</v>
      </c>
      <c r="J254" s="65"/>
      <c r="K254" s="71">
        <v>132973.46</v>
      </c>
      <c r="L254" s="185"/>
      <c r="M254" s="73">
        <v>99601</v>
      </c>
      <c r="N254" s="73"/>
      <c r="O254" s="73">
        <v>33372</v>
      </c>
      <c r="P254" s="73"/>
      <c r="Q254" s="73">
        <v>5318</v>
      </c>
      <c r="R254" s="19"/>
      <c r="S254" s="74">
        <v>4</v>
      </c>
      <c r="T254" s="19"/>
      <c r="U254" s="186">
        <v>6.3</v>
      </c>
      <c r="V254" s="23"/>
      <c r="W254" s="202"/>
    </row>
    <row r="255" spans="1:23">
      <c r="A255" s="80"/>
      <c r="C255" s="86"/>
      <c r="G255" s="183"/>
      <c r="H255" s="183"/>
      <c r="I255" s="184"/>
      <c r="J255" s="65"/>
      <c r="K255" s="71"/>
      <c r="L255" s="185"/>
      <c r="M255" s="73"/>
      <c r="N255" s="73"/>
      <c r="O255" s="73"/>
      <c r="P255" s="73"/>
      <c r="Q255" s="73"/>
      <c r="R255" s="19"/>
      <c r="S255" s="74"/>
      <c r="T255" s="19"/>
      <c r="U255" s="186"/>
      <c r="V255" s="23"/>
      <c r="W255" s="202"/>
    </row>
    <row r="256" spans="1:23">
      <c r="A256" s="80">
        <v>394</v>
      </c>
      <c r="C256" s="96" t="s">
        <v>206</v>
      </c>
      <c r="G256" s="183"/>
      <c r="H256" s="183"/>
      <c r="I256" s="184"/>
      <c r="J256" s="65"/>
      <c r="K256" s="71"/>
      <c r="L256" s="185"/>
      <c r="M256" s="73"/>
      <c r="N256" s="73"/>
      <c r="O256" s="73"/>
      <c r="P256" s="73"/>
      <c r="Q256" s="73"/>
      <c r="R256" s="19"/>
      <c r="S256" s="74"/>
      <c r="T256" s="19"/>
      <c r="U256" s="186"/>
      <c r="V256" s="23"/>
      <c r="W256" s="202"/>
    </row>
    <row r="257" spans="1:23">
      <c r="A257" s="80"/>
      <c r="C257" s="95" t="s">
        <v>120</v>
      </c>
      <c r="G257" s="169"/>
      <c r="H257" s="169"/>
      <c r="I257" s="170"/>
      <c r="J257" s="50"/>
      <c r="K257" s="55">
        <v>772161.33</v>
      </c>
      <c r="L257" s="171"/>
      <c r="M257" s="57">
        <v>772161</v>
      </c>
      <c r="N257" s="57"/>
      <c r="O257" s="57">
        <v>0</v>
      </c>
      <c r="P257" s="57"/>
      <c r="Q257" s="57">
        <v>0</v>
      </c>
      <c r="R257" s="50"/>
      <c r="S257" s="58">
        <v>0</v>
      </c>
      <c r="T257" s="50"/>
      <c r="U257" s="172">
        <v>0</v>
      </c>
      <c r="V257" s="23"/>
      <c r="W257" s="202"/>
    </row>
    <row r="258" spans="1:23">
      <c r="A258" s="80"/>
      <c r="C258" s="95" t="s">
        <v>121</v>
      </c>
      <c r="G258" s="169" t="s">
        <v>202</v>
      </c>
      <c r="H258" s="169" t="s">
        <v>178</v>
      </c>
      <c r="I258" s="170">
        <v>0</v>
      </c>
      <c r="J258" s="50"/>
      <c r="K258" s="60">
        <v>1540988.46</v>
      </c>
      <c r="L258" s="171"/>
      <c r="M258" s="62">
        <v>602512</v>
      </c>
      <c r="N258" s="57"/>
      <c r="O258" s="62">
        <v>938476</v>
      </c>
      <c r="P258" s="57"/>
      <c r="Q258" s="62">
        <v>77077</v>
      </c>
      <c r="R258" s="50"/>
      <c r="S258" s="58">
        <v>5</v>
      </c>
      <c r="T258" s="50"/>
      <c r="U258" s="172">
        <v>12.2</v>
      </c>
      <c r="V258" s="23"/>
      <c r="W258" s="202"/>
    </row>
    <row r="259" spans="1:23">
      <c r="A259" s="80"/>
      <c r="C259" s="37"/>
      <c r="G259" s="183"/>
      <c r="H259" s="183"/>
      <c r="I259" s="184"/>
      <c r="J259" s="65"/>
      <c r="K259" s="71"/>
      <c r="L259" s="185"/>
      <c r="M259" s="73"/>
      <c r="N259" s="73"/>
      <c r="O259" s="73"/>
      <c r="P259" s="73"/>
      <c r="Q259" s="73"/>
      <c r="R259" s="19"/>
      <c r="S259" s="74"/>
      <c r="T259" s="19"/>
      <c r="U259" s="186"/>
      <c r="V259" s="23"/>
      <c r="W259" s="202"/>
    </row>
    <row r="260" spans="1:23">
      <c r="A260" s="80"/>
      <c r="C260" s="37" t="s">
        <v>128</v>
      </c>
      <c r="G260" s="183"/>
      <c r="H260" s="183"/>
      <c r="I260" s="184"/>
      <c r="J260" s="65"/>
      <c r="K260" s="55">
        <f>SUBTOTAL(9,K257:K259)</f>
        <v>2313149.79</v>
      </c>
      <c r="L260" s="171"/>
      <c r="M260" s="57">
        <f>SUBTOTAL(9,M257:M259)</f>
        <v>1374673</v>
      </c>
      <c r="N260" s="57"/>
      <c r="O260" s="57">
        <f>SUBTOTAL(9,O257:O259)</f>
        <v>938476</v>
      </c>
      <c r="P260" s="57"/>
      <c r="Q260" s="57">
        <f>SUBTOTAL(9,Q257:Q259)</f>
        <v>77077</v>
      </c>
      <c r="R260" s="50"/>
      <c r="S260" s="58">
        <f>+ROUND(Q260/K260*100,2)</f>
        <v>3.33</v>
      </c>
      <c r="T260" s="50"/>
      <c r="U260" s="186"/>
      <c r="V260" s="23"/>
      <c r="W260" s="202"/>
    </row>
    <row r="261" spans="1:23">
      <c r="A261" s="80"/>
      <c r="C261" s="96"/>
      <c r="G261" s="183"/>
      <c r="H261" s="183"/>
      <c r="I261" s="184"/>
      <c r="J261" s="65"/>
      <c r="K261" s="71"/>
      <c r="L261" s="185"/>
      <c r="M261" s="73"/>
      <c r="N261" s="73"/>
      <c r="O261" s="73"/>
      <c r="P261" s="73"/>
      <c r="Q261" s="73"/>
      <c r="R261" s="19"/>
      <c r="S261" s="74"/>
      <c r="T261" s="19"/>
      <c r="U261" s="186"/>
      <c r="V261" s="23"/>
      <c r="W261" s="202"/>
    </row>
    <row r="262" spans="1:23">
      <c r="A262" s="80">
        <v>395</v>
      </c>
      <c r="C262" s="86" t="s">
        <v>129</v>
      </c>
      <c r="G262" s="169"/>
      <c r="H262" s="169"/>
      <c r="I262" s="170"/>
      <c r="J262" s="50"/>
      <c r="K262" s="55"/>
      <c r="L262" s="171"/>
      <c r="M262" s="57"/>
      <c r="N262" s="57"/>
      <c r="O262" s="57"/>
      <c r="P262" s="57"/>
      <c r="Q262" s="57"/>
      <c r="R262" s="50"/>
      <c r="S262" s="58"/>
      <c r="T262" s="50"/>
      <c r="U262" s="172"/>
      <c r="V262" s="23"/>
      <c r="W262" s="202"/>
    </row>
    <row r="263" spans="1:23">
      <c r="A263" s="80"/>
      <c r="C263" s="95" t="s">
        <v>120</v>
      </c>
      <c r="G263" s="169"/>
      <c r="H263" s="169"/>
      <c r="I263" s="170"/>
      <c r="J263" s="50"/>
      <c r="K263" s="55">
        <v>1251278.95</v>
      </c>
      <c r="L263" s="171"/>
      <c r="M263" s="57">
        <v>1251279</v>
      </c>
      <c r="N263" s="57"/>
      <c r="O263" s="57">
        <v>0</v>
      </c>
      <c r="P263" s="57"/>
      <c r="Q263" s="57">
        <v>0</v>
      </c>
      <c r="R263" s="50"/>
      <c r="S263" s="58">
        <v>0</v>
      </c>
      <c r="T263" s="50"/>
      <c r="U263" s="172">
        <v>0</v>
      </c>
      <c r="V263" s="23"/>
      <c r="W263" s="202"/>
    </row>
    <row r="264" spans="1:23">
      <c r="A264" s="80"/>
      <c r="C264" s="95" t="s">
        <v>121</v>
      </c>
      <c r="G264" s="169" t="s">
        <v>202</v>
      </c>
      <c r="H264" s="169" t="s">
        <v>178</v>
      </c>
      <c r="I264" s="170">
        <v>0</v>
      </c>
      <c r="J264" s="50"/>
      <c r="K264" s="60">
        <v>4059896.75</v>
      </c>
      <c r="L264" s="171"/>
      <c r="M264" s="62">
        <v>1563859</v>
      </c>
      <c r="N264" s="57"/>
      <c r="O264" s="62">
        <v>2496038</v>
      </c>
      <c r="P264" s="57"/>
      <c r="Q264" s="62">
        <v>203000</v>
      </c>
      <c r="R264" s="50"/>
      <c r="S264" s="58">
        <v>5</v>
      </c>
      <c r="T264" s="50"/>
      <c r="U264" s="172">
        <v>12.3</v>
      </c>
      <c r="V264" s="23"/>
      <c r="W264" s="202"/>
    </row>
    <row r="265" spans="1:23">
      <c r="A265" s="80"/>
      <c r="C265" s="37"/>
      <c r="G265" s="183"/>
      <c r="H265" s="183"/>
      <c r="I265" s="184"/>
      <c r="J265" s="65"/>
      <c r="K265" s="71"/>
      <c r="L265" s="185"/>
      <c r="M265" s="73"/>
      <c r="N265" s="73"/>
      <c r="O265" s="73"/>
      <c r="P265" s="73"/>
      <c r="Q265" s="73"/>
      <c r="R265" s="19"/>
      <c r="S265" s="74"/>
      <c r="T265" s="19"/>
      <c r="U265" s="186"/>
      <c r="V265" s="23"/>
      <c r="W265" s="202"/>
    </row>
    <row r="266" spans="1:23">
      <c r="A266" s="80"/>
      <c r="C266" s="37" t="s">
        <v>130</v>
      </c>
      <c r="G266" s="183"/>
      <c r="H266" s="183"/>
      <c r="I266" s="184"/>
      <c r="J266" s="65"/>
      <c r="K266" s="55">
        <f>SUBTOTAL(9,K263:K265)</f>
        <v>5311175.7</v>
      </c>
      <c r="L266" s="171"/>
      <c r="M266" s="57">
        <f>SUBTOTAL(9,M263:M265)</f>
        <v>2815138</v>
      </c>
      <c r="N266" s="57"/>
      <c r="O266" s="57">
        <f>SUBTOTAL(9,O263:O265)</f>
        <v>2496038</v>
      </c>
      <c r="P266" s="57"/>
      <c r="Q266" s="57">
        <f>SUBTOTAL(9,Q263:Q265)</f>
        <v>203000</v>
      </c>
      <c r="R266" s="50"/>
      <c r="S266" s="58">
        <f>+ROUND(Q266/K266*100,2)</f>
        <v>3.82</v>
      </c>
      <c r="T266" s="19"/>
      <c r="U266" s="186"/>
      <c r="V266" s="23"/>
      <c r="W266" s="202"/>
    </row>
    <row r="267" spans="1:23">
      <c r="A267" s="80"/>
      <c r="C267" s="86"/>
      <c r="G267" s="183"/>
      <c r="H267" s="183"/>
      <c r="I267" s="184"/>
      <c r="J267" s="65"/>
      <c r="K267" s="71"/>
      <c r="L267" s="185"/>
      <c r="M267" s="73"/>
      <c r="N267" s="73"/>
      <c r="O267" s="73"/>
      <c r="P267" s="73"/>
      <c r="Q267" s="73"/>
      <c r="R267" s="19"/>
      <c r="S267" s="74"/>
      <c r="T267" s="19"/>
      <c r="U267" s="186"/>
      <c r="V267" s="23"/>
      <c r="W267" s="202"/>
    </row>
    <row r="268" spans="1:23">
      <c r="A268" s="80">
        <v>396</v>
      </c>
      <c r="C268" s="19" t="s">
        <v>131</v>
      </c>
      <c r="G268" s="183" t="s">
        <v>207</v>
      </c>
      <c r="H268" s="183" t="s">
        <v>178</v>
      </c>
      <c r="I268" s="184">
        <v>0</v>
      </c>
      <c r="J268" s="65"/>
      <c r="K268" s="71">
        <v>20685598.48</v>
      </c>
      <c r="L268" s="185"/>
      <c r="M268" s="73">
        <v>13562128.119999999</v>
      </c>
      <c r="N268" s="73"/>
      <c r="O268" s="73">
        <v>7123470</v>
      </c>
      <c r="P268" s="73"/>
      <c r="Q268" s="73">
        <v>416907</v>
      </c>
      <c r="R268" s="19"/>
      <c r="S268" s="74">
        <v>2.02</v>
      </c>
      <c r="T268" s="19"/>
      <c r="U268" s="186">
        <v>17.100000000000001</v>
      </c>
      <c r="V268" s="23"/>
      <c r="W268" s="202"/>
    </row>
    <row r="269" spans="1:23">
      <c r="A269" s="80"/>
      <c r="C269" s="19"/>
      <c r="G269" s="183"/>
      <c r="H269" s="183"/>
      <c r="I269" s="184"/>
      <c r="J269" s="65"/>
      <c r="K269" s="71"/>
      <c r="L269" s="185"/>
      <c r="M269" s="73"/>
      <c r="N269" s="73"/>
      <c r="O269" s="73"/>
      <c r="P269" s="73"/>
      <c r="Q269" s="73"/>
      <c r="R269" s="19"/>
      <c r="S269" s="74"/>
      <c r="T269" s="19"/>
      <c r="U269" s="186"/>
      <c r="V269" s="23"/>
      <c r="W269" s="202"/>
    </row>
    <row r="270" spans="1:23">
      <c r="A270" s="80">
        <v>397</v>
      </c>
      <c r="C270" s="19" t="s">
        <v>132</v>
      </c>
      <c r="G270" s="183"/>
      <c r="H270" s="183"/>
      <c r="I270" s="184"/>
      <c r="J270" s="65"/>
      <c r="K270" s="71"/>
      <c r="L270" s="185"/>
      <c r="M270" s="73"/>
      <c r="N270" s="73"/>
      <c r="O270" s="73"/>
      <c r="P270" s="73"/>
      <c r="Q270" s="73"/>
      <c r="R270" s="19"/>
      <c r="S270" s="74"/>
      <c r="T270" s="19"/>
      <c r="U270" s="186"/>
      <c r="V270" s="23"/>
      <c r="W270" s="202"/>
    </row>
    <row r="271" spans="1:23">
      <c r="A271" s="80"/>
      <c r="C271" s="95" t="s">
        <v>120</v>
      </c>
      <c r="G271" s="169"/>
      <c r="H271" s="169"/>
      <c r="I271" s="170"/>
      <c r="J271" s="50"/>
      <c r="K271" s="55">
        <v>23276736.879999999</v>
      </c>
      <c r="L271" s="171"/>
      <c r="M271" s="57">
        <v>23276737</v>
      </c>
      <c r="N271" s="57"/>
      <c r="O271" s="57">
        <v>0</v>
      </c>
      <c r="P271" s="57"/>
      <c r="Q271" s="57">
        <v>0</v>
      </c>
      <c r="R271" s="50"/>
      <c r="S271" s="58">
        <v>0</v>
      </c>
      <c r="T271" s="50"/>
      <c r="U271" s="172">
        <v>0</v>
      </c>
      <c r="V271" s="23"/>
      <c r="W271" s="202"/>
    </row>
    <row r="272" spans="1:23">
      <c r="A272" s="80"/>
      <c r="C272" s="95" t="s">
        <v>121</v>
      </c>
      <c r="G272" s="169" t="s">
        <v>203</v>
      </c>
      <c r="H272" s="169" t="s">
        <v>178</v>
      </c>
      <c r="I272" s="170">
        <v>0</v>
      </c>
      <c r="J272" s="50"/>
      <c r="K272" s="60">
        <v>23514697.870000001</v>
      </c>
      <c r="L272" s="171"/>
      <c r="M272" s="62">
        <v>8667518</v>
      </c>
      <c r="N272" s="57"/>
      <c r="O272" s="62">
        <v>14847180</v>
      </c>
      <c r="P272" s="57"/>
      <c r="Q272" s="62">
        <v>1569449</v>
      </c>
      <c r="R272" s="50"/>
      <c r="S272" s="58">
        <v>6.67</v>
      </c>
      <c r="T272" s="50"/>
      <c r="U272" s="172">
        <v>9.5</v>
      </c>
      <c r="V272" s="23"/>
      <c r="W272" s="202"/>
    </row>
    <row r="273" spans="1:23">
      <c r="A273" s="80"/>
      <c r="C273" s="37"/>
      <c r="G273" s="183"/>
      <c r="H273" s="183"/>
      <c r="I273" s="184"/>
      <c r="J273" s="65"/>
      <c r="K273" s="71"/>
      <c r="L273" s="185"/>
      <c r="M273" s="73"/>
      <c r="N273" s="73"/>
      <c r="O273" s="73"/>
      <c r="P273" s="73"/>
      <c r="Q273" s="73"/>
      <c r="R273" s="19"/>
      <c r="S273" s="74"/>
      <c r="T273" s="19"/>
      <c r="U273" s="186"/>
      <c r="V273" s="23"/>
      <c r="W273" s="202"/>
    </row>
    <row r="274" spans="1:23">
      <c r="A274" s="80"/>
      <c r="C274" s="37" t="s">
        <v>133</v>
      </c>
      <c r="G274" s="183"/>
      <c r="H274" s="183"/>
      <c r="I274" s="184"/>
      <c r="J274" s="65"/>
      <c r="K274" s="55">
        <f>SUBTOTAL(9,K271:K273)</f>
        <v>46791434.75</v>
      </c>
      <c r="L274" s="171"/>
      <c r="M274" s="57">
        <f>SUBTOTAL(9,M271:M273)</f>
        <v>31944255</v>
      </c>
      <c r="N274" s="57"/>
      <c r="O274" s="57">
        <f>SUBTOTAL(9,O271:O273)</f>
        <v>14847180</v>
      </c>
      <c r="P274" s="57"/>
      <c r="Q274" s="57">
        <f>SUBTOTAL(9,Q271:Q273)</f>
        <v>1569449</v>
      </c>
      <c r="R274" s="50"/>
      <c r="S274" s="58">
        <f>+ROUND(Q274/K274*100,2)</f>
        <v>3.35</v>
      </c>
      <c r="T274" s="19"/>
      <c r="U274" s="186"/>
      <c r="V274" s="23"/>
      <c r="W274" s="202"/>
    </row>
    <row r="275" spans="1:23">
      <c r="A275" s="80"/>
      <c r="C275" s="19"/>
      <c r="G275" s="183"/>
      <c r="H275" s="183"/>
      <c r="I275" s="184"/>
      <c r="J275" s="65"/>
      <c r="K275" s="71"/>
      <c r="L275" s="185"/>
      <c r="M275" s="73"/>
      <c r="N275" s="73"/>
      <c r="O275" s="73"/>
      <c r="P275" s="73"/>
      <c r="Q275" s="73"/>
      <c r="R275" s="19"/>
      <c r="S275" s="74"/>
      <c r="T275" s="19"/>
      <c r="U275" s="186"/>
      <c r="V275" s="23"/>
      <c r="W275" s="202"/>
    </row>
    <row r="276" spans="1:23">
      <c r="A276" s="80">
        <v>397.1</v>
      </c>
      <c r="C276" s="19" t="s">
        <v>208</v>
      </c>
      <c r="G276" s="190" t="s">
        <v>120</v>
      </c>
      <c r="H276" s="190"/>
      <c r="I276" s="191"/>
      <c r="J276" s="65"/>
      <c r="K276" s="71">
        <v>642538.48</v>
      </c>
      <c r="L276" s="185"/>
      <c r="M276" s="73">
        <v>642538</v>
      </c>
      <c r="N276" s="73"/>
      <c r="O276" s="73">
        <v>0</v>
      </c>
      <c r="P276" s="73"/>
      <c r="Q276" s="73">
        <v>0</v>
      </c>
      <c r="R276" s="19"/>
      <c r="S276" s="74">
        <v>0</v>
      </c>
      <c r="T276" s="25" t="s">
        <v>209</v>
      </c>
      <c r="U276" s="186">
        <v>0</v>
      </c>
      <c r="V276" s="23"/>
      <c r="W276" s="202"/>
    </row>
    <row r="277" spans="1:23">
      <c r="A277" s="80"/>
      <c r="C277" s="19"/>
      <c r="G277" s="190"/>
      <c r="H277" s="190"/>
      <c r="I277" s="191"/>
      <c r="J277" s="65"/>
      <c r="K277" s="71"/>
      <c r="L277" s="185"/>
      <c r="M277" s="73"/>
      <c r="N277" s="73"/>
      <c r="O277" s="73"/>
      <c r="P277" s="73"/>
      <c r="Q277" s="73"/>
      <c r="R277" s="19"/>
      <c r="S277" s="74"/>
      <c r="T277" s="19"/>
      <c r="U277" s="186"/>
      <c r="V277" s="23"/>
      <c r="W277" s="202"/>
    </row>
    <row r="278" spans="1:23">
      <c r="A278" s="80">
        <v>398</v>
      </c>
      <c r="C278" s="19" t="s">
        <v>135</v>
      </c>
      <c r="G278" s="183"/>
      <c r="H278" s="183"/>
      <c r="I278" s="184"/>
      <c r="J278" s="65"/>
      <c r="K278" s="71"/>
      <c r="L278" s="185"/>
      <c r="M278" s="73"/>
      <c r="N278" s="73"/>
      <c r="O278" s="73"/>
      <c r="P278" s="73"/>
      <c r="Q278" s="73"/>
      <c r="R278" s="19"/>
      <c r="S278" s="74"/>
      <c r="T278" s="19"/>
      <c r="U278" s="186"/>
      <c r="V278" s="23"/>
      <c r="W278" s="202"/>
    </row>
    <row r="279" spans="1:23">
      <c r="A279" s="80"/>
      <c r="C279" s="95" t="s">
        <v>120</v>
      </c>
      <c r="G279" s="169"/>
      <c r="H279" s="169"/>
      <c r="I279" s="170"/>
      <c r="J279" s="50"/>
      <c r="K279" s="55">
        <v>413882.29</v>
      </c>
      <c r="L279" s="171"/>
      <c r="M279" s="57">
        <v>413882</v>
      </c>
      <c r="N279" s="57"/>
      <c r="O279" s="57">
        <v>0</v>
      </c>
      <c r="P279" s="57"/>
      <c r="Q279" s="57">
        <v>0</v>
      </c>
      <c r="R279" s="50"/>
      <c r="S279" s="58">
        <v>0</v>
      </c>
      <c r="T279" s="50"/>
      <c r="U279" s="172">
        <v>0</v>
      </c>
      <c r="V279" s="23"/>
      <c r="W279" s="202"/>
    </row>
    <row r="280" spans="1:23">
      <c r="A280" s="80"/>
      <c r="C280" s="95" t="s">
        <v>121</v>
      </c>
      <c r="G280" s="169" t="s">
        <v>202</v>
      </c>
      <c r="H280" s="169" t="s">
        <v>178</v>
      </c>
      <c r="I280" s="170">
        <v>0</v>
      </c>
      <c r="J280" s="50"/>
      <c r="K280" s="60">
        <v>2014590.63</v>
      </c>
      <c r="L280" s="171"/>
      <c r="M280" s="62">
        <v>918854</v>
      </c>
      <c r="N280" s="57"/>
      <c r="O280" s="62">
        <v>1095737</v>
      </c>
      <c r="P280" s="57"/>
      <c r="Q280" s="62">
        <v>100721</v>
      </c>
      <c r="R280" s="50"/>
      <c r="S280" s="58">
        <v>5</v>
      </c>
      <c r="T280" s="50"/>
      <c r="U280" s="172">
        <v>10.9</v>
      </c>
      <c r="V280" s="23"/>
      <c r="W280" s="202"/>
    </row>
    <row r="281" spans="1:23">
      <c r="A281" s="80"/>
      <c r="C281" s="37"/>
      <c r="G281" s="183"/>
      <c r="H281" s="183"/>
      <c r="I281" s="184"/>
      <c r="J281" s="65"/>
      <c r="K281" s="71"/>
      <c r="L281" s="185"/>
      <c r="M281" s="73"/>
      <c r="N281" s="73"/>
      <c r="O281" s="73"/>
      <c r="P281" s="73"/>
      <c r="Q281" s="73"/>
      <c r="R281" s="19"/>
      <c r="S281" s="74"/>
      <c r="T281" s="19"/>
      <c r="U281" s="186"/>
      <c r="V281" s="23"/>
      <c r="W281" s="202"/>
    </row>
    <row r="282" spans="1:23">
      <c r="A282" s="80"/>
      <c r="C282" s="50" t="s">
        <v>136</v>
      </c>
      <c r="G282" s="183"/>
      <c r="H282" s="183"/>
      <c r="I282" s="184"/>
      <c r="J282" s="65"/>
      <c r="K282" s="60">
        <f>SUBTOTAL(9,K279:K281)</f>
        <v>2428472.92</v>
      </c>
      <c r="L282" s="171"/>
      <c r="M282" s="62">
        <f>SUBTOTAL(9,M279:M281)</f>
        <v>1332736</v>
      </c>
      <c r="N282" s="57"/>
      <c r="O282" s="62">
        <f>SUBTOTAL(9,O279:O281)</f>
        <v>1095737</v>
      </c>
      <c r="P282" s="57"/>
      <c r="Q282" s="62">
        <f>SUBTOTAL(9,Q279:Q281)</f>
        <v>100721</v>
      </c>
      <c r="R282" s="50"/>
      <c r="S282" s="58">
        <f>+ROUND(Q282/K282*100,2)</f>
        <v>4.1500000000000004</v>
      </c>
      <c r="T282" s="19"/>
      <c r="U282" s="186"/>
      <c r="V282" s="23"/>
      <c r="W282" s="202"/>
    </row>
    <row r="283" spans="1:23">
      <c r="A283" s="80"/>
      <c r="C283" s="19"/>
      <c r="G283" s="183"/>
      <c r="H283" s="183"/>
      <c r="I283" s="184"/>
      <c r="J283" s="65"/>
      <c r="K283" s="71"/>
      <c r="L283" s="185"/>
      <c r="M283" s="73"/>
      <c r="N283" s="73"/>
      <c r="O283" s="73"/>
      <c r="P283" s="73"/>
      <c r="Q283" s="73"/>
      <c r="R283" s="19"/>
      <c r="S283" s="74"/>
      <c r="T283" s="19"/>
      <c r="U283" s="186"/>
      <c r="V283" s="23"/>
      <c r="W283" s="202"/>
    </row>
    <row r="284" spans="1:23" ht="15.75">
      <c r="A284" s="23"/>
      <c r="C284" s="81" t="s">
        <v>137</v>
      </c>
      <c r="G284" s="25"/>
      <c r="I284" s="188"/>
      <c r="K284" s="97">
        <f>SUBTOTAL(9,K239:K283)</f>
        <v>141393195.67999998</v>
      </c>
      <c r="L284" s="192"/>
      <c r="M284" s="104">
        <f>SUBTOTAL(9,M239:M283)</f>
        <v>85499035.120000005</v>
      </c>
      <c r="N284" s="104"/>
      <c r="O284" s="104">
        <f>SUBTOTAL(9,O239:O283)</f>
        <v>55894160</v>
      </c>
      <c r="P284" s="104"/>
      <c r="Q284" s="104">
        <f>SUBTOTAL(9,Q239:Q283)</f>
        <v>4986678</v>
      </c>
      <c r="R284" s="93"/>
      <c r="S284" s="84">
        <f>+ROUND(Q284/K284*100,2)</f>
        <v>3.53</v>
      </c>
      <c r="T284" s="93"/>
      <c r="U284" s="189"/>
      <c r="V284" s="23"/>
      <c r="W284" s="202"/>
    </row>
    <row r="285" spans="1:23" ht="15.75">
      <c r="A285" s="23"/>
      <c r="C285" s="81"/>
      <c r="G285" s="25"/>
      <c r="I285" s="188"/>
      <c r="K285" s="97"/>
      <c r="L285" s="192"/>
      <c r="M285" s="104"/>
      <c r="N285" s="104"/>
      <c r="O285" s="104"/>
      <c r="P285" s="104"/>
      <c r="Q285" s="104"/>
      <c r="R285" s="93"/>
      <c r="S285" s="84"/>
      <c r="T285" s="93"/>
      <c r="U285" s="189"/>
      <c r="V285" s="23"/>
      <c r="W285" s="23"/>
    </row>
    <row r="286" spans="1:23" ht="15.75">
      <c r="A286" s="37"/>
      <c r="B286" s="37"/>
      <c r="C286" s="38" t="s">
        <v>210</v>
      </c>
      <c r="D286" s="37"/>
      <c r="E286" s="37"/>
      <c r="F286" s="37"/>
      <c r="G286" s="169"/>
      <c r="H286" s="37"/>
      <c r="I286" s="170"/>
      <c r="J286" s="37"/>
      <c r="K286" s="105"/>
      <c r="L286" s="42"/>
      <c r="M286" s="107"/>
      <c r="N286" s="107"/>
      <c r="O286" s="107"/>
      <c r="P286" s="107"/>
      <c r="Q286" s="107"/>
      <c r="R286" s="93"/>
      <c r="S286" s="84"/>
      <c r="T286" s="93"/>
      <c r="U286" s="189"/>
      <c r="V286" s="23"/>
      <c r="W286" s="23"/>
    </row>
    <row r="287" spans="1:23" ht="15.75">
      <c r="A287" s="37"/>
      <c r="B287" s="37"/>
      <c r="C287" s="108"/>
      <c r="D287" s="37"/>
      <c r="E287" s="37"/>
      <c r="F287" s="37"/>
      <c r="G287" s="169"/>
      <c r="H287" s="37"/>
      <c r="I287" s="170"/>
      <c r="J287" s="37"/>
      <c r="K287" s="105"/>
      <c r="L287" s="42"/>
      <c r="M287" s="107"/>
      <c r="N287" s="107"/>
      <c r="O287" s="107"/>
      <c r="P287" s="107"/>
      <c r="Q287" s="107"/>
      <c r="R287" s="93"/>
      <c r="S287" s="84"/>
      <c r="T287" s="93"/>
      <c r="U287" s="189"/>
      <c r="V287" s="23"/>
      <c r="W287" s="23"/>
    </row>
    <row r="288" spans="1:23" ht="15.75">
      <c r="A288" s="109">
        <v>391</v>
      </c>
      <c r="B288" s="37"/>
      <c r="C288" s="37" t="s">
        <v>119</v>
      </c>
      <c r="D288" s="37"/>
      <c r="E288" s="37"/>
      <c r="F288" s="37"/>
      <c r="G288" s="169"/>
      <c r="H288" s="37"/>
      <c r="I288" s="170"/>
      <c r="J288" s="37"/>
      <c r="K288" s="105"/>
      <c r="L288" s="42"/>
      <c r="M288" s="110">
        <v>1216907</v>
      </c>
      <c r="N288" s="107"/>
      <c r="O288" s="107"/>
      <c r="P288" s="107"/>
      <c r="Q288" s="110">
        <f t="shared" ref="Q288:Q294" si="33">-M288/10</f>
        <v>-121690.7</v>
      </c>
      <c r="R288" s="28" t="s">
        <v>211</v>
      </c>
      <c r="S288" s="84"/>
      <c r="T288" s="93"/>
      <c r="U288" s="189"/>
      <c r="V288" s="23"/>
      <c r="W288" s="23"/>
    </row>
    <row r="289" spans="1:23" ht="15.75">
      <c r="A289" s="109">
        <v>391.1</v>
      </c>
      <c r="B289" s="37"/>
      <c r="C289" s="37" t="s">
        <v>123</v>
      </c>
      <c r="D289" s="37"/>
      <c r="E289" s="37"/>
      <c r="F289" s="37"/>
      <c r="G289" s="169"/>
      <c r="H289" s="37"/>
      <c r="I289" s="170"/>
      <c r="J289" s="37"/>
      <c r="K289" s="105"/>
      <c r="L289" s="42"/>
      <c r="M289" s="110">
        <v>6179000</v>
      </c>
      <c r="N289" s="107"/>
      <c r="O289" s="107"/>
      <c r="P289" s="107"/>
      <c r="Q289" s="110">
        <f t="shared" si="33"/>
        <v>-617900</v>
      </c>
      <c r="R289" s="28" t="s">
        <v>211</v>
      </c>
      <c r="S289" s="84"/>
      <c r="T289" s="93"/>
      <c r="U289" s="189"/>
      <c r="V289" s="23"/>
      <c r="W289" s="23"/>
    </row>
    <row r="290" spans="1:23" ht="15.75">
      <c r="A290" s="109">
        <v>393</v>
      </c>
      <c r="B290" s="37"/>
      <c r="C290" s="112" t="s">
        <v>126</v>
      </c>
      <c r="D290" s="37"/>
      <c r="E290" s="37"/>
      <c r="F290" s="37"/>
      <c r="G290" s="169"/>
      <c r="H290" s="37"/>
      <c r="I290" s="170"/>
      <c r="J290" s="37"/>
      <c r="K290" s="105"/>
      <c r="L290" s="42"/>
      <c r="M290" s="110">
        <v>31577</v>
      </c>
      <c r="N290" s="107"/>
      <c r="O290" s="107"/>
      <c r="P290" s="107"/>
      <c r="Q290" s="110">
        <f t="shared" si="33"/>
        <v>-3157.7</v>
      </c>
      <c r="R290" s="28" t="s">
        <v>211</v>
      </c>
      <c r="S290" s="84"/>
      <c r="T290" s="93"/>
      <c r="U290" s="189"/>
      <c r="V290" s="23"/>
      <c r="W290" s="23"/>
    </row>
    <row r="291" spans="1:23" ht="15.75">
      <c r="A291" s="109">
        <v>394</v>
      </c>
      <c r="B291" s="37"/>
      <c r="C291" s="113" t="s">
        <v>127</v>
      </c>
      <c r="D291" s="37"/>
      <c r="E291" s="37"/>
      <c r="F291" s="37"/>
      <c r="G291" s="169"/>
      <c r="H291" s="37"/>
      <c r="I291" s="170"/>
      <c r="J291" s="37"/>
      <c r="K291" s="105"/>
      <c r="L291" s="42"/>
      <c r="M291" s="110">
        <v>424910</v>
      </c>
      <c r="N291" s="107"/>
      <c r="O291" s="107"/>
      <c r="P291" s="107"/>
      <c r="Q291" s="110">
        <f t="shared" si="33"/>
        <v>-42491</v>
      </c>
      <c r="R291" s="28" t="s">
        <v>211</v>
      </c>
      <c r="S291" s="84"/>
      <c r="T291" s="93"/>
      <c r="U291" s="189"/>
      <c r="V291" s="23"/>
      <c r="W291" s="23"/>
    </row>
    <row r="292" spans="1:23" ht="15.75">
      <c r="A292" s="109">
        <v>395</v>
      </c>
      <c r="B292" s="37"/>
      <c r="C292" s="112" t="s">
        <v>129</v>
      </c>
      <c r="D292" s="37"/>
      <c r="E292" s="37"/>
      <c r="F292" s="37"/>
      <c r="G292" s="169"/>
      <c r="H292" s="37"/>
      <c r="I292" s="170"/>
      <c r="J292" s="37"/>
      <c r="K292" s="105"/>
      <c r="L292" s="42"/>
      <c r="M292" s="110">
        <v>735653</v>
      </c>
      <c r="N292" s="107"/>
      <c r="O292" s="107"/>
      <c r="P292" s="107"/>
      <c r="Q292" s="110">
        <f t="shared" si="33"/>
        <v>-73565.3</v>
      </c>
      <c r="R292" s="28" t="s">
        <v>211</v>
      </c>
      <c r="S292" s="84"/>
      <c r="T292" s="93"/>
      <c r="U292" s="189"/>
      <c r="V292" s="23"/>
      <c r="W292" s="23"/>
    </row>
    <row r="293" spans="1:23" ht="15.75">
      <c r="A293" s="109">
        <v>397</v>
      </c>
      <c r="B293" s="37"/>
      <c r="C293" s="50" t="s">
        <v>132</v>
      </c>
      <c r="D293" s="37"/>
      <c r="E293" s="37"/>
      <c r="F293" s="37"/>
      <c r="G293" s="169"/>
      <c r="H293" s="37"/>
      <c r="I293" s="170"/>
      <c r="J293" s="37"/>
      <c r="K293" s="105"/>
      <c r="L293" s="42"/>
      <c r="M293" s="110">
        <v>9419253</v>
      </c>
      <c r="N293" s="107"/>
      <c r="O293" s="107"/>
      <c r="P293" s="107"/>
      <c r="Q293" s="110">
        <f t="shared" si="33"/>
        <v>-941925.3</v>
      </c>
      <c r="R293" s="28" t="s">
        <v>211</v>
      </c>
      <c r="S293" s="84"/>
      <c r="T293" s="93"/>
      <c r="U293" s="189"/>
      <c r="V293" s="23"/>
      <c r="W293" s="23"/>
    </row>
    <row r="294" spans="1:23" ht="15.75">
      <c r="A294" s="109">
        <v>398</v>
      </c>
      <c r="B294" s="37"/>
      <c r="C294" s="50" t="s">
        <v>135</v>
      </c>
      <c r="D294" s="37"/>
      <c r="E294" s="37"/>
      <c r="F294" s="37"/>
      <c r="G294" s="169"/>
      <c r="H294" s="37"/>
      <c r="I294" s="170"/>
      <c r="J294" s="37"/>
      <c r="K294" s="105"/>
      <c r="L294" s="42"/>
      <c r="M294" s="114">
        <v>1095737</v>
      </c>
      <c r="N294" s="107"/>
      <c r="O294" s="107"/>
      <c r="P294" s="107"/>
      <c r="Q294" s="114">
        <f t="shared" si="33"/>
        <v>-109573.7</v>
      </c>
      <c r="R294" s="28" t="s">
        <v>211</v>
      </c>
      <c r="S294" s="84"/>
      <c r="T294" s="93"/>
      <c r="U294" s="189"/>
      <c r="V294" s="23"/>
      <c r="W294" s="23"/>
    </row>
    <row r="295" spans="1:23" ht="15.75">
      <c r="A295" s="37"/>
      <c r="B295" s="37"/>
      <c r="C295" s="108"/>
      <c r="D295" s="37"/>
      <c r="E295" s="37"/>
      <c r="F295" s="37"/>
      <c r="G295" s="169"/>
      <c r="H295" s="37"/>
      <c r="I295" s="170"/>
      <c r="J295" s="37"/>
      <c r="K295" s="105"/>
      <c r="L295" s="42"/>
      <c r="M295" s="107"/>
      <c r="N295" s="107"/>
      <c r="O295" s="107"/>
      <c r="P295" s="107"/>
      <c r="Q295" s="107"/>
      <c r="R295" s="93"/>
      <c r="S295" s="84"/>
      <c r="T295" s="93"/>
      <c r="U295" s="189"/>
      <c r="V295" s="23"/>
      <c r="W295" s="23"/>
    </row>
    <row r="296" spans="1:23" ht="15.75">
      <c r="A296" s="37"/>
      <c r="B296" s="37"/>
      <c r="C296" s="108" t="s">
        <v>140</v>
      </c>
      <c r="D296" s="37"/>
      <c r="E296" s="37"/>
      <c r="F296" s="37"/>
      <c r="G296" s="169"/>
      <c r="H296" s="37"/>
      <c r="I296" s="170"/>
      <c r="J296" s="37"/>
      <c r="K296" s="105"/>
      <c r="L296" s="42"/>
      <c r="M296" s="117">
        <f>SUBTOTAL(9,M288:M295)</f>
        <v>19103037</v>
      </c>
      <c r="N296" s="107"/>
      <c r="O296" s="107"/>
      <c r="P296" s="107"/>
      <c r="Q296" s="117">
        <f>SUBTOTAL(9,Q288:Q295)</f>
        <v>-1910303.7</v>
      </c>
      <c r="R296" s="93"/>
      <c r="S296" s="84"/>
      <c r="T296" s="93"/>
      <c r="U296" s="189"/>
      <c r="V296" s="23"/>
      <c r="W296" s="23"/>
    </row>
    <row r="297" spans="1:23" ht="15.75">
      <c r="A297" s="23"/>
      <c r="C297" s="81"/>
      <c r="G297" s="25"/>
      <c r="I297" s="188"/>
      <c r="K297" s="118"/>
      <c r="L297" s="93"/>
      <c r="M297" s="120"/>
      <c r="N297" s="120"/>
      <c r="O297" s="120"/>
      <c r="P297" s="120"/>
      <c r="Q297" s="120"/>
      <c r="R297" s="93"/>
      <c r="S297" s="49"/>
      <c r="U297" s="193"/>
      <c r="V297" s="23"/>
      <c r="W297" s="23"/>
    </row>
    <row r="298" spans="1:23" ht="16.5" thickBot="1">
      <c r="A298" s="23"/>
      <c r="C298" s="81" t="s">
        <v>141</v>
      </c>
      <c r="G298" s="25"/>
      <c r="I298" s="188"/>
      <c r="K298" s="121">
        <f>SUBTOTAL(9,K15:K297)</f>
        <v>4037004423.8900018</v>
      </c>
      <c r="L298" s="93"/>
      <c r="M298" s="194">
        <f>SUBTOTAL(9,M15:M297)</f>
        <v>1539337386.8800001</v>
      </c>
      <c r="N298" s="120"/>
      <c r="O298" s="194">
        <f>SUBTOTAL(9,O15:O297)</f>
        <v>2976664132</v>
      </c>
      <c r="P298" s="120"/>
      <c r="Q298" s="194">
        <f>SUBTOTAL(9,Q15:Q297)</f>
        <v>129084263.3</v>
      </c>
      <c r="R298" s="93"/>
      <c r="S298" s="84">
        <f>+ROUND(Q298/K298*100,2)</f>
        <v>3.2</v>
      </c>
      <c r="T298" s="93"/>
      <c r="U298" s="189"/>
      <c r="V298" s="23"/>
      <c r="W298" s="23"/>
    </row>
    <row r="299" spans="1:23" ht="16.5" thickTop="1">
      <c r="A299" s="23"/>
      <c r="C299" s="93"/>
      <c r="G299" s="25"/>
      <c r="I299" s="188"/>
      <c r="K299" s="118"/>
      <c r="L299" s="93"/>
      <c r="M299" s="120"/>
      <c r="N299" s="120"/>
      <c r="O299" s="120"/>
      <c r="P299" s="120"/>
      <c r="Q299" s="120"/>
      <c r="R299" s="93"/>
      <c r="S299" s="49"/>
      <c r="U299" s="193"/>
      <c r="V299" s="23"/>
      <c r="W299" s="23"/>
    </row>
    <row r="300" spans="1:23" ht="15.75">
      <c r="A300" s="23"/>
      <c r="C300" s="124" t="s">
        <v>142</v>
      </c>
      <c r="G300" s="25"/>
      <c r="I300" s="188"/>
      <c r="K300" s="118"/>
      <c r="L300" s="93"/>
      <c r="M300" s="120"/>
      <c r="N300" s="120"/>
      <c r="O300" s="120"/>
      <c r="P300" s="120"/>
      <c r="Q300" s="120"/>
      <c r="R300" s="93"/>
      <c r="S300" s="49"/>
      <c r="U300" s="193"/>
      <c r="V300" s="23"/>
      <c r="W300" s="23"/>
    </row>
    <row r="301" spans="1:23" ht="15.75">
      <c r="A301" s="23"/>
      <c r="C301" s="93"/>
      <c r="G301" s="25"/>
      <c r="I301" s="188"/>
      <c r="K301" s="118"/>
      <c r="L301" s="93"/>
      <c r="M301" s="120"/>
      <c r="N301" s="120"/>
      <c r="O301" s="120"/>
      <c r="P301" s="120"/>
      <c r="Q301" s="120"/>
      <c r="R301" s="93"/>
      <c r="S301" s="49"/>
      <c r="U301" s="193"/>
      <c r="V301" s="23"/>
      <c r="W301" s="23"/>
    </row>
    <row r="302" spans="1:23" ht="15.75">
      <c r="A302" s="80">
        <v>301</v>
      </c>
      <c r="C302" s="19" t="s">
        <v>143</v>
      </c>
      <c r="G302" s="25"/>
      <c r="I302" s="188"/>
      <c r="K302" s="87">
        <v>5040.43</v>
      </c>
      <c r="L302" s="19"/>
      <c r="M302" s="89"/>
      <c r="N302" s="120"/>
      <c r="O302" s="120"/>
      <c r="P302" s="120"/>
      <c r="Q302" s="120"/>
      <c r="R302" s="93"/>
      <c r="S302" s="49"/>
      <c r="U302" s="193"/>
      <c r="V302" s="23"/>
      <c r="W302" s="23"/>
    </row>
    <row r="303" spans="1:23" ht="15.75">
      <c r="A303" s="109">
        <v>310</v>
      </c>
      <c r="B303" s="37"/>
      <c r="C303" s="50" t="s">
        <v>144</v>
      </c>
      <c r="D303" s="37"/>
      <c r="E303" s="37"/>
      <c r="F303" s="37"/>
      <c r="G303" s="169"/>
      <c r="H303" s="37"/>
      <c r="I303" s="170"/>
      <c r="J303" s="37"/>
      <c r="K303" s="55">
        <v>6916766.1399999997</v>
      </c>
      <c r="L303" s="19"/>
      <c r="M303" s="89"/>
      <c r="N303" s="120"/>
      <c r="O303" s="120"/>
      <c r="P303" s="120"/>
      <c r="Q303" s="120"/>
      <c r="R303" s="93"/>
      <c r="S303" s="49"/>
      <c r="U303" s="193"/>
      <c r="V303" s="23"/>
      <c r="W303" s="23"/>
    </row>
    <row r="304" spans="1:23" ht="15.75">
      <c r="A304" s="80">
        <v>340</v>
      </c>
      <c r="C304" s="19" t="s">
        <v>144</v>
      </c>
      <c r="G304" s="25"/>
      <c r="I304" s="188"/>
      <c r="K304" s="87">
        <v>5964035.6900000004</v>
      </c>
      <c r="L304" s="19"/>
      <c r="M304" s="89"/>
      <c r="N304" s="120"/>
      <c r="O304" s="120"/>
      <c r="P304" s="120"/>
      <c r="Q304" s="120"/>
      <c r="R304" s="93"/>
      <c r="S304" s="49"/>
      <c r="U304" s="193"/>
      <c r="V304" s="23"/>
      <c r="W304" s="23"/>
    </row>
    <row r="305" spans="1:23" ht="15.75">
      <c r="A305" s="80">
        <v>350</v>
      </c>
      <c r="C305" s="19" t="s">
        <v>144</v>
      </c>
      <c r="G305" s="25"/>
      <c r="I305" s="188"/>
      <c r="K305" s="87">
        <v>5771527.6600000001</v>
      </c>
      <c r="L305" s="19"/>
      <c r="M305" s="89"/>
      <c r="N305" s="120"/>
      <c r="O305" s="120"/>
      <c r="P305" s="120"/>
      <c r="Q305" s="120"/>
      <c r="R305" s="93"/>
      <c r="S305" s="49"/>
      <c r="U305" s="193"/>
      <c r="V305" s="23"/>
      <c r="W305" s="23"/>
    </row>
    <row r="306" spans="1:23" ht="15.75">
      <c r="A306" s="80">
        <v>350.1</v>
      </c>
      <c r="C306" s="19" t="s">
        <v>46</v>
      </c>
      <c r="G306" s="25"/>
      <c r="I306" s="188"/>
      <c r="K306" s="87">
        <v>55719148.420000002</v>
      </c>
      <c r="L306" s="19"/>
      <c r="M306" s="89"/>
      <c r="N306" s="120"/>
      <c r="O306" s="120"/>
      <c r="P306" s="120"/>
      <c r="Q306" s="120"/>
      <c r="R306" s="93"/>
      <c r="S306" s="49"/>
      <c r="U306" s="193"/>
      <c r="V306" s="23"/>
      <c r="W306" s="23"/>
    </row>
    <row r="307" spans="1:23" ht="15.75">
      <c r="A307" s="80">
        <v>360</v>
      </c>
      <c r="C307" s="19" t="s">
        <v>144</v>
      </c>
      <c r="G307" s="25"/>
      <c r="I307" s="188"/>
      <c r="K307" s="87">
        <v>10115251.35</v>
      </c>
      <c r="L307" s="19"/>
      <c r="M307" s="89"/>
      <c r="N307" s="120"/>
      <c r="O307" s="120"/>
      <c r="P307" s="120"/>
      <c r="Q307" s="120"/>
      <c r="R307" s="93"/>
      <c r="S307" s="49"/>
      <c r="U307" s="193"/>
      <c r="V307" s="23"/>
      <c r="W307" s="23"/>
    </row>
    <row r="308" spans="1:23" ht="15.75">
      <c r="A308" s="80">
        <v>389</v>
      </c>
      <c r="C308" s="19" t="s">
        <v>144</v>
      </c>
      <c r="G308" s="25"/>
      <c r="I308" s="188"/>
      <c r="K308" s="87">
        <v>1381311.62</v>
      </c>
      <c r="L308" s="19"/>
      <c r="M308" s="27"/>
      <c r="N308" s="120"/>
      <c r="O308" s="120"/>
      <c r="P308" s="120"/>
      <c r="Q308" s="120"/>
      <c r="R308" s="93"/>
      <c r="S308" s="49"/>
      <c r="U308" s="193"/>
      <c r="V308" s="23"/>
      <c r="W308" s="23"/>
    </row>
    <row r="309" spans="1:23" ht="15.75">
      <c r="A309" s="80">
        <v>389.1</v>
      </c>
      <c r="C309" s="19" t="s">
        <v>46</v>
      </c>
      <c r="G309" s="25"/>
      <c r="I309" s="188"/>
      <c r="K309" s="75">
        <v>454290.88</v>
      </c>
      <c r="L309" s="19"/>
      <c r="M309" s="27"/>
      <c r="N309" s="120"/>
      <c r="O309" s="120"/>
      <c r="P309" s="120"/>
      <c r="Q309" s="120"/>
      <c r="R309" s="93"/>
      <c r="S309" s="49"/>
      <c r="U309" s="193"/>
      <c r="V309" s="23"/>
      <c r="W309" s="23"/>
    </row>
    <row r="310" spans="1:23" ht="15.75">
      <c r="A310" s="23"/>
      <c r="C310" s="93"/>
      <c r="G310" s="25"/>
      <c r="I310" s="188"/>
      <c r="K310" s="118"/>
      <c r="L310" s="93"/>
      <c r="M310" s="104"/>
      <c r="N310" s="120"/>
      <c r="O310" s="104"/>
      <c r="P310" s="104"/>
      <c r="Q310" s="104"/>
      <c r="R310" s="93"/>
      <c r="S310" s="49"/>
      <c r="U310" s="193"/>
      <c r="V310" s="23"/>
      <c r="W310" s="23"/>
    </row>
    <row r="311" spans="1:23" ht="15.75">
      <c r="A311" s="23"/>
      <c r="C311" s="81" t="s">
        <v>145</v>
      </c>
      <c r="G311" s="25"/>
      <c r="I311" s="188"/>
      <c r="K311" s="82">
        <f>SUBTOTAL(9,K302:K310)</f>
        <v>86327372.189999998</v>
      </c>
      <c r="L311" s="93"/>
      <c r="M311" s="104"/>
      <c r="N311" s="120"/>
      <c r="O311" s="104"/>
      <c r="P311" s="104"/>
      <c r="Q311" s="104"/>
      <c r="R311" s="93"/>
      <c r="S311" s="49"/>
      <c r="U311" s="193"/>
      <c r="V311" s="23"/>
      <c r="W311" s="23"/>
    </row>
    <row r="312" spans="1:23" ht="15.75">
      <c r="A312" s="23"/>
      <c r="C312" s="93"/>
      <c r="G312" s="25"/>
      <c r="I312" s="188"/>
      <c r="K312" s="118"/>
      <c r="L312" s="93"/>
      <c r="M312" s="104"/>
      <c r="N312" s="120"/>
      <c r="O312" s="104"/>
      <c r="P312" s="104"/>
      <c r="Q312" s="104"/>
      <c r="R312" s="93"/>
      <c r="S312" s="49"/>
      <c r="U312" s="193"/>
      <c r="V312" s="23"/>
      <c r="W312" s="23"/>
    </row>
    <row r="313" spans="1:23" ht="16.5" thickBot="1">
      <c r="A313" s="23"/>
      <c r="C313" s="81" t="s">
        <v>146</v>
      </c>
      <c r="G313" s="25"/>
      <c r="I313" s="188"/>
      <c r="K313" s="121">
        <f>SUBTOTAL(9,K15:K312)</f>
        <v>4123331796.0800014</v>
      </c>
      <c r="L313" s="93"/>
      <c r="M313" s="104"/>
      <c r="N313" s="120"/>
      <c r="O313" s="104"/>
      <c r="P313" s="104"/>
      <c r="Q313" s="104"/>
      <c r="R313" s="93"/>
      <c r="S313" s="49"/>
      <c r="U313" s="193"/>
      <c r="V313" s="23"/>
      <c r="W313" s="23"/>
    </row>
    <row r="314" spans="1:23" ht="16.5" thickTop="1">
      <c r="A314" s="23"/>
      <c r="C314" s="81"/>
      <c r="G314" s="25"/>
      <c r="I314" s="188"/>
      <c r="K314" s="87"/>
      <c r="L314" s="93"/>
      <c r="M314" s="104"/>
      <c r="N314" s="120"/>
      <c r="O314" s="104"/>
      <c r="P314" s="104"/>
      <c r="Q314" s="104"/>
      <c r="R314" s="93"/>
      <c r="S314" s="49"/>
      <c r="U314" s="193"/>
      <c r="V314" s="23"/>
      <c r="W314" s="23"/>
    </row>
    <row r="315" spans="1:23">
      <c r="B315" s="195" t="s">
        <v>181</v>
      </c>
      <c r="C315" s="50" t="s">
        <v>212</v>
      </c>
      <c r="O315" s="196"/>
      <c r="P315" s="196"/>
      <c r="Q315" s="196"/>
    </row>
    <row r="316" spans="1:23">
      <c r="B316" s="195" t="s">
        <v>209</v>
      </c>
      <c r="C316" s="112" t="s">
        <v>213</v>
      </c>
    </row>
    <row r="317" spans="1:23">
      <c r="B317" s="197" t="s">
        <v>211</v>
      </c>
      <c r="C317" s="19" t="s">
        <v>214</v>
      </c>
    </row>
  </sheetData>
  <printOptions horizontalCentered="1"/>
  <pageMargins left="1" right="0.5" top="1" bottom="0.75" header="0.5" footer="0.5"/>
  <pageSetup scale="33" fitToHeight="0" orientation="landscape" r:id="rId1"/>
  <rowBreaks count="4" manualBreakCount="4">
    <brk id="67" max="20" man="1"/>
    <brk id="133" max="20" man="1"/>
    <brk id="204" max="20" man="1"/>
    <brk id="269" max="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7"/>
  <sheetViews>
    <sheetView zoomScale="64" zoomScaleNormal="64" workbookViewId="0">
      <pane xSplit="4" ySplit="9" topLeftCell="G10" activePane="bottomRight" state="frozen"/>
      <selection pane="topRight" activeCell="E1" sqref="E1"/>
      <selection pane="bottomLeft" activeCell="A10" sqref="A10"/>
      <selection pane="bottomRight" activeCell="I22" sqref="I22:I212"/>
    </sheetView>
  </sheetViews>
  <sheetFormatPr defaultColWidth="12.5703125" defaultRowHeight="15"/>
  <cols>
    <col min="1" max="1" width="10" style="18" customWidth="1"/>
    <col min="2" max="2" width="3.7109375" style="18" customWidth="1"/>
    <col min="3" max="3" width="77.7109375" style="18" customWidth="1"/>
    <col min="4" max="4" width="3.5703125" style="18" customWidth="1"/>
    <col min="5" max="5" width="23.28515625" style="18" customWidth="1"/>
    <col min="6" max="6" width="3.5703125" style="18" customWidth="1"/>
    <col min="7" max="7" width="18.140625" style="18" customWidth="1"/>
    <col min="8" max="8" width="3.7109375" style="18" customWidth="1"/>
    <col min="9" max="9" width="19" style="175" customWidth="1"/>
    <col min="10" max="10" width="3.5703125" style="18" customWidth="1"/>
    <col min="11" max="11" width="29.7109375" style="18" customWidth="1"/>
    <col min="12" max="12" width="3.5703125" style="18" customWidth="1"/>
    <col min="13" max="13" width="29" style="20" customWidth="1"/>
    <col min="14" max="14" width="3.5703125" style="20" customWidth="1"/>
    <col min="15" max="15" width="30.5703125" style="20" customWidth="1"/>
    <col min="16" max="16" width="3.5703125" style="20" customWidth="1"/>
    <col min="17" max="17" width="27.28515625" style="20" customWidth="1"/>
    <col min="18" max="18" width="4.28515625" style="18" customWidth="1"/>
    <col min="19" max="19" width="20.7109375" style="18" customWidth="1"/>
    <col min="20" max="20" width="3.5703125" style="18" customWidth="1"/>
    <col min="21" max="21" width="19.5703125" style="18" customWidth="1"/>
    <col min="22" max="22" width="12.5703125" style="18"/>
    <col min="23" max="23" width="15.28515625" style="18" customWidth="1"/>
    <col min="24" max="24" width="12.5703125" style="18"/>
    <col min="25" max="25" width="15.42578125" style="18" customWidth="1"/>
    <col min="26" max="26" width="12.5703125" style="18"/>
    <col min="27" max="27" width="16.42578125" style="18" customWidth="1"/>
    <col min="28" max="16384" width="12.5703125" style="18"/>
  </cols>
  <sheetData>
    <row r="1" spans="1:27" ht="15.75">
      <c r="A1" s="153" t="s">
        <v>148</v>
      </c>
      <c r="B1" s="153"/>
      <c r="C1" s="153"/>
      <c r="D1" s="153"/>
      <c r="E1" s="153"/>
      <c r="F1" s="153"/>
      <c r="G1" s="153"/>
      <c r="H1" s="153"/>
      <c r="I1" s="154"/>
      <c r="J1" s="153"/>
      <c r="K1" s="153"/>
      <c r="L1" s="153"/>
      <c r="M1" s="153"/>
      <c r="N1" s="153"/>
      <c r="O1" s="153"/>
      <c r="P1" s="153"/>
      <c r="Q1" s="153"/>
      <c r="R1" s="153"/>
      <c r="S1" s="153"/>
      <c r="T1" s="153"/>
      <c r="U1" s="153"/>
      <c r="V1" s="23"/>
      <c r="W1" s="23"/>
    </row>
    <row r="2" spans="1:27" ht="15.75">
      <c r="A2" s="153"/>
      <c r="B2" s="153"/>
      <c r="C2" s="153"/>
      <c r="D2" s="153"/>
      <c r="E2" s="153"/>
      <c r="F2" s="153"/>
      <c r="G2" s="153"/>
      <c r="H2" s="153"/>
      <c r="I2" s="154"/>
      <c r="J2" s="153"/>
      <c r="K2" s="153"/>
      <c r="L2" s="153"/>
      <c r="M2" s="153"/>
      <c r="N2" s="153"/>
      <c r="O2" s="153"/>
      <c r="P2" s="153"/>
      <c r="Q2" s="153"/>
      <c r="R2" s="153"/>
      <c r="S2" s="153"/>
      <c r="T2" s="153"/>
      <c r="U2" s="153"/>
      <c r="V2" s="23"/>
      <c r="W2" s="23"/>
    </row>
    <row r="3" spans="1:27" ht="15.75">
      <c r="A3" s="153" t="s">
        <v>149</v>
      </c>
      <c r="B3" s="153"/>
      <c r="C3" s="153"/>
      <c r="D3" s="153"/>
      <c r="E3" s="153"/>
      <c r="F3" s="153"/>
      <c r="G3" s="153"/>
      <c r="H3" s="153"/>
      <c r="I3" s="154"/>
      <c r="J3" s="153"/>
      <c r="K3" s="153"/>
      <c r="L3" s="153"/>
      <c r="M3" s="153"/>
      <c r="N3" s="153"/>
      <c r="O3" s="153"/>
      <c r="P3" s="153"/>
      <c r="Q3" s="153"/>
      <c r="R3" s="153"/>
      <c r="S3" s="153"/>
      <c r="T3" s="153"/>
      <c r="U3" s="153"/>
      <c r="V3" s="23"/>
      <c r="W3" s="23"/>
    </row>
    <row r="4" spans="1:27" ht="15.75">
      <c r="A4" s="153" t="s">
        <v>150</v>
      </c>
      <c r="B4" s="153"/>
      <c r="C4" s="153"/>
      <c r="D4" s="153"/>
      <c r="E4" s="153"/>
      <c r="F4" s="153"/>
      <c r="G4" s="153"/>
      <c r="H4" s="153"/>
      <c r="I4" s="154"/>
      <c r="J4" s="153"/>
      <c r="K4" s="153"/>
      <c r="L4" s="153"/>
      <c r="M4" s="153"/>
      <c r="N4" s="153"/>
      <c r="O4" s="153"/>
      <c r="P4" s="153"/>
      <c r="Q4" s="153"/>
      <c r="R4" s="153"/>
      <c r="S4" s="153"/>
      <c r="T4" s="153"/>
      <c r="U4" s="153"/>
      <c r="V4" s="23"/>
      <c r="W4" s="23"/>
    </row>
    <row r="5" spans="1:27" ht="15.75">
      <c r="A5" s="21"/>
      <c r="B5" s="22"/>
      <c r="C5" s="22"/>
      <c r="D5" s="22"/>
      <c r="E5" s="22"/>
      <c r="F5" s="22"/>
      <c r="G5" s="22"/>
      <c r="H5" s="22"/>
      <c r="I5" s="155"/>
      <c r="J5" s="22"/>
      <c r="K5" s="22"/>
      <c r="L5" s="22"/>
      <c r="M5" s="156"/>
      <c r="N5" s="156"/>
      <c r="O5" s="156"/>
      <c r="P5" s="156"/>
      <c r="V5" s="23"/>
      <c r="W5" s="28" t="s">
        <v>217</v>
      </c>
      <c r="Y5" s="28" t="s">
        <v>164</v>
      </c>
      <c r="AA5" s="28" t="s">
        <v>217</v>
      </c>
    </row>
    <row r="6" spans="1:27" ht="15.75">
      <c r="A6" s="23"/>
      <c r="B6" s="93"/>
      <c r="C6" s="24"/>
      <c r="D6" s="28"/>
      <c r="E6" s="157" t="s">
        <v>151</v>
      </c>
      <c r="F6" s="28"/>
      <c r="G6" s="28"/>
      <c r="H6" s="28"/>
      <c r="I6" s="158" t="s">
        <v>152</v>
      </c>
      <c r="J6" s="28"/>
      <c r="K6" s="28" t="s">
        <v>153</v>
      </c>
      <c r="L6" s="28"/>
      <c r="M6" s="36" t="s">
        <v>154</v>
      </c>
      <c r="N6" s="36"/>
      <c r="O6" s="36"/>
      <c r="P6" s="36"/>
      <c r="Q6" s="159" t="s">
        <v>155</v>
      </c>
      <c r="R6" s="160"/>
      <c r="S6" s="160"/>
      <c r="T6" s="25"/>
      <c r="U6" s="28"/>
      <c r="V6" s="23"/>
      <c r="W6" s="28" t="s">
        <v>156</v>
      </c>
      <c r="Y6" s="28" t="s">
        <v>173</v>
      </c>
      <c r="AA6" s="28" t="s">
        <v>156</v>
      </c>
    </row>
    <row r="7" spans="1:27" ht="15.75">
      <c r="A7" s="23"/>
      <c r="B7" s="93"/>
      <c r="C7" s="28"/>
      <c r="D7" s="28"/>
      <c r="E7" s="157" t="s">
        <v>157</v>
      </c>
      <c r="F7" s="28"/>
      <c r="G7" s="28" t="s">
        <v>158</v>
      </c>
      <c r="H7" s="28"/>
      <c r="I7" s="158" t="s">
        <v>159</v>
      </c>
      <c r="J7" s="28"/>
      <c r="K7" s="28" t="s">
        <v>160</v>
      </c>
      <c r="L7" s="28"/>
      <c r="M7" s="36" t="s">
        <v>161</v>
      </c>
      <c r="N7" s="36"/>
      <c r="O7" s="36" t="s">
        <v>162</v>
      </c>
      <c r="P7" s="36"/>
      <c r="Q7" s="161" t="s">
        <v>163</v>
      </c>
      <c r="R7" s="162"/>
      <c r="S7" s="163"/>
      <c r="T7" s="25"/>
      <c r="U7" s="28" t="s">
        <v>164</v>
      </c>
      <c r="V7" s="23"/>
      <c r="W7" s="28" t="s">
        <v>164</v>
      </c>
      <c r="Y7" s="28" t="s">
        <v>218</v>
      </c>
      <c r="AA7" s="28" t="s">
        <v>164</v>
      </c>
    </row>
    <row r="8" spans="1:27" ht="15.75">
      <c r="A8" s="23"/>
      <c r="B8" s="93"/>
      <c r="C8" s="28" t="s">
        <v>36</v>
      </c>
      <c r="D8" s="28"/>
      <c r="E8" s="164" t="s">
        <v>165</v>
      </c>
      <c r="F8" s="28"/>
      <c r="G8" s="28" t="s">
        <v>166</v>
      </c>
      <c r="H8" s="28"/>
      <c r="I8" s="158" t="s">
        <v>167</v>
      </c>
      <c r="J8" s="28"/>
      <c r="K8" s="165" t="s">
        <v>168</v>
      </c>
      <c r="L8" s="28"/>
      <c r="M8" s="36" t="s">
        <v>169</v>
      </c>
      <c r="N8" s="36"/>
      <c r="O8" s="36" t="s">
        <v>170</v>
      </c>
      <c r="P8" s="36"/>
      <c r="Q8" s="36" t="s">
        <v>171</v>
      </c>
      <c r="R8" s="28"/>
      <c r="S8" s="24" t="s">
        <v>172</v>
      </c>
      <c r="T8" s="25"/>
      <c r="U8" s="28" t="s">
        <v>173</v>
      </c>
      <c r="V8" s="23"/>
      <c r="W8" s="28" t="s">
        <v>173</v>
      </c>
      <c r="Y8" s="28" t="s">
        <v>219</v>
      </c>
      <c r="AA8" s="28" t="s">
        <v>173</v>
      </c>
    </row>
    <row r="9" spans="1:27" ht="15.75">
      <c r="A9" s="23"/>
      <c r="B9" s="93"/>
      <c r="C9" s="166">
        <v>-1</v>
      </c>
      <c r="D9" s="35"/>
      <c r="E9" s="166">
        <v>-2</v>
      </c>
      <c r="F9" s="35"/>
      <c r="G9" s="167">
        <v>-3</v>
      </c>
      <c r="H9" s="35"/>
      <c r="I9" s="166">
        <v>-4</v>
      </c>
      <c r="J9" s="35"/>
      <c r="K9" s="166">
        <v>-5</v>
      </c>
      <c r="L9" s="36"/>
      <c r="M9" s="166">
        <v>-6</v>
      </c>
      <c r="N9" s="36"/>
      <c r="O9" s="166">
        <v>-7</v>
      </c>
      <c r="P9" s="36"/>
      <c r="Q9" s="166">
        <v>-8</v>
      </c>
      <c r="R9" s="35"/>
      <c r="S9" s="168" t="s">
        <v>174</v>
      </c>
      <c r="U9" s="168" t="s">
        <v>175</v>
      </c>
      <c r="V9" s="23"/>
      <c r="W9" s="28" t="s">
        <v>215</v>
      </c>
      <c r="AA9" s="28" t="s">
        <v>215</v>
      </c>
    </row>
    <row r="10" spans="1:27" ht="15.75">
      <c r="A10" s="23"/>
      <c r="B10" s="93"/>
      <c r="C10" s="35"/>
      <c r="D10" s="35"/>
      <c r="E10" s="35"/>
      <c r="F10" s="35"/>
      <c r="G10" s="35"/>
      <c r="H10" s="35"/>
      <c r="I10" s="158"/>
      <c r="J10" s="35"/>
      <c r="K10" s="35"/>
      <c r="L10" s="35"/>
      <c r="M10" s="36"/>
      <c r="N10" s="36"/>
      <c r="O10" s="36"/>
      <c r="P10" s="36"/>
      <c r="Q10" s="36"/>
      <c r="R10" s="35"/>
      <c r="S10" s="35"/>
      <c r="U10" s="35"/>
      <c r="V10" s="23"/>
      <c r="W10" s="28" t="s">
        <v>216</v>
      </c>
      <c r="AA10" s="28" t="s">
        <v>216</v>
      </c>
    </row>
    <row r="11" spans="1:27" ht="15.75">
      <c r="A11" s="23"/>
      <c r="B11" s="93"/>
      <c r="C11" s="34" t="s">
        <v>176</v>
      </c>
      <c r="D11" s="35"/>
      <c r="E11" s="35"/>
      <c r="F11" s="35"/>
      <c r="G11" s="35"/>
      <c r="H11" s="35"/>
      <c r="I11" s="158"/>
      <c r="J11" s="35"/>
      <c r="K11" s="35"/>
      <c r="L11" s="35"/>
      <c r="M11" s="36"/>
      <c r="N11" s="36"/>
      <c r="O11" s="36"/>
      <c r="P11" s="36"/>
      <c r="Q11" s="36"/>
      <c r="R11" s="35"/>
      <c r="S11" s="35"/>
      <c r="U11" s="35"/>
      <c r="V11" s="23"/>
      <c r="W11" s="23"/>
      <c r="AA11" s="23"/>
    </row>
    <row r="12" spans="1:27" ht="15.75">
      <c r="A12" s="23"/>
      <c r="B12" s="93"/>
      <c r="C12" s="34"/>
      <c r="D12" s="35"/>
      <c r="E12" s="35"/>
      <c r="F12" s="35"/>
      <c r="G12" s="35"/>
      <c r="H12" s="35"/>
      <c r="I12" s="158"/>
      <c r="J12" s="35"/>
      <c r="K12" s="35"/>
      <c r="L12" s="35"/>
      <c r="M12" s="36"/>
      <c r="N12" s="36"/>
      <c r="O12" s="36"/>
      <c r="P12" s="36"/>
      <c r="Q12" s="36"/>
      <c r="R12" s="35"/>
      <c r="S12" s="35"/>
      <c r="U12" s="35"/>
      <c r="V12" s="23"/>
      <c r="W12" s="23"/>
      <c r="AA12" s="23"/>
    </row>
    <row r="13" spans="1:27" ht="15.75">
      <c r="A13" s="37"/>
      <c r="B13" s="42"/>
      <c r="C13" s="38" t="s">
        <v>43</v>
      </c>
      <c r="D13" s="35"/>
      <c r="E13" s="35"/>
      <c r="F13" s="35"/>
      <c r="G13" s="35"/>
      <c r="H13" s="35"/>
      <c r="I13" s="158"/>
      <c r="J13" s="35"/>
      <c r="K13" s="35"/>
      <c r="L13" s="35"/>
      <c r="M13" s="36"/>
      <c r="N13" s="36"/>
      <c r="O13" s="36"/>
      <c r="P13" s="36"/>
      <c r="Q13" s="36"/>
      <c r="R13" s="35"/>
      <c r="S13" s="35"/>
      <c r="U13" s="35"/>
      <c r="V13" s="23"/>
      <c r="W13" s="23"/>
      <c r="AA13" s="23"/>
    </row>
    <row r="14" spans="1:27" ht="15.75">
      <c r="A14" s="37"/>
      <c r="B14" s="42"/>
      <c r="C14" s="39"/>
      <c r="D14" s="35"/>
      <c r="E14" s="35"/>
      <c r="F14" s="35"/>
      <c r="G14" s="35"/>
      <c r="H14" s="35"/>
      <c r="I14" s="158"/>
      <c r="J14" s="35"/>
      <c r="K14" s="35"/>
      <c r="L14" s="35"/>
      <c r="M14" s="36"/>
      <c r="N14" s="36"/>
      <c r="O14" s="36"/>
      <c r="P14" s="36"/>
      <c r="Q14" s="36"/>
      <c r="R14" s="35"/>
      <c r="S14" s="35"/>
      <c r="U14" s="35"/>
      <c r="V14" s="23"/>
      <c r="W14" s="23"/>
      <c r="AA14" s="23"/>
    </row>
    <row r="15" spans="1:27" ht="15.75">
      <c r="A15" s="41">
        <v>303</v>
      </c>
      <c r="B15" s="50"/>
      <c r="C15" s="50" t="s">
        <v>44</v>
      </c>
      <c r="D15" s="35"/>
      <c r="E15" s="35"/>
      <c r="F15" s="35"/>
      <c r="G15" s="169" t="s">
        <v>177</v>
      </c>
      <c r="H15" s="169" t="s">
        <v>178</v>
      </c>
      <c r="I15" s="170">
        <v>0</v>
      </c>
      <c r="J15" s="50"/>
      <c r="K15" s="60">
        <v>2333311.0499999998</v>
      </c>
      <c r="L15" s="171"/>
      <c r="M15" s="62">
        <v>1134520</v>
      </c>
      <c r="N15" s="57"/>
      <c r="O15" s="205">
        <f>ROUND((K15+(K15*-(I15/100)))-M15,0)</f>
        <v>1198791</v>
      </c>
      <c r="P15" s="57"/>
      <c r="Q15" s="62">
        <v>266398</v>
      </c>
      <c r="R15" s="50"/>
      <c r="S15" s="74">
        <v>11.42</v>
      </c>
      <c r="T15" s="181"/>
      <c r="U15" s="186">
        <v>4.5</v>
      </c>
      <c r="V15" s="23"/>
      <c r="W15" s="23"/>
      <c r="AA15" s="23"/>
    </row>
    <row r="16" spans="1:27" ht="15.75">
      <c r="A16" s="37"/>
      <c r="B16" s="42"/>
      <c r="C16" s="39"/>
      <c r="D16" s="35"/>
      <c r="E16" s="35"/>
      <c r="F16" s="35"/>
      <c r="G16" s="35"/>
      <c r="H16" s="35"/>
      <c r="I16" s="158"/>
      <c r="J16" s="35"/>
      <c r="K16" s="35"/>
      <c r="L16" s="35"/>
      <c r="M16" s="36"/>
      <c r="N16" s="36"/>
      <c r="O16" s="36"/>
      <c r="P16" s="36"/>
      <c r="Q16" s="36"/>
      <c r="R16" s="35"/>
      <c r="S16" s="35"/>
      <c r="U16" s="35"/>
      <c r="V16" s="23"/>
      <c r="W16" s="23"/>
      <c r="AA16" s="23"/>
    </row>
    <row r="17" spans="1:27" ht="15.75">
      <c r="A17" s="37"/>
      <c r="B17" s="42"/>
      <c r="C17" s="108" t="s">
        <v>179</v>
      </c>
      <c r="D17" s="35"/>
      <c r="E17" s="35"/>
      <c r="F17" s="35"/>
      <c r="G17" s="35"/>
      <c r="H17" s="35"/>
      <c r="I17" s="158"/>
      <c r="J17" s="35"/>
      <c r="K17" s="105">
        <f>SUBTOTAL(9,K15:K16)</f>
        <v>2333311.0499999998</v>
      </c>
      <c r="L17" s="173"/>
      <c r="M17" s="174">
        <f>SUBTOTAL(9,M15:M16)</f>
        <v>1134520</v>
      </c>
      <c r="N17" s="174"/>
      <c r="O17" s="174">
        <f>SUBTOTAL(9,O15:O16)</f>
        <v>1198791</v>
      </c>
      <c r="P17" s="174"/>
      <c r="Q17" s="174">
        <f>SUBTOTAL(9,Q15:Q16)</f>
        <v>266398</v>
      </c>
      <c r="R17" s="42"/>
      <c r="S17" s="84">
        <f>+ROUND(Q17/K17*100,2)</f>
        <v>11.42</v>
      </c>
      <c r="U17" s="35"/>
      <c r="V17" s="23"/>
      <c r="W17" s="23"/>
      <c r="AA17" s="23"/>
    </row>
    <row r="18" spans="1:27" ht="15.75">
      <c r="A18" s="23"/>
      <c r="B18" s="93"/>
      <c r="C18" s="35"/>
      <c r="D18" s="35"/>
      <c r="E18" s="35"/>
      <c r="F18" s="35"/>
      <c r="G18" s="35"/>
      <c r="H18" s="35"/>
      <c r="I18" s="158"/>
      <c r="J18" s="35"/>
      <c r="K18" s="35"/>
      <c r="L18" s="35"/>
      <c r="M18" s="36"/>
      <c r="N18" s="36"/>
      <c r="O18" s="36"/>
      <c r="P18" s="36"/>
      <c r="Q18" s="36"/>
      <c r="R18" s="35"/>
      <c r="S18" s="35"/>
      <c r="U18" s="35"/>
      <c r="V18" s="23"/>
      <c r="W18" s="23"/>
      <c r="AA18" s="23"/>
    </row>
    <row r="19" spans="1:27" ht="15.75">
      <c r="A19" s="23"/>
      <c r="C19" s="24" t="s">
        <v>45</v>
      </c>
      <c r="M19" s="46"/>
      <c r="N19" s="46"/>
      <c r="O19" s="46"/>
      <c r="P19" s="46"/>
      <c r="Q19" s="46"/>
      <c r="S19" s="47"/>
      <c r="U19" s="80"/>
      <c r="V19" s="23"/>
      <c r="W19" s="23"/>
      <c r="AA19" s="23"/>
    </row>
    <row r="20" spans="1:27" ht="15.75">
      <c r="A20" s="23"/>
      <c r="C20" s="48"/>
      <c r="M20" s="46"/>
      <c r="N20" s="46"/>
      <c r="O20" s="46"/>
      <c r="P20" s="46"/>
      <c r="Q20" s="46"/>
      <c r="S20" s="49"/>
      <c r="U20" s="176"/>
      <c r="V20" s="23"/>
      <c r="W20" s="23"/>
      <c r="AA20" s="23"/>
    </row>
    <row r="21" spans="1:27">
      <c r="A21" s="41">
        <v>310.10000000000002</v>
      </c>
      <c r="B21" s="50"/>
      <c r="C21" s="50" t="s">
        <v>46</v>
      </c>
      <c r="D21" s="37"/>
      <c r="E21" s="37"/>
      <c r="F21" s="37"/>
      <c r="G21" s="37"/>
      <c r="H21" s="37"/>
      <c r="I21" s="177"/>
      <c r="J21" s="37"/>
      <c r="K21" s="37"/>
      <c r="L21" s="37"/>
      <c r="M21" s="52"/>
      <c r="N21" s="52"/>
      <c r="O21" s="52"/>
      <c r="P21" s="52"/>
      <c r="Q21" s="52"/>
      <c r="R21" s="37"/>
      <c r="S21" s="49"/>
      <c r="T21" s="23"/>
      <c r="U21" s="176"/>
      <c r="V21" s="23"/>
      <c r="W21" s="23"/>
      <c r="AA21" s="23"/>
    </row>
    <row r="22" spans="1:27">
      <c r="A22" s="37"/>
      <c r="B22" s="37"/>
      <c r="C22" s="54" t="s">
        <v>47</v>
      </c>
      <c r="D22" s="50"/>
      <c r="E22" s="169">
        <v>2030</v>
      </c>
      <c r="F22" s="50"/>
      <c r="G22" s="169" t="s">
        <v>180</v>
      </c>
      <c r="H22" s="169" t="s">
        <v>181</v>
      </c>
      <c r="I22" s="170">
        <v>0</v>
      </c>
      <c r="J22" s="50"/>
      <c r="K22" s="55">
        <v>5325571.5599999996</v>
      </c>
      <c r="L22" s="171"/>
      <c r="M22" s="57">
        <v>0</v>
      </c>
      <c r="N22" s="57"/>
      <c r="O22" s="198">
        <f>ROUND((K22+(K22*-(I22/100)))-M22,0)</f>
        <v>5325572</v>
      </c>
      <c r="P22" s="57"/>
      <c r="Q22" s="57">
        <f>O22/U22</f>
        <v>484142.90909090912</v>
      </c>
      <c r="R22" s="50"/>
      <c r="S22" s="74">
        <f>Q22/K22*100</f>
        <v>9.0909098420021817</v>
      </c>
      <c r="T22" s="181"/>
      <c r="U22" s="186">
        <f>E22-2019</f>
        <v>11</v>
      </c>
      <c r="V22" s="23"/>
      <c r="W22" s="301">
        <v>10.500006900671732</v>
      </c>
      <c r="Y22" s="303"/>
      <c r="AA22" s="301">
        <f>W22+Y22</f>
        <v>10.500006900671732</v>
      </c>
    </row>
    <row r="23" spans="1:27">
      <c r="A23" s="37"/>
      <c r="B23" s="37"/>
      <c r="C23" s="54" t="s">
        <v>48</v>
      </c>
      <c r="D23" s="50"/>
      <c r="E23" s="169">
        <v>2030</v>
      </c>
      <c r="F23" s="50"/>
      <c r="G23" s="169" t="s">
        <v>180</v>
      </c>
      <c r="H23" s="169" t="s">
        <v>181</v>
      </c>
      <c r="I23" s="170">
        <v>0</v>
      </c>
      <c r="J23" s="50"/>
      <c r="K23" s="55">
        <v>480134.08</v>
      </c>
      <c r="L23" s="171"/>
      <c r="M23" s="57">
        <v>0</v>
      </c>
      <c r="N23" s="57"/>
      <c r="O23" s="198">
        <f>ROUND((K23+(K23*-(I23/100)))-M23,0)</f>
        <v>480134</v>
      </c>
      <c r="P23" s="57"/>
      <c r="Q23" s="57">
        <f>O23/U23</f>
        <v>43648.545454545456</v>
      </c>
      <c r="R23" s="50"/>
      <c r="S23" s="74">
        <f>Q23/K23*100</f>
        <v>9.0909075761806903</v>
      </c>
      <c r="T23" s="181"/>
      <c r="U23" s="186">
        <f>E23-2019</f>
        <v>11</v>
      </c>
      <c r="V23" s="23"/>
      <c r="W23" s="301">
        <v>10.500010934458853</v>
      </c>
      <c r="Y23" s="303"/>
      <c r="AA23" s="301">
        <f>W23+Y23</f>
        <v>10.500010934458853</v>
      </c>
    </row>
    <row r="24" spans="1:27">
      <c r="A24" s="37"/>
      <c r="B24" s="37"/>
      <c r="C24" s="54" t="s">
        <v>49</v>
      </c>
      <c r="D24" s="50"/>
      <c r="E24" s="169">
        <v>2049</v>
      </c>
      <c r="F24" s="50"/>
      <c r="G24" s="169" t="s">
        <v>180</v>
      </c>
      <c r="H24" s="169" t="s">
        <v>181</v>
      </c>
      <c r="I24" s="170">
        <v>0</v>
      </c>
      <c r="J24" s="50"/>
      <c r="K24" s="55">
        <v>20170029.309999999</v>
      </c>
      <c r="L24" s="171"/>
      <c r="M24" s="57">
        <v>0</v>
      </c>
      <c r="N24" s="57"/>
      <c r="O24" s="198">
        <f>ROUND((K24+(K24*-(I24/100)))-M24,0)</f>
        <v>20170029</v>
      </c>
      <c r="P24" s="57"/>
      <c r="Q24" s="57">
        <f>O24/U24</f>
        <v>672334.3</v>
      </c>
      <c r="R24" s="50"/>
      <c r="S24" s="74">
        <f>Q24/K24*100</f>
        <v>3.333333282102207</v>
      </c>
      <c r="T24" s="181"/>
      <c r="U24" s="186">
        <f>E24-2019</f>
        <v>30</v>
      </c>
      <c r="V24" s="23"/>
      <c r="W24" s="301">
        <v>29.499991224606205</v>
      </c>
      <c r="Y24" s="303"/>
      <c r="AA24" s="301">
        <f>W24+Y24</f>
        <v>29.499991224606205</v>
      </c>
    </row>
    <row r="25" spans="1:27">
      <c r="A25" s="37"/>
      <c r="B25" s="37"/>
      <c r="C25" s="54" t="s">
        <v>50</v>
      </c>
      <c r="D25" s="50"/>
      <c r="E25" s="169">
        <v>2049</v>
      </c>
      <c r="F25" s="50"/>
      <c r="G25" s="169" t="s">
        <v>180</v>
      </c>
      <c r="H25" s="169" t="s">
        <v>181</v>
      </c>
      <c r="I25" s="170">
        <v>0</v>
      </c>
      <c r="J25" s="50"/>
      <c r="K25" s="55">
        <v>1050779.8600000001</v>
      </c>
      <c r="L25" s="171"/>
      <c r="M25" s="57">
        <v>0</v>
      </c>
      <c r="N25" s="57"/>
      <c r="O25" s="198">
        <f>ROUND((K25+(K25*-(I25/100)))-M25,0)</f>
        <v>1050780</v>
      </c>
      <c r="P25" s="57"/>
      <c r="Q25" s="57">
        <f>O25/U25</f>
        <v>35026</v>
      </c>
      <c r="R25" s="50"/>
      <c r="S25" s="74">
        <f>Q25/K25*100</f>
        <v>3.333333777447923</v>
      </c>
      <c r="T25" s="181"/>
      <c r="U25" s="186">
        <f>E25-2019</f>
        <v>30</v>
      </c>
      <c r="V25" s="23"/>
      <c r="W25" s="301">
        <v>29.499719258843346</v>
      </c>
      <c r="Y25" s="303"/>
      <c r="AA25" s="301">
        <f>W25+Y25</f>
        <v>29.499719258843346</v>
      </c>
    </row>
    <row r="26" spans="1:27">
      <c r="A26" s="37"/>
      <c r="B26" s="37"/>
      <c r="C26" s="54" t="s">
        <v>51</v>
      </c>
      <c r="D26" s="50"/>
      <c r="E26" s="169">
        <v>2026</v>
      </c>
      <c r="F26" s="50"/>
      <c r="G26" s="169" t="s">
        <v>180</v>
      </c>
      <c r="H26" s="169" t="s">
        <v>181</v>
      </c>
      <c r="I26" s="170">
        <v>0</v>
      </c>
      <c r="J26" s="50"/>
      <c r="K26" s="60">
        <v>6050424.8700000001</v>
      </c>
      <c r="L26" s="171"/>
      <c r="M26" s="62">
        <v>1462186</v>
      </c>
      <c r="N26" s="57"/>
      <c r="O26" s="205">
        <f>ROUND((K26+(K26*-(I26/100)))-M26,0)</f>
        <v>4588239</v>
      </c>
      <c r="P26" s="57"/>
      <c r="Q26" s="62">
        <f>O26/U26</f>
        <v>655462.71428571432</v>
      </c>
      <c r="R26" s="50"/>
      <c r="S26" s="74">
        <f>Q26/K26*100</f>
        <v>10.833333664478911</v>
      </c>
      <c r="T26" s="181"/>
      <c r="U26" s="186">
        <f>E26-2019</f>
        <v>7</v>
      </c>
      <c r="V26" s="23"/>
      <c r="W26" s="301">
        <v>6.4999992916673159</v>
      </c>
      <c r="Y26" s="303"/>
      <c r="AA26" s="301">
        <f>W26+Y26</f>
        <v>6.4999992916673159</v>
      </c>
    </row>
    <row r="27" spans="1:27" ht="15.75">
      <c r="A27" s="23"/>
      <c r="C27" s="79"/>
      <c r="M27" s="46"/>
      <c r="N27" s="46"/>
      <c r="O27" s="46"/>
      <c r="P27" s="46"/>
      <c r="Q27" s="46"/>
      <c r="S27" s="49"/>
      <c r="U27" s="176"/>
      <c r="V27" s="23"/>
      <c r="W27" s="302"/>
      <c r="AA27" s="302"/>
    </row>
    <row r="28" spans="1:27">
      <c r="A28" s="23"/>
      <c r="C28" s="50" t="s">
        <v>52</v>
      </c>
      <c r="K28" s="55">
        <f>SUBTOTAL(9,K22:K27)</f>
        <v>33076939.68</v>
      </c>
      <c r="L28" s="171"/>
      <c r="M28" s="57">
        <f>SUBTOTAL(9,M22:M27)</f>
        <v>1462186</v>
      </c>
      <c r="N28" s="57"/>
      <c r="O28" s="57">
        <f>SUBTOTAL(9,O22:O27)</f>
        <v>31614754</v>
      </c>
      <c r="P28" s="57"/>
      <c r="Q28" s="57">
        <f>SUBTOTAL(9,Q22:Q27)</f>
        <v>1890614.468831169</v>
      </c>
      <c r="R28" s="50"/>
      <c r="S28" s="74">
        <f>+ROUND(Q28/K28*100,2)</f>
        <v>5.72</v>
      </c>
      <c r="U28" s="176"/>
      <c r="V28" s="23"/>
      <c r="W28" s="302"/>
      <c r="AA28" s="302"/>
    </row>
    <row r="29" spans="1:27" ht="15.75">
      <c r="A29" s="23"/>
      <c r="C29" s="79"/>
      <c r="M29" s="46"/>
      <c r="N29" s="46"/>
      <c r="O29" s="46"/>
      <c r="P29" s="46"/>
      <c r="Q29" s="46"/>
      <c r="S29" s="49"/>
      <c r="U29" s="176"/>
      <c r="V29" s="23"/>
      <c r="W29" s="302"/>
      <c r="AA29" s="302"/>
    </row>
    <row r="30" spans="1:27" s="19" customFormat="1">
      <c r="A30" s="64">
        <v>311</v>
      </c>
      <c r="B30" s="65"/>
      <c r="C30" s="65" t="s">
        <v>53</v>
      </c>
      <c r="D30" s="65"/>
      <c r="E30" s="65"/>
      <c r="F30" s="65"/>
      <c r="G30" s="65"/>
      <c r="H30" s="65"/>
      <c r="I30" s="179"/>
      <c r="J30" s="65"/>
      <c r="K30" s="65"/>
      <c r="L30" s="65"/>
      <c r="M30" s="67"/>
      <c r="N30" s="67"/>
      <c r="O30" s="67"/>
      <c r="P30" s="67"/>
      <c r="Q30" s="67"/>
      <c r="S30" s="68"/>
      <c r="U30" s="180"/>
      <c r="V30" s="181"/>
      <c r="W30" s="301"/>
      <c r="AA30" s="301"/>
    </row>
    <row r="31" spans="1:27" s="19" customFormat="1">
      <c r="A31" s="64"/>
      <c r="B31" s="65"/>
      <c r="C31" s="70" t="s">
        <v>54</v>
      </c>
      <c r="D31" s="65"/>
      <c r="E31" s="182">
        <v>2030</v>
      </c>
      <c r="F31" s="65"/>
      <c r="G31" s="183" t="s">
        <v>182</v>
      </c>
      <c r="H31" s="183" t="s">
        <v>181</v>
      </c>
      <c r="I31" s="184">
        <v>0</v>
      </c>
      <c r="J31" s="65"/>
      <c r="K31" s="71">
        <v>619445.56000000006</v>
      </c>
      <c r="L31" s="185"/>
      <c r="M31" s="73">
        <v>501279</v>
      </c>
      <c r="N31" s="73"/>
      <c r="O31" s="198">
        <f>ROUND((K31+(K31*-(I31/100)))-M31,0)</f>
        <v>118167</v>
      </c>
      <c r="P31" s="73"/>
      <c r="Q31" s="57">
        <f t="shared" ref="Q31:Q40" si="0">O31/U31</f>
        <v>10742.454545454546</v>
      </c>
      <c r="S31" s="74">
        <f t="shared" ref="S31:S40" si="1">Q31/K31*100</f>
        <v>1.7342047855592901</v>
      </c>
      <c r="U31" s="186">
        <f t="shared" ref="U31:U40" si="2">E31-2019</f>
        <v>11</v>
      </c>
      <c r="V31" s="181"/>
      <c r="W31" s="301">
        <v>10.295983270889606</v>
      </c>
      <c r="Y31" s="303"/>
      <c r="AA31" s="301">
        <f t="shared" ref="AA31:AA40" si="3">W31+Y31</f>
        <v>10.295983270889606</v>
      </c>
    </row>
    <row r="32" spans="1:27" s="19" customFormat="1">
      <c r="A32" s="64"/>
      <c r="B32" s="65"/>
      <c r="C32" s="70" t="s">
        <v>55</v>
      </c>
      <c r="D32" s="65"/>
      <c r="E32" s="182">
        <v>2030</v>
      </c>
      <c r="F32" s="65"/>
      <c r="G32" s="183" t="s">
        <v>182</v>
      </c>
      <c r="H32" s="183" t="s">
        <v>181</v>
      </c>
      <c r="I32" s="184">
        <v>0</v>
      </c>
      <c r="J32" s="65"/>
      <c r="K32" s="71">
        <v>11599889.130000001</v>
      </c>
      <c r="L32" s="185"/>
      <c r="M32" s="73">
        <v>8333766</v>
      </c>
      <c r="N32" s="73"/>
      <c r="O32" s="199">
        <f>ROUND((K32+(K32*-(I32/100)))-M32,0)</f>
        <v>3266123</v>
      </c>
      <c r="P32" s="73"/>
      <c r="Q32" s="57">
        <f t="shared" si="0"/>
        <v>296920.27272727271</v>
      </c>
      <c r="S32" s="74">
        <f t="shared" si="1"/>
        <v>2.5596819883335615</v>
      </c>
      <c r="U32" s="186">
        <f t="shared" si="2"/>
        <v>11</v>
      </c>
      <c r="V32" s="181"/>
      <c r="W32" s="301">
        <v>10.315539618127543</v>
      </c>
      <c r="Y32" s="303"/>
      <c r="AA32" s="301">
        <f t="shared" si="3"/>
        <v>10.315539618127543</v>
      </c>
    </row>
    <row r="33" spans="1:27" s="19" customFormat="1">
      <c r="A33" s="64"/>
      <c r="B33" s="65"/>
      <c r="C33" s="70" t="s">
        <v>56</v>
      </c>
      <c r="D33" s="65"/>
      <c r="E33" s="182">
        <v>2030</v>
      </c>
      <c r="F33" s="65"/>
      <c r="G33" s="183" t="s">
        <v>182</v>
      </c>
      <c r="H33" s="183" t="s">
        <v>181</v>
      </c>
      <c r="I33" s="184">
        <v>0</v>
      </c>
      <c r="J33" s="65"/>
      <c r="K33" s="71">
        <v>16839214.859999999</v>
      </c>
      <c r="L33" s="185"/>
      <c r="M33" s="73">
        <v>7532370</v>
      </c>
      <c r="N33" s="73"/>
      <c r="O33" s="198">
        <f t="shared" ref="O33:O40" si="4">ROUND((K33+(K33*-(I33/100)))-M33,0)</f>
        <v>9306845</v>
      </c>
      <c r="P33" s="73"/>
      <c r="Q33" s="57">
        <f t="shared" si="0"/>
        <v>846076.81818181823</v>
      </c>
      <c r="S33" s="74">
        <f t="shared" si="1"/>
        <v>5.0244433913103377</v>
      </c>
      <c r="U33" s="186">
        <f t="shared" si="2"/>
        <v>11</v>
      </c>
      <c r="V33" s="181"/>
      <c r="W33" s="301">
        <v>10.470004807483994</v>
      </c>
      <c r="Y33" s="303"/>
      <c r="AA33" s="301">
        <f t="shared" si="3"/>
        <v>10.470004807483994</v>
      </c>
    </row>
    <row r="34" spans="1:27" s="19" customFormat="1">
      <c r="A34" s="64"/>
      <c r="B34" s="65"/>
      <c r="C34" s="70" t="s">
        <v>57</v>
      </c>
      <c r="D34" s="65"/>
      <c r="E34" s="182">
        <v>2049</v>
      </c>
      <c r="F34" s="65"/>
      <c r="G34" s="183" t="s">
        <v>182</v>
      </c>
      <c r="H34" s="183" t="s">
        <v>181</v>
      </c>
      <c r="I34" s="184">
        <v>0</v>
      </c>
      <c r="J34" s="65"/>
      <c r="K34" s="71">
        <v>29901164.98</v>
      </c>
      <c r="L34" s="185"/>
      <c r="M34" s="73">
        <v>4504371</v>
      </c>
      <c r="N34" s="73"/>
      <c r="O34" s="198">
        <f t="shared" si="4"/>
        <v>25396794</v>
      </c>
      <c r="P34" s="73"/>
      <c r="Q34" s="57">
        <f t="shared" si="0"/>
        <v>846559.8</v>
      </c>
      <c r="S34" s="74">
        <f t="shared" si="1"/>
        <v>2.8311933684397874</v>
      </c>
      <c r="U34" s="186">
        <f t="shared" si="2"/>
        <v>30</v>
      </c>
      <c r="V34" s="181"/>
      <c r="W34" s="301">
        <v>29.072772152621638</v>
      </c>
      <c r="Y34" s="303"/>
      <c r="AA34" s="301">
        <f t="shared" si="3"/>
        <v>29.072772152621638</v>
      </c>
    </row>
    <row r="35" spans="1:27" s="19" customFormat="1">
      <c r="A35" s="64"/>
      <c r="B35" s="65"/>
      <c r="C35" s="70" t="s">
        <v>58</v>
      </c>
      <c r="D35" s="65"/>
      <c r="E35" s="182">
        <v>2040</v>
      </c>
      <c r="F35" s="65"/>
      <c r="G35" s="183" t="s">
        <v>182</v>
      </c>
      <c r="H35" s="183" t="s">
        <v>181</v>
      </c>
      <c r="I35" s="184">
        <v>0</v>
      </c>
      <c r="J35" s="65"/>
      <c r="K35" s="71">
        <v>27841989</v>
      </c>
      <c r="L35" s="185"/>
      <c r="M35" s="73">
        <v>17909967</v>
      </c>
      <c r="N35" s="73"/>
      <c r="O35" s="198">
        <f t="shared" si="4"/>
        <v>9932022</v>
      </c>
      <c r="P35" s="73"/>
      <c r="Q35" s="57">
        <f t="shared" si="0"/>
        <v>472953.42857142858</v>
      </c>
      <c r="S35" s="74">
        <f t="shared" si="1"/>
        <v>1.6987056081784551</v>
      </c>
      <c r="U35" s="186">
        <f t="shared" si="2"/>
        <v>21</v>
      </c>
      <c r="V35" s="181"/>
      <c r="W35" s="301">
        <v>19.318824248691858</v>
      </c>
      <c r="Y35" s="303"/>
      <c r="AA35" s="301">
        <f t="shared" si="3"/>
        <v>19.318824248691858</v>
      </c>
    </row>
    <row r="36" spans="1:27" s="19" customFormat="1">
      <c r="A36" s="64"/>
      <c r="B36" s="65"/>
      <c r="C36" s="70" t="s">
        <v>59</v>
      </c>
      <c r="D36" s="65"/>
      <c r="E36" s="182">
        <v>2042</v>
      </c>
      <c r="F36" s="65"/>
      <c r="G36" s="183" t="s">
        <v>182</v>
      </c>
      <c r="H36" s="183" t="s">
        <v>181</v>
      </c>
      <c r="I36" s="184">
        <v>0</v>
      </c>
      <c r="J36" s="65"/>
      <c r="K36" s="71">
        <v>34657321.799999997</v>
      </c>
      <c r="L36" s="185"/>
      <c r="M36" s="73">
        <v>23943936</v>
      </c>
      <c r="N36" s="73"/>
      <c r="O36" s="198">
        <f t="shared" si="4"/>
        <v>10713386</v>
      </c>
      <c r="P36" s="73"/>
      <c r="Q36" s="57">
        <f t="shared" si="0"/>
        <v>465799.39130434784</v>
      </c>
      <c r="S36" s="74">
        <f t="shared" si="1"/>
        <v>1.3440143874716477</v>
      </c>
      <c r="U36" s="186">
        <f t="shared" si="2"/>
        <v>23</v>
      </c>
      <c r="V36" s="181"/>
      <c r="W36" s="301">
        <v>20.94836008596555</v>
      </c>
      <c r="Y36" s="303"/>
      <c r="AA36" s="301">
        <f t="shared" si="3"/>
        <v>20.94836008596555</v>
      </c>
    </row>
    <row r="37" spans="1:27" s="19" customFormat="1">
      <c r="A37" s="64"/>
      <c r="B37" s="65"/>
      <c r="C37" s="70" t="s">
        <v>60</v>
      </c>
      <c r="D37" s="65"/>
      <c r="E37" s="182">
        <v>2045</v>
      </c>
      <c r="F37" s="65"/>
      <c r="G37" s="183" t="s">
        <v>182</v>
      </c>
      <c r="H37" s="183" t="s">
        <v>181</v>
      </c>
      <c r="I37" s="184">
        <v>0</v>
      </c>
      <c r="J37" s="65"/>
      <c r="K37" s="71">
        <v>135424737.28999999</v>
      </c>
      <c r="L37" s="185"/>
      <c r="M37" s="73">
        <v>43162292</v>
      </c>
      <c r="N37" s="73"/>
      <c r="O37" s="198">
        <f t="shared" si="4"/>
        <v>92262445</v>
      </c>
      <c r="P37" s="73"/>
      <c r="Q37" s="57">
        <f t="shared" si="0"/>
        <v>3548555.576923077</v>
      </c>
      <c r="S37" s="74">
        <f t="shared" si="1"/>
        <v>2.6203156439020163</v>
      </c>
      <c r="U37" s="186">
        <f t="shared" si="2"/>
        <v>26</v>
      </c>
      <c r="V37" s="181"/>
      <c r="W37" s="301">
        <v>24.892727217121642</v>
      </c>
      <c r="Y37" s="303"/>
      <c r="AA37" s="301">
        <f t="shared" si="3"/>
        <v>24.892727217121642</v>
      </c>
    </row>
    <row r="38" spans="1:27" s="19" customFormat="1">
      <c r="A38" s="64"/>
      <c r="B38" s="65"/>
      <c r="C38" s="70" t="s">
        <v>61</v>
      </c>
      <c r="D38" s="65"/>
      <c r="E38" s="182">
        <v>2049</v>
      </c>
      <c r="F38" s="65"/>
      <c r="G38" s="183" t="s">
        <v>182</v>
      </c>
      <c r="H38" s="183" t="s">
        <v>181</v>
      </c>
      <c r="I38" s="184">
        <v>0</v>
      </c>
      <c r="J38" s="65"/>
      <c r="K38" s="71">
        <v>91915875.079999998</v>
      </c>
      <c r="L38" s="185"/>
      <c r="M38" s="73">
        <v>9800259</v>
      </c>
      <c r="N38" s="73"/>
      <c r="O38" s="198">
        <f t="shared" si="4"/>
        <v>82115616</v>
      </c>
      <c r="P38" s="73"/>
      <c r="Q38" s="57">
        <f t="shared" si="0"/>
        <v>2737187.2</v>
      </c>
      <c r="S38" s="74">
        <f t="shared" si="1"/>
        <v>2.9779264981350164</v>
      </c>
      <c r="U38" s="186">
        <f t="shared" si="2"/>
        <v>30</v>
      </c>
      <c r="V38" s="181"/>
      <c r="W38" s="301">
        <v>28.844179386266937</v>
      </c>
      <c r="Y38" s="303"/>
      <c r="AA38" s="301">
        <f t="shared" si="3"/>
        <v>28.844179386266937</v>
      </c>
    </row>
    <row r="39" spans="1:27" s="19" customFormat="1">
      <c r="A39" s="64"/>
      <c r="B39" s="65"/>
      <c r="C39" s="70" t="s">
        <v>62</v>
      </c>
      <c r="D39" s="65"/>
      <c r="E39" s="182">
        <v>2040</v>
      </c>
      <c r="F39" s="65"/>
      <c r="G39" s="183" t="s">
        <v>182</v>
      </c>
      <c r="H39" s="183" t="s">
        <v>181</v>
      </c>
      <c r="I39" s="184">
        <v>0</v>
      </c>
      <c r="J39" s="65"/>
      <c r="K39" s="71">
        <v>25289573.359999999</v>
      </c>
      <c r="L39" s="185"/>
      <c r="M39" s="73">
        <v>9007550</v>
      </c>
      <c r="N39" s="73"/>
      <c r="O39" s="198">
        <f t="shared" si="4"/>
        <v>16282023</v>
      </c>
      <c r="P39" s="73"/>
      <c r="Q39" s="57">
        <f t="shared" si="0"/>
        <v>775334.42857142852</v>
      </c>
      <c r="S39" s="74">
        <f t="shared" si="1"/>
        <v>3.0658264476606756</v>
      </c>
      <c r="U39" s="186">
        <f t="shared" si="2"/>
        <v>21</v>
      </c>
      <c r="V39" s="181"/>
      <c r="W39" s="301">
        <v>20.269992319715424</v>
      </c>
      <c r="Y39" s="303"/>
      <c r="AA39" s="301">
        <f t="shared" si="3"/>
        <v>20.269992319715424</v>
      </c>
    </row>
    <row r="40" spans="1:27" s="19" customFormat="1">
      <c r="A40" s="64"/>
      <c r="B40" s="65"/>
      <c r="C40" s="70" t="s">
        <v>63</v>
      </c>
      <c r="D40" s="65"/>
      <c r="E40" s="182">
        <v>2042</v>
      </c>
      <c r="F40" s="65"/>
      <c r="G40" s="183" t="s">
        <v>182</v>
      </c>
      <c r="H40" s="183" t="s">
        <v>181</v>
      </c>
      <c r="I40" s="184">
        <v>0</v>
      </c>
      <c r="J40" s="65"/>
      <c r="K40" s="75">
        <v>22341947.210000001</v>
      </c>
      <c r="L40" s="185"/>
      <c r="M40" s="77">
        <v>8045353</v>
      </c>
      <c r="N40" s="73"/>
      <c r="O40" s="205">
        <f t="shared" si="4"/>
        <v>14296594</v>
      </c>
      <c r="P40" s="73"/>
      <c r="Q40" s="62">
        <f t="shared" si="0"/>
        <v>621591.04347826086</v>
      </c>
      <c r="S40" s="74">
        <f t="shared" si="1"/>
        <v>2.7821704063468728</v>
      </c>
      <c r="U40" s="186">
        <f t="shared" si="2"/>
        <v>23</v>
      </c>
      <c r="V40" s="181"/>
      <c r="W40" s="301">
        <v>22.200010357791719</v>
      </c>
      <c r="Y40" s="303"/>
      <c r="AA40" s="301">
        <f t="shared" si="3"/>
        <v>22.200010357791719</v>
      </c>
    </row>
    <row r="41" spans="1:27" s="19" customFormat="1">
      <c r="A41" s="64"/>
      <c r="B41" s="65"/>
      <c r="C41" s="78"/>
      <c r="D41" s="65"/>
      <c r="E41" s="65"/>
      <c r="F41" s="65"/>
      <c r="G41" s="183"/>
      <c r="H41" s="183"/>
      <c r="I41" s="184"/>
      <c r="J41" s="65"/>
      <c r="K41" s="71"/>
      <c r="L41" s="185"/>
      <c r="M41" s="73"/>
      <c r="N41" s="73"/>
      <c r="O41" s="73"/>
      <c r="P41" s="73"/>
      <c r="Q41" s="73"/>
      <c r="S41" s="74"/>
      <c r="U41" s="186"/>
      <c r="V41" s="181"/>
      <c r="W41" s="301"/>
      <c r="AA41" s="301"/>
    </row>
    <row r="42" spans="1:27" s="19" customFormat="1">
      <c r="A42" s="64"/>
      <c r="B42" s="65"/>
      <c r="C42" s="78" t="s">
        <v>64</v>
      </c>
      <c r="D42" s="65"/>
      <c r="E42" s="65"/>
      <c r="F42" s="65"/>
      <c r="G42" s="183"/>
      <c r="H42" s="183"/>
      <c r="I42" s="184"/>
      <c r="J42" s="65"/>
      <c r="K42" s="71">
        <f>SUBTOTAL(9,K31:K41)</f>
        <v>396431158.26999998</v>
      </c>
      <c r="L42" s="185"/>
      <c r="M42" s="73">
        <f>SUBTOTAL(9,M31:M41)</f>
        <v>132741143</v>
      </c>
      <c r="N42" s="73"/>
      <c r="O42" s="73">
        <f>SUBTOTAL(9,O31:O41)</f>
        <v>263690015</v>
      </c>
      <c r="P42" s="73"/>
      <c r="Q42" s="73">
        <f>SUBTOTAL(9,Q31:Q41)</f>
        <v>10621720.41430309</v>
      </c>
      <c r="S42" s="74">
        <f>+ROUND(Q42/K42*100,2)</f>
        <v>2.68</v>
      </c>
      <c r="U42" s="186"/>
      <c r="V42" s="181"/>
      <c r="W42" s="301"/>
      <c r="AA42" s="301"/>
    </row>
    <row r="43" spans="1:27" s="19" customFormat="1">
      <c r="A43" s="64"/>
      <c r="B43" s="65"/>
      <c r="C43" s="78"/>
      <c r="D43" s="65"/>
      <c r="E43" s="65"/>
      <c r="F43" s="65"/>
      <c r="G43" s="183"/>
      <c r="H43" s="183"/>
      <c r="I43" s="184"/>
      <c r="J43" s="65"/>
      <c r="K43" s="71"/>
      <c r="L43" s="185"/>
      <c r="M43" s="73"/>
      <c r="N43" s="73"/>
      <c r="O43" s="73"/>
      <c r="P43" s="73"/>
      <c r="Q43" s="73"/>
      <c r="S43" s="74"/>
      <c r="U43" s="186"/>
      <c r="V43" s="181"/>
      <c r="W43" s="301"/>
      <c r="AA43" s="301"/>
    </row>
    <row r="44" spans="1:27" s="19" customFormat="1">
      <c r="A44" s="64">
        <v>312</v>
      </c>
      <c r="B44" s="65"/>
      <c r="C44" s="78" t="s">
        <v>65</v>
      </c>
      <c r="D44" s="65"/>
      <c r="E44" s="65"/>
      <c r="F44" s="65"/>
      <c r="G44" s="183"/>
      <c r="H44" s="183"/>
      <c r="I44" s="184"/>
      <c r="J44" s="65"/>
      <c r="K44" s="71"/>
      <c r="L44" s="185"/>
      <c r="M44" s="73"/>
      <c r="N44" s="73"/>
      <c r="O44" s="73"/>
      <c r="P44" s="73"/>
      <c r="Q44" s="73"/>
      <c r="S44" s="74"/>
      <c r="U44" s="186"/>
      <c r="V44" s="181"/>
      <c r="W44" s="301"/>
      <c r="AA44" s="301"/>
    </row>
    <row r="45" spans="1:27" s="19" customFormat="1">
      <c r="A45" s="64"/>
      <c r="B45" s="65"/>
      <c r="C45" s="70" t="s">
        <v>55</v>
      </c>
      <c r="D45" s="65"/>
      <c r="E45" s="182">
        <v>2030</v>
      </c>
      <c r="F45" s="65"/>
      <c r="G45" s="183" t="s">
        <v>183</v>
      </c>
      <c r="H45" s="183" t="s">
        <v>181</v>
      </c>
      <c r="I45" s="184">
        <v>0</v>
      </c>
      <c r="J45" s="65"/>
      <c r="K45" s="71">
        <v>102794003.59</v>
      </c>
      <c r="L45" s="185"/>
      <c r="M45" s="73">
        <v>66700151</v>
      </c>
      <c r="N45" s="73"/>
      <c r="O45" s="198">
        <f t="shared" ref="O45:O55" si="5">ROUND((K45+(K45*-(I45/100)))-M45,0)</f>
        <v>36093853</v>
      </c>
      <c r="P45" s="73"/>
      <c r="Q45" s="57">
        <f t="shared" ref="Q45:Q55" si="6">O45/U45</f>
        <v>3281259.3636363638</v>
      </c>
      <c r="S45" s="74">
        <f t="shared" ref="S45:S55" si="7">Q45/K45*100</f>
        <v>3.192072736775446</v>
      </c>
      <c r="U45" s="186">
        <f t="shared" ref="U45:U55" si="8">E45-2019</f>
        <v>11</v>
      </c>
      <c r="V45" s="181"/>
      <c r="W45" s="301">
        <v>10.030671554342799</v>
      </c>
      <c r="Y45" s="303"/>
      <c r="AA45" s="301">
        <f t="shared" ref="AA45:AA55" si="9">W45+Y45</f>
        <v>10.030671554342799</v>
      </c>
    </row>
    <row r="46" spans="1:27" s="19" customFormat="1">
      <c r="A46" s="64"/>
      <c r="B46" s="65"/>
      <c r="C46" s="70" t="s">
        <v>66</v>
      </c>
      <c r="D46" s="65"/>
      <c r="E46" s="182">
        <v>2030</v>
      </c>
      <c r="F46" s="65"/>
      <c r="G46" s="183" t="s">
        <v>183</v>
      </c>
      <c r="H46" s="183" t="s">
        <v>181</v>
      </c>
      <c r="I46" s="184">
        <v>0</v>
      </c>
      <c r="J46" s="65"/>
      <c r="K46" s="71">
        <v>14959125.039999999</v>
      </c>
      <c r="L46" s="185"/>
      <c r="M46" s="73">
        <v>4819574</v>
      </c>
      <c r="N46" s="73"/>
      <c r="O46" s="198">
        <f t="shared" si="5"/>
        <v>10139551</v>
      </c>
      <c r="P46" s="73"/>
      <c r="Q46" s="57">
        <f t="shared" si="6"/>
        <v>921777.36363636365</v>
      </c>
      <c r="S46" s="74">
        <f t="shared" si="7"/>
        <v>6.1619737863783755</v>
      </c>
      <c r="U46" s="186">
        <f t="shared" si="8"/>
        <v>11</v>
      </c>
      <c r="V46" s="181"/>
      <c r="W46" s="301">
        <v>10.329997058739812</v>
      </c>
      <c r="Y46" s="303"/>
      <c r="AA46" s="301">
        <f t="shared" si="9"/>
        <v>10.329997058739812</v>
      </c>
    </row>
    <row r="47" spans="1:27" s="19" customFormat="1">
      <c r="A47" s="64"/>
      <c r="B47" s="65"/>
      <c r="C47" s="70" t="s">
        <v>67</v>
      </c>
      <c r="D47" s="65"/>
      <c r="E47" s="182">
        <v>2030</v>
      </c>
      <c r="F47" s="65"/>
      <c r="G47" s="183" t="s">
        <v>183</v>
      </c>
      <c r="H47" s="183" t="s">
        <v>181</v>
      </c>
      <c r="I47" s="184">
        <v>0</v>
      </c>
      <c r="J47" s="65"/>
      <c r="K47" s="71">
        <v>1476057.99</v>
      </c>
      <c r="L47" s="185"/>
      <c r="M47" s="73">
        <v>320975</v>
      </c>
      <c r="N47" s="73"/>
      <c r="O47" s="198">
        <f t="shared" si="5"/>
        <v>1155083</v>
      </c>
      <c r="P47" s="73"/>
      <c r="Q47" s="57">
        <f t="shared" si="6"/>
        <v>105007.54545454546</v>
      </c>
      <c r="S47" s="74">
        <f t="shared" si="7"/>
        <v>7.1140528465650217</v>
      </c>
      <c r="U47" s="186">
        <f t="shared" si="8"/>
        <v>11</v>
      </c>
      <c r="V47" s="181"/>
      <c r="W47" s="301">
        <v>10.366759180367975</v>
      </c>
      <c r="Y47" s="303"/>
      <c r="AA47" s="301">
        <f t="shared" si="9"/>
        <v>10.366759180367975</v>
      </c>
    </row>
    <row r="48" spans="1:27" s="19" customFormat="1">
      <c r="A48" s="64"/>
      <c r="B48" s="65"/>
      <c r="C48" s="70" t="s">
        <v>56</v>
      </c>
      <c r="D48" s="65"/>
      <c r="E48" s="182">
        <v>2030</v>
      </c>
      <c r="F48" s="65"/>
      <c r="G48" s="183" t="s">
        <v>183</v>
      </c>
      <c r="H48" s="183" t="s">
        <v>181</v>
      </c>
      <c r="I48" s="184">
        <v>0</v>
      </c>
      <c r="J48" s="65"/>
      <c r="K48" s="71">
        <v>194151378.75</v>
      </c>
      <c r="L48" s="185"/>
      <c r="M48" s="73">
        <v>86850256.75</v>
      </c>
      <c r="N48" s="73"/>
      <c r="O48" s="198">
        <f t="shared" si="5"/>
        <v>107301122</v>
      </c>
      <c r="P48" s="73"/>
      <c r="Q48" s="57">
        <f t="shared" si="6"/>
        <v>9754647.4545454551</v>
      </c>
      <c r="S48" s="74">
        <f t="shared" si="7"/>
        <v>5.0242483557668045</v>
      </c>
      <c r="U48" s="186">
        <f t="shared" si="8"/>
        <v>11</v>
      </c>
      <c r="V48" s="181"/>
      <c r="W48" s="301">
        <v>10.259999863210163</v>
      </c>
      <c r="Y48" s="303"/>
      <c r="AA48" s="301">
        <f t="shared" si="9"/>
        <v>10.259999863210163</v>
      </c>
    </row>
    <row r="49" spans="1:27" s="19" customFormat="1">
      <c r="A49" s="64"/>
      <c r="B49" s="65"/>
      <c r="C49" s="70" t="s">
        <v>57</v>
      </c>
      <c r="D49" s="65"/>
      <c r="E49" s="182">
        <v>2049</v>
      </c>
      <c r="F49" s="65"/>
      <c r="G49" s="183" t="s">
        <v>183</v>
      </c>
      <c r="H49" s="183" t="s">
        <v>181</v>
      </c>
      <c r="I49" s="184">
        <v>0</v>
      </c>
      <c r="J49" s="65"/>
      <c r="K49" s="71">
        <v>47303061.5</v>
      </c>
      <c r="L49" s="185"/>
      <c r="M49" s="73">
        <v>11032731.539999999</v>
      </c>
      <c r="N49" s="73"/>
      <c r="O49" s="198">
        <f t="shared" si="5"/>
        <v>36270330</v>
      </c>
      <c r="P49" s="73"/>
      <c r="Q49" s="57">
        <f t="shared" si="6"/>
        <v>1209011</v>
      </c>
      <c r="S49" s="74">
        <f t="shared" si="7"/>
        <v>2.5558831958476937</v>
      </c>
      <c r="U49" s="186">
        <f t="shared" si="8"/>
        <v>30</v>
      </c>
      <c r="V49" s="181"/>
      <c r="W49" s="301">
        <v>26.607885118651883</v>
      </c>
      <c r="Y49" s="303"/>
      <c r="AA49" s="301">
        <f t="shared" si="9"/>
        <v>26.607885118651883</v>
      </c>
    </row>
    <row r="50" spans="1:27" s="19" customFormat="1">
      <c r="A50" s="64"/>
      <c r="B50" s="65"/>
      <c r="C50" s="70" t="s">
        <v>58</v>
      </c>
      <c r="D50" s="65"/>
      <c r="E50" s="182">
        <v>2040</v>
      </c>
      <c r="F50" s="65"/>
      <c r="G50" s="183" t="s">
        <v>183</v>
      </c>
      <c r="H50" s="183" t="s">
        <v>181</v>
      </c>
      <c r="I50" s="184">
        <v>0</v>
      </c>
      <c r="J50" s="65"/>
      <c r="K50" s="71">
        <v>207072332.59</v>
      </c>
      <c r="L50" s="185"/>
      <c r="M50" s="73">
        <v>100727355.12</v>
      </c>
      <c r="N50" s="73"/>
      <c r="O50" s="198">
        <f t="shared" si="5"/>
        <v>106344977</v>
      </c>
      <c r="P50" s="73"/>
      <c r="Q50" s="57">
        <f t="shared" si="6"/>
        <v>5064046.5238095243</v>
      </c>
      <c r="S50" s="74">
        <f t="shared" si="7"/>
        <v>2.4455447333160905</v>
      </c>
      <c r="U50" s="186">
        <f t="shared" si="8"/>
        <v>21</v>
      </c>
      <c r="V50" s="181"/>
      <c r="W50" s="301">
        <v>18.379462615358314</v>
      </c>
      <c r="Y50" s="303"/>
      <c r="AA50" s="301">
        <f t="shared" si="9"/>
        <v>18.379462615358314</v>
      </c>
    </row>
    <row r="51" spans="1:27" s="19" customFormat="1">
      <c r="A51" s="64"/>
      <c r="B51" s="65"/>
      <c r="C51" s="70" t="s">
        <v>59</v>
      </c>
      <c r="D51" s="65"/>
      <c r="E51" s="182">
        <v>2042</v>
      </c>
      <c r="F51" s="65"/>
      <c r="G51" s="183" t="s">
        <v>183</v>
      </c>
      <c r="H51" s="183" t="s">
        <v>181</v>
      </c>
      <c r="I51" s="184">
        <v>0</v>
      </c>
      <c r="J51" s="65"/>
      <c r="K51" s="71">
        <v>264954492.52000001</v>
      </c>
      <c r="L51" s="185"/>
      <c r="M51" s="73">
        <v>148127711.71000001</v>
      </c>
      <c r="N51" s="73"/>
      <c r="O51" s="198">
        <f t="shared" si="5"/>
        <v>116826781</v>
      </c>
      <c r="P51" s="73"/>
      <c r="Q51" s="57">
        <f t="shared" si="6"/>
        <v>5079425.2608695654</v>
      </c>
      <c r="S51" s="74">
        <f t="shared" si="7"/>
        <v>1.917093464828171</v>
      </c>
      <c r="U51" s="186">
        <f t="shared" si="8"/>
        <v>23</v>
      </c>
      <c r="V51" s="181"/>
      <c r="W51" s="301">
        <v>19.369775024971709</v>
      </c>
      <c r="Y51" s="303"/>
      <c r="AA51" s="301">
        <f t="shared" si="9"/>
        <v>19.369775024971709</v>
      </c>
    </row>
    <row r="52" spans="1:27" s="19" customFormat="1">
      <c r="A52" s="64"/>
      <c r="B52" s="65"/>
      <c r="C52" s="70" t="s">
        <v>60</v>
      </c>
      <c r="D52" s="65"/>
      <c r="E52" s="182">
        <v>2045</v>
      </c>
      <c r="F52" s="65"/>
      <c r="G52" s="183" t="s">
        <v>183</v>
      </c>
      <c r="H52" s="183" t="s">
        <v>181</v>
      </c>
      <c r="I52" s="184">
        <v>0</v>
      </c>
      <c r="J52" s="65"/>
      <c r="K52" s="71">
        <v>182163077.56</v>
      </c>
      <c r="L52" s="185"/>
      <c r="M52" s="73">
        <v>55645311.229999997</v>
      </c>
      <c r="N52" s="73"/>
      <c r="O52" s="198">
        <f t="shared" si="5"/>
        <v>126517766</v>
      </c>
      <c r="P52" s="73"/>
      <c r="Q52" s="57">
        <f t="shared" si="6"/>
        <v>4866067.923076923</v>
      </c>
      <c r="S52" s="74">
        <f t="shared" si="7"/>
        <v>2.6712701543341906</v>
      </c>
      <c r="U52" s="186">
        <f t="shared" si="8"/>
        <v>26</v>
      </c>
      <c r="V52" s="181"/>
      <c r="W52" s="301">
        <v>22.791673519592166</v>
      </c>
      <c r="Y52" s="303"/>
      <c r="AA52" s="301">
        <f t="shared" si="9"/>
        <v>22.791673519592166</v>
      </c>
    </row>
    <row r="53" spans="1:27" s="19" customFormat="1">
      <c r="A53" s="64"/>
      <c r="B53" s="65"/>
      <c r="C53" s="70" t="s">
        <v>61</v>
      </c>
      <c r="D53" s="65"/>
      <c r="E53" s="182">
        <v>2049</v>
      </c>
      <c r="F53" s="65"/>
      <c r="G53" s="183" t="s">
        <v>183</v>
      </c>
      <c r="H53" s="183" t="s">
        <v>181</v>
      </c>
      <c r="I53" s="184">
        <v>0</v>
      </c>
      <c r="J53" s="65"/>
      <c r="K53" s="71">
        <v>310905410.86000001</v>
      </c>
      <c r="L53" s="185"/>
      <c r="M53" s="73">
        <v>33139433.84</v>
      </c>
      <c r="N53" s="73"/>
      <c r="O53" s="198">
        <f t="shared" si="5"/>
        <v>277765977</v>
      </c>
      <c r="P53" s="73"/>
      <c r="Q53" s="57">
        <f t="shared" si="6"/>
        <v>9258865.9000000004</v>
      </c>
      <c r="S53" s="74">
        <f t="shared" si="7"/>
        <v>2.9780330533292796</v>
      </c>
      <c r="U53" s="186">
        <f t="shared" si="8"/>
        <v>30</v>
      </c>
      <c r="V53" s="181"/>
      <c r="W53" s="301">
        <v>26.255170512591825</v>
      </c>
      <c r="Y53" s="303"/>
      <c r="AA53" s="301">
        <f t="shared" si="9"/>
        <v>26.255170512591825</v>
      </c>
    </row>
    <row r="54" spans="1:27" s="19" customFormat="1">
      <c r="A54" s="64"/>
      <c r="B54" s="65"/>
      <c r="C54" s="70" t="s">
        <v>62</v>
      </c>
      <c r="D54" s="65"/>
      <c r="E54" s="182">
        <v>2040</v>
      </c>
      <c r="F54" s="65"/>
      <c r="G54" s="183" t="s">
        <v>183</v>
      </c>
      <c r="H54" s="183" t="s">
        <v>181</v>
      </c>
      <c r="I54" s="184">
        <v>0</v>
      </c>
      <c r="J54" s="65"/>
      <c r="K54" s="71">
        <v>102930250.29000001</v>
      </c>
      <c r="L54" s="185"/>
      <c r="M54" s="73">
        <v>36988548</v>
      </c>
      <c r="N54" s="73"/>
      <c r="O54" s="198">
        <f t="shared" si="5"/>
        <v>65941702</v>
      </c>
      <c r="P54" s="73"/>
      <c r="Q54" s="57">
        <f t="shared" si="6"/>
        <v>3140081.0476190476</v>
      </c>
      <c r="S54" s="74">
        <f t="shared" si="7"/>
        <v>3.0506882464310068</v>
      </c>
      <c r="U54" s="186">
        <f t="shared" si="8"/>
        <v>21</v>
      </c>
      <c r="V54" s="181"/>
      <c r="W54" s="301">
        <v>19.100002193397039</v>
      </c>
      <c r="Y54" s="303"/>
      <c r="AA54" s="301">
        <f t="shared" si="9"/>
        <v>19.100002193397039</v>
      </c>
    </row>
    <row r="55" spans="1:27" s="19" customFormat="1">
      <c r="A55" s="64"/>
      <c r="B55" s="65"/>
      <c r="C55" s="70" t="s">
        <v>63</v>
      </c>
      <c r="D55" s="65"/>
      <c r="E55" s="182">
        <v>2042</v>
      </c>
      <c r="F55" s="65"/>
      <c r="G55" s="183" t="s">
        <v>183</v>
      </c>
      <c r="H55" s="183" t="s">
        <v>181</v>
      </c>
      <c r="I55" s="184">
        <v>0</v>
      </c>
      <c r="J55" s="65"/>
      <c r="K55" s="75">
        <v>157598866.33000001</v>
      </c>
      <c r="L55" s="185"/>
      <c r="M55" s="77">
        <v>57451408</v>
      </c>
      <c r="N55" s="73"/>
      <c r="O55" s="205">
        <f t="shared" si="5"/>
        <v>100147458</v>
      </c>
      <c r="P55" s="73"/>
      <c r="Q55" s="62">
        <f t="shared" si="6"/>
        <v>4354237.3043478262</v>
      </c>
      <c r="S55" s="74">
        <f t="shared" si="7"/>
        <v>2.7628608033451112</v>
      </c>
      <c r="U55" s="186">
        <f t="shared" si="8"/>
        <v>23</v>
      </c>
      <c r="V55" s="181"/>
      <c r="W55" s="301">
        <v>20.760001613306493</v>
      </c>
      <c r="Y55" s="303"/>
      <c r="AA55" s="301">
        <f t="shared" si="9"/>
        <v>20.760001613306493</v>
      </c>
    </row>
    <row r="56" spans="1:27" s="19" customFormat="1">
      <c r="A56" s="64"/>
      <c r="B56" s="65"/>
      <c r="C56" s="78"/>
      <c r="D56" s="65"/>
      <c r="E56" s="182"/>
      <c r="F56" s="65"/>
      <c r="G56" s="183"/>
      <c r="H56" s="183"/>
      <c r="I56" s="184"/>
      <c r="J56" s="65"/>
      <c r="K56" s="71"/>
      <c r="L56" s="185"/>
      <c r="M56" s="73"/>
      <c r="N56" s="73"/>
      <c r="O56" s="73"/>
      <c r="P56" s="73"/>
      <c r="Q56" s="73"/>
      <c r="S56" s="74"/>
      <c r="U56" s="186"/>
      <c r="V56" s="181"/>
      <c r="W56" s="301"/>
      <c r="AA56" s="301"/>
    </row>
    <row r="57" spans="1:27" s="19" customFormat="1">
      <c r="A57" s="64"/>
      <c r="B57" s="65"/>
      <c r="C57" s="78" t="s">
        <v>68</v>
      </c>
      <c r="D57" s="65"/>
      <c r="E57" s="65"/>
      <c r="F57" s="65"/>
      <c r="G57" s="183"/>
      <c r="H57" s="183"/>
      <c r="I57" s="184"/>
      <c r="J57" s="65"/>
      <c r="K57" s="71">
        <f>SUBTOTAL(9,K45:K56)</f>
        <v>1586308057.02</v>
      </c>
      <c r="L57" s="185"/>
      <c r="M57" s="73">
        <f>SUBTOTAL(9,M45:M56)</f>
        <v>601803456.19000006</v>
      </c>
      <c r="N57" s="73"/>
      <c r="O57" s="73">
        <f>SUBTOTAL(9,O45:O56)</f>
        <v>984504600</v>
      </c>
      <c r="P57" s="73"/>
      <c r="Q57" s="73">
        <f>SUBTOTAL(9,Q45:Q56)</f>
        <v>47034426.686995618</v>
      </c>
      <c r="S57" s="74">
        <f>+ROUND(Q57/K57*100,2)</f>
        <v>2.97</v>
      </c>
      <c r="U57" s="186"/>
      <c r="V57" s="181"/>
      <c r="W57" s="301"/>
      <c r="AA57" s="301"/>
    </row>
    <row r="58" spans="1:27" s="19" customFormat="1">
      <c r="A58" s="64"/>
      <c r="B58" s="65"/>
      <c r="C58" s="78"/>
      <c r="D58" s="65"/>
      <c r="E58" s="65"/>
      <c r="F58" s="65"/>
      <c r="G58" s="183"/>
      <c r="H58" s="183"/>
      <c r="I58" s="184"/>
      <c r="J58" s="65"/>
      <c r="K58" s="71"/>
      <c r="L58" s="185"/>
      <c r="M58" s="73"/>
      <c r="N58" s="73"/>
      <c r="O58" s="73"/>
      <c r="P58" s="73"/>
      <c r="Q58" s="73"/>
      <c r="S58" s="74"/>
      <c r="U58" s="186"/>
      <c r="V58" s="181"/>
      <c r="W58" s="301"/>
      <c r="AA58" s="301"/>
    </row>
    <row r="59" spans="1:27" s="19" customFormat="1">
      <c r="A59" s="64">
        <v>314</v>
      </c>
      <c r="B59" s="65"/>
      <c r="C59" s="78" t="s">
        <v>69</v>
      </c>
      <c r="D59" s="65"/>
      <c r="E59" s="65"/>
      <c r="F59" s="65"/>
      <c r="G59" s="183"/>
      <c r="H59" s="183"/>
      <c r="I59" s="184"/>
      <c r="J59" s="65"/>
      <c r="K59" s="71"/>
      <c r="L59" s="185"/>
      <c r="M59" s="73"/>
      <c r="N59" s="73"/>
      <c r="O59" s="73"/>
      <c r="P59" s="73"/>
      <c r="Q59" s="73"/>
      <c r="S59" s="74"/>
      <c r="U59" s="186"/>
      <c r="V59" s="181"/>
      <c r="W59" s="301"/>
      <c r="AA59" s="301"/>
    </row>
    <row r="60" spans="1:27" s="19" customFormat="1">
      <c r="A60" s="64"/>
      <c r="B60" s="65"/>
      <c r="C60" s="70" t="s">
        <v>55</v>
      </c>
      <c r="D60" s="65"/>
      <c r="E60" s="182">
        <v>2030</v>
      </c>
      <c r="F60" s="65"/>
      <c r="G60" s="183" t="s">
        <v>184</v>
      </c>
      <c r="H60" s="183" t="s">
        <v>181</v>
      </c>
      <c r="I60" s="184">
        <v>0</v>
      </c>
      <c r="J60" s="65"/>
      <c r="K60" s="71">
        <v>23714956.780000001</v>
      </c>
      <c r="L60" s="185"/>
      <c r="M60" s="73">
        <v>17101082</v>
      </c>
      <c r="N60" s="73"/>
      <c r="O60" s="198">
        <f>ROUND((K60+(K60*-(I60/100)))-M60,0)</f>
        <v>6613875</v>
      </c>
      <c r="P60" s="73"/>
      <c r="Q60" s="57">
        <f>O60/U60</f>
        <v>601261.36363636365</v>
      </c>
      <c r="S60" s="74">
        <f>Q60/K60*100</f>
        <v>2.5353677394994758</v>
      </c>
      <c r="U60" s="186">
        <f>E60-2019</f>
        <v>11</v>
      </c>
      <c r="V60" s="181"/>
      <c r="W60" s="301">
        <v>9.6053405812004549</v>
      </c>
      <c r="Y60" s="303"/>
      <c r="AA60" s="301">
        <f>W60+Y60</f>
        <v>9.6053405812004549</v>
      </c>
    </row>
    <row r="61" spans="1:27" s="19" customFormat="1">
      <c r="A61" s="64"/>
      <c r="B61" s="65"/>
      <c r="C61" s="70" t="s">
        <v>58</v>
      </c>
      <c r="D61" s="65"/>
      <c r="E61" s="182">
        <v>2040</v>
      </c>
      <c r="F61" s="65"/>
      <c r="G61" s="183" t="s">
        <v>184</v>
      </c>
      <c r="H61" s="183" t="s">
        <v>181</v>
      </c>
      <c r="I61" s="184">
        <v>0</v>
      </c>
      <c r="J61" s="65"/>
      <c r="K61" s="71">
        <v>33699815.289999999</v>
      </c>
      <c r="L61" s="185"/>
      <c r="M61" s="73">
        <v>21499392</v>
      </c>
      <c r="N61" s="73"/>
      <c r="O61" s="198">
        <f>ROUND((K61+(K61*-(I61/100)))-M61,0)</f>
        <v>12200423</v>
      </c>
      <c r="P61" s="73"/>
      <c r="Q61" s="57">
        <f>O61/U61</f>
        <v>580972.52380952379</v>
      </c>
      <c r="S61" s="74">
        <f>Q61/K61*100</f>
        <v>1.723963525645555</v>
      </c>
      <c r="U61" s="186">
        <f>E61-2019</f>
        <v>21</v>
      </c>
      <c r="V61" s="181"/>
      <c r="W61" s="301">
        <v>16.462471732247852</v>
      </c>
      <c r="Y61" s="303"/>
      <c r="AA61" s="301">
        <f>W61+Y61</f>
        <v>16.462471732247852</v>
      </c>
    </row>
    <row r="62" spans="1:27" s="19" customFormat="1">
      <c r="A62" s="64"/>
      <c r="B62" s="65"/>
      <c r="C62" s="70" t="s">
        <v>59</v>
      </c>
      <c r="D62" s="65"/>
      <c r="E62" s="182">
        <v>2042</v>
      </c>
      <c r="F62" s="65"/>
      <c r="G62" s="183" t="s">
        <v>184</v>
      </c>
      <c r="H62" s="183" t="s">
        <v>181</v>
      </c>
      <c r="I62" s="184">
        <v>0</v>
      </c>
      <c r="J62" s="65"/>
      <c r="K62" s="71">
        <v>60137136.600000001</v>
      </c>
      <c r="L62" s="185"/>
      <c r="M62" s="73">
        <v>34021115</v>
      </c>
      <c r="N62" s="73"/>
      <c r="O62" s="198">
        <f>ROUND((K62+(K62*-(I62/100)))-M62,0)</f>
        <v>26116022</v>
      </c>
      <c r="P62" s="73"/>
      <c r="Q62" s="57">
        <f>O62/U62</f>
        <v>1135479.2173913044</v>
      </c>
      <c r="S62" s="74">
        <f>Q62/K62*100</f>
        <v>1.8881497882812472</v>
      </c>
      <c r="U62" s="186">
        <f>E62-2019</f>
        <v>23</v>
      </c>
      <c r="V62" s="181"/>
      <c r="W62" s="301">
        <v>18.879634754252265</v>
      </c>
      <c r="Y62" s="303"/>
      <c r="AA62" s="301">
        <f>W62+Y62</f>
        <v>18.879634754252265</v>
      </c>
    </row>
    <row r="63" spans="1:27" s="19" customFormat="1">
      <c r="A63" s="64"/>
      <c r="B63" s="65"/>
      <c r="C63" s="70" t="s">
        <v>60</v>
      </c>
      <c r="D63" s="65"/>
      <c r="E63" s="182">
        <v>2045</v>
      </c>
      <c r="F63" s="65"/>
      <c r="G63" s="183" t="s">
        <v>184</v>
      </c>
      <c r="H63" s="183" t="s">
        <v>181</v>
      </c>
      <c r="I63" s="184">
        <v>0</v>
      </c>
      <c r="J63" s="65"/>
      <c r="K63" s="71">
        <v>80408959.549999997</v>
      </c>
      <c r="L63" s="185"/>
      <c r="M63" s="73">
        <v>25108153</v>
      </c>
      <c r="N63" s="73"/>
      <c r="O63" s="198">
        <f>ROUND((K63+(K63*-(I63/100)))-M63,0)</f>
        <v>55300807</v>
      </c>
      <c r="P63" s="73"/>
      <c r="Q63" s="57">
        <f>O63/U63</f>
        <v>2126954.1153846155</v>
      </c>
      <c r="S63" s="74">
        <f>Q63/K63*100</f>
        <v>2.645170547272198</v>
      </c>
      <c r="U63" s="186">
        <f>E63-2019</f>
        <v>26</v>
      </c>
      <c r="V63" s="181"/>
      <c r="W63" s="301">
        <v>23.019036878781524</v>
      </c>
      <c r="Y63" s="303"/>
      <c r="AA63" s="301">
        <f>W63+Y63</f>
        <v>23.019036878781524</v>
      </c>
    </row>
    <row r="64" spans="1:27" s="19" customFormat="1">
      <c r="A64" s="64"/>
      <c r="B64" s="65"/>
      <c r="C64" s="70" t="s">
        <v>61</v>
      </c>
      <c r="D64" s="65"/>
      <c r="E64" s="182">
        <v>2049</v>
      </c>
      <c r="F64" s="65"/>
      <c r="G64" s="183" t="s">
        <v>184</v>
      </c>
      <c r="H64" s="183" t="s">
        <v>181</v>
      </c>
      <c r="I64" s="184">
        <v>0</v>
      </c>
      <c r="J64" s="65"/>
      <c r="K64" s="75">
        <v>80239064.25</v>
      </c>
      <c r="L64" s="185"/>
      <c r="M64" s="77">
        <v>6017115</v>
      </c>
      <c r="N64" s="73"/>
      <c r="O64" s="205">
        <f>ROUND((K64+(K64*-(I64/100)))-M64,0)</f>
        <v>74221949</v>
      </c>
      <c r="P64" s="73"/>
      <c r="Q64" s="62">
        <f>O64/U64</f>
        <v>2474064.9666666668</v>
      </c>
      <c r="S64" s="74">
        <f>Q64/K64*100</f>
        <v>3.0833671725760023</v>
      </c>
      <c r="U64" s="186">
        <f>E64-2019</f>
        <v>30</v>
      </c>
      <c r="V64" s="181"/>
      <c r="W64" s="301">
        <v>26.966961887259082</v>
      </c>
      <c r="Y64" s="303"/>
      <c r="AA64" s="301">
        <f>W64+Y64</f>
        <v>26.966961887259082</v>
      </c>
    </row>
    <row r="65" spans="1:27" s="19" customFormat="1">
      <c r="A65" s="64"/>
      <c r="B65" s="65"/>
      <c r="C65" s="78"/>
      <c r="D65" s="65"/>
      <c r="E65" s="182"/>
      <c r="F65" s="65"/>
      <c r="G65" s="183"/>
      <c r="H65" s="183"/>
      <c r="I65" s="184"/>
      <c r="J65" s="65"/>
      <c r="K65" s="71"/>
      <c r="L65" s="185"/>
      <c r="M65" s="73"/>
      <c r="N65" s="73"/>
      <c r="O65" s="73"/>
      <c r="P65" s="73"/>
      <c r="Q65" s="73"/>
      <c r="S65" s="74"/>
      <c r="U65" s="186"/>
      <c r="V65" s="181"/>
      <c r="W65" s="301"/>
      <c r="AA65" s="301"/>
    </row>
    <row r="66" spans="1:27" s="19" customFormat="1">
      <c r="A66" s="64"/>
      <c r="B66" s="65"/>
      <c r="C66" s="78" t="s">
        <v>70</v>
      </c>
      <c r="D66" s="65"/>
      <c r="E66" s="182"/>
      <c r="F66" s="65"/>
      <c r="G66" s="183"/>
      <c r="H66" s="183"/>
      <c r="I66" s="184"/>
      <c r="J66" s="65"/>
      <c r="K66" s="71">
        <f>SUBTOTAL(9,K60:K65)</f>
        <v>278199932.47000003</v>
      </c>
      <c r="L66" s="185"/>
      <c r="M66" s="73">
        <f>SUBTOTAL(9,M60:M65)</f>
        <v>103746857</v>
      </c>
      <c r="N66" s="73"/>
      <c r="O66" s="73">
        <f>SUBTOTAL(9,O60:O65)</f>
        <v>174453076</v>
      </c>
      <c r="P66" s="73"/>
      <c r="Q66" s="73">
        <f>SUBTOTAL(9,Q60:Q65)</f>
        <v>6918732.186888475</v>
      </c>
      <c r="S66" s="74">
        <f>+ROUND(Q66/K66*100,2)</f>
        <v>2.4900000000000002</v>
      </c>
      <c r="U66" s="186"/>
      <c r="V66" s="181"/>
      <c r="W66" s="301"/>
      <c r="AA66" s="301"/>
    </row>
    <row r="67" spans="1:27" s="19" customFormat="1">
      <c r="A67" s="64"/>
      <c r="B67" s="65"/>
      <c r="C67" s="78"/>
      <c r="D67" s="65"/>
      <c r="E67" s="182"/>
      <c r="F67" s="65"/>
      <c r="G67" s="183"/>
      <c r="H67" s="183"/>
      <c r="I67" s="184"/>
      <c r="J67" s="65"/>
      <c r="K67" s="71"/>
      <c r="L67" s="185"/>
      <c r="M67" s="73"/>
      <c r="N67" s="73"/>
      <c r="O67" s="73"/>
      <c r="P67" s="73"/>
      <c r="Q67" s="73"/>
      <c r="S67" s="74"/>
      <c r="U67" s="186"/>
      <c r="V67" s="181"/>
      <c r="W67" s="301"/>
      <c r="AA67" s="301"/>
    </row>
    <row r="68" spans="1:27" s="19" customFormat="1">
      <c r="A68" s="64">
        <v>315</v>
      </c>
      <c r="B68" s="65"/>
      <c r="C68" s="78" t="s">
        <v>71</v>
      </c>
      <c r="D68" s="65"/>
      <c r="E68" s="182"/>
      <c r="F68" s="65"/>
      <c r="G68" s="183"/>
      <c r="H68" s="183"/>
      <c r="I68" s="184"/>
      <c r="J68" s="65"/>
      <c r="K68" s="71"/>
      <c r="L68" s="185"/>
      <c r="M68" s="73"/>
      <c r="N68" s="73"/>
      <c r="O68" s="73"/>
      <c r="P68" s="73"/>
      <c r="Q68" s="73"/>
      <c r="S68" s="74"/>
      <c r="U68" s="186"/>
      <c r="V68" s="181"/>
      <c r="W68" s="301"/>
      <c r="AA68" s="301"/>
    </row>
    <row r="69" spans="1:27" s="19" customFormat="1">
      <c r="A69" s="64"/>
      <c r="B69" s="65"/>
      <c r="C69" s="70" t="s">
        <v>55</v>
      </c>
      <c r="D69" s="65"/>
      <c r="E69" s="182">
        <v>2030</v>
      </c>
      <c r="F69" s="65"/>
      <c r="G69" s="183" t="s">
        <v>185</v>
      </c>
      <c r="H69" s="183" t="s">
        <v>181</v>
      </c>
      <c r="I69" s="184">
        <v>0</v>
      </c>
      <c r="J69" s="65"/>
      <c r="K69" s="71">
        <v>3362383.45</v>
      </c>
      <c r="L69" s="185"/>
      <c r="M69" s="73">
        <v>2657793</v>
      </c>
      <c r="N69" s="73"/>
      <c r="O69" s="198">
        <f t="shared" ref="O69:O79" si="10">ROUND((K69+(K69*-(I69/100)))-M69,0)</f>
        <v>704590</v>
      </c>
      <c r="P69" s="73"/>
      <c r="Q69" s="57">
        <f t="shared" ref="Q69:Q79" si="11">O69/U69</f>
        <v>64053.63636363636</v>
      </c>
      <c r="S69" s="74">
        <f t="shared" ref="S69:S79" si="12">Q69/K69*100</f>
        <v>1.9050068891945195</v>
      </c>
      <c r="U69" s="186">
        <f t="shared" ref="U69:U79" si="13">E69-2019</f>
        <v>11</v>
      </c>
      <c r="V69" s="181"/>
      <c r="W69" s="301">
        <v>9.8870485340100611</v>
      </c>
      <c r="Y69" s="303"/>
      <c r="AA69" s="301">
        <f t="shared" ref="AA69:AA79" si="14">W69+Y69</f>
        <v>9.8870485340100611</v>
      </c>
    </row>
    <row r="70" spans="1:27" s="19" customFormat="1">
      <c r="A70" s="64"/>
      <c r="B70" s="65"/>
      <c r="C70" s="70" t="s">
        <v>66</v>
      </c>
      <c r="D70" s="65"/>
      <c r="E70" s="182">
        <v>2030</v>
      </c>
      <c r="F70" s="65"/>
      <c r="G70" s="183" t="s">
        <v>185</v>
      </c>
      <c r="H70" s="183" t="s">
        <v>181</v>
      </c>
      <c r="I70" s="184">
        <v>0</v>
      </c>
      <c r="J70" s="65"/>
      <c r="K70" s="71">
        <v>108139.1</v>
      </c>
      <c r="L70" s="185"/>
      <c r="M70" s="73">
        <v>17587</v>
      </c>
      <c r="N70" s="73"/>
      <c r="O70" s="198">
        <f t="shared" si="10"/>
        <v>90552</v>
      </c>
      <c r="P70" s="73"/>
      <c r="Q70" s="57">
        <f t="shared" si="11"/>
        <v>8232</v>
      </c>
      <c r="S70" s="74">
        <f t="shared" si="12"/>
        <v>7.6124177101529416</v>
      </c>
      <c r="U70" s="186">
        <f t="shared" si="13"/>
        <v>11</v>
      </c>
      <c r="V70" s="181"/>
      <c r="W70" s="301">
        <v>10.499945289418974</v>
      </c>
      <c r="Y70" s="303"/>
      <c r="AA70" s="301">
        <f t="shared" si="14"/>
        <v>10.499945289418974</v>
      </c>
    </row>
    <row r="71" spans="1:27" s="19" customFormat="1">
      <c r="A71" s="64"/>
      <c r="B71" s="65"/>
      <c r="C71" s="70" t="s">
        <v>67</v>
      </c>
      <c r="D71" s="65"/>
      <c r="E71" s="182">
        <v>2030</v>
      </c>
      <c r="F71" s="65"/>
      <c r="G71" s="183" t="s">
        <v>185</v>
      </c>
      <c r="H71" s="183" t="s">
        <v>181</v>
      </c>
      <c r="I71" s="184">
        <v>0</v>
      </c>
      <c r="J71" s="65"/>
      <c r="K71" s="71">
        <v>108269.09</v>
      </c>
      <c r="L71" s="185"/>
      <c r="M71" s="73">
        <v>17606</v>
      </c>
      <c r="N71" s="73"/>
      <c r="O71" s="198">
        <f t="shared" si="10"/>
        <v>90663</v>
      </c>
      <c r="P71" s="73"/>
      <c r="Q71" s="57">
        <f t="shared" si="11"/>
        <v>8242.0909090909099</v>
      </c>
      <c r="S71" s="74">
        <f t="shared" si="12"/>
        <v>7.6125983039950826</v>
      </c>
      <c r="U71" s="186">
        <f t="shared" si="13"/>
        <v>11</v>
      </c>
      <c r="V71" s="181"/>
      <c r="W71" s="301">
        <v>10.500218579234973</v>
      </c>
      <c r="Y71" s="303"/>
      <c r="AA71" s="301">
        <f t="shared" si="14"/>
        <v>10.500218579234973</v>
      </c>
    </row>
    <row r="72" spans="1:27" s="19" customFormat="1">
      <c r="A72" s="64"/>
      <c r="B72" s="65"/>
      <c r="C72" s="70" t="s">
        <v>56</v>
      </c>
      <c r="D72" s="65"/>
      <c r="E72" s="182">
        <v>2030</v>
      </c>
      <c r="F72" s="65"/>
      <c r="G72" s="183" t="s">
        <v>185</v>
      </c>
      <c r="H72" s="183" t="s">
        <v>181</v>
      </c>
      <c r="I72" s="184">
        <v>0</v>
      </c>
      <c r="J72" s="65"/>
      <c r="K72" s="71">
        <v>12060627.85</v>
      </c>
      <c r="L72" s="185"/>
      <c r="M72" s="73">
        <v>5388909</v>
      </c>
      <c r="N72" s="73"/>
      <c r="O72" s="198">
        <f t="shared" si="10"/>
        <v>6671719</v>
      </c>
      <c r="P72" s="73"/>
      <c r="Q72" s="57">
        <f t="shared" si="11"/>
        <v>606519.90909090906</v>
      </c>
      <c r="S72" s="74">
        <f t="shared" si="12"/>
        <v>5.0289248340492412</v>
      </c>
      <c r="U72" s="186">
        <f t="shared" si="13"/>
        <v>11</v>
      </c>
      <c r="V72" s="181"/>
      <c r="W72" s="301">
        <v>10.489997029534502</v>
      </c>
      <c r="Y72" s="303"/>
      <c r="AA72" s="301">
        <f t="shared" si="14"/>
        <v>10.489997029534502</v>
      </c>
    </row>
    <row r="73" spans="1:27" s="19" customFormat="1">
      <c r="A73" s="64"/>
      <c r="B73" s="65"/>
      <c r="C73" s="70" t="s">
        <v>57</v>
      </c>
      <c r="D73" s="65"/>
      <c r="E73" s="182">
        <v>2049</v>
      </c>
      <c r="F73" s="65"/>
      <c r="G73" s="183" t="s">
        <v>185</v>
      </c>
      <c r="H73" s="183" t="s">
        <v>181</v>
      </c>
      <c r="I73" s="184">
        <v>0</v>
      </c>
      <c r="J73" s="65"/>
      <c r="K73" s="71">
        <v>657912.36</v>
      </c>
      <c r="L73" s="185"/>
      <c r="M73" s="73">
        <v>7870</v>
      </c>
      <c r="N73" s="73"/>
      <c r="O73" s="198">
        <f t="shared" si="10"/>
        <v>650042</v>
      </c>
      <c r="P73" s="73"/>
      <c r="Q73" s="57">
        <f t="shared" si="11"/>
        <v>21668.066666666666</v>
      </c>
      <c r="S73" s="74">
        <f t="shared" si="12"/>
        <v>3.293457910817585</v>
      </c>
      <c r="U73" s="186">
        <f t="shared" si="13"/>
        <v>30</v>
      </c>
      <c r="V73" s="181"/>
      <c r="W73" s="301">
        <v>29.379816823534377</v>
      </c>
      <c r="Y73" s="303"/>
      <c r="AA73" s="301">
        <f t="shared" si="14"/>
        <v>29.379816823534377</v>
      </c>
    </row>
    <row r="74" spans="1:27" s="19" customFormat="1">
      <c r="A74" s="64"/>
      <c r="B74" s="65"/>
      <c r="C74" s="70" t="s">
        <v>58</v>
      </c>
      <c r="D74" s="65"/>
      <c r="E74" s="182">
        <v>2040</v>
      </c>
      <c r="F74" s="65"/>
      <c r="G74" s="183" t="s">
        <v>185</v>
      </c>
      <c r="H74" s="183" t="s">
        <v>181</v>
      </c>
      <c r="I74" s="184">
        <v>0</v>
      </c>
      <c r="J74" s="65"/>
      <c r="K74" s="71">
        <v>10670855.65</v>
      </c>
      <c r="L74" s="185"/>
      <c r="M74" s="73">
        <v>6663401</v>
      </c>
      <c r="N74" s="73"/>
      <c r="O74" s="198">
        <f t="shared" si="10"/>
        <v>4007455</v>
      </c>
      <c r="P74" s="73"/>
      <c r="Q74" s="57">
        <f t="shared" si="11"/>
        <v>190831.19047619047</v>
      </c>
      <c r="S74" s="74">
        <f t="shared" si="12"/>
        <v>1.7883400988203835</v>
      </c>
      <c r="U74" s="186">
        <f t="shared" si="13"/>
        <v>21</v>
      </c>
      <c r="V74" s="181"/>
      <c r="W74" s="301">
        <v>18.578247294979153</v>
      </c>
      <c r="Y74" s="303"/>
      <c r="AA74" s="301">
        <f t="shared" si="14"/>
        <v>18.578247294979153</v>
      </c>
    </row>
    <row r="75" spans="1:27" s="19" customFormat="1">
      <c r="A75" s="64"/>
      <c r="B75" s="65"/>
      <c r="C75" s="70" t="s">
        <v>59</v>
      </c>
      <c r="D75" s="65"/>
      <c r="E75" s="182">
        <v>2042</v>
      </c>
      <c r="F75" s="65"/>
      <c r="G75" s="183" t="s">
        <v>185</v>
      </c>
      <c r="H75" s="183" t="s">
        <v>181</v>
      </c>
      <c r="I75" s="184">
        <v>0</v>
      </c>
      <c r="J75" s="65"/>
      <c r="K75" s="71">
        <v>21783326.510000002</v>
      </c>
      <c r="L75" s="185"/>
      <c r="M75" s="73">
        <v>15081564</v>
      </c>
      <c r="N75" s="73"/>
      <c r="O75" s="198">
        <f t="shared" si="10"/>
        <v>6701763</v>
      </c>
      <c r="P75" s="73"/>
      <c r="Q75" s="57">
        <f t="shared" si="11"/>
        <v>291381</v>
      </c>
      <c r="S75" s="74">
        <f t="shared" si="12"/>
        <v>1.3376331657437017</v>
      </c>
      <c r="U75" s="186">
        <f t="shared" si="13"/>
        <v>23</v>
      </c>
      <c r="V75" s="181"/>
      <c r="W75" s="301">
        <v>19.5397702711048</v>
      </c>
      <c r="Y75" s="303"/>
      <c r="AA75" s="301">
        <f t="shared" si="14"/>
        <v>19.5397702711048</v>
      </c>
    </row>
    <row r="76" spans="1:27" s="19" customFormat="1">
      <c r="A76" s="64"/>
      <c r="B76" s="65"/>
      <c r="C76" s="70" t="s">
        <v>60</v>
      </c>
      <c r="D76" s="65"/>
      <c r="E76" s="182">
        <v>2045</v>
      </c>
      <c r="F76" s="65"/>
      <c r="G76" s="183" t="s">
        <v>185</v>
      </c>
      <c r="H76" s="183" t="s">
        <v>181</v>
      </c>
      <c r="I76" s="184">
        <v>0</v>
      </c>
      <c r="J76" s="65"/>
      <c r="K76" s="71">
        <v>23764302.84</v>
      </c>
      <c r="L76" s="185"/>
      <c r="M76" s="73">
        <v>7521598</v>
      </c>
      <c r="N76" s="73"/>
      <c r="O76" s="198">
        <f t="shared" si="10"/>
        <v>16242705</v>
      </c>
      <c r="P76" s="73"/>
      <c r="Q76" s="57">
        <f t="shared" si="11"/>
        <v>624719.42307692312</v>
      </c>
      <c r="S76" s="74">
        <f t="shared" si="12"/>
        <v>2.6288144334930683</v>
      </c>
      <c r="U76" s="186">
        <f t="shared" si="13"/>
        <v>26</v>
      </c>
      <c r="V76" s="181"/>
      <c r="W76" s="301">
        <v>25.019185439689032</v>
      </c>
      <c r="Y76" s="303"/>
      <c r="AA76" s="301">
        <f t="shared" si="14"/>
        <v>25.019185439689032</v>
      </c>
    </row>
    <row r="77" spans="1:27" s="19" customFormat="1">
      <c r="A77" s="64"/>
      <c r="B77" s="65"/>
      <c r="C77" s="70" t="s">
        <v>61</v>
      </c>
      <c r="D77" s="65"/>
      <c r="E77" s="182">
        <v>2049</v>
      </c>
      <c r="F77" s="65"/>
      <c r="G77" s="183" t="s">
        <v>185</v>
      </c>
      <c r="H77" s="183" t="s">
        <v>181</v>
      </c>
      <c r="I77" s="184">
        <v>0</v>
      </c>
      <c r="J77" s="65"/>
      <c r="K77" s="71">
        <v>12751242.41</v>
      </c>
      <c r="L77" s="185"/>
      <c r="M77" s="73">
        <v>1382162</v>
      </c>
      <c r="N77" s="73"/>
      <c r="O77" s="198">
        <f t="shared" si="10"/>
        <v>11369080</v>
      </c>
      <c r="P77" s="73"/>
      <c r="Q77" s="57">
        <f t="shared" si="11"/>
        <v>378969.33333333331</v>
      </c>
      <c r="S77" s="74">
        <f t="shared" si="12"/>
        <v>2.9720188915562566</v>
      </c>
      <c r="U77" s="186">
        <f t="shared" si="13"/>
        <v>30</v>
      </c>
      <c r="V77" s="181"/>
      <c r="W77" s="301">
        <v>28.989996737295549</v>
      </c>
      <c r="Y77" s="303"/>
      <c r="AA77" s="301">
        <f t="shared" si="14"/>
        <v>28.989996737295549</v>
      </c>
    </row>
    <row r="78" spans="1:27" s="19" customFormat="1">
      <c r="A78" s="64"/>
      <c r="B78" s="65"/>
      <c r="C78" s="70" t="s">
        <v>62</v>
      </c>
      <c r="D78" s="65"/>
      <c r="E78" s="182">
        <v>2040</v>
      </c>
      <c r="F78" s="65"/>
      <c r="G78" s="183" t="s">
        <v>185</v>
      </c>
      <c r="H78" s="183" t="s">
        <v>181</v>
      </c>
      <c r="I78" s="184">
        <v>0</v>
      </c>
      <c r="J78" s="65"/>
      <c r="K78" s="71">
        <v>12520715.15</v>
      </c>
      <c r="L78" s="185"/>
      <c r="M78" s="73">
        <v>4450680</v>
      </c>
      <c r="N78" s="73"/>
      <c r="O78" s="198">
        <f t="shared" si="10"/>
        <v>8070035</v>
      </c>
      <c r="P78" s="73"/>
      <c r="Q78" s="57">
        <f t="shared" si="11"/>
        <v>384287.38095238095</v>
      </c>
      <c r="S78" s="74">
        <f t="shared" si="12"/>
        <v>3.0692127114830252</v>
      </c>
      <c r="U78" s="186">
        <f t="shared" si="13"/>
        <v>21</v>
      </c>
      <c r="V78" s="181"/>
      <c r="W78" s="301">
        <v>20.370003119314934</v>
      </c>
      <c r="Y78" s="303"/>
      <c r="AA78" s="301">
        <f t="shared" si="14"/>
        <v>20.370003119314934</v>
      </c>
    </row>
    <row r="79" spans="1:27" s="19" customFormat="1">
      <c r="A79" s="64"/>
      <c r="B79" s="65"/>
      <c r="C79" s="70" t="s">
        <v>63</v>
      </c>
      <c r="D79" s="65"/>
      <c r="E79" s="182">
        <v>2042</v>
      </c>
      <c r="F79" s="65"/>
      <c r="G79" s="183" t="s">
        <v>185</v>
      </c>
      <c r="H79" s="183" t="s">
        <v>181</v>
      </c>
      <c r="I79" s="184">
        <v>0</v>
      </c>
      <c r="J79" s="65"/>
      <c r="K79" s="75">
        <v>17731988.489999998</v>
      </c>
      <c r="L79" s="185"/>
      <c r="M79" s="77">
        <v>6374337</v>
      </c>
      <c r="N79" s="73"/>
      <c r="O79" s="205">
        <f t="shared" si="10"/>
        <v>11357651</v>
      </c>
      <c r="P79" s="73"/>
      <c r="Q79" s="62">
        <f t="shared" si="11"/>
        <v>493810.91304347827</v>
      </c>
      <c r="S79" s="74">
        <f t="shared" si="12"/>
        <v>2.7848592013352831</v>
      </c>
      <c r="U79" s="186">
        <f t="shared" si="13"/>
        <v>23</v>
      </c>
      <c r="V79" s="181"/>
      <c r="W79" s="301">
        <v>22.320017503268577</v>
      </c>
      <c r="Y79" s="303"/>
      <c r="AA79" s="301">
        <f t="shared" si="14"/>
        <v>22.320017503268577</v>
      </c>
    </row>
    <row r="80" spans="1:27" s="19" customFormat="1">
      <c r="A80" s="64"/>
      <c r="B80" s="65"/>
      <c r="C80" s="78"/>
      <c r="D80" s="65"/>
      <c r="E80" s="65"/>
      <c r="F80" s="65"/>
      <c r="G80" s="183"/>
      <c r="H80" s="183"/>
      <c r="I80" s="184"/>
      <c r="J80" s="65"/>
      <c r="K80" s="71"/>
      <c r="L80" s="185"/>
      <c r="M80" s="73"/>
      <c r="N80" s="73"/>
      <c r="O80" s="73"/>
      <c r="P80" s="73"/>
      <c r="Q80" s="73"/>
      <c r="S80" s="74"/>
      <c r="U80" s="186"/>
      <c r="V80" s="181"/>
      <c r="W80" s="301"/>
      <c r="AA80" s="301"/>
    </row>
    <row r="81" spans="1:27" s="19" customFormat="1">
      <c r="A81" s="64"/>
      <c r="B81" s="65"/>
      <c r="C81" s="78" t="s">
        <v>72</v>
      </c>
      <c r="D81" s="65"/>
      <c r="E81" s="65"/>
      <c r="F81" s="65"/>
      <c r="G81" s="183"/>
      <c r="H81" s="183"/>
      <c r="I81" s="184"/>
      <c r="J81" s="65"/>
      <c r="K81" s="71">
        <f>SUBTOTAL(9,K69:K80)</f>
        <v>115519762.90000001</v>
      </c>
      <c r="L81" s="185"/>
      <c r="M81" s="73">
        <f>SUBTOTAL(9,M69:M80)</f>
        <v>49563507</v>
      </c>
      <c r="N81" s="73"/>
      <c r="O81" s="73">
        <f>SUBTOTAL(9,O69:O80)</f>
        <v>65956255</v>
      </c>
      <c r="P81" s="73"/>
      <c r="Q81" s="73">
        <f>SUBTOTAL(9,Q69:Q80)</f>
        <v>3072714.9439126095</v>
      </c>
      <c r="S81" s="74">
        <f>+ROUND(Q81/K81*100,2)</f>
        <v>2.66</v>
      </c>
      <c r="U81" s="186"/>
      <c r="V81" s="181"/>
      <c r="W81" s="301"/>
      <c r="AA81" s="301"/>
    </row>
    <row r="82" spans="1:27" s="19" customFormat="1">
      <c r="A82" s="64"/>
      <c r="B82" s="65"/>
      <c r="C82" s="78"/>
      <c r="D82" s="65"/>
      <c r="E82" s="65"/>
      <c r="F82" s="65"/>
      <c r="G82" s="183"/>
      <c r="H82" s="183"/>
      <c r="I82" s="184"/>
      <c r="J82" s="65"/>
      <c r="K82" s="71"/>
      <c r="L82" s="185"/>
      <c r="M82" s="73"/>
      <c r="N82" s="73"/>
      <c r="O82" s="73"/>
      <c r="P82" s="73"/>
      <c r="Q82" s="73"/>
      <c r="S82" s="74"/>
      <c r="U82" s="186"/>
      <c r="V82" s="181"/>
      <c r="W82" s="301"/>
      <c r="AA82" s="301"/>
    </row>
    <row r="83" spans="1:27" s="19" customFormat="1">
      <c r="A83" s="64">
        <v>316</v>
      </c>
      <c r="B83" s="65"/>
      <c r="C83" s="78" t="s">
        <v>73</v>
      </c>
      <c r="D83" s="65"/>
      <c r="E83" s="65"/>
      <c r="F83" s="65"/>
      <c r="G83" s="183"/>
      <c r="H83" s="183"/>
      <c r="I83" s="184"/>
      <c r="J83" s="65"/>
      <c r="K83" s="71"/>
      <c r="L83" s="65"/>
      <c r="M83" s="67"/>
      <c r="N83" s="67"/>
      <c r="O83" s="67"/>
      <c r="P83" s="67"/>
      <c r="Q83" s="67"/>
      <c r="S83" s="74"/>
      <c r="U83" s="186"/>
      <c r="V83" s="181"/>
      <c r="W83" s="301"/>
      <c r="AA83" s="301"/>
    </row>
    <row r="84" spans="1:27" s="19" customFormat="1">
      <c r="A84" s="64"/>
      <c r="B84" s="65"/>
      <c r="C84" s="70" t="s">
        <v>54</v>
      </c>
      <c r="D84" s="65"/>
      <c r="E84" s="182">
        <v>2030</v>
      </c>
      <c r="F84" s="65"/>
      <c r="G84" s="183" t="s">
        <v>186</v>
      </c>
      <c r="H84" s="183" t="s">
        <v>181</v>
      </c>
      <c r="I84" s="184">
        <v>0</v>
      </c>
      <c r="J84" s="65"/>
      <c r="K84" s="71">
        <v>1111554.28</v>
      </c>
      <c r="L84" s="185"/>
      <c r="M84" s="73">
        <v>695769.46</v>
      </c>
      <c r="N84" s="73"/>
      <c r="O84" s="198">
        <f t="shared" ref="O84:O90" si="15">ROUND((K84+(K84*-(I84/100)))-M84,0)</f>
        <v>415785</v>
      </c>
      <c r="P84" s="73"/>
      <c r="Q84" s="57">
        <f t="shared" ref="Q84:Q90" si="16">O84/U84</f>
        <v>37798.63636363636</v>
      </c>
      <c r="S84" s="74">
        <f t="shared" ref="S84:S90" si="17">Q84/K84*100</f>
        <v>3.4005209681380886</v>
      </c>
      <c r="U84" s="186">
        <f t="shared" ref="U84:U90" si="18">E84-2019</f>
        <v>11</v>
      </c>
      <c r="V84" s="181"/>
      <c r="W84" s="301">
        <v>8.9591458553297851</v>
      </c>
      <c r="Y84" s="303"/>
      <c r="AA84" s="301">
        <f t="shared" ref="AA84:AA90" si="19">W84+Y84</f>
        <v>8.9591458553297851</v>
      </c>
    </row>
    <row r="85" spans="1:27" s="19" customFormat="1">
      <c r="A85" s="64"/>
      <c r="B85" s="65"/>
      <c r="C85" s="70" t="s">
        <v>55</v>
      </c>
      <c r="D85" s="65"/>
      <c r="E85" s="182">
        <v>2030</v>
      </c>
      <c r="F85" s="65"/>
      <c r="G85" s="183" t="s">
        <v>186</v>
      </c>
      <c r="H85" s="183" t="s">
        <v>181</v>
      </c>
      <c r="I85" s="184">
        <v>0</v>
      </c>
      <c r="J85" s="65"/>
      <c r="K85" s="71">
        <v>2706566.34</v>
      </c>
      <c r="L85" s="185"/>
      <c r="M85" s="73">
        <v>1294786</v>
      </c>
      <c r="N85" s="73"/>
      <c r="O85" s="198">
        <f t="shared" si="15"/>
        <v>1411780</v>
      </c>
      <c r="P85" s="73"/>
      <c r="Q85" s="57">
        <f t="shared" si="16"/>
        <v>128343.63636363637</v>
      </c>
      <c r="S85" s="74">
        <f t="shared" si="17"/>
        <v>4.7419357311462154</v>
      </c>
      <c r="U85" s="186">
        <f t="shared" si="18"/>
        <v>11</v>
      </c>
      <c r="V85" s="181"/>
      <c r="W85" s="301">
        <v>9.3747704948827177</v>
      </c>
      <c r="Y85" s="303"/>
      <c r="AA85" s="301">
        <f t="shared" si="19"/>
        <v>9.3747704948827177</v>
      </c>
    </row>
    <row r="86" spans="1:27" s="19" customFormat="1">
      <c r="A86" s="64"/>
      <c r="B86" s="65"/>
      <c r="C86" s="70" t="s">
        <v>56</v>
      </c>
      <c r="D86" s="65"/>
      <c r="E86" s="182">
        <v>2030</v>
      </c>
      <c r="F86" s="65"/>
      <c r="G86" s="183" t="s">
        <v>186</v>
      </c>
      <c r="H86" s="183" t="s">
        <v>181</v>
      </c>
      <c r="I86" s="184">
        <v>0</v>
      </c>
      <c r="J86" s="65"/>
      <c r="K86" s="71">
        <v>2139985.1800000002</v>
      </c>
      <c r="L86" s="185"/>
      <c r="M86" s="73">
        <v>969395</v>
      </c>
      <c r="N86" s="73"/>
      <c r="O86" s="198">
        <f t="shared" si="15"/>
        <v>1170590</v>
      </c>
      <c r="P86" s="73"/>
      <c r="Q86" s="57">
        <f t="shared" si="16"/>
        <v>106417.27272727272</v>
      </c>
      <c r="S86" s="74">
        <f t="shared" si="17"/>
        <v>4.97280419144177</v>
      </c>
      <c r="U86" s="186">
        <f t="shared" si="18"/>
        <v>11</v>
      </c>
      <c r="V86" s="181"/>
      <c r="W86" s="301">
        <v>9.4799839723374415</v>
      </c>
      <c r="Y86" s="303"/>
      <c r="AA86" s="301">
        <f t="shared" si="19"/>
        <v>9.4799839723374415</v>
      </c>
    </row>
    <row r="87" spans="1:27" s="19" customFormat="1">
      <c r="A87" s="64"/>
      <c r="B87" s="65"/>
      <c r="C87" s="70" t="s">
        <v>57</v>
      </c>
      <c r="D87" s="65"/>
      <c r="E87" s="182">
        <v>2049</v>
      </c>
      <c r="F87" s="65"/>
      <c r="G87" s="183" t="s">
        <v>186</v>
      </c>
      <c r="H87" s="183" t="s">
        <v>181</v>
      </c>
      <c r="I87" s="184">
        <v>0</v>
      </c>
      <c r="J87" s="65"/>
      <c r="K87" s="71">
        <v>4774642.05</v>
      </c>
      <c r="L87" s="185"/>
      <c r="M87" s="73">
        <v>1942513</v>
      </c>
      <c r="N87" s="73"/>
      <c r="O87" s="198">
        <f t="shared" si="15"/>
        <v>2832129</v>
      </c>
      <c r="P87" s="73"/>
      <c r="Q87" s="57">
        <f t="shared" si="16"/>
        <v>94404.3</v>
      </c>
      <c r="S87" s="74">
        <f t="shared" si="17"/>
        <v>1.9772016208000347</v>
      </c>
      <c r="U87" s="186">
        <f t="shared" si="18"/>
        <v>30</v>
      </c>
      <c r="V87" s="181"/>
      <c r="W87" s="301">
        <v>17.570356805948617</v>
      </c>
      <c r="Y87" s="303"/>
      <c r="AA87" s="301">
        <f t="shared" si="19"/>
        <v>17.570356805948617</v>
      </c>
    </row>
    <row r="88" spans="1:27" s="19" customFormat="1">
      <c r="A88" s="64"/>
      <c r="B88" s="65"/>
      <c r="C88" s="70" t="s">
        <v>58</v>
      </c>
      <c r="D88" s="65"/>
      <c r="E88" s="182">
        <v>2040</v>
      </c>
      <c r="F88" s="65"/>
      <c r="G88" s="183" t="s">
        <v>186</v>
      </c>
      <c r="H88" s="183" t="s">
        <v>181</v>
      </c>
      <c r="I88" s="184">
        <v>0</v>
      </c>
      <c r="J88" s="65"/>
      <c r="K88" s="71">
        <v>182562.7</v>
      </c>
      <c r="L88" s="185"/>
      <c r="M88" s="73">
        <v>127731</v>
      </c>
      <c r="N88" s="73"/>
      <c r="O88" s="198">
        <f t="shared" si="15"/>
        <v>54832</v>
      </c>
      <c r="P88" s="73"/>
      <c r="Q88" s="57">
        <f t="shared" si="16"/>
        <v>2611.0476190476193</v>
      </c>
      <c r="S88" s="74">
        <f t="shared" si="17"/>
        <v>1.4302196555197852</v>
      </c>
      <c r="U88" s="186">
        <f t="shared" si="18"/>
        <v>21</v>
      </c>
      <c r="V88" s="181"/>
      <c r="W88" s="301">
        <v>9.6891659501289773</v>
      </c>
      <c r="Y88" s="303"/>
      <c r="AA88" s="301">
        <f t="shared" si="19"/>
        <v>9.6891659501289773</v>
      </c>
    </row>
    <row r="89" spans="1:27" s="19" customFormat="1">
      <c r="A89" s="64"/>
      <c r="B89" s="65"/>
      <c r="C89" s="70" t="s">
        <v>60</v>
      </c>
      <c r="D89" s="65"/>
      <c r="E89" s="182">
        <v>2045</v>
      </c>
      <c r="F89" s="65"/>
      <c r="G89" s="183" t="s">
        <v>186</v>
      </c>
      <c r="H89" s="183" t="s">
        <v>181</v>
      </c>
      <c r="I89" s="184">
        <v>0</v>
      </c>
      <c r="J89" s="65"/>
      <c r="K89" s="71">
        <v>2192469.65</v>
      </c>
      <c r="L89" s="185"/>
      <c r="M89" s="73">
        <v>248026</v>
      </c>
      <c r="N89" s="73"/>
      <c r="O89" s="198">
        <f t="shared" si="15"/>
        <v>1944444</v>
      </c>
      <c r="P89" s="73"/>
      <c r="Q89" s="57">
        <f t="shared" si="16"/>
        <v>74786.307692307688</v>
      </c>
      <c r="S89" s="74">
        <f t="shared" si="17"/>
        <v>3.41105327010149</v>
      </c>
      <c r="U89" s="186">
        <f t="shared" si="18"/>
        <v>26</v>
      </c>
      <c r="V89" s="181"/>
      <c r="W89" s="301">
        <v>19.95014169154986</v>
      </c>
      <c r="Y89" s="303"/>
      <c r="AA89" s="301">
        <f t="shared" si="19"/>
        <v>19.95014169154986</v>
      </c>
    </row>
    <row r="90" spans="1:27" s="19" customFormat="1">
      <c r="A90" s="64"/>
      <c r="B90" s="65"/>
      <c r="C90" s="70" t="s">
        <v>61</v>
      </c>
      <c r="D90" s="65"/>
      <c r="E90" s="182">
        <v>2049</v>
      </c>
      <c r="F90" s="65"/>
      <c r="G90" s="183" t="s">
        <v>186</v>
      </c>
      <c r="H90" s="183" t="s">
        <v>181</v>
      </c>
      <c r="I90" s="184">
        <v>0</v>
      </c>
      <c r="J90" s="65"/>
      <c r="K90" s="75">
        <v>3964220.82</v>
      </c>
      <c r="L90" s="185"/>
      <c r="M90" s="77">
        <v>272786</v>
      </c>
      <c r="N90" s="73"/>
      <c r="O90" s="205">
        <f t="shared" si="15"/>
        <v>3691435</v>
      </c>
      <c r="P90" s="73"/>
      <c r="Q90" s="62">
        <f t="shared" si="16"/>
        <v>123047.83333333333</v>
      </c>
      <c r="S90" s="74">
        <f t="shared" si="17"/>
        <v>3.1039601202975704</v>
      </c>
      <c r="U90" s="186">
        <f t="shared" si="18"/>
        <v>30</v>
      </c>
      <c r="V90" s="181"/>
      <c r="W90" s="301">
        <v>20.700512697477194</v>
      </c>
      <c r="Y90" s="303"/>
      <c r="AA90" s="301">
        <f t="shared" si="19"/>
        <v>20.700512697477194</v>
      </c>
    </row>
    <row r="91" spans="1:27" s="19" customFormat="1">
      <c r="A91" s="64"/>
      <c r="B91" s="65"/>
      <c r="C91" s="78"/>
      <c r="D91" s="65"/>
      <c r="E91" s="65"/>
      <c r="F91" s="65"/>
      <c r="G91" s="183"/>
      <c r="H91" s="183"/>
      <c r="I91" s="184"/>
      <c r="J91" s="65"/>
      <c r="K91" s="71"/>
      <c r="L91" s="185"/>
      <c r="M91" s="73"/>
      <c r="N91" s="73"/>
      <c r="O91" s="73"/>
      <c r="P91" s="73"/>
      <c r="Q91" s="73"/>
      <c r="S91" s="74"/>
      <c r="U91" s="186"/>
      <c r="V91" s="181"/>
      <c r="W91" s="301"/>
      <c r="AA91" s="301"/>
    </row>
    <row r="92" spans="1:27" s="19" customFormat="1">
      <c r="A92" s="64"/>
      <c r="B92" s="65"/>
      <c r="C92" s="78" t="s">
        <v>74</v>
      </c>
      <c r="D92" s="65"/>
      <c r="E92" s="65"/>
      <c r="F92" s="65"/>
      <c r="G92" s="183"/>
      <c r="H92" s="183"/>
      <c r="I92" s="184"/>
      <c r="J92" s="65"/>
      <c r="K92" s="75">
        <f>SUBTOTAL(9,K84:K91)</f>
        <v>17072001.02</v>
      </c>
      <c r="L92" s="185"/>
      <c r="M92" s="77">
        <f>SUBTOTAL(9,M84:M91)</f>
        <v>5551006.46</v>
      </c>
      <c r="N92" s="73"/>
      <c r="O92" s="77">
        <f>SUBTOTAL(9,O84:O91)</f>
        <v>11520995</v>
      </c>
      <c r="P92" s="73"/>
      <c r="Q92" s="77">
        <f>SUBTOTAL(9,Q84:Q91)</f>
        <v>567409.03409923415</v>
      </c>
      <c r="S92" s="74">
        <f>+ROUND(Q92/K92*100,2)</f>
        <v>3.32</v>
      </c>
      <c r="U92" s="186"/>
      <c r="V92" s="181"/>
      <c r="W92" s="301"/>
      <c r="AA92" s="301"/>
    </row>
    <row r="93" spans="1:27" ht="15.75">
      <c r="A93" s="23"/>
      <c r="C93" s="79"/>
      <c r="K93" s="71"/>
      <c r="L93" s="185"/>
      <c r="M93" s="73"/>
      <c r="N93" s="73"/>
      <c r="O93" s="73"/>
      <c r="P93" s="73"/>
      <c r="Q93" s="73"/>
      <c r="S93" s="49"/>
      <c r="U93" s="176"/>
      <c r="V93" s="23"/>
      <c r="W93" s="302"/>
      <c r="AA93" s="302"/>
    </row>
    <row r="94" spans="1:27" ht="15.75">
      <c r="A94" s="80"/>
      <c r="C94" s="81" t="s">
        <v>75</v>
      </c>
      <c r="G94" s="187"/>
      <c r="H94" s="187"/>
      <c r="I94" s="188"/>
      <c r="K94" s="118">
        <f>SUBTOTAL(9,K22:K93)</f>
        <v>2426607851.3600001</v>
      </c>
      <c r="L94" s="93"/>
      <c r="M94" s="120">
        <f>SUBTOTAL(9,M22:M93)</f>
        <v>894868155.6500001</v>
      </c>
      <c r="N94" s="120"/>
      <c r="O94" s="120">
        <f>SUBTOTAL(9,O22:O93)</f>
        <v>1531739695</v>
      </c>
      <c r="P94" s="120"/>
      <c r="Q94" s="120">
        <f>SUBTOTAL(9,Q22:Q93)</f>
        <v>70105617.735030189</v>
      </c>
      <c r="S94" s="84">
        <f>+ROUND(Q94/K94*100,2)</f>
        <v>2.89</v>
      </c>
      <c r="T94" s="93"/>
      <c r="U94" s="189"/>
      <c r="V94" s="23"/>
      <c r="W94" s="302"/>
      <c r="AA94" s="302"/>
    </row>
    <row r="95" spans="1:27" s="19" customFormat="1">
      <c r="A95" s="85"/>
      <c r="C95" s="86"/>
      <c r="G95" s="187"/>
      <c r="H95" s="187"/>
      <c r="I95" s="188"/>
      <c r="K95" s="87"/>
      <c r="M95" s="89"/>
      <c r="N95" s="89"/>
      <c r="O95" s="89"/>
      <c r="P95" s="89"/>
      <c r="Q95" s="89"/>
      <c r="S95" s="74"/>
      <c r="U95" s="186"/>
      <c r="V95" s="181"/>
      <c r="W95" s="301"/>
      <c r="AA95" s="301"/>
    </row>
    <row r="96" spans="1:27" ht="15.75">
      <c r="A96" s="23"/>
      <c r="C96" s="24" t="s">
        <v>76</v>
      </c>
      <c r="M96" s="46"/>
      <c r="N96" s="46"/>
      <c r="O96" s="46"/>
      <c r="P96" s="46"/>
      <c r="Q96" s="46"/>
      <c r="S96" s="49"/>
      <c r="U96" s="176"/>
      <c r="V96" s="23"/>
      <c r="W96" s="302"/>
      <c r="AA96" s="302"/>
    </row>
    <row r="97" spans="1:27" ht="15.75">
      <c r="A97" s="23"/>
      <c r="C97" s="48"/>
      <c r="M97" s="46"/>
      <c r="N97" s="46"/>
      <c r="O97" s="46"/>
      <c r="P97" s="46"/>
      <c r="Q97" s="46"/>
      <c r="S97" s="49"/>
      <c r="U97" s="176"/>
      <c r="V97" s="23"/>
      <c r="W97" s="302"/>
      <c r="AA97" s="302"/>
    </row>
    <row r="98" spans="1:27" s="19" customFormat="1">
      <c r="A98" s="64">
        <v>341</v>
      </c>
      <c r="B98" s="65"/>
      <c r="C98" s="65" t="s">
        <v>53</v>
      </c>
      <c r="D98" s="65"/>
      <c r="E98" s="65"/>
      <c r="F98" s="65"/>
      <c r="G98" s="65"/>
      <c r="H98" s="65"/>
      <c r="I98" s="179"/>
      <c r="J98" s="65"/>
      <c r="K98" s="65"/>
      <c r="L98" s="65"/>
      <c r="M98" s="67"/>
      <c r="N98" s="67"/>
      <c r="O98" s="67"/>
      <c r="P98" s="67"/>
      <c r="Q98" s="67"/>
      <c r="S98" s="68"/>
      <c r="U98" s="180"/>
      <c r="V98" s="181"/>
      <c r="W98" s="301"/>
      <c r="AA98" s="301"/>
    </row>
    <row r="99" spans="1:27" s="19" customFormat="1">
      <c r="A99" s="64"/>
      <c r="B99" s="65"/>
      <c r="C99" s="70" t="s">
        <v>77</v>
      </c>
      <c r="D99" s="65"/>
      <c r="E99" s="182">
        <v>2050</v>
      </c>
      <c r="F99" s="65"/>
      <c r="G99" s="183" t="s">
        <v>187</v>
      </c>
      <c r="H99" s="183" t="s">
        <v>181</v>
      </c>
      <c r="I99" s="184">
        <v>0</v>
      </c>
      <c r="J99" s="65"/>
      <c r="K99" s="71">
        <v>19534021.23</v>
      </c>
      <c r="L99" s="185"/>
      <c r="M99" s="73">
        <v>8079954</v>
      </c>
      <c r="N99" s="73"/>
      <c r="O99" s="198">
        <f t="shared" ref="O99:O118" si="20">ROUND((K99+(K99*-(I99/100)))-M99,0)</f>
        <v>11454067</v>
      </c>
      <c r="P99" s="73"/>
      <c r="Q99" s="57">
        <f t="shared" ref="Q99:Q118" si="21">O99/U99</f>
        <v>369486.03225806454</v>
      </c>
      <c r="S99" s="74">
        <f t="shared" ref="S99:S118" si="22">Q99/K99*100</f>
        <v>1.8915001059311563</v>
      </c>
      <c r="U99" s="186">
        <f t="shared" ref="U99:U118" si="23">E99-2019</f>
        <v>31</v>
      </c>
      <c r="V99" s="181"/>
      <c r="W99" s="301">
        <v>26.067793087322137</v>
      </c>
      <c r="Y99" s="303">
        <v>5</v>
      </c>
      <c r="AA99" s="301">
        <f t="shared" ref="AA99:AA118" si="24">W99+Y99</f>
        <v>31.067793087322137</v>
      </c>
    </row>
    <row r="100" spans="1:27" s="19" customFormat="1">
      <c r="A100" s="64"/>
      <c r="B100" s="65"/>
      <c r="C100" s="70" t="s">
        <v>78</v>
      </c>
      <c r="D100" s="65"/>
      <c r="E100" s="182">
        <v>2034</v>
      </c>
      <c r="F100" s="65"/>
      <c r="G100" s="183" t="s">
        <v>187</v>
      </c>
      <c r="H100" s="183" t="s">
        <v>181</v>
      </c>
      <c r="I100" s="184">
        <v>0</v>
      </c>
      <c r="J100" s="65"/>
      <c r="K100" s="71">
        <v>2666719.81</v>
      </c>
      <c r="L100" s="185"/>
      <c r="M100" s="73">
        <v>1526577</v>
      </c>
      <c r="N100" s="73"/>
      <c r="O100" s="198">
        <f t="shared" si="20"/>
        <v>1140143</v>
      </c>
      <c r="P100" s="73"/>
      <c r="Q100" s="57">
        <f t="shared" si="21"/>
        <v>76009.53333333334</v>
      </c>
      <c r="S100" s="74">
        <f t="shared" si="22"/>
        <v>2.8503006970699833</v>
      </c>
      <c r="U100" s="186">
        <f t="shared" si="23"/>
        <v>15</v>
      </c>
      <c r="V100" s="181"/>
      <c r="W100" s="301">
        <v>13.611484716157205</v>
      </c>
      <c r="Y100" s="303">
        <v>10</v>
      </c>
      <c r="AA100" s="301">
        <f t="shared" si="24"/>
        <v>23.611484716157207</v>
      </c>
    </row>
    <row r="101" spans="1:27" s="19" customFormat="1">
      <c r="A101" s="64"/>
      <c r="B101" s="65"/>
      <c r="C101" s="70" t="s">
        <v>79</v>
      </c>
      <c r="D101" s="65"/>
      <c r="E101" s="182">
        <v>2034</v>
      </c>
      <c r="F101" s="65"/>
      <c r="G101" s="183" t="s">
        <v>187</v>
      </c>
      <c r="H101" s="183" t="s">
        <v>181</v>
      </c>
      <c r="I101" s="184">
        <v>0</v>
      </c>
      <c r="J101" s="65"/>
      <c r="K101" s="71">
        <v>2666719.81</v>
      </c>
      <c r="L101" s="185"/>
      <c r="M101" s="73">
        <v>1547030</v>
      </c>
      <c r="N101" s="73"/>
      <c r="O101" s="198">
        <f t="shared" si="20"/>
        <v>1119690</v>
      </c>
      <c r="P101" s="73"/>
      <c r="Q101" s="57">
        <f t="shared" si="21"/>
        <v>74646</v>
      </c>
      <c r="S101" s="74">
        <f t="shared" si="22"/>
        <v>2.7991692160564856</v>
      </c>
      <c r="U101" s="186">
        <f t="shared" si="23"/>
        <v>15</v>
      </c>
      <c r="V101" s="181"/>
      <c r="W101" s="301">
        <v>13.611540894813368</v>
      </c>
      <c r="Y101" s="303">
        <v>10</v>
      </c>
      <c r="AA101" s="301">
        <f t="shared" si="24"/>
        <v>23.611540894813366</v>
      </c>
    </row>
    <row r="102" spans="1:27" s="19" customFormat="1">
      <c r="A102" s="64"/>
      <c r="B102" s="65"/>
      <c r="C102" s="70" t="s">
        <v>80</v>
      </c>
      <c r="D102" s="65"/>
      <c r="E102" s="182">
        <v>2034</v>
      </c>
      <c r="F102" s="65"/>
      <c r="G102" s="183" t="s">
        <v>187</v>
      </c>
      <c r="H102" s="183" t="s">
        <v>181</v>
      </c>
      <c r="I102" s="184">
        <v>0</v>
      </c>
      <c r="J102" s="65"/>
      <c r="K102" s="71">
        <v>2666719.81</v>
      </c>
      <c r="L102" s="185"/>
      <c r="M102" s="73">
        <v>1537134</v>
      </c>
      <c r="N102" s="73"/>
      <c r="O102" s="198">
        <f t="shared" si="20"/>
        <v>1129586</v>
      </c>
      <c r="P102" s="73"/>
      <c r="Q102" s="57">
        <f t="shared" si="21"/>
        <v>75305.733333333337</v>
      </c>
      <c r="S102" s="74">
        <f t="shared" si="22"/>
        <v>2.8239087230290361</v>
      </c>
      <c r="U102" s="186">
        <f t="shared" si="23"/>
        <v>15</v>
      </c>
      <c r="V102" s="181"/>
      <c r="W102" s="301">
        <v>13.611545406500484</v>
      </c>
      <c r="Y102" s="303">
        <v>10</v>
      </c>
      <c r="AA102" s="301">
        <f t="shared" si="24"/>
        <v>23.611545406500483</v>
      </c>
    </row>
    <row r="103" spans="1:27" s="19" customFormat="1">
      <c r="A103" s="64"/>
      <c r="B103" s="65"/>
      <c r="C103" s="70" t="s">
        <v>81</v>
      </c>
      <c r="D103" s="65"/>
      <c r="E103" s="182">
        <v>2041</v>
      </c>
      <c r="F103" s="65"/>
      <c r="G103" s="183" t="s">
        <v>187</v>
      </c>
      <c r="H103" s="183" t="s">
        <v>181</v>
      </c>
      <c r="I103" s="184">
        <v>0</v>
      </c>
      <c r="J103" s="65"/>
      <c r="K103" s="71">
        <v>1937757.41</v>
      </c>
      <c r="L103" s="185"/>
      <c r="M103" s="73">
        <v>910073</v>
      </c>
      <c r="N103" s="73"/>
      <c r="O103" s="198">
        <f t="shared" si="20"/>
        <v>1027684</v>
      </c>
      <c r="P103" s="73"/>
      <c r="Q103" s="57">
        <f t="shared" si="21"/>
        <v>46712.909090909088</v>
      </c>
      <c r="S103" s="74">
        <f t="shared" si="22"/>
        <v>2.410668582653444</v>
      </c>
      <c r="U103" s="186">
        <f t="shared" si="23"/>
        <v>22</v>
      </c>
      <c r="V103" s="181"/>
      <c r="W103" s="301">
        <v>19.4480713732667</v>
      </c>
      <c r="Y103" s="303">
        <v>5</v>
      </c>
      <c r="AA103" s="301">
        <f t="shared" si="24"/>
        <v>24.4480713732667</v>
      </c>
    </row>
    <row r="104" spans="1:27" s="19" customFormat="1">
      <c r="A104" s="64"/>
      <c r="B104" s="65"/>
      <c r="C104" s="70" t="s">
        <v>82</v>
      </c>
      <c r="D104" s="65"/>
      <c r="E104" s="182">
        <v>2041</v>
      </c>
      <c r="F104" s="65"/>
      <c r="G104" s="183" t="s">
        <v>187</v>
      </c>
      <c r="H104" s="183" t="s">
        <v>181</v>
      </c>
      <c r="I104" s="184">
        <v>0</v>
      </c>
      <c r="J104" s="65"/>
      <c r="K104" s="71">
        <v>1599135.43</v>
      </c>
      <c r="L104" s="185"/>
      <c r="M104" s="73">
        <v>744544</v>
      </c>
      <c r="N104" s="73"/>
      <c r="O104" s="198">
        <f t="shared" si="20"/>
        <v>854591</v>
      </c>
      <c r="P104" s="73"/>
      <c r="Q104" s="57">
        <f t="shared" si="21"/>
        <v>38845.045454545456</v>
      </c>
      <c r="S104" s="74">
        <f t="shared" si="22"/>
        <v>2.4291279353710187</v>
      </c>
      <c r="U104" s="186">
        <f t="shared" si="23"/>
        <v>22</v>
      </c>
      <c r="V104" s="181"/>
      <c r="W104" s="301">
        <v>19.46507734689553</v>
      </c>
      <c r="Y104" s="303">
        <v>5</v>
      </c>
      <c r="AA104" s="301">
        <f t="shared" si="24"/>
        <v>24.46507734689553</v>
      </c>
    </row>
    <row r="105" spans="1:27" s="19" customFormat="1">
      <c r="A105" s="64"/>
      <c r="B105" s="65"/>
      <c r="C105" s="70" t="s">
        <v>83</v>
      </c>
      <c r="D105" s="65"/>
      <c r="E105" s="182">
        <v>2045</v>
      </c>
      <c r="F105" s="65"/>
      <c r="G105" s="183" t="s">
        <v>187</v>
      </c>
      <c r="H105" s="183" t="s">
        <v>181</v>
      </c>
      <c r="I105" s="184">
        <v>0</v>
      </c>
      <c r="J105" s="65"/>
      <c r="K105" s="71">
        <v>303524.78000000003</v>
      </c>
      <c r="L105" s="185"/>
      <c r="M105" s="73">
        <v>111370</v>
      </c>
      <c r="N105" s="73"/>
      <c r="O105" s="198">
        <f t="shared" si="20"/>
        <v>192155</v>
      </c>
      <c r="P105" s="73"/>
      <c r="Q105" s="57">
        <f t="shared" si="21"/>
        <v>7390.5769230769229</v>
      </c>
      <c r="S105" s="74">
        <f t="shared" si="22"/>
        <v>2.4349171501176681</v>
      </c>
      <c r="U105" s="186">
        <f t="shared" si="23"/>
        <v>26</v>
      </c>
      <c r="V105" s="181"/>
      <c r="W105" s="301">
        <v>23.001125872551228</v>
      </c>
      <c r="Y105" s="303">
        <v>5</v>
      </c>
      <c r="AA105" s="301">
        <f t="shared" si="24"/>
        <v>28.001125872551228</v>
      </c>
    </row>
    <row r="106" spans="1:27" s="19" customFormat="1">
      <c r="A106" s="64"/>
      <c r="B106" s="65"/>
      <c r="C106" s="70" t="s">
        <v>84</v>
      </c>
      <c r="D106" s="65"/>
      <c r="E106" s="182">
        <v>2045</v>
      </c>
      <c r="F106" s="65"/>
      <c r="G106" s="183" t="s">
        <v>187</v>
      </c>
      <c r="H106" s="183" t="s">
        <v>181</v>
      </c>
      <c r="I106" s="184">
        <v>0</v>
      </c>
      <c r="J106" s="65"/>
      <c r="K106" s="71">
        <v>303524.78000000003</v>
      </c>
      <c r="L106" s="185"/>
      <c r="M106" s="73">
        <v>111368</v>
      </c>
      <c r="N106" s="73"/>
      <c r="O106" s="198">
        <f t="shared" si="20"/>
        <v>192157</v>
      </c>
      <c r="P106" s="73"/>
      <c r="Q106" s="57">
        <f t="shared" si="21"/>
        <v>7390.6538461538457</v>
      </c>
      <c r="S106" s="74">
        <f t="shared" si="22"/>
        <v>2.4349424933785788</v>
      </c>
      <c r="U106" s="186">
        <f t="shared" si="23"/>
        <v>26</v>
      </c>
      <c r="V106" s="181"/>
      <c r="W106" s="301">
        <v>23.001351047061473</v>
      </c>
      <c r="Y106" s="303">
        <v>5</v>
      </c>
      <c r="AA106" s="301">
        <f t="shared" si="24"/>
        <v>28.001351047061473</v>
      </c>
    </row>
    <row r="107" spans="1:27" s="19" customFormat="1">
      <c r="A107" s="64"/>
      <c r="B107" s="65"/>
      <c r="C107" s="70" t="s">
        <v>85</v>
      </c>
      <c r="D107" s="65"/>
      <c r="E107" s="182">
        <v>2050</v>
      </c>
      <c r="F107" s="65"/>
      <c r="G107" s="183" t="s">
        <v>187</v>
      </c>
      <c r="H107" s="183" t="s">
        <v>181</v>
      </c>
      <c r="I107" s="184">
        <v>0</v>
      </c>
      <c r="J107" s="65"/>
      <c r="K107" s="71">
        <v>4500637.37</v>
      </c>
      <c r="L107" s="185"/>
      <c r="M107" s="73">
        <v>883169</v>
      </c>
      <c r="N107" s="73"/>
      <c r="O107" s="198">
        <f t="shared" si="20"/>
        <v>3617468</v>
      </c>
      <c r="P107" s="73"/>
      <c r="Q107" s="57">
        <f t="shared" si="21"/>
        <v>116692.51612903226</v>
      </c>
      <c r="S107" s="74">
        <f t="shared" si="22"/>
        <v>2.5927997866895964</v>
      </c>
      <c r="U107" s="186">
        <f t="shared" si="23"/>
        <v>31</v>
      </c>
      <c r="V107" s="181"/>
      <c r="W107" s="301">
        <v>27.576823086866224</v>
      </c>
      <c r="Y107" s="303">
        <v>5</v>
      </c>
      <c r="AA107" s="301">
        <f t="shared" si="24"/>
        <v>32.576823086866227</v>
      </c>
    </row>
    <row r="108" spans="1:27" s="19" customFormat="1">
      <c r="A108" s="64"/>
      <c r="B108" s="65"/>
      <c r="C108" s="70" t="s">
        <v>86</v>
      </c>
      <c r="D108" s="65"/>
      <c r="E108" s="182">
        <v>2050</v>
      </c>
      <c r="F108" s="65"/>
      <c r="G108" s="183" t="s">
        <v>187</v>
      </c>
      <c r="H108" s="183" t="s">
        <v>181</v>
      </c>
      <c r="I108" s="184">
        <v>0</v>
      </c>
      <c r="J108" s="65"/>
      <c r="K108" s="71">
        <v>88846.57</v>
      </c>
      <c r="L108" s="185"/>
      <c r="M108" s="73">
        <v>22007</v>
      </c>
      <c r="N108" s="73"/>
      <c r="O108" s="198">
        <f t="shared" si="20"/>
        <v>66840</v>
      </c>
      <c r="P108" s="73"/>
      <c r="Q108" s="57">
        <f t="shared" si="21"/>
        <v>2156.1290322580644</v>
      </c>
      <c r="S108" s="74">
        <f t="shared" si="22"/>
        <v>2.4268005306879763</v>
      </c>
      <c r="U108" s="186">
        <f t="shared" si="23"/>
        <v>31</v>
      </c>
      <c r="V108" s="181"/>
      <c r="W108" s="301">
        <v>27.702872884691068</v>
      </c>
      <c r="Y108" s="303">
        <v>5</v>
      </c>
      <c r="AA108" s="301">
        <f t="shared" si="24"/>
        <v>32.702872884691068</v>
      </c>
    </row>
    <row r="109" spans="1:27" s="19" customFormat="1">
      <c r="A109" s="64"/>
      <c r="B109" s="65"/>
      <c r="C109" s="70" t="s">
        <v>87</v>
      </c>
      <c r="D109" s="65"/>
      <c r="E109" s="182">
        <v>2038</v>
      </c>
      <c r="F109" s="65"/>
      <c r="G109" s="183" t="s">
        <v>187</v>
      </c>
      <c r="H109" s="183" t="s">
        <v>181</v>
      </c>
      <c r="I109" s="184">
        <v>0</v>
      </c>
      <c r="J109" s="65"/>
      <c r="K109" s="71">
        <v>1119860.8</v>
      </c>
      <c r="L109" s="185"/>
      <c r="M109" s="73">
        <v>495454</v>
      </c>
      <c r="N109" s="73"/>
      <c r="O109" s="198">
        <f t="shared" si="20"/>
        <v>624407</v>
      </c>
      <c r="P109" s="73"/>
      <c r="Q109" s="57">
        <f t="shared" si="21"/>
        <v>32863.526315789473</v>
      </c>
      <c r="S109" s="74">
        <f t="shared" si="22"/>
        <v>2.9346081509228177</v>
      </c>
      <c r="U109" s="186">
        <f t="shared" si="23"/>
        <v>19</v>
      </c>
      <c r="V109" s="181"/>
      <c r="W109" s="301">
        <v>17.159790942615341</v>
      </c>
      <c r="Y109" s="303"/>
      <c r="AA109" s="301">
        <f t="shared" si="24"/>
        <v>17.159790942615341</v>
      </c>
    </row>
    <row r="110" spans="1:27" s="19" customFormat="1">
      <c r="A110" s="64"/>
      <c r="B110" s="65"/>
      <c r="C110" s="70" t="s">
        <v>88</v>
      </c>
      <c r="D110" s="65"/>
      <c r="E110" s="182">
        <v>2038</v>
      </c>
      <c r="F110" s="65"/>
      <c r="G110" s="183" t="s">
        <v>187</v>
      </c>
      <c r="H110" s="183" t="s">
        <v>181</v>
      </c>
      <c r="I110" s="184">
        <v>0</v>
      </c>
      <c r="J110" s="65"/>
      <c r="K110" s="71">
        <v>1200486.53</v>
      </c>
      <c r="L110" s="185"/>
      <c r="M110" s="73">
        <v>531124</v>
      </c>
      <c r="N110" s="73"/>
      <c r="O110" s="198">
        <f t="shared" si="20"/>
        <v>669363</v>
      </c>
      <c r="P110" s="73"/>
      <c r="Q110" s="57">
        <f t="shared" si="21"/>
        <v>35229.631578947367</v>
      </c>
      <c r="S110" s="74">
        <f t="shared" si="22"/>
        <v>2.934612817267293</v>
      </c>
      <c r="U110" s="186">
        <f t="shared" si="23"/>
        <v>19</v>
      </c>
      <c r="V110" s="181"/>
      <c r="W110" s="301">
        <v>17.160124733950404</v>
      </c>
      <c r="Y110" s="303"/>
      <c r="AA110" s="301">
        <f t="shared" si="24"/>
        <v>17.160124733950404</v>
      </c>
    </row>
    <row r="111" spans="1:27" s="19" customFormat="1">
      <c r="A111" s="64"/>
      <c r="B111" s="65"/>
      <c r="C111" s="70" t="s">
        <v>89</v>
      </c>
      <c r="D111" s="65"/>
      <c r="E111" s="182">
        <v>2038</v>
      </c>
      <c r="F111" s="65"/>
      <c r="G111" s="183" t="s">
        <v>187</v>
      </c>
      <c r="H111" s="183" t="s">
        <v>181</v>
      </c>
      <c r="I111" s="184">
        <v>0</v>
      </c>
      <c r="J111" s="65"/>
      <c r="K111" s="71">
        <v>1135966.24</v>
      </c>
      <c r="L111" s="185"/>
      <c r="M111" s="73">
        <v>502579</v>
      </c>
      <c r="N111" s="73"/>
      <c r="O111" s="198">
        <f t="shared" si="20"/>
        <v>633387</v>
      </c>
      <c r="P111" s="73"/>
      <c r="Q111" s="57">
        <f t="shared" si="21"/>
        <v>33336.15789473684</v>
      </c>
      <c r="S111" s="74">
        <f t="shared" si="22"/>
        <v>2.9346081530325092</v>
      </c>
      <c r="U111" s="186">
        <f t="shared" si="23"/>
        <v>19</v>
      </c>
      <c r="V111" s="181"/>
      <c r="W111" s="301">
        <v>17.159853537334904</v>
      </c>
      <c r="Y111" s="303"/>
      <c r="AA111" s="301">
        <f t="shared" si="24"/>
        <v>17.159853537334904</v>
      </c>
    </row>
    <row r="112" spans="1:27" s="19" customFormat="1">
      <c r="A112" s="64"/>
      <c r="B112" s="65"/>
      <c r="C112" s="70" t="s">
        <v>90</v>
      </c>
      <c r="D112" s="65"/>
      <c r="E112" s="182">
        <v>2041</v>
      </c>
      <c r="F112" s="65"/>
      <c r="G112" s="183" t="s">
        <v>187</v>
      </c>
      <c r="H112" s="183" t="s">
        <v>181</v>
      </c>
      <c r="I112" s="184">
        <v>0</v>
      </c>
      <c r="J112" s="65"/>
      <c r="K112" s="71">
        <v>1465228.09</v>
      </c>
      <c r="L112" s="185"/>
      <c r="M112" s="73">
        <v>534890</v>
      </c>
      <c r="N112" s="73"/>
      <c r="O112" s="198">
        <f t="shared" si="20"/>
        <v>930338</v>
      </c>
      <c r="P112" s="73"/>
      <c r="Q112" s="57">
        <f t="shared" si="21"/>
        <v>42288.090909090912</v>
      </c>
      <c r="S112" s="74">
        <f t="shared" si="22"/>
        <v>2.8861097598184124</v>
      </c>
      <c r="U112" s="186">
        <f t="shared" si="23"/>
        <v>22</v>
      </c>
      <c r="V112" s="181"/>
      <c r="W112" s="301">
        <v>19.929866461755726</v>
      </c>
      <c r="Y112" s="303"/>
      <c r="AA112" s="301">
        <f t="shared" si="24"/>
        <v>19.929866461755726</v>
      </c>
    </row>
    <row r="113" spans="1:27" s="19" customFormat="1">
      <c r="A113" s="64"/>
      <c r="B113" s="65"/>
      <c r="C113" s="70" t="s">
        <v>91</v>
      </c>
      <c r="D113" s="65"/>
      <c r="E113" s="182">
        <v>2042</v>
      </c>
      <c r="F113" s="65"/>
      <c r="G113" s="183" t="s">
        <v>187</v>
      </c>
      <c r="H113" s="183" t="s">
        <v>181</v>
      </c>
      <c r="I113" s="184">
        <v>0</v>
      </c>
      <c r="J113" s="65"/>
      <c r="K113" s="71">
        <v>2033652.36</v>
      </c>
      <c r="L113" s="185"/>
      <c r="M113" s="73">
        <v>141041</v>
      </c>
      <c r="N113" s="73"/>
      <c r="O113" s="198">
        <f t="shared" si="20"/>
        <v>1892611</v>
      </c>
      <c r="P113" s="73"/>
      <c r="Q113" s="57">
        <f t="shared" si="21"/>
        <v>82287.434782608689</v>
      </c>
      <c r="S113" s="74">
        <f t="shared" si="22"/>
        <v>4.046288166115505</v>
      </c>
      <c r="U113" s="186">
        <f t="shared" si="23"/>
        <v>23</v>
      </c>
      <c r="V113" s="181"/>
      <c r="W113" s="301">
        <v>21.903674246286666</v>
      </c>
      <c r="Y113" s="303"/>
      <c r="AA113" s="301">
        <f t="shared" si="24"/>
        <v>21.903674246286666</v>
      </c>
    </row>
    <row r="114" spans="1:27" s="19" customFormat="1">
      <c r="A114" s="64"/>
      <c r="B114" s="65"/>
      <c r="C114" s="70" t="s">
        <v>92</v>
      </c>
      <c r="D114" s="65"/>
      <c r="E114" s="182">
        <v>2042</v>
      </c>
      <c r="F114" s="65"/>
      <c r="G114" s="183" t="s">
        <v>187</v>
      </c>
      <c r="H114" s="183" t="s">
        <v>181</v>
      </c>
      <c r="I114" s="184">
        <v>0</v>
      </c>
      <c r="J114" s="65"/>
      <c r="K114" s="71">
        <v>7229721.6399999997</v>
      </c>
      <c r="L114" s="185"/>
      <c r="M114" s="73">
        <v>3246261.9</v>
      </c>
      <c r="N114" s="73"/>
      <c r="O114" s="198">
        <f t="shared" si="20"/>
        <v>3983460</v>
      </c>
      <c r="P114" s="73"/>
      <c r="Q114" s="57">
        <f t="shared" si="21"/>
        <v>173193.91304347827</v>
      </c>
      <c r="S114" s="74">
        <f t="shared" si="22"/>
        <v>2.3955820385289175</v>
      </c>
      <c r="U114" s="186">
        <f t="shared" si="23"/>
        <v>23</v>
      </c>
      <c r="V114" s="181"/>
      <c r="W114" s="301">
        <v>21.709967222288842</v>
      </c>
      <c r="Y114" s="303">
        <v>5</v>
      </c>
      <c r="AA114" s="301">
        <f t="shared" si="24"/>
        <v>26.709967222288842</v>
      </c>
    </row>
    <row r="115" spans="1:27" s="19" customFormat="1">
      <c r="A115" s="64"/>
      <c r="B115" s="65"/>
      <c r="C115" s="70" t="s">
        <v>93</v>
      </c>
      <c r="D115" s="65"/>
      <c r="E115" s="182">
        <v>2042</v>
      </c>
      <c r="F115" s="65"/>
      <c r="G115" s="183" t="s">
        <v>187</v>
      </c>
      <c r="H115" s="183" t="s">
        <v>181</v>
      </c>
      <c r="I115" s="184">
        <v>0</v>
      </c>
      <c r="J115" s="65"/>
      <c r="K115" s="71">
        <v>933680.4</v>
      </c>
      <c r="L115" s="185"/>
      <c r="M115" s="73">
        <v>448838</v>
      </c>
      <c r="N115" s="73"/>
      <c r="O115" s="198">
        <f t="shared" si="20"/>
        <v>484842</v>
      </c>
      <c r="P115" s="73"/>
      <c r="Q115" s="57">
        <f t="shared" si="21"/>
        <v>21080.08695652174</v>
      </c>
      <c r="S115" s="74">
        <f t="shared" si="22"/>
        <v>2.257741188154077</v>
      </c>
      <c r="U115" s="186">
        <f t="shared" si="23"/>
        <v>23</v>
      </c>
      <c r="V115" s="181"/>
      <c r="W115" s="301">
        <v>21.710002859126742</v>
      </c>
      <c r="Y115" s="303">
        <v>5</v>
      </c>
      <c r="AA115" s="301">
        <f t="shared" si="24"/>
        <v>26.710002859126742</v>
      </c>
    </row>
    <row r="116" spans="1:27" s="19" customFormat="1">
      <c r="A116" s="64"/>
      <c r="B116" s="65"/>
      <c r="C116" s="70" t="s">
        <v>94</v>
      </c>
      <c r="D116" s="65"/>
      <c r="E116" s="182">
        <v>2042</v>
      </c>
      <c r="F116" s="65"/>
      <c r="G116" s="183" t="s">
        <v>187</v>
      </c>
      <c r="H116" s="183" t="s">
        <v>181</v>
      </c>
      <c r="I116" s="184">
        <v>0</v>
      </c>
      <c r="J116" s="65"/>
      <c r="K116" s="71">
        <v>933680.4</v>
      </c>
      <c r="L116" s="185"/>
      <c r="M116" s="73">
        <v>444133</v>
      </c>
      <c r="N116" s="73"/>
      <c r="O116" s="198">
        <f t="shared" si="20"/>
        <v>489547</v>
      </c>
      <c r="P116" s="73"/>
      <c r="Q116" s="57">
        <f t="shared" si="21"/>
        <v>21284.652173913044</v>
      </c>
      <c r="S116" s="74">
        <f t="shared" si="22"/>
        <v>2.2796507427930419</v>
      </c>
      <c r="U116" s="186">
        <f t="shared" si="23"/>
        <v>23</v>
      </c>
      <c r="V116" s="181"/>
      <c r="W116" s="301">
        <v>21.709757085020243</v>
      </c>
      <c r="Y116" s="303">
        <v>5</v>
      </c>
      <c r="AA116" s="301">
        <f t="shared" si="24"/>
        <v>26.709757085020243</v>
      </c>
    </row>
    <row r="117" spans="1:27" s="19" customFormat="1">
      <c r="A117" s="64"/>
      <c r="B117" s="65"/>
      <c r="C117" s="70" t="s">
        <v>95</v>
      </c>
      <c r="D117" s="65"/>
      <c r="E117" s="182">
        <v>2042</v>
      </c>
      <c r="F117" s="65"/>
      <c r="G117" s="183" t="s">
        <v>187</v>
      </c>
      <c r="H117" s="183" t="s">
        <v>181</v>
      </c>
      <c r="I117" s="184">
        <v>0</v>
      </c>
      <c r="J117" s="65"/>
      <c r="K117" s="71">
        <v>933680.4</v>
      </c>
      <c r="L117" s="185"/>
      <c r="M117" s="73">
        <v>448802</v>
      </c>
      <c r="N117" s="73"/>
      <c r="O117" s="198">
        <f t="shared" si="20"/>
        <v>484878</v>
      </c>
      <c r="P117" s="73"/>
      <c r="Q117" s="57">
        <f t="shared" si="21"/>
        <v>21081.652173913044</v>
      </c>
      <c r="S117" s="74">
        <f t="shared" si="22"/>
        <v>2.2579088276794761</v>
      </c>
      <c r="U117" s="186">
        <f t="shared" si="23"/>
        <v>23</v>
      </c>
      <c r="V117" s="181"/>
      <c r="W117" s="301">
        <v>21.709699816214009</v>
      </c>
      <c r="Y117" s="303">
        <v>5</v>
      </c>
      <c r="AA117" s="301">
        <f t="shared" si="24"/>
        <v>26.709699816214009</v>
      </c>
    </row>
    <row r="118" spans="1:27" s="19" customFormat="1">
      <c r="A118" s="64"/>
      <c r="B118" s="65"/>
      <c r="C118" s="70" t="s">
        <v>96</v>
      </c>
      <c r="D118" s="65"/>
      <c r="E118" s="182">
        <v>2042</v>
      </c>
      <c r="F118" s="65"/>
      <c r="G118" s="183" t="s">
        <v>187</v>
      </c>
      <c r="H118" s="183" t="s">
        <v>181</v>
      </c>
      <c r="I118" s="184">
        <v>0</v>
      </c>
      <c r="J118" s="65"/>
      <c r="K118" s="75">
        <v>625882</v>
      </c>
      <c r="L118" s="185"/>
      <c r="M118" s="77">
        <v>55403</v>
      </c>
      <c r="N118" s="73"/>
      <c r="O118" s="205">
        <f t="shared" si="20"/>
        <v>570479</v>
      </c>
      <c r="P118" s="73"/>
      <c r="Q118" s="62">
        <f t="shared" si="21"/>
        <v>24803.434782608696</v>
      </c>
      <c r="S118" s="74">
        <f t="shared" si="22"/>
        <v>3.9629570402422014</v>
      </c>
      <c r="U118" s="186">
        <f t="shared" si="23"/>
        <v>23</v>
      </c>
      <c r="V118" s="181"/>
      <c r="W118" s="301">
        <v>21.890082362318289</v>
      </c>
      <c r="Y118" s="303"/>
      <c r="AA118" s="301">
        <f t="shared" si="24"/>
        <v>21.890082362318289</v>
      </c>
    </row>
    <row r="119" spans="1:27" s="19" customFormat="1">
      <c r="A119" s="64"/>
      <c r="B119" s="65"/>
      <c r="C119" s="78"/>
      <c r="D119" s="65"/>
      <c r="E119" s="65"/>
      <c r="F119" s="65"/>
      <c r="G119" s="183"/>
      <c r="H119" s="183"/>
      <c r="I119" s="184"/>
      <c r="J119" s="65"/>
      <c r="K119" s="71"/>
      <c r="L119" s="185"/>
      <c r="M119" s="73"/>
      <c r="N119" s="73"/>
      <c r="O119" s="73"/>
      <c r="P119" s="73"/>
      <c r="Q119" s="73"/>
      <c r="S119" s="74"/>
      <c r="U119" s="186"/>
      <c r="V119" s="181"/>
      <c r="W119" s="301"/>
      <c r="AA119" s="301"/>
    </row>
    <row r="120" spans="1:27" s="19" customFormat="1">
      <c r="A120" s="64"/>
      <c r="B120" s="65"/>
      <c r="C120" s="78" t="s">
        <v>64</v>
      </c>
      <c r="D120" s="65"/>
      <c r="E120" s="65"/>
      <c r="F120" s="65"/>
      <c r="G120" s="183"/>
      <c r="H120" s="183"/>
      <c r="I120" s="184"/>
      <c r="J120" s="65"/>
      <c r="K120" s="71">
        <f>SUBTOTAL(9,K99:K119)</f>
        <v>53879445.859999999</v>
      </c>
      <c r="L120" s="185"/>
      <c r="M120" s="73">
        <f>SUBTOTAL(9,M99:M119)</f>
        <v>22321751.899999999</v>
      </c>
      <c r="N120" s="73"/>
      <c r="O120" s="73">
        <f>SUBTOTAL(9,O99:O119)</f>
        <v>31557693</v>
      </c>
      <c r="P120" s="73"/>
      <c r="Q120" s="73">
        <f>SUBTOTAL(9,Q99:Q119)</f>
        <v>1302083.7100123148</v>
      </c>
      <c r="S120" s="74">
        <f>+ROUND(Q120/K120*100,2)</f>
        <v>2.42</v>
      </c>
      <c r="U120" s="186"/>
      <c r="V120" s="181"/>
      <c r="W120" s="301"/>
      <c r="AA120" s="301"/>
    </row>
    <row r="121" spans="1:27" s="19" customFormat="1">
      <c r="A121" s="64"/>
      <c r="B121" s="65"/>
      <c r="C121" s="78"/>
      <c r="D121" s="65"/>
      <c r="E121" s="65"/>
      <c r="F121" s="65"/>
      <c r="G121" s="183"/>
      <c r="H121" s="183"/>
      <c r="I121" s="184"/>
      <c r="J121" s="65"/>
      <c r="K121" s="71"/>
      <c r="L121" s="185"/>
      <c r="M121" s="73"/>
      <c r="N121" s="73"/>
      <c r="O121" s="73"/>
      <c r="P121" s="73"/>
      <c r="Q121" s="73"/>
      <c r="S121" s="74"/>
      <c r="U121" s="186"/>
      <c r="V121" s="181"/>
      <c r="W121" s="301"/>
      <c r="AA121" s="301"/>
    </row>
    <row r="122" spans="1:27" s="19" customFormat="1">
      <c r="A122" s="64">
        <v>342</v>
      </c>
      <c r="B122" s="65"/>
      <c r="C122" s="65" t="s">
        <v>188</v>
      </c>
      <c r="D122" s="65"/>
      <c r="E122" s="65"/>
      <c r="F122" s="65"/>
      <c r="G122" s="65"/>
      <c r="H122" s="65"/>
      <c r="I122" s="179"/>
      <c r="J122" s="65"/>
      <c r="K122" s="65"/>
      <c r="L122" s="65"/>
      <c r="M122" s="67"/>
      <c r="N122" s="67"/>
      <c r="O122" s="67"/>
      <c r="P122" s="67"/>
      <c r="Q122" s="67"/>
      <c r="S122" s="68"/>
      <c r="U122" s="180"/>
      <c r="V122" s="181"/>
      <c r="W122" s="301"/>
      <c r="AA122" s="301"/>
    </row>
    <row r="123" spans="1:27" s="19" customFormat="1">
      <c r="A123" s="64"/>
      <c r="B123" s="65"/>
      <c r="C123" s="70" t="s">
        <v>77</v>
      </c>
      <c r="D123" s="65"/>
      <c r="E123" s="182">
        <v>2050</v>
      </c>
      <c r="F123" s="65"/>
      <c r="G123" s="183" t="s">
        <v>189</v>
      </c>
      <c r="H123" s="183" t="s">
        <v>181</v>
      </c>
      <c r="I123" s="184">
        <v>0</v>
      </c>
      <c r="J123" s="65"/>
      <c r="K123" s="71">
        <v>13766120.51</v>
      </c>
      <c r="L123" s="185"/>
      <c r="M123" s="73">
        <v>6102433</v>
      </c>
      <c r="N123" s="73"/>
      <c r="O123" s="198">
        <f t="shared" ref="O123:O130" si="25">ROUND((K123+(K123*-(I123/100)))-M123,0)</f>
        <v>7663688</v>
      </c>
      <c r="P123" s="73"/>
      <c r="Q123" s="57">
        <f t="shared" ref="Q123:Q130" si="26">O123/U123</f>
        <v>247215.74193548388</v>
      </c>
      <c r="S123" s="74">
        <f t="shared" ref="S123:S130" si="27">Q123/K123*100</f>
        <v>1.795827239460102</v>
      </c>
      <c r="U123" s="186">
        <f t="shared" ref="U123:U130" si="28">E123-2019</f>
        <v>31</v>
      </c>
      <c r="V123" s="181"/>
      <c r="W123" s="301">
        <v>26.25441194157936</v>
      </c>
      <c r="Y123" s="303">
        <v>5</v>
      </c>
      <c r="AA123" s="301">
        <f t="shared" ref="AA123:AA130" si="29">W123+Y123</f>
        <v>31.25441194157936</v>
      </c>
    </row>
    <row r="124" spans="1:27" s="19" customFormat="1">
      <c r="A124" s="64"/>
      <c r="B124" s="65"/>
      <c r="C124" s="70" t="s">
        <v>83</v>
      </c>
      <c r="D124" s="65"/>
      <c r="E124" s="182">
        <v>2045</v>
      </c>
      <c r="F124" s="65"/>
      <c r="G124" s="183" t="s">
        <v>189</v>
      </c>
      <c r="H124" s="183" t="s">
        <v>181</v>
      </c>
      <c r="I124" s="184">
        <v>0</v>
      </c>
      <c r="J124" s="65"/>
      <c r="K124" s="71">
        <v>70051.649999999994</v>
      </c>
      <c r="L124" s="185"/>
      <c r="M124" s="73">
        <v>26328</v>
      </c>
      <c r="N124" s="73"/>
      <c r="O124" s="198">
        <f t="shared" si="25"/>
        <v>43724</v>
      </c>
      <c r="P124" s="73"/>
      <c r="Q124" s="57">
        <f t="shared" si="26"/>
        <v>1681.6923076923076</v>
      </c>
      <c r="S124" s="74">
        <f t="shared" si="27"/>
        <v>2.400646248435701</v>
      </c>
      <c r="U124" s="186">
        <f t="shared" si="28"/>
        <v>26</v>
      </c>
      <c r="V124" s="181"/>
      <c r="W124" s="301">
        <v>23.617258883248731</v>
      </c>
      <c r="Y124" s="303">
        <v>5</v>
      </c>
      <c r="AA124" s="301">
        <f t="shared" si="29"/>
        <v>28.617258883248731</v>
      </c>
    </row>
    <row r="125" spans="1:27" s="19" customFormat="1">
      <c r="A125" s="64"/>
      <c r="B125" s="65"/>
      <c r="C125" s="70" t="s">
        <v>84</v>
      </c>
      <c r="D125" s="65"/>
      <c r="E125" s="182">
        <v>2045</v>
      </c>
      <c r="F125" s="65"/>
      <c r="G125" s="183" t="s">
        <v>189</v>
      </c>
      <c r="H125" s="183" t="s">
        <v>181</v>
      </c>
      <c r="I125" s="184">
        <v>0</v>
      </c>
      <c r="J125" s="65"/>
      <c r="K125" s="71">
        <v>70051.649999999994</v>
      </c>
      <c r="L125" s="185"/>
      <c r="M125" s="73">
        <v>26327</v>
      </c>
      <c r="N125" s="73"/>
      <c r="O125" s="198">
        <f t="shared" si="25"/>
        <v>43725</v>
      </c>
      <c r="P125" s="73"/>
      <c r="Q125" s="57">
        <f t="shared" si="26"/>
        <v>1681.7307692307693</v>
      </c>
      <c r="S125" s="74">
        <f t="shared" si="27"/>
        <v>2.4007011529789368</v>
      </c>
      <c r="U125" s="186">
        <f t="shared" si="28"/>
        <v>26</v>
      </c>
      <c r="V125" s="181"/>
      <c r="W125" s="301">
        <v>23.617766497461929</v>
      </c>
      <c r="Y125" s="303">
        <v>5</v>
      </c>
      <c r="AA125" s="301">
        <f t="shared" si="29"/>
        <v>28.617766497461929</v>
      </c>
    </row>
    <row r="126" spans="1:27" s="19" customFormat="1">
      <c r="A126" s="64"/>
      <c r="B126" s="65"/>
      <c r="C126" s="70" t="s">
        <v>85</v>
      </c>
      <c r="D126" s="65"/>
      <c r="E126" s="182">
        <v>2050</v>
      </c>
      <c r="F126" s="65"/>
      <c r="G126" s="183" t="s">
        <v>189</v>
      </c>
      <c r="H126" s="183" t="s">
        <v>181</v>
      </c>
      <c r="I126" s="184">
        <v>0</v>
      </c>
      <c r="J126" s="65"/>
      <c r="K126" s="71">
        <v>2384532.85</v>
      </c>
      <c r="L126" s="185"/>
      <c r="M126" s="73">
        <v>464445</v>
      </c>
      <c r="N126" s="73"/>
      <c r="O126" s="198">
        <f t="shared" si="25"/>
        <v>1920088</v>
      </c>
      <c r="P126" s="73"/>
      <c r="Q126" s="57">
        <f t="shared" si="26"/>
        <v>61938.322580645159</v>
      </c>
      <c r="S126" s="74">
        <f t="shared" si="27"/>
        <v>2.5975034305207898</v>
      </c>
      <c r="U126" s="186">
        <f t="shared" si="28"/>
        <v>31</v>
      </c>
      <c r="V126" s="181"/>
      <c r="W126" s="301">
        <v>28.550145904751112</v>
      </c>
      <c r="Y126" s="303">
        <v>5</v>
      </c>
      <c r="AA126" s="301">
        <f t="shared" si="29"/>
        <v>33.550145904751112</v>
      </c>
    </row>
    <row r="127" spans="1:27" s="19" customFormat="1">
      <c r="A127" s="64"/>
      <c r="B127" s="65"/>
      <c r="C127" s="70" t="s">
        <v>86</v>
      </c>
      <c r="D127" s="65"/>
      <c r="E127" s="182">
        <v>2050</v>
      </c>
      <c r="F127" s="65"/>
      <c r="G127" s="183" t="s">
        <v>189</v>
      </c>
      <c r="H127" s="183" t="s">
        <v>181</v>
      </c>
      <c r="I127" s="184">
        <v>0</v>
      </c>
      <c r="J127" s="65"/>
      <c r="K127" s="71">
        <v>2116650.59</v>
      </c>
      <c r="L127" s="185"/>
      <c r="M127" s="73">
        <v>551382</v>
      </c>
      <c r="N127" s="73"/>
      <c r="O127" s="198">
        <f t="shared" si="25"/>
        <v>1565269</v>
      </c>
      <c r="P127" s="73"/>
      <c r="Q127" s="57">
        <f t="shared" si="26"/>
        <v>50492.548387096773</v>
      </c>
      <c r="S127" s="74">
        <f t="shared" si="27"/>
        <v>2.3854928454250341</v>
      </c>
      <c r="U127" s="186">
        <f t="shared" si="28"/>
        <v>31</v>
      </c>
      <c r="V127" s="181"/>
      <c r="W127" s="301">
        <v>28.55003374227821</v>
      </c>
      <c r="Y127" s="303">
        <v>5</v>
      </c>
      <c r="AA127" s="301">
        <f t="shared" si="29"/>
        <v>33.55003374227821</v>
      </c>
    </row>
    <row r="128" spans="1:27" s="19" customFormat="1">
      <c r="A128" s="64"/>
      <c r="B128" s="65"/>
      <c r="C128" s="70" t="s">
        <v>88</v>
      </c>
      <c r="D128" s="65"/>
      <c r="E128" s="182">
        <v>2038</v>
      </c>
      <c r="F128" s="65"/>
      <c r="G128" s="183" t="s">
        <v>189</v>
      </c>
      <c r="H128" s="183" t="s">
        <v>181</v>
      </c>
      <c r="I128" s="184">
        <v>0</v>
      </c>
      <c r="J128" s="65"/>
      <c r="K128" s="71">
        <v>106294.19</v>
      </c>
      <c r="L128" s="185"/>
      <c r="M128" s="73">
        <v>47199</v>
      </c>
      <c r="N128" s="73"/>
      <c r="O128" s="198">
        <f t="shared" si="25"/>
        <v>59095</v>
      </c>
      <c r="P128" s="73"/>
      <c r="Q128" s="57">
        <f t="shared" si="26"/>
        <v>3110.2631578947367</v>
      </c>
      <c r="S128" s="74">
        <f t="shared" si="27"/>
        <v>2.9260895237027884</v>
      </c>
      <c r="U128" s="186">
        <f t="shared" si="28"/>
        <v>19</v>
      </c>
      <c r="V128" s="181"/>
      <c r="W128" s="301">
        <v>17.617553956834531</v>
      </c>
      <c r="Y128" s="303"/>
      <c r="AA128" s="301">
        <f t="shared" si="29"/>
        <v>17.617553956834531</v>
      </c>
    </row>
    <row r="129" spans="1:27" s="19" customFormat="1">
      <c r="A129" s="64"/>
      <c r="B129" s="65"/>
      <c r="C129" s="70" t="s">
        <v>89</v>
      </c>
      <c r="D129" s="65"/>
      <c r="E129" s="182">
        <v>2038</v>
      </c>
      <c r="F129" s="65"/>
      <c r="G129" s="183" t="s">
        <v>189</v>
      </c>
      <c r="H129" s="183" t="s">
        <v>181</v>
      </c>
      <c r="I129" s="184">
        <v>0</v>
      </c>
      <c r="J129" s="65"/>
      <c r="K129" s="71">
        <v>357670.24</v>
      </c>
      <c r="L129" s="185"/>
      <c r="M129" s="73">
        <v>158822</v>
      </c>
      <c r="N129" s="73"/>
      <c r="O129" s="198">
        <f t="shared" si="25"/>
        <v>198848</v>
      </c>
      <c r="P129" s="73"/>
      <c r="Q129" s="57">
        <f t="shared" si="26"/>
        <v>10465.684210526315</v>
      </c>
      <c r="S129" s="74">
        <f t="shared" si="27"/>
        <v>2.9260707322270689</v>
      </c>
      <c r="U129" s="186">
        <f t="shared" si="28"/>
        <v>19</v>
      </c>
      <c r="V129" s="181"/>
      <c r="W129" s="301">
        <v>17.620562826105552</v>
      </c>
      <c r="Y129" s="303"/>
      <c r="AA129" s="301">
        <f t="shared" si="29"/>
        <v>17.620562826105552</v>
      </c>
    </row>
    <row r="130" spans="1:27" s="19" customFormat="1">
      <c r="A130" s="64"/>
      <c r="B130" s="65"/>
      <c r="C130" s="70" t="s">
        <v>92</v>
      </c>
      <c r="D130" s="65"/>
      <c r="E130" s="182">
        <v>2042</v>
      </c>
      <c r="F130" s="65"/>
      <c r="G130" s="183" t="s">
        <v>189</v>
      </c>
      <c r="H130" s="183" t="s">
        <v>181</v>
      </c>
      <c r="I130" s="184">
        <v>0</v>
      </c>
      <c r="J130" s="65"/>
      <c r="K130" s="75">
        <v>1162203.57</v>
      </c>
      <c r="L130" s="185"/>
      <c r="M130" s="77">
        <v>513184</v>
      </c>
      <c r="N130" s="73"/>
      <c r="O130" s="205">
        <f t="shared" si="25"/>
        <v>649020</v>
      </c>
      <c r="P130" s="73"/>
      <c r="Q130" s="62">
        <f t="shared" si="26"/>
        <v>28218.260869565216</v>
      </c>
      <c r="S130" s="74">
        <f t="shared" si="27"/>
        <v>2.4279964025205341</v>
      </c>
      <c r="U130" s="186">
        <f t="shared" si="28"/>
        <v>23</v>
      </c>
      <c r="V130" s="181"/>
      <c r="W130" s="301">
        <v>22.25008652968755</v>
      </c>
      <c r="Y130" s="303">
        <v>5</v>
      </c>
      <c r="AA130" s="301">
        <f t="shared" si="29"/>
        <v>27.25008652968755</v>
      </c>
    </row>
    <row r="131" spans="1:27" s="19" customFormat="1">
      <c r="A131" s="64"/>
      <c r="B131" s="65"/>
      <c r="C131" s="78"/>
      <c r="D131" s="65"/>
      <c r="E131" s="65"/>
      <c r="F131" s="65"/>
      <c r="G131" s="183"/>
      <c r="H131" s="183"/>
      <c r="I131" s="184"/>
      <c r="J131" s="65"/>
      <c r="K131" s="71"/>
      <c r="L131" s="185"/>
      <c r="M131" s="73"/>
      <c r="N131" s="73"/>
      <c r="O131" s="73"/>
      <c r="P131" s="73"/>
      <c r="Q131" s="73"/>
      <c r="S131" s="74"/>
      <c r="U131" s="186"/>
      <c r="V131" s="181"/>
      <c r="W131" s="301"/>
      <c r="AA131" s="301"/>
    </row>
    <row r="132" spans="1:27" s="19" customFormat="1">
      <c r="A132" s="64"/>
      <c r="B132" s="65"/>
      <c r="C132" s="78" t="s">
        <v>190</v>
      </c>
      <c r="D132" s="65"/>
      <c r="E132" s="65"/>
      <c r="F132" s="65"/>
      <c r="G132" s="183"/>
      <c r="H132" s="183"/>
      <c r="I132" s="184"/>
      <c r="J132" s="65"/>
      <c r="K132" s="71">
        <f>SUBTOTAL(9,K123:K131)</f>
        <v>20033575.25</v>
      </c>
      <c r="L132" s="185"/>
      <c r="M132" s="73">
        <f>SUBTOTAL(9,M123:M131)</f>
        <v>7890120</v>
      </c>
      <c r="N132" s="73"/>
      <c r="O132" s="73">
        <f>SUBTOTAL(9,O123:O131)</f>
        <v>12143457</v>
      </c>
      <c r="P132" s="73"/>
      <c r="Q132" s="73">
        <f>SUBTOTAL(9,Q123:Q131)</f>
        <v>404804.24421813514</v>
      </c>
      <c r="S132" s="74">
        <f>+ROUND(Q132/K132*100,2)</f>
        <v>2.02</v>
      </c>
      <c r="U132" s="186"/>
      <c r="V132" s="181"/>
      <c r="W132" s="301"/>
      <c r="AA132" s="301"/>
    </row>
    <row r="133" spans="1:27" s="19" customFormat="1">
      <c r="A133" s="64"/>
      <c r="B133" s="65"/>
      <c r="C133" s="78"/>
      <c r="D133" s="65"/>
      <c r="E133" s="65"/>
      <c r="F133" s="65"/>
      <c r="G133" s="183"/>
      <c r="H133" s="183"/>
      <c r="I133" s="184"/>
      <c r="J133" s="65"/>
      <c r="K133" s="71"/>
      <c r="L133" s="185"/>
      <c r="M133" s="73"/>
      <c r="N133" s="73"/>
      <c r="O133" s="73"/>
      <c r="P133" s="73"/>
      <c r="Q133" s="73"/>
      <c r="S133" s="74"/>
      <c r="U133" s="186"/>
      <c r="V133" s="181"/>
      <c r="W133" s="301"/>
      <c r="AA133" s="301"/>
    </row>
    <row r="134" spans="1:27" s="19" customFormat="1">
      <c r="A134" s="64">
        <v>343</v>
      </c>
      <c r="B134" s="65"/>
      <c r="C134" s="65" t="s">
        <v>99</v>
      </c>
      <c r="D134" s="65"/>
      <c r="E134" s="65"/>
      <c r="F134" s="65"/>
      <c r="G134" s="65"/>
      <c r="H134" s="65"/>
      <c r="I134" s="179"/>
      <c r="J134" s="65"/>
      <c r="K134" s="65"/>
      <c r="L134" s="65"/>
      <c r="M134" s="67"/>
      <c r="N134" s="67"/>
      <c r="O134" s="67"/>
      <c r="P134" s="67"/>
      <c r="Q134" s="67"/>
      <c r="S134" s="68"/>
      <c r="U134" s="180"/>
      <c r="V134" s="181"/>
      <c r="W134" s="301"/>
      <c r="AA134" s="301"/>
    </row>
    <row r="135" spans="1:27" s="19" customFormat="1">
      <c r="A135" s="64"/>
      <c r="B135" s="65"/>
      <c r="C135" s="70" t="s">
        <v>77</v>
      </c>
      <c r="D135" s="65"/>
      <c r="E135" s="182">
        <v>2050</v>
      </c>
      <c r="F135" s="65"/>
      <c r="G135" s="183" t="s">
        <v>191</v>
      </c>
      <c r="H135" s="183" t="s">
        <v>181</v>
      </c>
      <c r="I135" s="184">
        <v>0</v>
      </c>
      <c r="J135" s="65"/>
      <c r="K135" s="71">
        <v>21662783.59</v>
      </c>
      <c r="L135" s="185"/>
      <c r="M135" s="73">
        <v>9422539.3200000003</v>
      </c>
      <c r="N135" s="73"/>
      <c r="O135" s="198">
        <f t="shared" ref="O135:O153" si="30">ROUND((K135+(K135*-(I135/100)))-M135,0)</f>
        <v>12240244</v>
      </c>
      <c r="P135" s="73"/>
      <c r="Q135" s="57">
        <f t="shared" ref="Q135:Q153" si="31">O135/U135</f>
        <v>394846.58064516127</v>
      </c>
      <c r="S135" s="74">
        <f t="shared" ref="S135:S153" si="32">Q135/K135*100</f>
        <v>1.8226954952706578</v>
      </c>
      <c r="U135" s="186">
        <f t="shared" ref="U135:U153" si="33">E135-2019</f>
        <v>31</v>
      </c>
      <c r="V135" s="181"/>
      <c r="W135" s="301">
        <v>26.609569854072006</v>
      </c>
      <c r="Y135" s="303">
        <v>5</v>
      </c>
      <c r="AA135" s="301">
        <f t="shared" ref="AA135:AA153" si="34">W135+Y135</f>
        <v>31.609569854072006</v>
      </c>
    </row>
    <row r="136" spans="1:27" s="19" customFormat="1">
      <c r="A136" s="64"/>
      <c r="B136" s="65"/>
      <c r="C136" s="70" t="s">
        <v>78</v>
      </c>
      <c r="D136" s="65"/>
      <c r="E136" s="182">
        <v>2034</v>
      </c>
      <c r="F136" s="65"/>
      <c r="G136" s="183" t="s">
        <v>191</v>
      </c>
      <c r="H136" s="183" t="s">
        <v>181</v>
      </c>
      <c r="I136" s="184">
        <v>0</v>
      </c>
      <c r="J136" s="65"/>
      <c r="K136" s="71">
        <v>18938769.399999999</v>
      </c>
      <c r="L136" s="185"/>
      <c r="M136" s="73">
        <v>10814893.970000001</v>
      </c>
      <c r="N136" s="73"/>
      <c r="O136" s="198">
        <f t="shared" si="30"/>
        <v>8123875</v>
      </c>
      <c r="P136" s="73"/>
      <c r="Q136" s="57">
        <f t="shared" si="31"/>
        <v>541591.66666666663</v>
      </c>
      <c r="S136" s="74">
        <f t="shared" si="32"/>
        <v>2.8596983004960537</v>
      </c>
      <c r="U136" s="186">
        <f t="shared" si="33"/>
        <v>15</v>
      </c>
      <c r="V136" s="181"/>
      <c r="W136" s="301">
        <v>13.859946504202572</v>
      </c>
      <c r="Y136" s="303">
        <v>10</v>
      </c>
      <c r="AA136" s="301">
        <f t="shared" si="34"/>
        <v>23.859946504202572</v>
      </c>
    </row>
    <row r="137" spans="1:27" s="19" customFormat="1">
      <c r="A137" s="64"/>
      <c r="B137" s="65"/>
      <c r="C137" s="70" t="s">
        <v>79</v>
      </c>
      <c r="D137" s="65"/>
      <c r="E137" s="182">
        <v>2034</v>
      </c>
      <c r="F137" s="65"/>
      <c r="G137" s="183" t="s">
        <v>191</v>
      </c>
      <c r="H137" s="183" t="s">
        <v>181</v>
      </c>
      <c r="I137" s="184">
        <v>0</v>
      </c>
      <c r="J137" s="65"/>
      <c r="K137" s="71">
        <v>17021561.969999999</v>
      </c>
      <c r="L137" s="185"/>
      <c r="M137" s="73">
        <v>10158430.17</v>
      </c>
      <c r="N137" s="73"/>
      <c r="O137" s="198">
        <f t="shared" si="30"/>
        <v>6863132</v>
      </c>
      <c r="P137" s="73"/>
      <c r="Q137" s="57">
        <f t="shared" si="31"/>
        <v>457542.13333333336</v>
      </c>
      <c r="S137" s="74">
        <f t="shared" si="32"/>
        <v>2.6880149667800048</v>
      </c>
      <c r="U137" s="186">
        <f t="shared" si="33"/>
        <v>15</v>
      </c>
      <c r="V137" s="181"/>
      <c r="W137" s="301">
        <v>13.813322249463964</v>
      </c>
      <c r="Y137" s="303">
        <v>10</v>
      </c>
      <c r="AA137" s="301">
        <f t="shared" si="34"/>
        <v>23.813322249463965</v>
      </c>
    </row>
    <row r="138" spans="1:27" s="19" customFormat="1">
      <c r="A138" s="64"/>
      <c r="B138" s="65"/>
      <c r="C138" s="70" t="s">
        <v>80</v>
      </c>
      <c r="D138" s="65"/>
      <c r="E138" s="182">
        <v>2034</v>
      </c>
      <c r="F138" s="65"/>
      <c r="G138" s="183" t="s">
        <v>191</v>
      </c>
      <c r="H138" s="183" t="s">
        <v>181</v>
      </c>
      <c r="I138" s="184">
        <v>0</v>
      </c>
      <c r="J138" s="65"/>
      <c r="K138" s="71">
        <v>17950085.800000001</v>
      </c>
      <c r="L138" s="185"/>
      <c r="M138" s="73">
        <v>10645167.189999999</v>
      </c>
      <c r="N138" s="73"/>
      <c r="O138" s="198">
        <f t="shared" si="30"/>
        <v>7304919</v>
      </c>
      <c r="P138" s="73"/>
      <c r="Q138" s="57">
        <f t="shared" si="31"/>
        <v>486994.6</v>
      </c>
      <c r="S138" s="74">
        <f t="shared" si="32"/>
        <v>2.7130488702176563</v>
      </c>
      <c r="U138" s="186">
        <f t="shared" si="33"/>
        <v>15</v>
      </c>
      <c r="V138" s="181"/>
      <c r="W138" s="301">
        <v>13.813119061187736</v>
      </c>
      <c r="Y138" s="303">
        <v>10</v>
      </c>
      <c r="AA138" s="301">
        <f t="shared" si="34"/>
        <v>23.813119061187734</v>
      </c>
    </row>
    <row r="139" spans="1:27" s="19" customFormat="1">
      <c r="A139" s="64"/>
      <c r="B139" s="65"/>
      <c r="C139" s="70" t="s">
        <v>81</v>
      </c>
      <c r="D139" s="65"/>
      <c r="E139" s="182">
        <v>2041</v>
      </c>
      <c r="F139" s="65"/>
      <c r="G139" s="183" t="s">
        <v>191</v>
      </c>
      <c r="H139" s="183" t="s">
        <v>181</v>
      </c>
      <c r="I139" s="184">
        <v>0</v>
      </c>
      <c r="J139" s="65"/>
      <c r="K139" s="71">
        <v>25858484.41</v>
      </c>
      <c r="L139" s="185"/>
      <c r="M139" s="73">
        <v>12138052.800000001</v>
      </c>
      <c r="N139" s="73"/>
      <c r="O139" s="198">
        <f t="shared" si="30"/>
        <v>13720432</v>
      </c>
      <c r="P139" s="73"/>
      <c r="Q139" s="57">
        <f t="shared" si="31"/>
        <v>623656</v>
      </c>
      <c r="S139" s="74">
        <f t="shared" si="32"/>
        <v>2.4118041495069975</v>
      </c>
      <c r="U139" s="186">
        <f t="shared" si="33"/>
        <v>22</v>
      </c>
      <c r="V139" s="181"/>
      <c r="W139" s="301">
        <v>19.969859999025516</v>
      </c>
      <c r="Y139" s="303">
        <v>5</v>
      </c>
      <c r="AA139" s="301">
        <f t="shared" si="34"/>
        <v>24.969859999025516</v>
      </c>
    </row>
    <row r="140" spans="1:27" s="19" customFormat="1">
      <c r="A140" s="64"/>
      <c r="B140" s="65"/>
      <c r="C140" s="70" t="s">
        <v>82</v>
      </c>
      <c r="D140" s="65"/>
      <c r="E140" s="182">
        <v>2041</v>
      </c>
      <c r="F140" s="65"/>
      <c r="G140" s="183" t="s">
        <v>191</v>
      </c>
      <c r="H140" s="183" t="s">
        <v>181</v>
      </c>
      <c r="I140" s="184">
        <v>0</v>
      </c>
      <c r="J140" s="65"/>
      <c r="K140" s="71">
        <v>21295538.73</v>
      </c>
      <c r="L140" s="185"/>
      <c r="M140" s="73">
        <v>10125651.369999999</v>
      </c>
      <c r="N140" s="73"/>
      <c r="O140" s="198">
        <f t="shared" si="30"/>
        <v>11169887</v>
      </c>
      <c r="P140" s="73"/>
      <c r="Q140" s="57">
        <f t="shared" si="31"/>
        <v>507722.13636363635</v>
      </c>
      <c r="S140" s="74">
        <f t="shared" si="32"/>
        <v>2.3841713647205593</v>
      </c>
      <c r="U140" s="186">
        <f t="shared" si="33"/>
        <v>22</v>
      </c>
      <c r="V140" s="181"/>
      <c r="W140" s="301">
        <v>19.914603015258514</v>
      </c>
      <c r="Y140" s="303">
        <v>5</v>
      </c>
      <c r="AA140" s="301">
        <f t="shared" si="34"/>
        <v>24.914603015258514</v>
      </c>
    </row>
    <row r="141" spans="1:27" s="19" customFormat="1">
      <c r="A141" s="64"/>
      <c r="B141" s="65"/>
      <c r="C141" s="70" t="s">
        <v>83</v>
      </c>
      <c r="D141" s="65"/>
      <c r="E141" s="182">
        <v>2045</v>
      </c>
      <c r="F141" s="65"/>
      <c r="G141" s="183" t="s">
        <v>191</v>
      </c>
      <c r="H141" s="183" t="s">
        <v>181</v>
      </c>
      <c r="I141" s="184">
        <v>0</v>
      </c>
      <c r="J141" s="65"/>
      <c r="K141" s="71">
        <v>17001567.77</v>
      </c>
      <c r="L141" s="185"/>
      <c r="M141" s="73">
        <v>6146558.7400000002</v>
      </c>
      <c r="N141" s="73"/>
      <c r="O141" s="198">
        <f t="shared" si="30"/>
        <v>10855009</v>
      </c>
      <c r="P141" s="73"/>
      <c r="Q141" s="57">
        <f t="shared" si="31"/>
        <v>417500.34615384613</v>
      </c>
      <c r="S141" s="74">
        <f t="shared" si="32"/>
        <v>2.4556579240330034</v>
      </c>
      <c r="U141" s="186">
        <f t="shared" si="33"/>
        <v>26</v>
      </c>
      <c r="V141" s="181"/>
      <c r="W141" s="301">
        <v>23.719147308659544</v>
      </c>
      <c r="Y141" s="303">
        <v>5</v>
      </c>
      <c r="AA141" s="301">
        <f t="shared" si="34"/>
        <v>28.719147308659544</v>
      </c>
    </row>
    <row r="142" spans="1:27" s="19" customFormat="1">
      <c r="A142" s="64"/>
      <c r="B142" s="65"/>
      <c r="C142" s="70" t="s">
        <v>84</v>
      </c>
      <c r="D142" s="65"/>
      <c r="E142" s="182">
        <v>2045</v>
      </c>
      <c r="F142" s="65"/>
      <c r="G142" s="183" t="s">
        <v>191</v>
      </c>
      <c r="H142" s="183" t="s">
        <v>181</v>
      </c>
      <c r="I142" s="184">
        <v>0</v>
      </c>
      <c r="J142" s="65"/>
      <c r="K142" s="71">
        <v>16754183.57</v>
      </c>
      <c r="L142" s="185"/>
      <c r="M142" s="73">
        <v>6064093.3200000003</v>
      </c>
      <c r="N142" s="73"/>
      <c r="O142" s="198">
        <f t="shared" si="30"/>
        <v>10690090</v>
      </c>
      <c r="P142" s="73"/>
      <c r="Q142" s="57">
        <f t="shared" si="31"/>
        <v>411157.30769230769</v>
      </c>
      <c r="S142" s="74">
        <f t="shared" si="32"/>
        <v>2.4540575550844803</v>
      </c>
      <c r="U142" s="186">
        <f t="shared" si="33"/>
        <v>26</v>
      </c>
      <c r="V142" s="181"/>
      <c r="W142" s="301">
        <v>23.716663291572633</v>
      </c>
      <c r="Y142" s="303">
        <v>5</v>
      </c>
      <c r="AA142" s="301">
        <f t="shared" si="34"/>
        <v>28.716663291572633</v>
      </c>
    </row>
    <row r="143" spans="1:27" s="19" customFormat="1">
      <c r="A143" s="64"/>
      <c r="B143" s="65"/>
      <c r="C143" s="70" t="s">
        <v>85</v>
      </c>
      <c r="D143" s="65"/>
      <c r="E143" s="182">
        <v>2050</v>
      </c>
      <c r="F143" s="65"/>
      <c r="G143" s="183" t="s">
        <v>191</v>
      </c>
      <c r="H143" s="183" t="s">
        <v>181</v>
      </c>
      <c r="I143" s="184">
        <v>0</v>
      </c>
      <c r="J143" s="65"/>
      <c r="K143" s="71">
        <v>57736570.219999999</v>
      </c>
      <c r="L143" s="185"/>
      <c r="M143" s="73">
        <v>10973966.49</v>
      </c>
      <c r="N143" s="73"/>
      <c r="O143" s="198">
        <f t="shared" si="30"/>
        <v>46762604</v>
      </c>
      <c r="P143" s="73"/>
      <c r="Q143" s="57">
        <f t="shared" si="31"/>
        <v>1508471.0967741935</v>
      </c>
      <c r="S143" s="74">
        <f t="shared" si="32"/>
        <v>2.6126787424786411</v>
      </c>
      <c r="U143" s="186">
        <f t="shared" si="33"/>
        <v>31</v>
      </c>
      <c r="V143" s="181"/>
      <c r="W143" s="301">
        <v>28.469872346399992</v>
      </c>
      <c r="Y143" s="303">
        <v>5</v>
      </c>
      <c r="AA143" s="301">
        <f t="shared" si="34"/>
        <v>33.469872346399995</v>
      </c>
    </row>
    <row r="144" spans="1:27" s="19" customFormat="1">
      <c r="A144" s="64"/>
      <c r="B144" s="65"/>
      <c r="C144" s="70" t="s">
        <v>86</v>
      </c>
      <c r="D144" s="65"/>
      <c r="E144" s="182">
        <v>2050</v>
      </c>
      <c r="F144" s="65"/>
      <c r="G144" s="183" t="s">
        <v>191</v>
      </c>
      <c r="H144" s="183" t="s">
        <v>181</v>
      </c>
      <c r="I144" s="184">
        <v>0</v>
      </c>
      <c r="J144" s="65"/>
      <c r="K144" s="71">
        <v>55010982.469999999</v>
      </c>
      <c r="L144" s="185"/>
      <c r="M144" s="73">
        <v>14018583.890000001</v>
      </c>
      <c r="N144" s="73"/>
      <c r="O144" s="198">
        <f t="shared" si="30"/>
        <v>40992399</v>
      </c>
      <c r="P144" s="73"/>
      <c r="Q144" s="57">
        <f t="shared" si="31"/>
        <v>1322335.4516129033</v>
      </c>
      <c r="S144" s="74">
        <f t="shared" si="32"/>
        <v>2.4037662885479882</v>
      </c>
      <c r="U144" s="186">
        <f t="shared" si="33"/>
        <v>31</v>
      </c>
      <c r="V144" s="181"/>
      <c r="W144" s="301">
        <v>28.466775675588394</v>
      </c>
      <c r="Y144" s="303">
        <v>5</v>
      </c>
      <c r="AA144" s="301">
        <f t="shared" si="34"/>
        <v>33.466775675588394</v>
      </c>
    </row>
    <row r="145" spans="1:27" s="19" customFormat="1">
      <c r="A145" s="64"/>
      <c r="B145" s="65"/>
      <c r="C145" s="70" t="s">
        <v>87</v>
      </c>
      <c r="D145" s="65"/>
      <c r="E145" s="182">
        <v>2038</v>
      </c>
      <c r="F145" s="65"/>
      <c r="G145" s="183" t="s">
        <v>191</v>
      </c>
      <c r="H145" s="183" t="s">
        <v>181</v>
      </c>
      <c r="I145" s="184">
        <v>0</v>
      </c>
      <c r="J145" s="65"/>
      <c r="K145" s="71">
        <v>354070.8</v>
      </c>
      <c r="L145" s="185"/>
      <c r="M145" s="73">
        <v>141911</v>
      </c>
      <c r="N145" s="73"/>
      <c r="O145" s="198">
        <f t="shared" si="30"/>
        <v>212160</v>
      </c>
      <c r="P145" s="73"/>
      <c r="Q145" s="57">
        <f t="shared" si="31"/>
        <v>11166.315789473685</v>
      </c>
      <c r="S145" s="74">
        <f t="shared" si="32"/>
        <v>3.1536957550505957</v>
      </c>
      <c r="U145" s="186">
        <f t="shared" si="33"/>
        <v>19</v>
      </c>
      <c r="V145" s="181"/>
      <c r="W145" s="301">
        <v>17.729338508814493</v>
      </c>
      <c r="Y145" s="303"/>
      <c r="AA145" s="301">
        <f t="shared" si="34"/>
        <v>17.729338508814493</v>
      </c>
    </row>
    <row r="146" spans="1:27" s="19" customFormat="1">
      <c r="A146" s="64"/>
      <c r="B146" s="65"/>
      <c r="C146" s="70" t="s">
        <v>88</v>
      </c>
      <c r="D146" s="65"/>
      <c r="E146" s="182">
        <v>2038</v>
      </c>
      <c r="F146" s="65"/>
      <c r="G146" s="183" t="s">
        <v>191</v>
      </c>
      <c r="H146" s="183" t="s">
        <v>181</v>
      </c>
      <c r="I146" s="184">
        <v>0</v>
      </c>
      <c r="J146" s="65"/>
      <c r="K146" s="71">
        <v>300785.96999999997</v>
      </c>
      <c r="L146" s="185"/>
      <c r="M146" s="73">
        <v>132190</v>
      </c>
      <c r="N146" s="73"/>
      <c r="O146" s="198">
        <f t="shared" si="30"/>
        <v>168596</v>
      </c>
      <c r="P146" s="73"/>
      <c r="Q146" s="57">
        <f t="shared" si="31"/>
        <v>8873.4736842105267</v>
      </c>
      <c r="S146" s="74">
        <f t="shared" si="32"/>
        <v>2.950095605925545</v>
      </c>
      <c r="U146" s="186">
        <f t="shared" si="33"/>
        <v>19</v>
      </c>
      <c r="V146" s="181"/>
      <c r="W146" s="301">
        <v>17.600241911097672</v>
      </c>
      <c r="Y146" s="303"/>
      <c r="AA146" s="301">
        <f t="shared" si="34"/>
        <v>17.600241911097672</v>
      </c>
    </row>
    <row r="147" spans="1:27" s="19" customFormat="1">
      <c r="A147" s="64"/>
      <c r="B147" s="65"/>
      <c r="C147" s="70" t="s">
        <v>89</v>
      </c>
      <c r="D147" s="65"/>
      <c r="E147" s="182">
        <v>2038</v>
      </c>
      <c r="F147" s="65"/>
      <c r="G147" s="183" t="s">
        <v>191</v>
      </c>
      <c r="H147" s="183" t="s">
        <v>181</v>
      </c>
      <c r="I147" s="184">
        <v>0</v>
      </c>
      <c r="J147" s="65"/>
      <c r="K147" s="71">
        <v>388128.81</v>
      </c>
      <c r="L147" s="185"/>
      <c r="M147" s="73">
        <v>150290</v>
      </c>
      <c r="N147" s="73"/>
      <c r="O147" s="198">
        <f t="shared" si="30"/>
        <v>237839</v>
      </c>
      <c r="P147" s="73"/>
      <c r="Q147" s="57">
        <f t="shared" si="31"/>
        <v>12517.842105263158</v>
      </c>
      <c r="S147" s="74">
        <f t="shared" si="32"/>
        <v>3.2251772562987937</v>
      </c>
      <c r="U147" s="186">
        <f t="shared" si="33"/>
        <v>19</v>
      </c>
      <c r="V147" s="181"/>
      <c r="W147" s="301">
        <v>17.772704247774804</v>
      </c>
      <c r="Y147" s="303"/>
      <c r="AA147" s="301">
        <f t="shared" si="34"/>
        <v>17.772704247774804</v>
      </c>
    </row>
    <row r="148" spans="1:27" s="19" customFormat="1">
      <c r="A148" s="64"/>
      <c r="B148" s="65"/>
      <c r="C148" s="70" t="s">
        <v>90</v>
      </c>
      <c r="D148" s="65"/>
      <c r="E148" s="182">
        <v>2041</v>
      </c>
      <c r="F148" s="65"/>
      <c r="G148" s="183" t="s">
        <v>191</v>
      </c>
      <c r="H148" s="183" t="s">
        <v>181</v>
      </c>
      <c r="I148" s="184">
        <v>0</v>
      </c>
      <c r="J148" s="65"/>
      <c r="K148" s="71">
        <v>201654.6</v>
      </c>
      <c r="L148" s="185"/>
      <c r="M148" s="73">
        <v>72823</v>
      </c>
      <c r="N148" s="73"/>
      <c r="O148" s="198">
        <f t="shared" si="30"/>
        <v>128832</v>
      </c>
      <c r="P148" s="73"/>
      <c r="Q148" s="57">
        <f t="shared" si="31"/>
        <v>5856</v>
      </c>
      <c r="S148" s="74">
        <f t="shared" si="32"/>
        <v>2.9039754114213117</v>
      </c>
      <c r="U148" s="186">
        <f t="shared" si="33"/>
        <v>22</v>
      </c>
      <c r="V148" s="181"/>
      <c r="W148" s="301">
        <v>20.459655066214967</v>
      </c>
      <c r="Y148" s="303"/>
      <c r="AA148" s="301">
        <f t="shared" si="34"/>
        <v>20.459655066214967</v>
      </c>
    </row>
    <row r="149" spans="1:27" s="19" customFormat="1">
      <c r="A149" s="64"/>
      <c r="B149" s="65"/>
      <c r="C149" s="70" t="s">
        <v>91</v>
      </c>
      <c r="D149" s="65"/>
      <c r="E149" s="182">
        <v>2042</v>
      </c>
      <c r="F149" s="65"/>
      <c r="G149" s="183" t="s">
        <v>191</v>
      </c>
      <c r="H149" s="183" t="s">
        <v>181</v>
      </c>
      <c r="I149" s="184">
        <v>0</v>
      </c>
      <c r="J149" s="65"/>
      <c r="K149" s="71">
        <v>275099.08</v>
      </c>
      <c r="L149" s="185"/>
      <c r="M149" s="73">
        <v>92033</v>
      </c>
      <c r="N149" s="73"/>
      <c r="O149" s="198">
        <f t="shared" si="30"/>
        <v>183066</v>
      </c>
      <c r="P149" s="73"/>
      <c r="Q149" s="57">
        <f t="shared" si="31"/>
        <v>7959.391304347826</v>
      </c>
      <c r="S149" s="74">
        <f t="shared" si="32"/>
        <v>2.8932816875824616</v>
      </c>
      <c r="U149" s="186">
        <f t="shared" si="33"/>
        <v>23</v>
      </c>
      <c r="V149" s="181"/>
      <c r="W149" s="301">
        <v>21.430617115581317</v>
      </c>
      <c r="Y149" s="303"/>
      <c r="AA149" s="301">
        <f t="shared" si="34"/>
        <v>21.430617115581317</v>
      </c>
    </row>
    <row r="150" spans="1:27" s="19" customFormat="1">
      <c r="A150" s="64"/>
      <c r="B150" s="65"/>
      <c r="C150" s="70" t="s">
        <v>92</v>
      </c>
      <c r="D150" s="65"/>
      <c r="E150" s="182">
        <v>2042</v>
      </c>
      <c r="F150" s="65"/>
      <c r="G150" s="183" t="s">
        <v>191</v>
      </c>
      <c r="H150" s="183" t="s">
        <v>181</v>
      </c>
      <c r="I150" s="184">
        <v>0</v>
      </c>
      <c r="J150" s="65"/>
      <c r="K150" s="71">
        <v>2407952.29</v>
      </c>
      <c r="L150" s="185"/>
      <c r="M150" s="73">
        <v>582589</v>
      </c>
      <c r="N150" s="73"/>
      <c r="O150" s="198">
        <f t="shared" si="30"/>
        <v>1825363</v>
      </c>
      <c r="P150" s="73"/>
      <c r="Q150" s="57">
        <f t="shared" si="31"/>
        <v>79363.608695652176</v>
      </c>
      <c r="S150" s="74">
        <f t="shared" si="32"/>
        <v>3.2958962278962831</v>
      </c>
      <c r="U150" s="186">
        <f t="shared" si="33"/>
        <v>23</v>
      </c>
      <c r="V150" s="181"/>
      <c r="W150" s="301">
        <v>22.119969532990769</v>
      </c>
      <c r="Y150" s="303">
        <v>5</v>
      </c>
      <c r="AA150" s="301">
        <f t="shared" si="34"/>
        <v>27.119969532990769</v>
      </c>
    </row>
    <row r="151" spans="1:27" s="19" customFormat="1">
      <c r="A151" s="64"/>
      <c r="B151" s="65"/>
      <c r="C151" s="70" t="s">
        <v>93</v>
      </c>
      <c r="D151" s="65"/>
      <c r="E151" s="182">
        <v>2042</v>
      </c>
      <c r="F151" s="65"/>
      <c r="G151" s="183" t="s">
        <v>191</v>
      </c>
      <c r="H151" s="183" t="s">
        <v>181</v>
      </c>
      <c r="I151" s="184">
        <v>0</v>
      </c>
      <c r="J151" s="65"/>
      <c r="K151" s="71">
        <v>46724956.780000001</v>
      </c>
      <c r="L151" s="185"/>
      <c r="M151" s="73">
        <v>22062972.190000001</v>
      </c>
      <c r="N151" s="73"/>
      <c r="O151" s="198">
        <f t="shared" si="30"/>
        <v>24661985</v>
      </c>
      <c r="P151" s="73"/>
      <c r="Q151" s="57">
        <f t="shared" si="31"/>
        <v>1072260.2173913044</v>
      </c>
      <c r="S151" s="74">
        <f t="shared" si="32"/>
        <v>2.2948340486218943</v>
      </c>
      <c r="U151" s="186">
        <f t="shared" si="33"/>
        <v>23</v>
      </c>
      <c r="V151" s="181"/>
      <c r="W151" s="301">
        <v>22.020157103719285</v>
      </c>
      <c r="Y151" s="303">
        <v>5</v>
      </c>
      <c r="AA151" s="301">
        <f t="shared" si="34"/>
        <v>27.020157103719285</v>
      </c>
    </row>
    <row r="152" spans="1:27" s="19" customFormat="1">
      <c r="A152" s="64"/>
      <c r="B152" s="65"/>
      <c r="C152" s="70" t="s">
        <v>94</v>
      </c>
      <c r="D152" s="65"/>
      <c r="E152" s="182">
        <v>2042</v>
      </c>
      <c r="F152" s="65"/>
      <c r="G152" s="183" t="s">
        <v>191</v>
      </c>
      <c r="H152" s="183" t="s">
        <v>181</v>
      </c>
      <c r="I152" s="184">
        <v>0</v>
      </c>
      <c r="J152" s="65"/>
      <c r="K152" s="71">
        <v>45508646.350000001</v>
      </c>
      <c r="L152" s="185"/>
      <c r="M152" s="73">
        <v>20986500.329999998</v>
      </c>
      <c r="N152" s="73"/>
      <c r="O152" s="198">
        <f t="shared" si="30"/>
        <v>24522146</v>
      </c>
      <c r="P152" s="73"/>
      <c r="Q152" s="57">
        <f t="shared" si="31"/>
        <v>1066180.2608695652</v>
      </c>
      <c r="S152" s="74">
        <f t="shared" si="32"/>
        <v>2.3428081175382296</v>
      </c>
      <c r="U152" s="186">
        <f t="shared" si="33"/>
        <v>23</v>
      </c>
      <c r="V152" s="181"/>
      <c r="W152" s="301">
        <v>22.023952391088699</v>
      </c>
      <c r="Y152" s="303">
        <v>5</v>
      </c>
      <c r="AA152" s="301">
        <f t="shared" si="34"/>
        <v>27.023952391088699</v>
      </c>
    </row>
    <row r="153" spans="1:27" s="19" customFormat="1">
      <c r="A153" s="64"/>
      <c r="B153" s="65"/>
      <c r="C153" s="70" t="s">
        <v>95</v>
      </c>
      <c r="D153" s="65"/>
      <c r="E153" s="182">
        <v>2042</v>
      </c>
      <c r="F153" s="65"/>
      <c r="G153" s="183" t="s">
        <v>191</v>
      </c>
      <c r="H153" s="183" t="s">
        <v>181</v>
      </c>
      <c r="I153" s="184">
        <v>0</v>
      </c>
      <c r="J153" s="65"/>
      <c r="K153" s="75">
        <v>41213903.719999999</v>
      </c>
      <c r="L153" s="185"/>
      <c r="M153" s="77">
        <v>19457814.420000002</v>
      </c>
      <c r="N153" s="73"/>
      <c r="O153" s="205">
        <f t="shared" si="30"/>
        <v>21756089</v>
      </c>
      <c r="P153" s="73"/>
      <c r="Q153" s="62">
        <f t="shared" si="31"/>
        <v>945916.91304347827</v>
      </c>
      <c r="S153" s="74">
        <f t="shared" si="32"/>
        <v>2.2951402989386085</v>
      </c>
      <c r="U153" s="186">
        <f t="shared" si="33"/>
        <v>23</v>
      </c>
      <c r="V153" s="181"/>
      <c r="W153" s="301">
        <v>22.02017956913393</v>
      </c>
      <c r="Y153" s="303">
        <v>5</v>
      </c>
      <c r="AA153" s="301">
        <f t="shared" si="34"/>
        <v>27.02017956913393</v>
      </c>
    </row>
    <row r="154" spans="1:27" s="19" customFormat="1">
      <c r="A154" s="64"/>
      <c r="B154" s="65"/>
      <c r="C154" s="78"/>
      <c r="D154" s="65"/>
      <c r="E154" s="65"/>
      <c r="F154" s="65"/>
      <c r="G154" s="183"/>
      <c r="H154" s="183"/>
      <c r="I154" s="184"/>
      <c r="J154" s="65"/>
      <c r="K154" s="71"/>
      <c r="L154" s="185"/>
      <c r="M154" s="73"/>
      <c r="N154" s="73"/>
      <c r="O154" s="73"/>
      <c r="P154" s="73"/>
      <c r="Q154" s="73"/>
      <c r="S154" s="74"/>
      <c r="U154" s="186"/>
      <c r="V154" s="181"/>
      <c r="W154" s="301"/>
      <c r="AA154" s="301"/>
    </row>
    <row r="155" spans="1:27" s="19" customFormat="1">
      <c r="A155" s="64"/>
      <c r="B155" s="65"/>
      <c r="C155" s="78" t="s">
        <v>100</v>
      </c>
      <c r="D155" s="65"/>
      <c r="E155" s="65"/>
      <c r="F155" s="65"/>
      <c r="G155" s="183"/>
      <c r="H155" s="183"/>
      <c r="I155" s="184"/>
      <c r="J155" s="65"/>
      <c r="K155" s="71">
        <f>SUBTOTAL(9,K135:K154)</f>
        <v>406605726.33000004</v>
      </c>
      <c r="L155" s="185"/>
      <c r="M155" s="73">
        <f>SUBTOTAL(9,M135:M154)</f>
        <v>164187060.19999999</v>
      </c>
      <c r="N155" s="73"/>
      <c r="O155" s="73">
        <f>SUBTOTAL(9,O135:O154)</f>
        <v>242418667</v>
      </c>
      <c r="P155" s="73"/>
      <c r="Q155" s="73">
        <f>SUBTOTAL(9,Q135:Q154)</f>
        <v>9881911.3421253413</v>
      </c>
      <c r="S155" s="74">
        <f>+ROUND(Q155/K155*100,2)</f>
        <v>2.4300000000000002</v>
      </c>
      <c r="U155" s="186"/>
      <c r="V155" s="181"/>
      <c r="W155" s="301"/>
      <c r="AA155" s="301"/>
    </row>
    <row r="156" spans="1:27" s="19" customFormat="1">
      <c r="A156" s="64"/>
      <c r="B156" s="65"/>
      <c r="C156" s="78"/>
      <c r="D156" s="65"/>
      <c r="E156" s="65"/>
      <c r="F156" s="65"/>
      <c r="G156" s="183"/>
      <c r="H156" s="183"/>
      <c r="I156" s="184"/>
      <c r="J156" s="65"/>
      <c r="K156" s="71"/>
      <c r="L156" s="185"/>
      <c r="M156" s="73"/>
      <c r="N156" s="73"/>
      <c r="O156" s="73"/>
      <c r="P156" s="73"/>
      <c r="Q156" s="73"/>
      <c r="S156" s="74"/>
      <c r="U156" s="186"/>
      <c r="V156" s="181"/>
      <c r="W156" s="301"/>
      <c r="AA156" s="301"/>
    </row>
    <row r="157" spans="1:27" s="19" customFormat="1">
      <c r="A157" s="64">
        <v>344</v>
      </c>
      <c r="B157" s="65"/>
      <c r="C157" s="65" t="s">
        <v>101</v>
      </c>
      <c r="D157" s="65"/>
      <c r="E157" s="65"/>
      <c r="F157" s="65"/>
      <c r="G157" s="65"/>
      <c r="H157" s="65"/>
      <c r="I157" s="179"/>
      <c r="J157" s="65"/>
      <c r="K157" s="65"/>
      <c r="L157" s="65"/>
      <c r="M157" s="67"/>
      <c r="N157" s="67"/>
      <c r="O157" s="67"/>
      <c r="P157" s="67"/>
      <c r="Q157" s="67"/>
      <c r="S157" s="68"/>
      <c r="U157" s="180"/>
      <c r="V157" s="181"/>
      <c r="W157" s="301"/>
      <c r="AA157" s="301"/>
    </row>
    <row r="158" spans="1:27" s="19" customFormat="1">
      <c r="A158" s="64"/>
      <c r="B158" s="65"/>
      <c r="C158" s="70" t="s">
        <v>77</v>
      </c>
      <c r="D158" s="65"/>
      <c r="E158" s="182">
        <v>2050</v>
      </c>
      <c r="F158" s="65"/>
      <c r="G158" s="183" t="s">
        <v>192</v>
      </c>
      <c r="H158" s="183" t="s">
        <v>181</v>
      </c>
      <c r="I158" s="184">
        <v>0</v>
      </c>
      <c r="J158" s="65"/>
      <c r="K158" s="71">
        <v>385287.95</v>
      </c>
      <c r="L158" s="185"/>
      <c r="M158" s="73">
        <v>100840</v>
      </c>
      <c r="N158" s="73"/>
      <c r="O158" s="198">
        <f t="shared" ref="O158:O178" si="35">ROUND((K158+(K158*-(I158/100)))-M158,0)</f>
        <v>284448</v>
      </c>
      <c r="P158" s="73"/>
      <c r="Q158" s="57">
        <f t="shared" ref="Q158:Q178" si="36">O158/U158</f>
        <v>9175.7419354838712</v>
      </c>
      <c r="S158" s="74">
        <f t="shared" ref="S158:S178" si="37">Q158/K158*100</f>
        <v>2.3815283959656335</v>
      </c>
      <c r="U158" s="186">
        <f t="shared" ref="U158:U178" si="38">E158-2019</f>
        <v>31</v>
      </c>
      <c r="V158" s="181"/>
      <c r="W158" s="301">
        <v>27.935730464326159</v>
      </c>
      <c r="Y158" s="303">
        <v>5</v>
      </c>
      <c r="AA158" s="301">
        <f t="shared" ref="AA158:AA178" si="39">W158+Y158</f>
        <v>32.935730464326156</v>
      </c>
    </row>
    <row r="159" spans="1:27" s="19" customFormat="1">
      <c r="A159" s="64"/>
      <c r="B159" s="65"/>
      <c r="C159" s="70" t="s">
        <v>78</v>
      </c>
      <c r="D159" s="65"/>
      <c r="E159" s="182">
        <v>2034</v>
      </c>
      <c r="F159" s="65"/>
      <c r="G159" s="183" t="s">
        <v>192</v>
      </c>
      <c r="H159" s="183" t="s">
        <v>181</v>
      </c>
      <c r="I159" s="184">
        <v>0</v>
      </c>
      <c r="J159" s="65"/>
      <c r="K159" s="71">
        <v>5409806.3600000003</v>
      </c>
      <c r="L159" s="185"/>
      <c r="M159" s="73">
        <v>3149102</v>
      </c>
      <c r="N159" s="73"/>
      <c r="O159" s="198">
        <f t="shared" si="35"/>
        <v>2260704</v>
      </c>
      <c r="P159" s="73"/>
      <c r="Q159" s="57">
        <f t="shared" si="36"/>
        <v>150713.60000000001</v>
      </c>
      <c r="S159" s="74">
        <f t="shared" si="37"/>
        <v>2.7859333582505528</v>
      </c>
      <c r="U159" s="186">
        <f t="shared" si="38"/>
        <v>15</v>
      </c>
      <c r="V159" s="181"/>
      <c r="W159" s="301">
        <v>13.759815357952274</v>
      </c>
      <c r="Y159" s="303">
        <v>10</v>
      </c>
      <c r="AA159" s="301">
        <f t="shared" si="39"/>
        <v>23.759815357952274</v>
      </c>
    </row>
    <row r="160" spans="1:27" s="19" customFormat="1">
      <c r="A160" s="64"/>
      <c r="B160" s="65"/>
      <c r="C160" s="70" t="s">
        <v>79</v>
      </c>
      <c r="D160" s="65"/>
      <c r="E160" s="182">
        <v>2034</v>
      </c>
      <c r="F160" s="65"/>
      <c r="G160" s="183" t="s">
        <v>192</v>
      </c>
      <c r="H160" s="183" t="s">
        <v>181</v>
      </c>
      <c r="I160" s="184">
        <v>0</v>
      </c>
      <c r="J160" s="65"/>
      <c r="K160" s="71">
        <v>5315973.93</v>
      </c>
      <c r="L160" s="185"/>
      <c r="M160" s="73">
        <v>3110623</v>
      </c>
      <c r="N160" s="73"/>
      <c r="O160" s="198">
        <f t="shared" si="35"/>
        <v>2205351</v>
      </c>
      <c r="P160" s="73"/>
      <c r="Q160" s="57">
        <f t="shared" si="36"/>
        <v>147023.4</v>
      </c>
      <c r="S160" s="74">
        <f t="shared" si="37"/>
        <v>2.7656907640252482</v>
      </c>
      <c r="U160" s="186">
        <f t="shared" si="38"/>
        <v>15</v>
      </c>
      <c r="V160" s="181"/>
      <c r="W160" s="301">
        <v>13.776778795751857</v>
      </c>
      <c r="Y160" s="303">
        <v>10</v>
      </c>
      <c r="AA160" s="301">
        <f t="shared" si="39"/>
        <v>23.776778795751859</v>
      </c>
    </row>
    <row r="161" spans="1:27" s="19" customFormat="1">
      <c r="A161" s="64"/>
      <c r="B161" s="65"/>
      <c r="C161" s="70" t="s">
        <v>80</v>
      </c>
      <c r="D161" s="65"/>
      <c r="E161" s="182">
        <v>2034</v>
      </c>
      <c r="F161" s="65"/>
      <c r="G161" s="183" t="s">
        <v>192</v>
      </c>
      <c r="H161" s="183" t="s">
        <v>181</v>
      </c>
      <c r="I161" s="184">
        <v>0</v>
      </c>
      <c r="J161" s="65"/>
      <c r="K161" s="71">
        <v>5368828.4000000004</v>
      </c>
      <c r="L161" s="185"/>
      <c r="M161" s="73">
        <v>3095925</v>
      </c>
      <c r="N161" s="73"/>
      <c r="O161" s="198">
        <f t="shared" si="35"/>
        <v>2272903</v>
      </c>
      <c r="P161" s="73"/>
      <c r="Q161" s="57">
        <f t="shared" si="36"/>
        <v>151526.86666666667</v>
      </c>
      <c r="S161" s="74">
        <f t="shared" si="37"/>
        <v>2.8223451259248042</v>
      </c>
      <c r="U161" s="186">
        <f t="shared" si="38"/>
        <v>15</v>
      </c>
      <c r="V161" s="181"/>
      <c r="W161" s="301">
        <v>13.786310434262154</v>
      </c>
      <c r="Y161" s="303">
        <v>10</v>
      </c>
      <c r="AA161" s="301">
        <f t="shared" si="39"/>
        <v>23.786310434262155</v>
      </c>
    </row>
    <row r="162" spans="1:27" s="19" customFormat="1">
      <c r="A162" s="64"/>
      <c r="B162" s="65"/>
      <c r="C162" s="70" t="s">
        <v>81</v>
      </c>
      <c r="D162" s="65"/>
      <c r="E162" s="182">
        <v>2041</v>
      </c>
      <c r="F162" s="65"/>
      <c r="G162" s="183" t="s">
        <v>192</v>
      </c>
      <c r="H162" s="183" t="s">
        <v>181</v>
      </c>
      <c r="I162" s="184">
        <v>0</v>
      </c>
      <c r="J162" s="65"/>
      <c r="K162" s="71">
        <v>8212342.4100000001</v>
      </c>
      <c r="L162" s="185"/>
      <c r="M162" s="73">
        <v>3863206</v>
      </c>
      <c r="N162" s="73"/>
      <c r="O162" s="198">
        <f t="shared" si="35"/>
        <v>4349136</v>
      </c>
      <c r="P162" s="73"/>
      <c r="Q162" s="57">
        <f t="shared" si="36"/>
        <v>197688</v>
      </c>
      <c r="S162" s="74">
        <f t="shared" si="37"/>
        <v>2.4072060093266372</v>
      </c>
      <c r="U162" s="186">
        <f t="shared" si="38"/>
        <v>22</v>
      </c>
      <c r="V162" s="181"/>
      <c r="W162" s="301">
        <v>19.789272841114855</v>
      </c>
      <c r="Y162" s="303">
        <v>5</v>
      </c>
      <c r="AA162" s="301">
        <f t="shared" si="39"/>
        <v>24.789272841114855</v>
      </c>
    </row>
    <row r="163" spans="1:27" s="19" customFormat="1">
      <c r="A163" s="64"/>
      <c r="B163" s="65"/>
      <c r="C163" s="70" t="s">
        <v>82</v>
      </c>
      <c r="D163" s="65"/>
      <c r="E163" s="182">
        <v>2041</v>
      </c>
      <c r="F163" s="65"/>
      <c r="G163" s="183" t="s">
        <v>192</v>
      </c>
      <c r="H163" s="183" t="s">
        <v>181</v>
      </c>
      <c r="I163" s="184">
        <v>0</v>
      </c>
      <c r="J163" s="65"/>
      <c r="K163" s="71">
        <v>8155918.4000000004</v>
      </c>
      <c r="L163" s="185"/>
      <c r="M163" s="73">
        <v>3837752</v>
      </c>
      <c r="N163" s="73"/>
      <c r="O163" s="198">
        <f t="shared" si="35"/>
        <v>4318166</v>
      </c>
      <c r="P163" s="73"/>
      <c r="Q163" s="57">
        <f t="shared" si="36"/>
        <v>196280.27272727274</v>
      </c>
      <c r="S163" s="74">
        <f t="shared" si="37"/>
        <v>2.4065992706262573</v>
      </c>
      <c r="U163" s="186">
        <f t="shared" si="38"/>
        <v>22</v>
      </c>
      <c r="V163" s="181"/>
      <c r="W163" s="301">
        <v>19.778903481875169</v>
      </c>
      <c r="Y163" s="303">
        <v>5</v>
      </c>
      <c r="AA163" s="301">
        <f t="shared" si="39"/>
        <v>24.778903481875169</v>
      </c>
    </row>
    <row r="164" spans="1:27" s="19" customFormat="1">
      <c r="A164" s="64"/>
      <c r="B164" s="65"/>
      <c r="C164" s="70" t="s">
        <v>83</v>
      </c>
      <c r="D164" s="65"/>
      <c r="E164" s="182">
        <v>2045</v>
      </c>
      <c r="F164" s="65"/>
      <c r="G164" s="183" t="s">
        <v>192</v>
      </c>
      <c r="H164" s="183" t="s">
        <v>181</v>
      </c>
      <c r="I164" s="184">
        <v>0</v>
      </c>
      <c r="J164" s="65"/>
      <c r="K164" s="71">
        <v>4831725.68</v>
      </c>
      <c r="L164" s="185"/>
      <c r="M164" s="73">
        <v>1839937</v>
      </c>
      <c r="N164" s="73"/>
      <c r="O164" s="198">
        <f t="shared" si="35"/>
        <v>2991789</v>
      </c>
      <c r="P164" s="73"/>
      <c r="Q164" s="57">
        <f t="shared" si="36"/>
        <v>115068.80769230769</v>
      </c>
      <c r="S164" s="74">
        <f t="shared" si="37"/>
        <v>2.3815260905355804</v>
      </c>
      <c r="U164" s="186">
        <f t="shared" si="38"/>
        <v>26</v>
      </c>
      <c r="V164" s="181"/>
      <c r="W164" s="301">
        <v>23.32999809554504</v>
      </c>
      <c r="Y164" s="303">
        <v>5</v>
      </c>
      <c r="AA164" s="301">
        <f t="shared" si="39"/>
        <v>28.32999809554504</v>
      </c>
    </row>
    <row r="165" spans="1:27" s="19" customFormat="1">
      <c r="A165" s="64"/>
      <c r="B165" s="65"/>
      <c r="C165" s="70" t="s">
        <v>84</v>
      </c>
      <c r="D165" s="65"/>
      <c r="E165" s="182">
        <v>2045</v>
      </c>
      <c r="F165" s="65"/>
      <c r="G165" s="183" t="s">
        <v>192</v>
      </c>
      <c r="H165" s="183" t="s">
        <v>181</v>
      </c>
      <c r="I165" s="184">
        <v>0</v>
      </c>
      <c r="J165" s="65"/>
      <c r="K165" s="71">
        <v>4838938.32</v>
      </c>
      <c r="L165" s="185"/>
      <c r="M165" s="73">
        <v>1842648</v>
      </c>
      <c r="N165" s="73"/>
      <c r="O165" s="198">
        <f t="shared" si="35"/>
        <v>2996290</v>
      </c>
      <c r="P165" s="73"/>
      <c r="Q165" s="57">
        <f t="shared" si="36"/>
        <v>115241.92307692308</v>
      </c>
      <c r="S165" s="74">
        <f t="shared" si="37"/>
        <v>2.3815538751674579</v>
      </c>
      <c r="U165" s="186">
        <f t="shared" si="38"/>
        <v>26</v>
      </c>
      <c r="V165" s="181"/>
      <c r="W165" s="301">
        <v>23.330051855156626</v>
      </c>
      <c r="Y165" s="303">
        <v>5</v>
      </c>
      <c r="AA165" s="301">
        <f t="shared" si="39"/>
        <v>28.330051855156626</v>
      </c>
    </row>
    <row r="166" spans="1:27" s="19" customFormat="1">
      <c r="A166" s="64"/>
      <c r="B166" s="65"/>
      <c r="C166" s="70" t="s">
        <v>85</v>
      </c>
      <c r="D166" s="65"/>
      <c r="E166" s="182">
        <v>2050</v>
      </c>
      <c r="F166" s="65"/>
      <c r="G166" s="183" t="s">
        <v>192</v>
      </c>
      <c r="H166" s="183" t="s">
        <v>181</v>
      </c>
      <c r="I166" s="184">
        <v>0</v>
      </c>
      <c r="J166" s="65"/>
      <c r="K166" s="71">
        <v>5428818.3700000001</v>
      </c>
      <c r="L166" s="185"/>
      <c r="M166" s="73">
        <v>879891</v>
      </c>
      <c r="N166" s="73"/>
      <c r="O166" s="198">
        <f t="shared" si="35"/>
        <v>4548927</v>
      </c>
      <c r="P166" s="73"/>
      <c r="Q166" s="57">
        <f t="shared" si="36"/>
        <v>146739.5806451613</v>
      </c>
      <c r="S166" s="74">
        <f t="shared" si="37"/>
        <v>2.7029745820205311</v>
      </c>
      <c r="U166" s="186">
        <f t="shared" si="38"/>
        <v>31</v>
      </c>
      <c r="V166" s="181"/>
      <c r="W166" s="301">
        <v>28.204660851451635</v>
      </c>
      <c r="Y166" s="303">
        <v>5</v>
      </c>
      <c r="AA166" s="301">
        <f t="shared" si="39"/>
        <v>33.204660851451635</v>
      </c>
    </row>
    <row r="167" spans="1:27" s="19" customFormat="1">
      <c r="A167" s="64"/>
      <c r="B167" s="65"/>
      <c r="C167" s="70" t="s">
        <v>86</v>
      </c>
      <c r="D167" s="65"/>
      <c r="E167" s="182">
        <v>2050</v>
      </c>
      <c r="F167" s="65"/>
      <c r="G167" s="183" t="s">
        <v>192</v>
      </c>
      <c r="H167" s="183" t="s">
        <v>181</v>
      </c>
      <c r="I167" s="184">
        <v>0</v>
      </c>
      <c r="J167" s="65"/>
      <c r="K167" s="71">
        <v>4887853.5</v>
      </c>
      <c r="L167" s="185"/>
      <c r="M167" s="73">
        <v>1176798</v>
      </c>
      <c r="N167" s="73"/>
      <c r="O167" s="198">
        <f t="shared" si="35"/>
        <v>3711056</v>
      </c>
      <c r="P167" s="73"/>
      <c r="Q167" s="57">
        <f t="shared" si="36"/>
        <v>119711.48387096774</v>
      </c>
      <c r="S167" s="74">
        <f t="shared" si="37"/>
        <v>2.4491626819618828</v>
      </c>
      <c r="U167" s="186">
        <f t="shared" si="38"/>
        <v>31</v>
      </c>
      <c r="V167" s="181"/>
      <c r="W167" s="301">
        <v>28.093703930099601</v>
      </c>
      <c r="Y167" s="303">
        <v>5</v>
      </c>
      <c r="AA167" s="301">
        <f t="shared" si="39"/>
        <v>33.093703930099601</v>
      </c>
    </row>
    <row r="168" spans="1:27" s="19" customFormat="1">
      <c r="A168" s="64"/>
      <c r="B168" s="65"/>
      <c r="C168" s="70" t="s">
        <v>87</v>
      </c>
      <c r="D168" s="65"/>
      <c r="E168" s="182">
        <v>2038</v>
      </c>
      <c r="F168" s="65"/>
      <c r="G168" s="183" t="s">
        <v>192</v>
      </c>
      <c r="H168" s="183" t="s">
        <v>181</v>
      </c>
      <c r="I168" s="184">
        <v>0</v>
      </c>
      <c r="J168" s="65"/>
      <c r="K168" s="71">
        <v>1098205.33</v>
      </c>
      <c r="L168" s="185"/>
      <c r="M168" s="73">
        <v>498493</v>
      </c>
      <c r="N168" s="73"/>
      <c r="O168" s="198">
        <f t="shared" si="35"/>
        <v>599712</v>
      </c>
      <c r="P168" s="73"/>
      <c r="Q168" s="57">
        <f t="shared" si="36"/>
        <v>31563.78947368421</v>
      </c>
      <c r="S168" s="74">
        <f t="shared" si="37"/>
        <v>2.8741245932292285</v>
      </c>
      <c r="U168" s="186">
        <f t="shared" si="38"/>
        <v>19</v>
      </c>
      <c r="V168" s="181"/>
      <c r="W168" s="301">
        <v>17.399759299168743</v>
      </c>
      <c r="Y168" s="303"/>
      <c r="AA168" s="301">
        <f t="shared" si="39"/>
        <v>17.399759299168743</v>
      </c>
    </row>
    <row r="169" spans="1:27" s="19" customFormat="1">
      <c r="A169" s="64"/>
      <c r="B169" s="65"/>
      <c r="C169" s="70" t="s">
        <v>88</v>
      </c>
      <c r="D169" s="65"/>
      <c r="E169" s="182">
        <v>2038</v>
      </c>
      <c r="F169" s="65"/>
      <c r="G169" s="183" t="s">
        <v>192</v>
      </c>
      <c r="H169" s="183" t="s">
        <v>181</v>
      </c>
      <c r="I169" s="184">
        <v>0</v>
      </c>
      <c r="J169" s="65"/>
      <c r="K169" s="71">
        <v>1963510.74</v>
      </c>
      <c r="L169" s="185"/>
      <c r="M169" s="73">
        <v>867730</v>
      </c>
      <c r="N169" s="73"/>
      <c r="O169" s="198">
        <f t="shared" si="35"/>
        <v>1095781</v>
      </c>
      <c r="P169" s="73"/>
      <c r="Q169" s="57">
        <f t="shared" si="36"/>
        <v>57672.684210526313</v>
      </c>
      <c r="S169" s="74">
        <f t="shared" si="37"/>
        <v>2.9372227528801962</v>
      </c>
      <c r="U169" s="186">
        <f t="shared" si="38"/>
        <v>19</v>
      </c>
      <c r="V169" s="181"/>
      <c r="W169" s="301">
        <v>17.454804084394414</v>
      </c>
      <c r="Y169" s="303"/>
      <c r="AA169" s="301">
        <f t="shared" si="39"/>
        <v>17.454804084394414</v>
      </c>
    </row>
    <row r="170" spans="1:27" s="19" customFormat="1">
      <c r="A170" s="64"/>
      <c r="B170" s="65"/>
      <c r="C170" s="70" t="s">
        <v>89</v>
      </c>
      <c r="D170" s="65"/>
      <c r="E170" s="182">
        <v>2038</v>
      </c>
      <c r="F170" s="65"/>
      <c r="G170" s="183" t="s">
        <v>192</v>
      </c>
      <c r="H170" s="183" t="s">
        <v>181</v>
      </c>
      <c r="I170" s="184">
        <v>0</v>
      </c>
      <c r="J170" s="65"/>
      <c r="K170" s="71">
        <v>4525028.84</v>
      </c>
      <c r="L170" s="185"/>
      <c r="M170" s="73">
        <v>1301455</v>
      </c>
      <c r="N170" s="73"/>
      <c r="O170" s="198">
        <f t="shared" si="35"/>
        <v>3223574</v>
      </c>
      <c r="P170" s="73"/>
      <c r="Q170" s="57">
        <f t="shared" si="36"/>
        <v>169661.78947368421</v>
      </c>
      <c r="S170" s="74">
        <f t="shared" si="37"/>
        <v>3.7494079147942894</v>
      </c>
      <c r="U170" s="186">
        <f t="shared" si="38"/>
        <v>19</v>
      </c>
      <c r="V170" s="181"/>
      <c r="W170" s="301">
        <v>17.856386991098947</v>
      </c>
      <c r="Y170" s="303"/>
      <c r="AA170" s="301">
        <f t="shared" si="39"/>
        <v>17.856386991098947</v>
      </c>
    </row>
    <row r="171" spans="1:27" s="19" customFormat="1">
      <c r="A171" s="64"/>
      <c r="B171" s="65"/>
      <c r="C171" s="70" t="s">
        <v>90</v>
      </c>
      <c r="D171" s="65"/>
      <c r="E171" s="182">
        <v>2041</v>
      </c>
      <c r="F171" s="65"/>
      <c r="G171" s="183" t="s">
        <v>192</v>
      </c>
      <c r="H171" s="183" t="s">
        <v>181</v>
      </c>
      <c r="I171" s="184">
        <v>0</v>
      </c>
      <c r="J171" s="65"/>
      <c r="K171" s="71">
        <v>1285806.3799999999</v>
      </c>
      <c r="L171" s="185"/>
      <c r="M171" s="73">
        <v>479024</v>
      </c>
      <c r="N171" s="73"/>
      <c r="O171" s="198">
        <f t="shared" si="35"/>
        <v>806782</v>
      </c>
      <c r="P171" s="73"/>
      <c r="Q171" s="57">
        <f t="shared" si="36"/>
        <v>36671.909090909088</v>
      </c>
      <c r="S171" s="74">
        <f t="shared" si="37"/>
        <v>2.8520553064069483</v>
      </c>
      <c r="U171" s="186">
        <f t="shared" si="38"/>
        <v>22</v>
      </c>
      <c r="V171" s="181"/>
      <c r="W171" s="301">
        <v>20.199912648921458</v>
      </c>
      <c r="Y171" s="303"/>
      <c r="AA171" s="301">
        <f t="shared" si="39"/>
        <v>20.199912648921458</v>
      </c>
    </row>
    <row r="172" spans="1:27" s="19" customFormat="1">
      <c r="A172" s="64"/>
      <c r="B172" s="65"/>
      <c r="C172" s="70" t="s">
        <v>91</v>
      </c>
      <c r="D172" s="65"/>
      <c r="E172" s="182">
        <v>2042</v>
      </c>
      <c r="F172" s="65"/>
      <c r="G172" s="183" t="s">
        <v>192</v>
      </c>
      <c r="H172" s="183" t="s">
        <v>181</v>
      </c>
      <c r="I172" s="184">
        <v>0</v>
      </c>
      <c r="J172" s="65"/>
      <c r="K172" s="71">
        <v>1680579.61</v>
      </c>
      <c r="L172" s="185"/>
      <c r="M172" s="73">
        <v>580668</v>
      </c>
      <c r="N172" s="73"/>
      <c r="O172" s="198">
        <f t="shared" si="35"/>
        <v>1099912</v>
      </c>
      <c r="P172" s="73"/>
      <c r="Q172" s="57">
        <f t="shared" si="36"/>
        <v>47822.260869565216</v>
      </c>
      <c r="S172" s="74">
        <f t="shared" si="37"/>
        <v>2.8455814044754009</v>
      </c>
      <c r="U172" s="186">
        <f t="shared" si="38"/>
        <v>23</v>
      </c>
      <c r="V172" s="181"/>
      <c r="W172" s="301">
        <v>21.130077360425016</v>
      </c>
      <c r="Y172" s="303"/>
      <c r="AA172" s="301">
        <f t="shared" si="39"/>
        <v>21.130077360425016</v>
      </c>
    </row>
    <row r="173" spans="1:27" s="19" customFormat="1">
      <c r="A173" s="64"/>
      <c r="B173" s="65"/>
      <c r="C173" s="70" t="s">
        <v>102</v>
      </c>
      <c r="D173" s="65"/>
      <c r="E173" s="182">
        <v>2046</v>
      </c>
      <c r="F173" s="65"/>
      <c r="G173" s="183" t="s">
        <v>192</v>
      </c>
      <c r="H173" s="183" t="s">
        <v>181</v>
      </c>
      <c r="I173" s="184">
        <v>0</v>
      </c>
      <c r="J173" s="65"/>
      <c r="K173" s="71">
        <v>2993753.87</v>
      </c>
      <c r="L173" s="185"/>
      <c r="M173" s="73">
        <v>457130</v>
      </c>
      <c r="N173" s="73"/>
      <c r="O173" s="198">
        <f t="shared" si="35"/>
        <v>2536624</v>
      </c>
      <c r="P173" s="73"/>
      <c r="Q173" s="57">
        <f t="shared" si="36"/>
        <v>93949.037037037036</v>
      </c>
      <c r="S173" s="74">
        <f t="shared" si="37"/>
        <v>3.1381683704357779</v>
      </c>
      <c r="U173" s="186">
        <f t="shared" si="38"/>
        <v>27</v>
      </c>
      <c r="V173" s="181"/>
      <c r="W173" s="301">
        <v>25.247262854500921</v>
      </c>
      <c r="Y173" s="303"/>
      <c r="AA173" s="301">
        <f t="shared" si="39"/>
        <v>25.247262854500921</v>
      </c>
    </row>
    <row r="174" spans="1:27" s="19" customFormat="1">
      <c r="A174" s="64"/>
      <c r="B174" s="65"/>
      <c r="C174" s="70" t="s">
        <v>92</v>
      </c>
      <c r="D174" s="65"/>
      <c r="E174" s="182">
        <v>2042</v>
      </c>
      <c r="F174" s="65"/>
      <c r="G174" s="183" t="s">
        <v>192</v>
      </c>
      <c r="H174" s="183" t="s">
        <v>181</v>
      </c>
      <c r="I174" s="184">
        <v>0</v>
      </c>
      <c r="J174" s="65"/>
      <c r="K174" s="71">
        <v>17086.14</v>
      </c>
      <c r="L174" s="185"/>
      <c r="M174" s="73">
        <v>6300</v>
      </c>
      <c r="N174" s="73"/>
      <c r="O174" s="198">
        <f t="shared" si="35"/>
        <v>10786</v>
      </c>
      <c r="P174" s="73"/>
      <c r="Q174" s="57">
        <f t="shared" si="36"/>
        <v>468.95652173913044</v>
      </c>
      <c r="S174" s="74">
        <f t="shared" si="37"/>
        <v>2.7446604191416575</v>
      </c>
      <c r="U174" s="186">
        <f t="shared" si="38"/>
        <v>23</v>
      </c>
      <c r="V174" s="181"/>
      <c r="W174" s="301">
        <v>21.797752808988765</v>
      </c>
      <c r="Y174" s="303">
        <v>5</v>
      </c>
      <c r="AA174" s="301">
        <f t="shared" si="39"/>
        <v>26.797752808988765</v>
      </c>
    </row>
    <row r="175" spans="1:27" s="19" customFormat="1">
      <c r="A175" s="64"/>
      <c r="B175" s="65"/>
      <c r="C175" s="70" t="s">
        <v>93</v>
      </c>
      <c r="D175" s="65"/>
      <c r="E175" s="182">
        <v>2042</v>
      </c>
      <c r="F175" s="65"/>
      <c r="G175" s="183" t="s">
        <v>192</v>
      </c>
      <c r="H175" s="183" t="s">
        <v>181</v>
      </c>
      <c r="I175" s="184">
        <v>0</v>
      </c>
      <c r="J175" s="65"/>
      <c r="K175" s="71">
        <v>7457690.5700000003</v>
      </c>
      <c r="L175" s="185"/>
      <c r="M175" s="73">
        <v>3646045</v>
      </c>
      <c r="N175" s="73"/>
      <c r="O175" s="198">
        <f t="shared" si="35"/>
        <v>3811646</v>
      </c>
      <c r="P175" s="73"/>
      <c r="Q175" s="57">
        <f t="shared" si="36"/>
        <v>165723.73913043478</v>
      </c>
      <c r="S175" s="74">
        <f t="shared" si="37"/>
        <v>2.2221857768823301</v>
      </c>
      <c r="U175" s="186">
        <f t="shared" si="38"/>
        <v>23</v>
      </c>
      <c r="V175" s="181"/>
      <c r="W175" s="301">
        <v>21.730029236273751</v>
      </c>
      <c r="Y175" s="303">
        <v>5</v>
      </c>
      <c r="AA175" s="301">
        <f t="shared" si="39"/>
        <v>26.730029236273751</v>
      </c>
    </row>
    <row r="176" spans="1:27" s="19" customFormat="1">
      <c r="A176" s="64"/>
      <c r="B176" s="65"/>
      <c r="C176" s="70" t="s">
        <v>94</v>
      </c>
      <c r="D176" s="65"/>
      <c r="E176" s="182">
        <v>2042</v>
      </c>
      <c r="F176" s="65"/>
      <c r="G176" s="183" t="s">
        <v>192</v>
      </c>
      <c r="H176" s="183" t="s">
        <v>181</v>
      </c>
      <c r="I176" s="184">
        <v>0</v>
      </c>
      <c r="J176" s="65"/>
      <c r="K176" s="71">
        <v>7457690.5700000003</v>
      </c>
      <c r="L176" s="185"/>
      <c r="M176" s="73">
        <v>3607830</v>
      </c>
      <c r="N176" s="73"/>
      <c r="O176" s="198">
        <f t="shared" si="35"/>
        <v>3849861</v>
      </c>
      <c r="P176" s="73"/>
      <c r="Q176" s="57">
        <f t="shared" si="36"/>
        <v>167385.26086956522</v>
      </c>
      <c r="S176" s="74">
        <f t="shared" si="37"/>
        <v>2.2444650833718516</v>
      </c>
      <c r="U176" s="186">
        <f t="shared" si="38"/>
        <v>23</v>
      </c>
      <c r="V176" s="181"/>
      <c r="W176" s="301">
        <v>21.729987443909266</v>
      </c>
      <c r="Y176" s="303">
        <v>5</v>
      </c>
      <c r="AA176" s="301">
        <f t="shared" si="39"/>
        <v>26.729987443909266</v>
      </c>
    </row>
    <row r="177" spans="1:27" s="19" customFormat="1">
      <c r="A177" s="64"/>
      <c r="B177" s="65"/>
      <c r="C177" s="70" t="s">
        <v>95</v>
      </c>
      <c r="D177" s="65"/>
      <c r="E177" s="182">
        <v>2042</v>
      </c>
      <c r="F177" s="65"/>
      <c r="G177" s="183" t="s">
        <v>192</v>
      </c>
      <c r="H177" s="183" t="s">
        <v>181</v>
      </c>
      <c r="I177" s="184">
        <v>0</v>
      </c>
      <c r="J177" s="65"/>
      <c r="K177" s="71">
        <v>7457690.5700000003</v>
      </c>
      <c r="L177" s="185"/>
      <c r="M177" s="73">
        <v>3645751</v>
      </c>
      <c r="N177" s="73"/>
      <c r="O177" s="198">
        <f t="shared" si="35"/>
        <v>3811940</v>
      </c>
      <c r="P177" s="73"/>
      <c r="Q177" s="57">
        <f t="shared" si="36"/>
        <v>165736.52173913043</v>
      </c>
      <c r="S177" s="74">
        <f t="shared" si="37"/>
        <v>2.2223571785860567</v>
      </c>
      <c r="U177" s="186">
        <f t="shared" si="38"/>
        <v>23</v>
      </c>
      <c r="V177" s="181"/>
      <c r="W177" s="301">
        <v>21.729976166120583</v>
      </c>
      <c r="Y177" s="303">
        <v>5</v>
      </c>
      <c r="AA177" s="301">
        <f t="shared" si="39"/>
        <v>26.729976166120583</v>
      </c>
    </row>
    <row r="178" spans="1:27" s="19" customFormat="1">
      <c r="A178" s="64"/>
      <c r="B178" s="65"/>
      <c r="C178" s="70" t="s">
        <v>96</v>
      </c>
      <c r="D178" s="65"/>
      <c r="E178" s="182">
        <v>2042</v>
      </c>
      <c r="F178" s="65"/>
      <c r="G178" s="183" t="s">
        <v>192</v>
      </c>
      <c r="H178" s="183" t="s">
        <v>181</v>
      </c>
      <c r="I178" s="184">
        <v>0</v>
      </c>
      <c r="J178" s="65"/>
      <c r="K178" s="75">
        <v>15810305.550000001</v>
      </c>
      <c r="L178" s="185"/>
      <c r="M178" s="77">
        <v>1428297</v>
      </c>
      <c r="N178" s="73"/>
      <c r="O178" s="205">
        <f t="shared" si="35"/>
        <v>14382009</v>
      </c>
      <c r="P178" s="73"/>
      <c r="Q178" s="62">
        <f t="shared" si="36"/>
        <v>625304.73913043481</v>
      </c>
      <c r="S178" s="74">
        <f t="shared" si="37"/>
        <v>3.9550452529390538</v>
      </c>
      <c r="U178" s="186">
        <f t="shared" si="38"/>
        <v>23</v>
      </c>
      <c r="V178" s="181"/>
      <c r="W178" s="301">
        <v>21.840001441969729</v>
      </c>
      <c r="Y178" s="303"/>
      <c r="AA178" s="301">
        <f t="shared" si="39"/>
        <v>21.840001441969729</v>
      </c>
    </row>
    <row r="179" spans="1:27" s="19" customFormat="1">
      <c r="A179" s="64"/>
      <c r="B179" s="65"/>
      <c r="C179" s="78"/>
      <c r="D179" s="65"/>
      <c r="E179" s="65"/>
      <c r="F179" s="65"/>
      <c r="G179" s="183"/>
      <c r="H179" s="183"/>
      <c r="I179" s="184"/>
      <c r="J179" s="65"/>
      <c r="K179" s="71"/>
      <c r="L179" s="185"/>
      <c r="M179" s="73"/>
      <c r="N179" s="73"/>
      <c r="O179" s="73"/>
      <c r="P179" s="73"/>
      <c r="Q179" s="73"/>
      <c r="S179" s="74"/>
      <c r="U179" s="186"/>
      <c r="V179" s="181"/>
      <c r="W179" s="301"/>
      <c r="AA179" s="301"/>
    </row>
    <row r="180" spans="1:27" s="19" customFormat="1">
      <c r="A180" s="64"/>
      <c r="B180" s="65"/>
      <c r="C180" s="78" t="s">
        <v>103</v>
      </c>
      <c r="D180" s="65"/>
      <c r="E180" s="65"/>
      <c r="F180" s="65"/>
      <c r="G180" s="183"/>
      <c r="H180" s="183"/>
      <c r="I180" s="184"/>
      <c r="J180" s="65"/>
      <c r="K180" s="71">
        <f>SUBTOTAL(9,K158:K179)</f>
        <v>104582841.48999999</v>
      </c>
      <c r="L180" s="185"/>
      <c r="M180" s="73">
        <f>SUBTOTAL(9,M158:M179)</f>
        <v>39415445</v>
      </c>
      <c r="N180" s="73"/>
      <c r="O180" s="73">
        <f>SUBTOTAL(9,O158:O179)</f>
        <v>65167397</v>
      </c>
      <c r="P180" s="73"/>
      <c r="Q180" s="73">
        <f>SUBTOTAL(9,Q158:Q179)</f>
        <v>2911130.3641614933</v>
      </c>
      <c r="S180" s="74">
        <f>+ROUND(Q180/K180*100,2)</f>
        <v>2.78</v>
      </c>
      <c r="U180" s="186"/>
      <c r="V180" s="181"/>
      <c r="W180" s="301"/>
      <c r="AA180" s="301"/>
    </row>
    <row r="181" spans="1:27" s="19" customFormat="1">
      <c r="A181" s="64"/>
      <c r="B181" s="65"/>
      <c r="C181" s="78"/>
      <c r="D181" s="65"/>
      <c r="E181" s="65"/>
      <c r="F181" s="65"/>
      <c r="G181" s="183"/>
      <c r="H181" s="183"/>
      <c r="I181" s="184"/>
      <c r="J181" s="65"/>
      <c r="K181" s="71"/>
      <c r="L181" s="185"/>
      <c r="M181" s="73"/>
      <c r="N181" s="73"/>
      <c r="O181" s="73"/>
      <c r="P181" s="73"/>
      <c r="Q181" s="73"/>
      <c r="S181" s="74"/>
      <c r="U181" s="186"/>
      <c r="V181" s="181"/>
      <c r="W181" s="301"/>
      <c r="AA181" s="301"/>
    </row>
    <row r="182" spans="1:27" s="19" customFormat="1">
      <c r="A182" s="64">
        <v>345</v>
      </c>
      <c r="B182" s="65"/>
      <c r="C182" s="65" t="s">
        <v>71</v>
      </c>
      <c r="D182" s="65"/>
      <c r="E182" s="65"/>
      <c r="F182" s="65"/>
      <c r="G182" s="65"/>
      <c r="H182" s="65"/>
      <c r="I182" s="179"/>
      <c r="J182" s="65"/>
      <c r="K182" s="65"/>
      <c r="L182" s="65"/>
      <c r="M182" s="67"/>
      <c r="N182" s="67"/>
      <c r="O182" s="67"/>
      <c r="P182" s="67"/>
      <c r="Q182" s="67"/>
      <c r="S182" s="68"/>
      <c r="U182" s="180"/>
      <c r="V182" s="181"/>
      <c r="W182" s="301"/>
      <c r="AA182" s="301"/>
    </row>
    <row r="183" spans="1:27" s="19" customFormat="1">
      <c r="A183" s="64"/>
      <c r="B183" s="65"/>
      <c r="C183" s="70" t="s">
        <v>77</v>
      </c>
      <c r="D183" s="65"/>
      <c r="E183" s="182">
        <v>2050</v>
      </c>
      <c r="F183" s="65"/>
      <c r="G183" s="183" t="s">
        <v>192</v>
      </c>
      <c r="H183" s="183" t="s">
        <v>181</v>
      </c>
      <c r="I183" s="184">
        <v>0</v>
      </c>
      <c r="J183" s="65"/>
      <c r="K183" s="71">
        <v>9876096.8200000003</v>
      </c>
      <c r="L183" s="185"/>
      <c r="M183" s="73">
        <v>4171972</v>
      </c>
      <c r="N183" s="73"/>
      <c r="O183" s="198">
        <f t="shared" ref="O183:O202" si="40">ROUND((K183+(K183*-(I183/100)))-M183,0)</f>
        <v>5704125</v>
      </c>
      <c r="P183" s="73"/>
      <c r="Q183" s="57">
        <f t="shared" ref="Q183:Q202" si="41">O183/U183</f>
        <v>184004.03225806452</v>
      </c>
      <c r="S183" s="74">
        <f t="shared" ref="S183:S202" si="42">Q183/K183*100</f>
        <v>1.8631250342284971</v>
      </c>
      <c r="U183" s="186">
        <f t="shared" ref="U183:U202" si="43">E183-2019</f>
        <v>31</v>
      </c>
      <c r="V183" s="181"/>
      <c r="W183" s="301">
        <v>26.291633256654617</v>
      </c>
      <c r="Y183" s="303">
        <v>5</v>
      </c>
      <c r="AA183" s="301">
        <f t="shared" ref="AA183:AA202" si="44">W183+Y183</f>
        <v>31.291633256654617</v>
      </c>
    </row>
    <row r="184" spans="1:27" s="19" customFormat="1">
      <c r="A184" s="64"/>
      <c r="B184" s="65"/>
      <c r="C184" s="70" t="s">
        <v>78</v>
      </c>
      <c r="D184" s="65"/>
      <c r="E184" s="182">
        <v>2034</v>
      </c>
      <c r="F184" s="65"/>
      <c r="G184" s="183" t="s">
        <v>192</v>
      </c>
      <c r="H184" s="183" t="s">
        <v>181</v>
      </c>
      <c r="I184" s="184">
        <v>0</v>
      </c>
      <c r="J184" s="65"/>
      <c r="K184" s="71">
        <v>1039394.43</v>
      </c>
      <c r="L184" s="185"/>
      <c r="M184" s="73">
        <v>608799</v>
      </c>
      <c r="N184" s="73"/>
      <c r="O184" s="198">
        <f t="shared" si="40"/>
        <v>430595</v>
      </c>
      <c r="P184" s="73"/>
      <c r="Q184" s="57">
        <f t="shared" si="41"/>
        <v>28706.333333333332</v>
      </c>
      <c r="S184" s="74">
        <f t="shared" si="42"/>
        <v>2.7618325156248269</v>
      </c>
      <c r="U184" s="186">
        <f t="shared" si="43"/>
        <v>15</v>
      </c>
      <c r="V184" s="181"/>
      <c r="W184" s="301">
        <v>13.700014507471348</v>
      </c>
      <c r="Y184" s="303">
        <v>10</v>
      </c>
      <c r="AA184" s="301">
        <f t="shared" si="44"/>
        <v>23.700014507471348</v>
      </c>
    </row>
    <row r="185" spans="1:27" s="19" customFormat="1">
      <c r="A185" s="64"/>
      <c r="B185" s="65"/>
      <c r="C185" s="70" t="s">
        <v>79</v>
      </c>
      <c r="D185" s="65"/>
      <c r="E185" s="182">
        <v>2034</v>
      </c>
      <c r="F185" s="65"/>
      <c r="G185" s="183" t="s">
        <v>192</v>
      </c>
      <c r="H185" s="183" t="s">
        <v>181</v>
      </c>
      <c r="I185" s="184">
        <v>0</v>
      </c>
      <c r="J185" s="65"/>
      <c r="K185" s="71">
        <v>1039395.53</v>
      </c>
      <c r="L185" s="185"/>
      <c r="M185" s="73">
        <v>616956</v>
      </c>
      <c r="N185" s="73"/>
      <c r="O185" s="198">
        <f t="shared" si="40"/>
        <v>422440</v>
      </c>
      <c r="P185" s="73"/>
      <c r="Q185" s="57">
        <f t="shared" si="41"/>
        <v>28162.666666666668</v>
      </c>
      <c r="S185" s="74">
        <f t="shared" si="42"/>
        <v>2.7095235503530275</v>
      </c>
      <c r="U185" s="186">
        <f t="shared" si="43"/>
        <v>15</v>
      </c>
      <c r="V185" s="181"/>
      <c r="W185" s="301">
        <v>13.699881901387659</v>
      </c>
      <c r="Y185" s="303">
        <v>10</v>
      </c>
      <c r="AA185" s="301">
        <f t="shared" si="44"/>
        <v>23.699881901387659</v>
      </c>
    </row>
    <row r="186" spans="1:27" s="19" customFormat="1">
      <c r="A186" s="64"/>
      <c r="B186" s="65"/>
      <c r="C186" s="70" t="s">
        <v>80</v>
      </c>
      <c r="D186" s="65"/>
      <c r="E186" s="182">
        <v>2034</v>
      </c>
      <c r="F186" s="65"/>
      <c r="G186" s="183" t="s">
        <v>192</v>
      </c>
      <c r="H186" s="183" t="s">
        <v>181</v>
      </c>
      <c r="I186" s="184">
        <v>0</v>
      </c>
      <c r="J186" s="65"/>
      <c r="K186" s="71">
        <v>1039395.53</v>
      </c>
      <c r="L186" s="185"/>
      <c r="M186" s="73">
        <v>613009</v>
      </c>
      <c r="N186" s="73"/>
      <c r="O186" s="198">
        <f t="shared" si="40"/>
        <v>426387</v>
      </c>
      <c r="P186" s="73"/>
      <c r="Q186" s="57">
        <f t="shared" si="41"/>
        <v>28425.8</v>
      </c>
      <c r="S186" s="74">
        <f t="shared" si="42"/>
        <v>2.7348395465968571</v>
      </c>
      <c r="U186" s="186">
        <f t="shared" si="43"/>
        <v>15</v>
      </c>
      <c r="V186" s="181"/>
      <c r="W186" s="301">
        <v>13.699923883131332</v>
      </c>
      <c r="Y186" s="303">
        <v>10</v>
      </c>
      <c r="AA186" s="301">
        <f t="shared" si="44"/>
        <v>23.699923883131333</v>
      </c>
    </row>
    <row r="187" spans="1:27" s="19" customFormat="1">
      <c r="A187" s="64"/>
      <c r="B187" s="65"/>
      <c r="C187" s="70" t="s">
        <v>81</v>
      </c>
      <c r="D187" s="65"/>
      <c r="E187" s="182">
        <v>2041</v>
      </c>
      <c r="F187" s="65"/>
      <c r="G187" s="183" t="s">
        <v>192</v>
      </c>
      <c r="H187" s="183" t="s">
        <v>181</v>
      </c>
      <c r="I187" s="184">
        <v>0</v>
      </c>
      <c r="J187" s="65"/>
      <c r="K187" s="71">
        <v>993996.86</v>
      </c>
      <c r="L187" s="185"/>
      <c r="M187" s="73">
        <v>470616</v>
      </c>
      <c r="N187" s="73"/>
      <c r="O187" s="198">
        <f t="shared" si="40"/>
        <v>523381</v>
      </c>
      <c r="P187" s="73"/>
      <c r="Q187" s="57">
        <f t="shared" si="41"/>
        <v>23790.045454545456</v>
      </c>
      <c r="S187" s="74">
        <f t="shared" si="42"/>
        <v>2.39337229441001</v>
      </c>
      <c r="U187" s="186">
        <f t="shared" si="43"/>
        <v>22</v>
      </c>
      <c r="V187" s="181"/>
      <c r="W187" s="301">
        <v>19.670299346816165</v>
      </c>
      <c r="Y187" s="303">
        <v>5</v>
      </c>
      <c r="AA187" s="301">
        <f t="shared" si="44"/>
        <v>24.670299346816165</v>
      </c>
    </row>
    <row r="188" spans="1:27" s="19" customFormat="1">
      <c r="A188" s="64"/>
      <c r="B188" s="65"/>
      <c r="C188" s="70" t="s">
        <v>82</v>
      </c>
      <c r="D188" s="65"/>
      <c r="E188" s="182">
        <v>2041</v>
      </c>
      <c r="F188" s="65"/>
      <c r="G188" s="183" t="s">
        <v>192</v>
      </c>
      <c r="H188" s="183" t="s">
        <v>181</v>
      </c>
      <c r="I188" s="184">
        <v>0</v>
      </c>
      <c r="J188" s="65"/>
      <c r="K188" s="71">
        <v>993996.86</v>
      </c>
      <c r="L188" s="185"/>
      <c r="M188" s="73">
        <v>468711</v>
      </c>
      <c r="N188" s="73"/>
      <c r="O188" s="198">
        <f t="shared" si="40"/>
        <v>525286</v>
      </c>
      <c r="P188" s="73"/>
      <c r="Q188" s="57">
        <f t="shared" si="41"/>
        <v>23876.636363636364</v>
      </c>
      <c r="S188" s="74">
        <f t="shared" si="42"/>
        <v>2.4020836809923489</v>
      </c>
      <c r="U188" s="186">
        <f t="shared" si="43"/>
        <v>22</v>
      </c>
      <c r="V188" s="181"/>
      <c r="W188" s="301">
        <v>19.670194249112303</v>
      </c>
      <c r="Y188" s="303">
        <v>5</v>
      </c>
      <c r="AA188" s="301">
        <f t="shared" si="44"/>
        <v>24.670194249112303</v>
      </c>
    </row>
    <row r="189" spans="1:27" s="19" customFormat="1">
      <c r="A189" s="64"/>
      <c r="B189" s="65"/>
      <c r="C189" s="70" t="s">
        <v>83</v>
      </c>
      <c r="D189" s="65"/>
      <c r="E189" s="182">
        <v>2045</v>
      </c>
      <c r="F189" s="65"/>
      <c r="G189" s="183" t="s">
        <v>192</v>
      </c>
      <c r="H189" s="183" t="s">
        <v>181</v>
      </c>
      <c r="I189" s="184">
        <v>0</v>
      </c>
      <c r="J189" s="65"/>
      <c r="K189" s="71">
        <v>1251472.92</v>
      </c>
      <c r="L189" s="185"/>
      <c r="M189" s="73">
        <v>457774</v>
      </c>
      <c r="N189" s="73"/>
      <c r="O189" s="198">
        <f t="shared" si="40"/>
        <v>793699</v>
      </c>
      <c r="P189" s="73"/>
      <c r="Q189" s="57">
        <f t="shared" si="41"/>
        <v>30526.884615384617</v>
      </c>
      <c r="S189" s="74">
        <f t="shared" si="42"/>
        <v>2.4392764819381485</v>
      </c>
      <c r="U189" s="186">
        <f t="shared" si="43"/>
        <v>26</v>
      </c>
      <c r="V189" s="181"/>
      <c r="W189" s="301">
        <v>23.330144334457778</v>
      </c>
      <c r="Y189" s="303">
        <v>5</v>
      </c>
      <c r="AA189" s="301">
        <f t="shared" si="44"/>
        <v>28.330144334457778</v>
      </c>
    </row>
    <row r="190" spans="1:27" s="19" customFormat="1">
      <c r="A190" s="64"/>
      <c r="B190" s="65"/>
      <c r="C190" s="70" t="s">
        <v>84</v>
      </c>
      <c r="D190" s="65"/>
      <c r="E190" s="182">
        <v>2045</v>
      </c>
      <c r="F190" s="65"/>
      <c r="G190" s="183" t="s">
        <v>192</v>
      </c>
      <c r="H190" s="183" t="s">
        <v>181</v>
      </c>
      <c r="I190" s="184">
        <v>0</v>
      </c>
      <c r="J190" s="65"/>
      <c r="K190" s="71">
        <v>1220275.5900000001</v>
      </c>
      <c r="L190" s="185"/>
      <c r="M190" s="73">
        <v>446353</v>
      </c>
      <c r="N190" s="73"/>
      <c r="O190" s="198">
        <f t="shared" si="40"/>
        <v>773923</v>
      </c>
      <c r="P190" s="73"/>
      <c r="Q190" s="57">
        <f t="shared" si="41"/>
        <v>29766.26923076923</v>
      </c>
      <c r="S190" s="74">
        <f t="shared" si="42"/>
        <v>2.4393071101888735</v>
      </c>
      <c r="U190" s="186">
        <f t="shared" si="43"/>
        <v>26</v>
      </c>
      <c r="V190" s="181"/>
      <c r="W190" s="301">
        <v>23.330043952927831</v>
      </c>
      <c r="Y190" s="303">
        <v>5</v>
      </c>
      <c r="AA190" s="301">
        <f t="shared" si="44"/>
        <v>28.330043952927831</v>
      </c>
    </row>
    <row r="191" spans="1:27" s="19" customFormat="1">
      <c r="A191" s="64"/>
      <c r="B191" s="65"/>
      <c r="C191" s="70" t="s">
        <v>85</v>
      </c>
      <c r="D191" s="65"/>
      <c r="E191" s="182">
        <v>2050</v>
      </c>
      <c r="F191" s="65"/>
      <c r="G191" s="183" t="s">
        <v>192</v>
      </c>
      <c r="H191" s="183" t="s">
        <v>181</v>
      </c>
      <c r="I191" s="184">
        <v>0</v>
      </c>
      <c r="J191" s="65"/>
      <c r="K191" s="71">
        <v>12040203.140000001</v>
      </c>
      <c r="L191" s="185"/>
      <c r="M191" s="73">
        <v>2290836</v>
      </c>
      <c r="N191" s="73"/>
      <c r="O191" s="198">
        <f t="shared" si="40"/>
        <v>9749367</v>
      </c>
      <c r="P191" s="73"/>
      <c r="Q191" s="57">
        <f t="shared" si="41"/>
        <v>314495.70967741933</v>
      </c>
      <c r="S191" s="74">
        <f t="shared" si="42"/>
        <v>2.6120465412464737</v>
      </c>
      <c r="U191" s="186">
        <f t="shared" si="43"/>
        <v>31</v>
      </c>
      <c r="V191" s="181"/>
      <c r="W191" s="301">
        <v>27.95997704384898</v>
      </c>
      <c r="Y191" s="303">
        <v>5</v>
      </c>
      <c r="AA191" s="301">
        <f t="shared" si="44"/>
        <v>32.95997704384898</v>
      </c>
    </row>
    <row r="192" spans="1:27" s="19" customFormat="1">
      <c r="A192" s="64"/>
      <c r="B192" s="65"/>
      <c r="C192" s="70" t="s">
        <v>86</v>
      </c>
      <c r="D192" s="65"/>
      <c r="E192" s="182">
        <v>2050</v>
      </c>
      <c r="F192" s="65"/>
      <c r="G192" s="183" t="s">
        <v>192</v>
      </c>
      <c r="H192" s="183" t="s">
        <v>181</v>
      </c>
      <c r="I192" s="184">
        <v>0</v>
      </c>
      <c r="J192" s="65"/>
      <c r="K192" s="71">
        <v>1879693.27</v>
      </c>
      <c r="L192" s="185"/>
      <c r="M192" s="73">
        <v>478322</v>
      </c>
      <c r="N192" s="73"/>
      <c r="O192" s="198">
        <f t="shared" si="40"/>
        <v>1401371</v>
      </c>
      <c r="P192" s="73"/>
      <c r="Q192" s="57">
        <f t="shared" si="41"/>
        <v>45205.516129032258</v>
      </c>
      <c r="S192" s="74">
        <f t="shared" si="42"/>
        <v>2.404941106643014</v>
      </c>
      <c r="U192" s="186">
        <f t="shared" si="43"/>
        <v>31</v>
      </c>
      <c r="V192" s="181"/>
      <c r="W192" s="301">
        <v>27.959837152054536</v>
      </c>
      <c r="Y192" s="303">
        <v>5</v>
      </c>
      <c r="AA192" s="301">
        <f t="shared" si="44"/>
        <v>32.959837152054533</v>
      </c>
    </row>
    <row r="193" spans="1:27" s="19" customFormat="1">
      <c r="A193" s="64"/>
      <c r="B193" s="65"/>
      <c r="C193" s="70" t="s">
        <v>87</v>
      </c>
      <c r="D193" s="65"/>
      <c r="E193" s="182">
        <v>2038</v>
      </c>
      <c r="F193" s="65"/>
      <c r="G193" s="183" t="s">
        <v>192</v>
      </c>
      <c r="H193" s="183" t="s">
        <v>181</v>
      </c>
      <c r="I193" s="184">
        <v>0</v>
      </c>
      <c r="J193" s="65"/>
      <c r="K193" s="71">
        <v>344891.29</v>
      </c>
      <c r="L193" s="185"/>
      <c r="M193" s="73">
        <v>150379</v>
      </c>
      <c r="N193" s="73"/>
      <c r="O193" s="198">
        <f t="shared" si="40"/>
        <v>194512</v>
      </c>
      <c r="P193" s="73"/>
      <c r="Q193" s="57">
        <f t="shared" si="41"/>
        <v>10237.473684210527</v>
      </c>
      <c r="S193" s="74">
        <f t="shared" si="42"/>
        <v>2.9683189982010063</v>
      </c>
      <c r="U193" s="186">
        <f t="shared" si="43"/>
        <v>19</v>
      </c>
      <c r="V193" s="181"/>
      <c r="W193" s="301">
        <v>17.400431965442763</v>
      </c>
      <c r="Y193" s="303"/>
      <c r="AA193" s="301">
        <f t="shared" si="44"/>
        <v>17.400431965442763</v>
      </c>
    </row>
    <row r="194" spans="1:27" s="19" customFormat="1">
      <c r="A194" s="64"/>
      <c r="B194" s="65"/>
      <c r="C194" s="70" t="s">
        <v>88</v>
      </c>
      <c r="D194" s="65"/>
      <c r="E194" s="182">
        <v>2038</v>
      </c>
      <c r="F194" s="65"/>
      <c r="G194" s="183" t="s">
        <v>192</v>
      </c>
      <c r="H194" s="183" t="s">
        <v>181</v>
      </c>
      <c r="I194" s="184">
        <v>0</v>
      </c>
      <c r="J194" s="65"/>
      <c r="K194" s="71">
        <v>386164.65</v>
      </c>
      <c r="L194" s="185"/>
      <c r="M194" s="73">
        <v>168375</v>
      </c>
      <c r="N194" s="73"/>
      <c r="O194" s="198">
        <f t="shared" si="40"/>
        <v>217790</v>
      </c>
      <c r="P194" s="73"/>
      <c r="Q194" s="57">
        <f t="shared" si="41"/>
        <v>11462.631578947368</v>
      </c>
      <c r="S194" s="74">
        <f t="shared" si="42"/>
        <v>2.9683275201257722</v>
      </c>
      <c r="U194" s="186">
        <f t="shared" si="43"/>
        <v>19</v>
      </c>
      <c r="V194" s="181"/>
      <c r="W194" s="301">
        <v>17.399351901859426</v>
      </c>
      <c r="Y194" s="303"/>
      <c r="AA194" s="301">
        <f t="shared" si="44"/>
        <v>17.399351901859426</v>
      </c>
    </row>
    <row r="195" spans="1:27" s="19" customFormat="1">
      <c r="A195" s="64"/>
      <c r="B195" s="65"/>
      <c r="C195" s="70" t="s">
        <v>89</v>
      </c>
      <c r="D195" s="65"/>
      <c r="E195" s="182">
        <v>2038</v>
      </c>
      <c r="F195" s="65"/>
      <c r="G195" s="183" t="s">
        <v>192</v>
      </c>
      <c r="H195" s="183" t="s">
        <v>181</v>
      </c>
      <c r="I195" s="184">
        <v>0</v>
      </c>
      <c r="J195" s="65"/>
      <c r="K195" s="71">
        <v>357452.26</v>
      </c>
      <c r="L195" s="185"/>
      <c r="M195" s="73">
        <v>155856</v>
      </c>
      <c r="N195" s="73"/>
      <c r="O195" s="198">
        <f t="shared" si="40"/>
        <v>201596</v>
      </c>
      <c r="P195" s="73"/>
      <c r="Q195" s="57">
        <f t="shared" si="41"/>
        <v>10610.315789473685</v>
      </c>
      <c r="S195" s="74">
        <f t="shared" si="42"/>
        <v>2.9683168850222641</v>
      </c>
      <c r="U195" s="186">
        <f t="shared" si="43"/>
        <v>19</v>
      </c>
      <c r="V195" s="181"/>
      <c r="W195" s="301">
        <v>17.399766608318746</v>
      </c>
      <c r="Y195" s="303"/>
      <c r="AA195" s="301">
        <f t="shared" si="44"/>
        <v>17.399766608318746</v>
      </c>
    </row>
    <row r="196" spans="1:27" s="19" customFormat="1">
      <c r="A196" s="64"/>
      <c r="B196" s="65"/>
      <c r="C196" s="70" t="s">
        <v>90</v>
      </c>
      <c r="D196" s="65"/>
      <c r="E196" s="182">
        <v>2041</v>
      </c>
      <c r="F196" s="65"/>
      <c r="G196" s="183" t="s">
        <v>192</v>
      </c>
      <c r="H196" s="183" t="s">
        <v>181</v>
      </c>
      <c r="I196" s="184">
        <v>0</v>
      </c>
      <c r="J196" s="65"/>
      <c r="K196" s="71">
        <v>452676.95</v>
      </c>
      <c r="L196" s="185"/>
      <c r="M196" s="73">
        <v>161993</v>
      </c>
      <c r="N196" s="73"/>
      <c r="O196" s="198">
        <f t="shared" si="40"/>
        <v>290684</v>
      </c>
      <c r="P196" s="73"/>
      <c r="Q196" s="57">
        <f t="shared" si="41"/>
        <v>13212.90909090909</v>
      </c>
      <c r="S196" s="74">
        <f t="shared" si="42"/>
        <v>2.9188384986045985</v>
      </c>
      <c r="U196" s="186">
        <f t="shared" si="43"/>
        <v>22</v>
      </c>
      <c r="V196" s="181"/>
      <c r="W196" s="301">
        <v>20.200633508559104</v>
      </c>
      <c r="Y196" s="303"/>
      <c r="AA196" s="301">
        <f t="shared" si="44"/>
        <v>20.200633508559104</v>
      </c>
    </row>
    <row r="197" spans="1:27" s="19" customFormat="1">
      <c r="A197" s="64"/>
      <c r="B197" s="65"/>
      <c r="C197" s="70" t="s">
        <v>91</v>
      </c>
      <c r="D197" s="65"/>
      <c r="E197" s="182">
        <v>2042</v>
      </c>
      <c r="F197" s="65"/>
      <c r="G197" s="183" t="s">
        <v>192</v>
      </c>
      <c r="H197" s="183" t="s">
        <v>181</v>
      </c>
      <c r="I197" s="184">
        <v>0</v>
      </c>
      <c r="J197" s="65"/>
      <c r="K197" s="71">
        <v>406784.25</v>
      </c>
      <c r="L197" s="185"/>
      <c r="M197" s="73">
        <v>135008</v>
      </c>
      <c r="N197" s="73"/>
      <c r="O197" s="198">
        <f t="shared" si="40"/>
        <v>271776</v>
      </c>
      <c r="P197" s="73"/>
      <c r="Q197" s="57">
        <f t="shared" si="41"/>
        <v>11816.347826086956</v>
      </c>
      <c r="S197" s="74">
        <f t="shared" si="42"/>
        <v>2.9048194039191428</v>
      </c>
      <c r="U197" s="186">
        <f t="shared" si="43"/>
        <v>23</v>
      </c>
      <c r="V197" s="181"/>
      <c r="W197" s="301">
        <v>21.130218162602855</v>
      </c>
      <c r="Y197" s="303"/>
      <c r="AA197" s="301">
        <f t="shared" si="44"/>
        <v>21.130218162602855</v>
      </c>
    </row>
    <row r="198" spans="1:27" s="19" customFormat="1">
      <c r="A198" s="64"/>
      <c r="B198" s="65"/>
      <c r="C198" s="70" t="s">
        <v>92</v>
      </c>
      <c r="D198" s="65"/>
      <c r="E198" s="182">
        <v>2042</v>
      </c>
      <c r="F198" s="65"/>
      <c r="G198" s="183" t="s">
        <v>192</v>
      </c>
      <c r="H198" s="183" t="s">
        <v>181</v>
      </c>
      <c r="I198" s="184">
        <v>0</v>
      </c>
      <c r="J198" s="65"/>
      <c r="K198" s="71">
        <v>3028262.11</v>
      </c>
      <c r="L198" s="185"/>
      <c r="M198" s="73">
        <v>1323010</v>
      </c>
      <c r="N198" s="73"/>
      <c r="O198" s="198">
        <f t="shared" si="40"/>
        <v>1705252</v>
      </c>
      <c r="P198" s="73"/>
      <c r="Q198" s="57">
        <f t="shared" si="41"/>
        <v>74141.391304347824</v>
      </c>
      <c r="S198" s="74">
        <f t="shared" si="42"/>
        <v>2.4483148621619093</v>
      </c>
      <c r="U198" s="186">
        <f t="shared" si="43"/>
        <v>23</v>
      </c>
      <c r="V198" s="181"/>
      <c r="W198" s="301">
        <v>21.731647080855847</v>
      </c>
      <c r="Y198" s="303">
        <v>5</v>
      </c>
      <c r="AA198" s="301">
        <f t="shared" si="44"/>
        <v>26.731647080855847</v>
      </c>
    </row>
    <row r="199" spans="1:27" s="19" customFormat="1">
      <c r="A199" s="64"/>
      <c r="B199" s="65"/>
      <c r="C199" s="70" t="s">
        <v>93</v>
      </c>
      <c r="D199" s="65"/>
      <c r="E199" s="182">
        <v>2042</v>
      </c>
      <c r="F199" s="65"/>
      <c r="G199" s="183" t="s">
        <v>192</v>
      </c>
      <c r="H199" s="183" t="s">
        <v>181</v>
      </c>
      <c r="I199" s="184">
        <v>0</v>
      </c>
      <c r="J199" s="65"/>
      <c r="K199" s="71">
        <v>386034.41</v>
      </c>
      <c r="L199" s="185"/>
      <c r="M199" s="73">
        <v>181290</v>
      </c>
      <c r="N199" s="73"/>
      <c r="O199" s="198">
        <f t="shared" si="40"/>
        <v>204744</v>
      </c>
      <c r="P199" s="73"/>
      <c r="Q199" s="57">
        <f t="shared" si="41"/>
        <v>8901.9130434782601</v>
      </c>
      <c r="S199" s="74">
        <f t="shared" si="42"/>
        <v>2.3059895213689008</v>
      </c>
      <c r="U199" s="186">
        <f t="shared" si="43"/>
        <v>23</v>
      </c>
      <c r="V199" s="181"/>
      <c r="W199" s="301">
        <v>21.730940834141609</v>
      </c>
      <c r="Y199" s="303">
        <v>5</v>
      </c>
      <c r="AA199" s="301">
        <f t="shared" si="44"/>
        <v>26.730940834141609</v>
      </c>
    </row>
    <row r="200" spans="1:27" s="19" customFormat="1">
      <c r="A200" s="64"/>
      <c r="B200" s="65"/>
      <c r="C200" s="70" t="s">
        <v>94</v>
      </c>
      <c r="D200" s="65"/>
      <c r="E200" s="182">
        <v>2042</v>
      </c>
      <c r="F200" s="65"/>
      <c r="G200" s="183" t="s">
        <v>192</v>
      </c>
      <c r="H200" s="183" t="s">
        <v>181</v>
      </c>
      <c r="I200" s="184">
        <v>0</v>
      </c>
      <c r="J200" s="65"/>
      <c r="K200" s="71">
        <v>386034.41</v>
      </c>
      <c r="L200" s="185"/>
      <c r="M200" s="73">
        <v>179389</v>
      </c>
      <c r="N200" s="73"/>
      <c r="O200" s="198">
        <f t="shared" si="40"/>
        <v>206645</v>
      </c>
      <c r="P200" s="73"/>
      <c r="Q200" s="57">
        <f t="shared" si="41"/>
        <v>8984.565217391304</v>
      </c>
      <c r="S200" s="74">
        <f t="shared" si="42"/>
        <v>2.3274000930101812</v>
      </c>
      <c r="U200" s="186">
        <f t="shared" si="43"/>
        <v>23</v>
      </c>
      <c r="V200" s="181"/>
      <c r="W200" s="301">
        <v>21.729851894595114</v>
      </c>
      <c r="Y200" s="303">
        <v>5</v>
      </c>
      <c r="AA200" s="301">
        <f t="shared" si="44"/>
        <v>26.729851894595114</v>
      </c>
    </row>
    <row r="201" spans="1:27" s="19" customFormat="1">
      <c r="A201" s="64"/>
      <c r="B201" s="65"/>
      <c r="C201" s="70" t="s">
        <v>95</v>
      </c>
      <c r="D201" s="65"/>
      <c r="E201" s="182">
        <v>2042</v>
      </c>
      <c r="F201" s="65"/>
      <c r="G201" s="183" t="s">
        <v>192</v>
      </c>
      <c r="H201" s="183" t="s">
        <v>181</v>
      </c>
      <c r="I201" s="184">
        <v>0</v>
      </c>
      <c r="J201" s="65"/>
      <c r="K201" s="71">
        <v>386034.41</v>
      </c>
      <c r="L201" s="185"/>
      <c r="M201" s="73">
        <v>181275</v>
      </c>
      <c r="N201" s="73"/>
      <c r="O201" s="198">
        <f t="shared" si="40"/>
        <v>204759</v>
      </c>
      <c r="P201" s="73"/>
      <c r="Q201" s="57">
        <f t="shared" si="41"/>
        <v>8902.565217391304</v>
      </c>
      <c r="S201" s="74">
        <f t="shared" si="42"/>
        <v>2.3061584632808523</v>
      </c>
      <c r="U201" s="186">
        <f t="shared" si="43"/>
        <v>23</v>
      </c>
      <c r="V201" s="181"/>
      <c r="W201" s="301">
        <v>21.730288041897005</v>
      </c>
      <c r="Y201" s="303">
        <v>5</v>
      </c>
      <c r="AA201" s="301">
        <f t="shared" si="44"/>
        <v>26.730288041897005</v>
      </c>
    </row>
    <row r="202" spans="1:27" s="19" customFormat="1">
      <c r="A202" s="64"/>
      <c r="B202" s="65"/>
      <c r="C202" s="70" t="s">
        <v>96</v>
      </c>
      <c r="D202" s="65"/>
      <c r="E202" s="182">
        <v>2042</v>
      </c>
      <c r="F202" s="65"/>
      <c r="G202" s="183" t="s">
        <v>192</v>
      </c>
      <c r="H202" s="183" t="s">
        <v>181</v>
      </c>
      <c r="I202" s="184">
        <v>0</v>
      </c>
      <c r="J202" s="65"/>
      <c r="K202" s="75">
        <v>779800</v>
      </c>
      <c r="L202" s="185"/>
      <c r="M202" s="77">
        <v>67669</v>
      </c>
      <c r="N202" s="73"/>
      <c r="O202" s="205">
        <f t="shared" si="40"/>
        <v>712131</v>
      </c>
      <c r="P202" s="73"/>
      <c r="Q202" s="62">
        <f t="shared" si="41"/>
        <v>30962.217391304348</v>
      </c>
      <c r="S202" s="74">
        <f t="shared" si="42"/>
        <v>3.9705331355866056</v>
      </c>
      <c r="U202" s="186">
        <f t="shared" si="43"/>
        <v>23</v>
      </c>
      <c r="V202" s="181"/>
      <c r="W202" s="301">
        <v>21.839855600048537</v>
      </c>
      <c r="Y202" s="303"/>
      <c r="AA202" s="301">
        <f t="shared" si="44"/>
        <v>21.839855600048537</v>
      </c>
    </row>
    <row r="203" spans="1:27" s="19" customFormat="1">
      <c r="A203" s="64"/>
      <c r="B203" s="65"/>
      <c r="C203" s="78"/>
      <c r="D203" s="65"/>
      <c r="E203" s="65"/>
      <c r="F203" s="65"/>
      <c r="G203" s="183"/>
      <c r="H203" s="183"/>
      <c r="I203" s="184"/>
      <c r="J203" s="65"/>
      <c r="K203" s="71"/>
      <c r="L203" s="185"/>
      <c r="M203" s="73"/>
      <c r="N203" s="73"/>
      <c r="O203" s="73"/>
      <c r="P203" s="73"/>
      <c r="Q203" s="73"/>
      <c r="S203" s="74"/>
      <c r="U203" s="186"/>
      <c r="V203" s="181"/>
      <c r="W203" s="301"/>
      <c r="AA203" s="301"/>
    </row>
    <row r="204" spans="1:27" s="19" customFormat="1">
      <c r="A204" s="64"/>
      <c r="B204" s="65"/>
      <c r="C204" s="78" t="s">
        <v>72</v>
      </c>
      <c r="D204" s="65"/>
      <c r="E204" s="65"/>
      <c r="F204" s="65"/>
      <c r="G204" s="183"/>
      <c r="H204" s="183"/>
      <c r="I204" s="184"/>
      <c r="J204" s="65"/>
      <c r="K204" s="71">
        <f>SUBTOTAL(9,K183:K203)</f>
        <v>38288055.68999999</v>
      </c>
      <c r="L204" s="185"/>
      <c r="M204" s="73">
        <f>SUBTOTAL(9,M183:M203)</f>
        <v>13327592</v>
      </c>
      <c r="N204" s="73"/>
      <c r="O204" s="73">
        <f>SUBTOTAL(9,O183:O203)</f>
        <v>24960463</v>
      </c>
      <c r="P204" s="73"/>
      <c r="Q204" s="73">
        <f>SUBTOTAL(9,Q183:Q203)</f>
        <v>926192.22387239255</v>
      </c>
      <c r="S204" s="74">
        <f>+ROUND(Q204/K204*100,2)</f>
        <v>2.42</v>
      </c>
      <c r="U204" s="186"/>
      <c r="V204" s="181"/>
      <c r="W204" s="301"/>
      <c r="AA204" s="301"/>
    </row>
    <row r="205" spans="1:27" s="19" customFormat="1">
      <c r="A205" s="64"/>
      <c r="B205" s="65"/>
      <c r="C205" s="78"/>
      <c r="D205" s="65"/>
      <c r="E205" s="65"/>
      <c r="F205" s="65"/>
      <c r="G205" s="183"/>
      <c r="H205" s="183"/>
      <c r="I205" s="184"/>
      <c r="J205" s="65"/>
      <c r="K205" s="71"/>
      <c r="L205" s="185"/>
      <c r="M205" s="73"/>
      <c r="N205" s="73"/>
      <c r="O205" s="73"/>
      <c r="P205" s="73"/>
      <c r="Q205" s="73"/>
      <c r="S205" s="74"/>
      <c r="U205" s="186"/>
      <c r="V205" s="181"/>
      <c r="W205" s="301"/>
      <c r="AA205" s="301"/>
    </row>
    <row r="206" spans="1:27" s="19" customFormat="1">
      <c r="A206" s="64">
        <v>346</v>
      </c>
      <c r="B206" s="65"/>
      <c r="C206" s="65" t="s">
        <v>73</v>
      </c>
      <c r="D206" s="65"/>
      <c r="E206" s="65"/>
      <c r="F206" s="65"/>
      <c r="G206" s="65"/>
      <c r="H206" s="65"/>
      <c r="I206" s="179"/>
      <c r="J206" s="65"/>
      <c r="K206" s="65"/>
      <c r="L206" s="65"/>
      <c r="M206" s="67"/>
      <c r="N206" s="67"/>
      <c r="O206" s="67"/>
      <c r="P206" s="67"/>
      <c r="Q206" s="67"/>
      <c r="S206" s="68"/>
      <c r="U206" s="180"/>
      <c r="V206" s="181"/>
      <c r="W206" s="301"/>
      <c r="AA206" s="301"/>
    </row>
    <row r="207" spans="1:27" s="19" customFormat="1">
      <c r="A207" s="64"/>
      <c r="B207" s="65"/>
      <c r="C207" s="70" t="s">
        <v>77</v>
      </c>
      <c r="D207" s="65"/>
      <c r="E207" s="182">
        <v>2050</v>
      </c>
      <c r="F207" s="65"/>
      <c r="G207" s="183" t="s">
        <v>193</v>
      </c>
      <c r="H207" s="183" t="s">
        <v>181</v>
      </c>
      <c r="I207" s="184">
        <v>0</v>
      </c>
      <c r="J207" s="65"/>
      <c r="K207" s="71">
        <v>15528635.619999999</v>
      </c>
      <c r="L207" s="185"/>
      <c r="M207" s="73">
        <v>4517088</v>
      </c>
      <c r="N207" s="73"/>
      <c r="O207" s="198">
        <f t="shared" ref="O207:O212" si="45">ROUND((K207+(K207*-(I207/100)))-M207,0)</f>
        <v>11011548</v>
      </c>
      <c r="P207" s="73"/>
      <c r="Q207" s="57">
        <f t="shared" ref="Q207:Q212" si="46">O207/U207</f>
        <v>355211.22580645164</v>
      </c>
      <c r="S207" s="74">
        <f t="shared" ref="S207:S212" si="47">Q207/K207*100</f>
        <v>2.2874593396277505</v>
      </c>
      <c r="U207" s="186">
        <f t="shared" ref="U207:U212" si="48">E207-2019</f>
        <v>31</v>
      </c>
      <c r="V207" s="181"/>
      <c r="W207" s="301">
        <v>26.0893443684975</v>
      </c>
      <c r="Y207" s="303">
        <v>5</v>
      </c>
      <c r="AA207" s="301">
        <f t="shared" ref="AA207:AA212" si="49">W207+Y207</f>
        <v>31.0893443684975</v>
      </c>
    </row>
    <row r="208" spans="1:27" s="19" customFormat="1">
      <c r="A208" s="64"/>
      <c r="B208" s="65"/>
      <c r="C208" s="70" t="s">
        <v>87</v>
      </c>
      <c r="D208" s="65"/>
      <c r="E208" s="182">
        <v>2038</v>
      </c>
      <c r="F208" s="65"/>
      <c r="G208" s="183" t="s">
        <v>193</v>
      </c>
      <c r="H208" s="183" t="s">
        <v>181</v>
      </c>
      <c r="I208" s="184">
        <v>0</v>
      </c>
      <c r="J208" s="65"/>
      <c r="K208" s="71">
        <v>91253.04</v>
      </c>
      <c r="L208" s="185"/>
      <c r="M208" s="73">
        <v>39954</v>
      </c>
      <c r="N208" s="73"/>
      <c r="O208" s="198">
        <f t="shared" si="45"/>
        <v>51299</v>
      </c>
      <c r="P208" s="73"/>
      <c r="Q208" s="57">
        <f t="shared" si="46"/>
        <v>2699.9473684210525</v>
      </c>
      <c r="S208" s="74">
        <f t="shared" si="47"/>
        <v>2.9587478602587409</v>
      </c>
      <c r="U208" s="186">
        <f t="shared" si="48"/>
        <v>19</v>
      </c>
      <c r="V208" s="181"/>
      <c r="W208" s="301">
        <v>16.63243581715717</v>
      </c>
      <c r="Y208" s="303"/>
      <c r="AA208" s="301">
        <f t="shared" si="49"/>
        <v>16.63243581715717</v>
      </c>
    </row>
    <row r="209" spans="1:27" s="19" customFormat="1">
      <c r="A209" s="64"/>
      <c r="B209" s="65"/>
      <c r="C209" s="70" t="s">
        <v>88</v>
      </c>
      <c r="D209" s="65"/>
      <c r="E209" s="182">
        <v>2038</v>
      </c>
      <c r="F209" s="65"/>
      <c r="G209" s="183" t="s">
        <v>193</v>
      </c>
      <c r="H209" s="183" t="s">
        <v>181</v>
      </c>
      <c r="I209" s="184">
        <v>0</v>
      </c>
      <c r="J209" s="65"/>
      <c r="K209" s="71">
        <v>103431.55</v>
      </c>
      <c r="L209" s="185"/>
      <c r="M209" s="73">
        <v>23594</v>
      </c>
      <c r="N209" s="73"/>
      <c r="O209" s="198">
        <f t="shared" si="45"/>
        <v>79838</v>
      </c>
      <c r="P209" s="73"/>
      <c r="Q209" s="57">
        <f t="shared" si="46"/>
        <v>4202</v>
      </c>
      <c r="S209" s="74">
        <f t="shared" si="47"/>
        <v>4.0625901864566467</v>
      </c>
      <c r="U209" s="186">
        <f t="shared" si="48"/>
        <v>19</v>
      </c>
      <c r="V209" s="181"/>
      <c r="W209" s="301">
        <v>17.981558726673985</v>
      </c>
      <c r="Y209" s="303"/>
      <c r="AA209" s="301">
        <f t="shared" si="49"/>
        <v>17.981558726673985</v>
      </c>
    </row>
    <row r="210" spans="1:27" s="19" customFormat="1">
      <c r="A210" s="64"/>
      <c r="B210" s="65"/>
      <c r="C210" s="70" t="s">
        <v>89</v>
      </c>
      <c r="D210" s="65"/>
      <c r="E210" s="182">
        <v>2038</v>
      </c>
      <c r="F210" s="65"/>
      <c r="G210" s="183" t="s">
        <v>193</v>
      </c>
      <c r="H210" s="183" t="s">
        <v>181</v>
      </c>
      <c r="I210" s="184">
        <v>0</v>
      </c>
      <c r="J210" s="65"/>
      <c r="K210" s="71">
        <v>60998.54</v>
      </c>
      <c r="L210" s="185"/>
      <c r="M210" s="73">
        <v>27965</v>
      </c>
      <c r="N210" s="73"/>
      <c r="O210" s="198">
        <f t="shared" si="45"/>
        <v>33034</v>
      </c>
      <c r="P210" s="73"/>
      <c r="Q210" s="57">
        <f t="shared" si="46"/>
        <v>1738.6315789473683</v>
      </c>
      <c r="S210" s="74">
        <f t="shared" si="47"/>
        <v>2.8502839231026975</v>
      </c>
      <c r="U210" s="186">
        <f t="shared" si="48"/>
        <v>19</v>
      </c>
      <c r="V210" s="181"/>
      <c r="W210" s="301">
        <v>16.373804971319313</v>
      </c>
      <c r="Y210" s="303"/>
      <c r="AA210" s="301">
        <f t="shared" si="49"/>
        <v>16.373804971319313</v>
      </c>
    </row>
    <row r="211" spans="1:27" s="19" customFormat="1">
      <c r="A211" s="64"/>
      <c r="B211" s="65"/>
      <c r="C211" s="70" t="s">
        <v>90</v>
      </c>
      <c r="D211" s="65"/>
      <c r="E211" s="182">
        <v>2041</v>
      </c>
      <c r="F211" s="65"/>
      <c r="G211" s="183" t="s">
        <v>193</v>
      </c>
      <c r="H211" s="183" t="s">
        <v>181</v>
      </c>
      <c r="I211" s="184">
        <v>0</v>
      </c>
      <c r="J211" s="65"/>
      <c r="K211" s="71">
        <v>63896.29</v>
      </c>
      <c r="L211" s="185"/>
      <c r="M211" s="73">
        <v>24158</v>
      </c>
      <c r="N211" s="73"/>
      <c r="O211" s="198">
        <f t="shared" si="45"/>
        <v>39738</v>
      </c>
      <c r="P211" s="73"/>
      <c r="Q211" s="57">
        <f t="shared" si="46"/>
        <v>1806.2727272727273</v>
      </c>
      <c r="S211" s="74">
        <f t="shared" si="47"/>
        <v>2.8268820103212988</v>
      </c>
      <c r="U211" s="186">
        <f t="shared" si="48"/>
        <v>22</v>
      </c>
      <c r="V211" s="181"/>
      <c r="W211" s="301">
        <v>19.211241217798595</v>
      </c>
      <c r="Y211" s="303"/>
      <c r="AA211" s="301">
        <f t="shared" si="49"/>
        <v>19.211241217798595</v>
      </c>
    </row>
    <row r="212" spans="1:27" s="19" customFormat="1">
      <c r="A212" s="64"/>
      <c r="B212" s="65"/>
      <c r="C212" s="70" t="s">
        <v>91</v>
      </c>
      <c r="D212" s="65"/>
      <c r="E212" s="182">
        <v>2042</v>
      </c>
      <c r="F212" s="65"/>
      <c r="G212" s="183" t="s">
        <v>193</v>
      </c>
      <c r="H212" s="183" t="s">
        <v>181</v>
      </c>
      <c r="I212" s="184">
        <v>0</v>
      </c>
      <c r="J212" s="65"/>
      <c r="K212" s="75">
        <v>141993.37</v>
      </c>
      <c r="L212" s="185"/>
      <c r="M212" s="77">
        <v>29284</v>
      </c>
      <c r="N212" s="73"/>
      <c r="O212" s="205">
        <f t="shared" si="45"/>
        <v>112709</v>
      </c>
      <c r="P212" s="73"/>
      <c r="Q212" s="62">
        <f t="shared" si="46"/>
        <v>4900.391304347826</v>
      </c>
      <c r="S212" s="74">
        <f t="shared" si="47"/>
        <v>3.4511409260501571</v>
      </c>
      <c r="U212" s="186">
        <f t="shared" si="48"/>
        <v>23</v>
      </c>
      <c r="V212" s="181"/>
      <c r="W212" s="301">
        <v>21.405891070766952</v>
      </c>
      <c r="Y212" s="303"/>
      <c r="AA212" s="301">
        <f t="shared" si="49"/>
        <v>21.405891070766952</v>
      </c>
    </row>
    <row r="213" spans="1:27" s="19" customFormat="1">
      <c r="A213" s="64"/>
      <c r="B213" s="65"/>
      <c r="C213" s="78"/>
      <c r="D213" s="65"/>
      <c r="E213" s="65"/>
      <c r="F213" s="65"/>
      <c r="G213" s="183"/>
      <c r="H213" s="183"/>
      <c r="I213" s="184"/>
      <c r="J213" s="65"/>
      <c r="K213" s="71"/>
      <c r="L213" s="185"/>
      <c r="M213" s="73"/>
      <c r="N213" s="73"/>
      <c r="O213" s="73"/>
      <c r="P213" s="73"/>
      <c r="Q213" s="73"/>
      <c r="S213" s="74"/>
      <c r="U213" s="186"/>
      <c r="V213" s="181"/>
      <c r="W213" s="301"/>
      <c r="AA213" s="301"/>
    </row>
    <row r="214" spans="1:27" s="19" customFormat="1">
      <c r="A214" s="64"/>
      <c r="B214" s="65"/>
      <c r="C214" s="78" t="s">
        <v>74</v>
      </c>
      <c r="D214" s="65"/>
      <c r="E214" s="65"/>
      <c r="F214" s="65"/>
      <c r="G214" s="183"/>
      <c r="H214" s="183"/>
      <c r="I214" s="184"/>
      <c r="J214" s="65"/>
      <c r="K214" s="75">
        <f>SUBTOTAL(9,K207:K213)</f>
        <v>15990208.409999996</v>
      </c>
      <c r="L214" s="185"/>
      <c r="M214" s="77">
        <f>SUBTOTAL(9,M207:M213)</f>
        <v>4662043</v>
      </c>
      <c r="N214" s="73"/>
      <c r="O214" s="77">
        <f>SUBTOTAL(9,O207:O213)</f>
        <v>11328166</v>
      </c>
      <c r="P214" s="73"/>
      <c r="Q214" s="77">
        <f>SUBTOTAL(9,Q207:Q213)</f>
        <v>370558.46878544061</v>
      </c>
      <c r="S214" s="74">
        <f>+ROUND(Q214/K214*100,2)</f>
        <v>2.3199999999999998</v>
      </c>
      <c r="U214" s="186"/>
      <c r="V214" s="181"/>
      <c r="W214" s="301"/>
      <c r="AA214" s="301"/>
    </row>
    <row r="215" spans="1:27" ht="15.75">
      <c r="A215" s="23"/>
      <c r="C215" s="79"/>
      <c r="K215" s="71"/>
      <c r="L215" s="185"/>
      <c r="M215" s="73"/>
      <c r="N215" s="73"/>
      <c r="O215" s="73"/>
      <c r="P215" s="73"/>
      <c r="Q215" s="73"/>
      <c r="S215" s="49"/>
      <c r="U215" s="176"/>
      <c r="V215" s="23"/>
      <c r="W215" s="302"/>
      <c r="AA215" s="302"/>
    </row>
    <row r="216" spans="1:27" ht="15.75">
      <c r="A216" s="80"/>
      <c r="C216" s="81" t="s">
        <v>104</v>
      </c>
      <c r="G216" s="187"/>
      <c r="H216" s="187"/>
      <c r="I216" s="188"/>
      <c r="K216" s="118">
        <f>SUBTOTAL(9,K99:K215)</f>
        <v>639379853.02999985</v>
      </c>
      <c r="L216" s="93"/>
      <c r="M216" s="120">
        <f>SUBTOTAL(9,M99:M215)</f>
        <v>251804012.10000002</v>
      </c>
      <c r="N216" s="120"/>
      <c r="O216" s="120">
        <f>SUBTOTAL(9,O99:O215)</f>
        <v>387575843</v>
      </c>
      <c r="P216" s="120"/>
      <c r="Q216" s="120">
        <f>SUBTOTAL(9,Q99:Q215)</f>
        <v>15796680.353175122</v>
      </c>
      <c r="S216" s="84">
        <f>+ROUND(Q216/K216*100,2)</f>
        <v>2.4700000000000002</v>
      </c>
      <c r="T216" s="93"/>
      <c r="U216" s="189"/>
      <c r="V216" s="23"/>
      <c r="W216" s="302"/>
      <c r="AA216" s="302"/>
    </row>
    <row r="217" spans="1:27" s="19" customFormat="1">
      <c r="A217" s="85"/>
      <c r="C217" s="86"/>
      <c r="G217" s="187"/>
      <c r="H217" s="187"/>
      <c r="I217" s="188"/>
      <c r="K217" s="87"/>
      <c r="M217" s="89"/>
      <c r="N217" s="89"/>
      <c r="O217" s="89"/>
      <c r="P217" s="89"/>
      <c r="Q217" s="89"/>
      <c r="S217" s="74"/>
      <c r="U217" s="186"/>
      <c r="V217" s="181"/>
      <c r="W217" s="301"/>
      <c r="AA217" s="301"/>
    </row>
    <row r="218" spans="1:27" ht="15.75">
      <c r="A218" s="80"/>
      <c r="C218" s="24" t="s">
        <v>105</v>
      </c>
      <c r="G218" s="25"/>
      <c r="I218" s="188"/>
      <c r="K218" s="87"/>
      <c r="M218" s="46"/>
      <c r="N218" s="46"/>
      <c r="O218" s="46"/>
      <c r="P218" s="46"/>
      <c r="Q218" s="46"/>
      <c r="S218" s="49"/>
      <c r="U218" s="176"/>
      <c r="V218" s="23"/>
      <c r="W218" s="302"/>
      <c r="AA218" s="302"/>
    </row>
    <row r="219" spans="1:27" ht="15.75">
      <c r="A219" s="80"/>
      <c r="C219" s="48"/>
      <c r="G219" s="25"/>
      <c r="I219" s="188"/>
      <c r="K219" s="87"/>
      <c r="M219" s="46"/>
      <c r="N219" s="46"/>
      <c r="O219" s="46"/>
      <c r="P219" s="46"/>
      <c r="Q219" s="46"/>
      <c r="S219" s="49"/>
      <c r="U219" s="176"/>
      <c r="V219" s="23"/>
      <c r="W219" s="302"/>
      <c r="AA219" s="302"/>
    </row>
    <row r="220" spans="1:27">
      <c r="A220" s="80">
        <v>353</v>
      </c>
      <c r="C220" s="18" t="s">
        <v>106</v>
      </c>
      <c r="E220" s="182"/>
      <c r="G220" s="183" t="s">
        <v>194</v>
      </c>
      <c r="H220" s="183" t="s">
        <v>178</v>
      </c>
      <c r="I220" s="184">
        <v>-25</v>
      </c>
      <c r="J220" s="65"/>
      <c r="K220" s="71">
        <v>269766938.30000001</v>
      </c>
      <c r="L220" s="185"/>
      <c r="M220" s="73">
        <v>66231238.189999998</v>
      </c>
      <c r="N220" s="73"/>
      <c r="O220" s="198">
        <f t="shared" ref="O220:O225" si="50">ROUND((K220+(K220*-(I220/100)))-M220,0)</f>
        <v>270977435</v>
      </c>
      <c r="P220" s="73"/>
      <c r="Q220" s="57">
        <f t="shared" ref="Q220:Q225" si="51">O220/U220</f>
        <v>5872454</v>
      </c>
      <c r="R220" s="19"/>
      <c r="S220" s="74">
        <f t="shared" ref="S220:S225" si="52">Q220/K220*100</f>
        <v>2.1768620117078297</v>
      </c>
      <c r="T220" s="19"/>
      <c r="U220" s="186">
        <f t="shared" ref="U220:U225" si="53">AA220</f>
        <v>46.143815685912564</v>
      </c>
      <c r="V220" s="23"/>
      <c r="W220" s="301">
        <v>46.143815685912564</v>
      </c>
      <c r="Y220" s="303"/>
      <c r="AA220" s="301">
        <f t="shared" ref="AA220:AA225" si="54">W220+Y220</f>
        <v>46.143815685912564</v>
      </c>
    </row>
    <row r="221" spans="1:27">
      <c r="A221" s="80">
        <v>353.1</v>
      </c>
      <c r="C221" s="19" t="s">
        <v>195</v>
      </c>
      <c r="E221" s="182"/>
      <c r="G221" s="183" t="s">
        <v>196</v>
      </c>
      <c r="H221" s="183" t="s">
        <v>178</v>
      </c>
      <c r="I221" s="184">
        <v>-10</v>
      </c>
      <c r="J221" s="65"/>
      <c r="K221" s="71">
        <v>9476611.1600000001</v>
      </c>
      <c r="L221" s="185"/>
      <c r="M221" s="73">
        <v>6039041</v>
      </c>
      <c r="N221" s="73"/>
      <c r="O221" s="198">
        <f t="shared" si="50"/>
        <v>4385231</v>
      </c>
      <c r="P221" s="73"/>
      <c r="Q221" s="57">
        <f t="shared" si="51"/>
        <v>598296</v>
      </c>
      <c r="R221" s="19"/>
      <c r="S221" s="74">
        <f t="shared" si="52"/>
        <v>6.3133961064621751</v>
      </c>
      <c r="T221" s="19"/>
      <c r="U221" s="186">
        <f t="shared" si="53"/>
        <v>7.3295342104911283</v>
      </c>
      <c r="V221" s="23"/>
      <c r="W221" s="301">
        <v>7.3295342104911283</v>
      </c>
      <c r="Y221" s="303"/>
      <c r="AA221" s="301">
        <f t="shared" si="54"/>
        <v>7.3295342104911283</v>
      </c>
    </row>
    <row r="222" spans="1:27">
      <c r="A222" s="80">
        <v>354</v>
      </c>
      <c r="C222" s="18" t="s">
        <v>108</v>
      </c>
      <c r="E222" s="182"/>
      <c r="G222" s="183" t="s">
        <v>197</v>
      </c>
      <c r="H222" s="183" t="s">
        <v>178</v>
      </c>
      <c r="I222" s="184">
        <v>0</v>
      </c>
      <c r="J222" s="65"/>
      <c r="K222" s="71">
        <v>3853520.91</v>
      </c>
      <c r="L222" s="185"/>
      <c r="M222" s="73">
        <v>1918285</v>
      </c>
      <c r="N222" s="73"/>
      <c r="O222" s="198">
        <f t="shared" si="50"/>
        <v>1935236</v>
      </c>
      <c r="P222" s="73"/>
      <c r="Q222" s="57">
        <f t="shared" si="51"/>
        <v>63799</v>
      </c>
      <c r="R222" s="19"/>
      <c r="S222" s="74">
        <f t="shared" si="52"/>
        <v>1.6556027978060199</v>
      </c>
      <c r="T222" s="19"/>
      <c r="U222" s="186">
        <f t="shared" si="53"/>
        <v>30.333328108591044</v>
      </c>
      <c r="V222" s="23"/>
      <c r="W222" s="301">
        <v>30.333328108591044</v>
      </c>
      <c r="Y222" s="303"/>
      <c r="AA222" s="301">
        <f t="shared" si="54"/>
        <v>30.333328108591044</v>
      </c>
    </row>
    <row r="223" spans="1:27">
      <c r="A223" s="80">
        <v>355</v>
      </c>
      <c r="C223" s="18" t="s">
        <v>109</v>
      </c>
      <c r="E223" s="182"/>
      <c r="G223" s="183" t="s">
        <v>198</v>
      </c>
      <c r="H223" s="183" t="s">
        <v>178</v>
      </c>
      <c r="I223" s="184">
        <v>-60</v>
      </c>
      <c r="J223" s="65"/>
      <c r="K223" s="71">
        <v>166166560.00999999</v>
      </c>
      <c r="L223" s="185"/>
      <c r="M223" s="73">
        <v>59294869</v>
      </c>
      <c r="N223" s="73"/>
      <c r="O223" s="198">
        <f t="shared" si="50"/>
        <v>206571627</v>
      </c>
      <c r="P223" s="73"/>
      <c r="Q223" s="57">
        <f t="shared" si="51"/>
        <v>4693496</v>
      </c>
      <c r="R223" s="19"/>
      <c r="S223" s="74">
        <f t="shared" si="52"/>
        <v>2.8245731269381418</v>
      </c>
      <c r="T223" s="19"/>
      <c r="U223" s="186">
        <f t="shared" si="53"/>
        <v>44.012315553267754</v>
      </c>
      <c r="V223" s="23"/>
      <c r="W223" s="301">
        <v>44.012315553267754</v>
      </c>
      <c r="Y223" s="303"/>
      <c r="AA223" s="301">
        <f t="shared" si="54"/>
        <v>44.012315553267754</v>
      </c>
    </row>
    <row r="224" spans="1:27">
      <c r="A224" s="80">
        <v>356</v>
      </c>
      <c r="C224" s="18" t="s">
        <v>110</v>
      </c>
      <c r="E224" s="182"/>
      <c r="G224" s="183" t="s">
        <v>185</v>
      </c>
      <c r="H224" s="183" t="s">
        <v>178</v>
      </c>
      <c r="I224" s="184">
        <v>-60</v>
      </c>
      <c r="J224" s="65"/>
      <c r="K224" s="71">
        <v>139611652.81999999</v>
      </c>
      <c r="L224" s="185"/>
      <c r="M224" s="73">
        <v>63120142</v>
      </c>
      <c r="N224" s="73"/>
      <c r="O224" s="198">
        <f t="shared" si="50"/>
        <v>160258503</v>
      </c>
      <c r="P224" s="73"/>
      <c r="Q224" s="57">
        <f t="shared" si="51"/>
        <v>4043353.0000000005</v>
      </c>
      <c r="R224" s="19"/>
      <c r="S224" s="74">
        <f t="shared" si="52"/>
        <v>2.8961429209731206</v>
      </c>
      <c r="T224" s="19"/>
      <c r="U224" s="186">
        <f t="shared" si="53"/>
        <v>39.635051156799811</v>
      </c>
      <c r="V224" s="23"/>
      <c r="W224" s="301">
        <v>39.635051156799811</v>
      </c>
      <c r="Y224" s="303"/>
      <c r="AA224" s="301">
        <f t="shared" si="54"/>
        <v>39.635051156799811</v>
      </c>
    </row>
    <row r="225" spans="1:27">
      <c r="A225" s="80">
        <v>359</v>
      </c>
      <c r="C225" s="18" t="s">
        <v>111</v>
      </c>
      <c r="G225" s="183" t="s">
        <v>197</v>
      </c>
      <c r="H225" s="183" t="s">
        <v>178</v>
      </c>
      <c r="I225" s="184">
        <v>0</v>
      </c>
      <c r="J225" s="65"/>
      <c r="K225" s="71">
        <v>23287.65</v>
      </c>
      <c r="L225" s="185"/>
      <c r="M225" s="73">
        <v>15186</v>
      </c>
      <c r="N225" s="73"/>
      <c r="O225" s="198">
        <f t="shared" si="50"/>
        <v>8102</v>
      </c>
      <c r="P225" s="73"/>
      <c r="Q225" s="57">
        <f t="shared" si="51"/>
        <v>446</v>
      </c>
      <c r="R225" s="19"/>
      <c r="S225" s="74">
        <f t="shared" si="52"/>
        <v>1.9151782167801386</v>
      </c>
      <c r="T225" s="19"/>
      <c r="U225" s="186">
        <f t="shared" si="53"/>
        <v>18.165919282511211</v>
      </c>
      <c r="V225" s="23"/>
      <c r="W225" s="301">
        <v>18.165919282511211</v>
      </c>
      <c r="Y225" s="303"/>
      <c r="AA225" s="301">
        <f t="shared" si="54"/>
        <v>18.165919282511211</v>
      </c>
    </row>
    <row r="226" spans="1:27">
      <c r="A226" s="80"/>
      <c r="G226" s="25"/>
      <c r="I226" s="188"/>
      <c r="K226" s="90"/>
      <c r="M226" s="91"/>
      <c r="N226" s="46"/>
      <c r="O226" s="91"/>
      <c r="P226" s="46"/>
      <c r="Q226" s="91"/>
      <c r="S226" s="49"/>
      <c r="U226" s="176"/>
      <c r="V226" s="23"/>
      <c r="W226" s="302"/>
      <c r="AA226" s="302"/>
    </row>
    <row r="227" spans="1:27" ht="15.75">
      <c r="A227" s="80"/>
      <c r="C227" s="81" t="s">
        <v>112</v>
      </c>
      <c r="G227" s="28"/>
      <c r="H227" s="93"/>
      <c r="I227" s="158"/>
      <c r="J227" s="93"/>
      <c r="K227" s="118">
        <f>SUBTOTAL(9,K220:K226)</f>
        <v>588898570.85000002</v>
      </c>
      <c r="L227" s="93"/>
      <c r="M227" s="120">
        <f>SUBTOTAL(9,M220:M226)</f>
        <v>196618761.19</v>
      </c>
      <c r="N227" s="120"/>
      <c r="O227" s="120">
        <f>SUBTOTAL(9,O220:O226)</f>
        <v>644136134</v>
      </c>
      <c r="P227" s="120"/>
      <c r="Q227" s="120">
        <f>SUBTOTAL(9,Q220:Q226)</f>
        <v>15271844</v>
      </c>
      <c r="S227" s="84">
        <f>+ROUND(Q227/K227*100,2)</f>
        <v>2.59</v>
      </c>
      <c r="T227" s="93"/>
      <c r="U227" s="189"/>
      <c r="V227" s="23"/>
      <c r="W227" s="302"/>
      <c r="AA227" s="302"/>
    </row>
    <row r="228" spans="1:27">
      <c r="A228" s="80"/>
      <c r="G228" s="25"/>
      <c r="I228" s="188"/>
      <c r="K228" s="87"/>
      <c r="M228" s="46"/>
      <c r="N228" s="46"/>
      <c r="O228" s="46"/>
      <c r="P228" s="46"/>
      <c r="Q228" s="46"/>
      <c r="S228" s="49"/>
      <c r="U228" s="176"/>
      <c r="V228" s="23"/>
      <c r="W228" s="302"/>
      <c r="AA228" s="302"/>
    </row>
    <row r="229" spans="1:27" ht="15.75">
      <c r="A229" s="80"/>
      <c r="B229" s="23"/>
      <c r="C229" s="24" t="s">
        <v>113</v>
      </c>
      <c r="D229" s="23"/>
      <c r="E229" s="23"/>
      <c r="F229" s="23"/>
      <c r="G229" s="25"/>
      <c r="H229" s="23"/>
      <c r="I229" s="188"/>
      <c r="J229" s="23"/>
      <c r="K229" s="87"/>
      <c r="L229" s="23"/>
      <c r="M229" s="46"/>
      <c r="N229" s="46"/>
      <c r="O229" s="46"/>
      <c r="P229" s="46"/>
      <c r="Q229" s="46"/>
      <c r="R229" s="23"/>
      <c r="S229" s="49"/>
      <c r="T229" s="23"/>
      <c r="U229" s="176"/>
      <c r="V229" s="23"/>
      <c r="W229" s="302"/>
      <c r="AA229" s="302"/>
    </row>
    <row r="230" spans="1:27" ht="15.75">
      <c r="A230" s="80"/>
      <c r="C230" s="48"/>
      <c r="G230" s="25"/>
      <c r="I230" s="188"/>
      <c r="K230" s="87"/>
      <c r="M230" s="46"/>
      <c r="N230" s="46"/>
      <c r="O230" s="46"/>
      <c r="P230" s="46"/>
      <c r="Q230" s="46"/>
      <c r="S230" s="49"/>
      <c r="U230" s="176"/>
      <c r="V230" s="23"/>
      <c r="W230" s="302"/>
      <c r="AA230" s="302"/>
    </row>
    <row r="231" spans="1:27">
      <c r="A231" s="80">
        <v>362</v>
      </c>
      <c r="C231" s="18" t="s">
        <v>106</v>
      </c>
      <c r="G231" s="183" t="s">
        <v>199</v>
      </c>
      <c r="H231" s="183" t="s">
        <v>178</v>
      </c>
      <c r="I231" s="184">
        <v>-10</v>
      </c>
      <c r="J231" s="65"/>
      <c r="K231" s="71">
        <v>228725585.62</v>
      </c>
      <c r="L231" s="185"/>
      <c r="M231" s="73">
        <v>85293813.819999993</v>
      </c>
      <c r="N231" s="73"/>
      <c r="O231" s="198">
        <f>ROUND((K231+(K231*-(I231/100)))-M231,0)</f>
        <v>166304330</v>
      </c>
      <c r="P231" s="73"/>
      <c r="Q231" s="211">
        <f>O231/U231</f>
        <v>5817664</v>
      </c>
      <c r="R231" s="19"/>
      <c r="S231" s="344">
        <f>Q231/K231*100</f>
        <v>2.543512560796477</v>
      </c>
      <c r="T231" s="19"/>
      <c r="U231" s="186">
        <f>AA231</f>
        <v>28.586100881728473</v>
      </c>
      <c r="V231" s="23"/>
      <c r="W231" s="301">
        <v>28.586100881728473</v>
      </c>
      <c r="Y231" s="303"/>
      <c r="AA231" s="301">
        <f>W231+Y231</f>
        <v>28.586100881728473</v>
      </c>
    </row>
    <row r="232" spans="1:27">
      <c r="A232" s="80">
        <v>362.1</v>
      </c>
      <c r="C232" s="18" t="s">
        <v>114</v>
      </c>
      <c r="G232" s="183" t="s">
        <v>200</v>
      </c>
      <c r="H232" s="183" t="s">
        <v>178</v>
      </c>
      <c r="I232" s="184">
        <v>0</v>
      </c>
      <c r="J232" s="65"/>
      <c r="K232" s="71">
        <v>7252060.3200000003</v>
      </c>
      <c r="L232" s="185"/>
      <c r="M232" s="73">
        <v>3734264</v>
      </c>
      <c r="N232" s="73"/>
      <c r="O232" s="198">
        <f>ROUND((K232+(K232*-(I232/100)))-M232,0)</f>
        <v>3517796</v>
      </c>
      <c r="P232" s="73"/>
      <c r="Q232" s="211">
        <f>O232/U232</f>
        <v>138662</v>
      </c>
      <c r="R232" s="19"/>
      <c r="S232" s="344">
        <f>Q232/K232*100</f>
        <v>1.9120359440143211</v>
      </c>
      <c r="T232" s="19"/>
      <c r="U232" s="186">
        <f>AA232</f>
        <v>25.369574937618093</v>
      </c>
      <c r="V232" s="23"/>
      <c r="W232" s="301">
        <v>25.369574937618093</v>
      </c>
      <c r="Y232" s="303"/>
      <c r="AA232" s="301">
        <f>W232+Y232</f>
        <v>25.369574937618093</v>
      </c>
    </row>
    <row r="233" spans="1:27">
      <c r="A233" s="80">
        <v>368</v>
      </c>
      <c r="C233" s="18" t="s">
        <v>115</v>
      </c>
      <c r="G233" s="183" t="s">
        <v>191</v>
      </c>
      <c r="H233" s="183" t="s">
        <v>178</v>
      </c>
      <c r="I233" s="184">
        <v>0</v>
      </c>
      <c r="J233" s="65"/>
      <c r="K233" s="71">
        <v>2413995.98</v>
      </c>
      <c r="L233" s="185"/>
      <c r="M233" s="73">
        <v>1281788</v>
      </c>
      <c r="N233" s="73"/>
      <c r="O233" s="198">
        <f>ROUND((K233+(K233*-(I233/100)))-M233,0)</f>
        <v>1132208</v>
      </c>
      <c r="P233" s="73"/>
      <c r="Q233" s="62">
        <f>O233/U233</f>
        <v>26958</v>
      </c>
      <c r="R233" s="19"/>
      <c r="S233" s="344">
        <f>Q233/K233*100</f>
        <v>1.116737568055105</v>
      </c>
      <c r="T233" s="19"/>
      <c r="U233" s="186">
        <f>AA233</f>
        <v>41.998961347280954</v>
      </c>
      <c r="V233" s="23"/>
      <c r="W233" s="301">
        <v>41.998961347280954</v>
      </c>
      <c r="Y233" s="303"/>
      <c r="AA233" s="301">
        <f>W233+Y233</f>
        <v>41.998961347280954</v>
      </c>
    </row>
    <row r="234" spans="1:27">
      <c r="A234" s="80"/>
      <c r="G234" s="25"/>
      <c r="I234" s="188"/>
      <c r="K234" s="90"/>
      <c r="M234" s="91"/>
      <c r="N234" s="46"/>
      <c r="O234" s="91"/>
      <c r="P234" s="46"/>
      <c r="Q234" s="210"/>
      <c r="S234" s="49"/>
      <c r="U234" s="176"/>
      <c r="V234" s="23"/>
      <c r="W234" s="23"/>
      <c r="AA234" s="23"/>
    </row>
    <row r="235" spans="1:27" ht="15.75">
      <c r="A235" s="80"/>
      <c r="C235" s="81" t="s">
        <v>116</v>
      </c>
      <c r="G235" s="28"/>
      <c r="H235" s="93"/>
      <c r="I235" s="158"/>
      <c r="J235" s="93"/>
      <c r="K235" s="118">
        <f>SUBTOTAL(9,K231:K234)</f>
        <v>238391641.91999999</v>
      </c>
      <c r="L235" s="93"/>
      <c r="M235" s="120">
        <f>SUBTOTAL(9,M231:M234)</f>
        <v>90309865.819999993</v>
      </c>
      <c r="N235" s="120"/>
      <c r="O235" s="120">
        <f>SUBTOTAL(9,O231:O234)</f>
        <v>170954334</v>
      </c>
      <c r="P235" s="120"/>
      <c r="Q235" s="120">
        <f>SUBTOTAL(9,Q231:Q234)</f>
        <v>5983284</v>
      </c>
      <c r="R235" s="93"/>
      <c r="S235" s="84">
        <f>+ROUND(Q235/K235*100,2)</f>
        <v>2.5099999999999998</v>
      </c>
      <c r="T235" s="93"/>
      <c r="U235" s="189"/>
      <c r="V235" s="23"/>
      <c r="W235" s="23"/>
      <c r="AA235" s="23"/>
    </row>
    <row r="236" spans="1:27">
      <c r="A236" s="80"/>
      <c r="G236" s="25"/>
      <c r="I236" s="188"/>
      <c r="K236" s="87"/>
      <c r="M236" s="46"/>
      <c r="N236" s="46"/>
      <c r="O236" s="46"/>
      <c r="P236" s="46"/>
      <c r="Q236" s="46"/>
      <c r="S236" s="49"/>
      <c r="U236" s="176"/>
      <c r="V236" s="23"/>
      <c r="W236" s="23"/>
      <c r="AA236" s="23"/>
    </row>
    <row r="237" spans="1:27" ht="15.75">
      <c r="A237" s="80"/>
      <c r="C237" s="24" t="s">
        <v>117</v>
      </c>
      <c r="G237" s="25"/>
      <c r="I237" s="188"/>
      <c r="K237" s="87"/>
      <c r="M237" s="46"/>
      <c r="N237" s="46"/>
      <c r="O237" s="46"/>
      <c r="P237" s="46"/>
      <c r="Q237" s="46"/>
      <c r="S237" s="49"/>
      <c r="U237" s="176"/>
      <c r="V237" s="23"/>
      <c r="W237" s="23"/>
      <c r="AA237" s="23"/>
    </row>
    <row r="238" spans="1:27" ht="15.75">
      <c r="A238" s="80"/>
      <c r="C238" s="48"/>
      <c r="G238" s="25"/>
      <c r="I238" s="188"/>
      <c r="K238" s="87"/>
      <c r="M238" s="46"/>
      <c r="N238" s="46"/>
      <c r="O238" s="46"/>
      <c r="P238" s="46"/>
      <c r="Q238" s="46"/>
      <c r="S238" s="49"/>
      <c r="U238" s="176"/>
      <c r="V238" s="23"/>
      <c r="W238" s="23"/>
      <c r="AA238" s="23"/>
    </row>
    <row r="239" spans="1:27">
      <c r="A239" s="80">
        <v>390</v>
      </c>
      <c r="C239" s="86" t="s">
        <v>53</v>
      </c>
      <c r="G239" s="183" t="s">
        <v>201</v>
      </c>
      <c r="H239" s="183" t="s">
        <v>178</v>
      </c>
      <c r="I239" s="184">
        <v>0</v>
      </c>
      <c r="J239" s="65"/>
      <c r="K239" s="71">
        <v>17176820.18</v>
      </c>
      <c r="L239" s="185"/>
      <c r="M239" s="73">
        <v>9684841</v>
      </c>
      <c r="N239" s="73"/>
      <c r="O239" s="73">
        <v>7491979</v>
      </c>
      <c r="P239" s="73"/>
      <c r="Q239" s="73">
        <v>170358</v>
      </c>
      <c r="R239" s="19"/>
      <c r="S239" s="74">
        <v>0.99</v>
      </c>
      <c r="T239" s="19"/>
      <c r="U239" s="186">
        <v>44</v>
      </c>
      <c r="V239" s="23"/>
      <c r="W239" s="23"/>
      <c r="AA239" s="23"/>
    </row>
    <row r="240" spans="1:27">
      <c r="A240" s="80"/>
      <c r="C240" s="86"/>
      <c r="G240" s="183"/>
      <c r="H240" s="183"/>
      <c r="I240" s="184"/>
      <c r="J240" s="65"/>
      <c r="K240" s="71"/>
      <c r="L240" s="185"/>
      <c r="M240" s="73"/>
      <c r="N240" s="73"/>
      <c r="O240" s="73"/>
      <c r="P240" s="73"/>
      <c r="Q240" s="73"/>
      <c r="R240" s="19"/>
      <c r="S240" s="74"/>
      <c r="T240" s="19"/>
      <c r="U240" s="186"/>
      <c r="V240" s="23"/>
      <c r="W240" s="23"/>
      <c r="AA240" s="23"/>
    </row>
    <row r="241" spans="1:27">
      <c r="A241" s="80">
        <v>391</v>
      </c>
      <c r="C241" s="94" t="s">
        <v>119</v>
      </c>
      <c r="G241" s="183"/>
      <c r="H241" s="183"/>
      <c r="I241" s="184"/>
      <c r="J241" s="65"/>
      <c r="K241" s="71"/>
      <c r="L241" s="185"/>
      <c r="M241" s="73"/>
      <c r="N241" s="73"/>
      <c r="O241" s="73"/>
      <c r="P241" s="73"/>
      <c r="Q241" s="73"/>
      <c r="R241" s="19"/>
      <c r="S241" s="74"/>
      <c r="T241" s="19"/>
      <c r="U241" s="186"/>
      <c r="V241" s="23"/>
      <c r="W241" s="23"/>
      <c r="AA241" s="23"/>
    </row>
    <row r="242" spans="1:27">
      <c r="A242" s="80"/>
      <c r="C242" s="95" t="s">
        <v>120</v>
      </c>
      <c r="D242" s="37"/>
      <c r="E242" s="37"/>
      <c r="F242" s="37"/>
      <c r="G242" s="169"/>
      <c r="H242" s="169"/>
      <c r="I242" s="170"/>
      <c r="J242" s="50"/>
      <c r="K242" s="55">
        <v>2016677.53</v>
      </c>
      <c r="L242" s="171"/>
      <c r="M242" s="57">
        <v>2016678</v>
      </c>
      <c r="N242" s="57"/>
      <c r="O242" s="57">
        <v>0</v>
      </c>
      <c r="P242" s="57"/>
      <c r="Q242" s="57">
        <v>0</v>
      </c>
      <c r="R242" s="50"/>
      <c r="S242" s="74">
        <v>0</v>
      </c>
      <c r="T242" s="181"/>
      <c r="U242" s="186">
        <v>0</v>
      </c>
      <c r="V242" s="23"/>
      <c r="W242" s="23"/>
      <c r="AA242" s="23"/>
    </row>
    <row r="243" spans="1:27">
      <c r="A243" s="80"/>
      <c r="C243" s="95" t="s">
        <v>121</v>
      </c>
      <c r="D243" s="37"/>
      <c r="E243" s="37"/>
      <c r="F243" s="37"/>
      <c r="G243" s="169" t="s">
        <v>202</v>
      </c>
      <c r="H243" s="169" t="s">
        <v>178</v>
      </c>
      <c r="I243" s="170">
        <v>0</v>
      </c>
      <c r="J243" s="50"/>
      <c r="K243" s="60">
        <v>9301032.1600000001</v>
      </c>
      <c r="L243" s="171"/>
      <c r="M243" s="62">
        <v>2720987</v>
      </c>
      <c r="N243" s="57"/>
      <c r="O243" s="62">
        <v>6580045</v>
      </c>
      <c r="P243" s="57"/>
      <c r="Q243" s="62">
        <v>465074</v>
      </c>
      <c r="R243" s="50"/>
      <c r="S243" s="74">
        <v>5</v>
      </c>
      <c r="T243" s="181"/>
      <c r="U243" s="186">
        <v>14.1</v>
      </c>
      <c r="V243" s="23"/>
      <c r="W243" s="23"/>
      <c r="AA243" s="23"/>
    </row>
    <row r="244" spans="1:27">
      <c r="A244" s="80"/>
      <c r="C244" s="37"/>
      <c r="D244" s="37"/>
      <c r="E244" s="37"/>
      <c r="F244" s="37"/>
      <c r="G244" s="169"/>
      <c r="H244" s="169"/>
      <c r="I244" s="170"/>
      <c r="J244" s="50"/>
      <c r="K244" s="55"/>
      <c r="L244" s="171"/>
      <c r="M244" s="57"/>
      <c r="N244" s="57"/>
      <c r="O244" s="57"/>
      <c r="P244" s="57"/>
      <c r="Q244" s="57"/>
      <c r="R244" s="50"/>
      <c r="S244" s="74"/>
      <c r="T244" s="181"/>
      <c r="U244" s="186"/>
      <c r="V244" s="23"/>
      <c r="W244" s="23"/>
      <c r="AA244" s="23"/>
    </row>
    <row r="245" spans="1:27">
      <c r="A245" s="80"/>
      <c r="C245" s="37" t="s">
        <v>122</v>
      </c>
      <c r="D245" s="37"/>
      <c r="E245" s="37"/>
      <c r="F245" s="37"/>
      <c r="G245" s="169"/>
      <c r="H245" s="169"/>
      <c r="I245" s="170"/>
      <c r="J245" s="50"/>
      <c r="K245" s="55">
        <f>SUBTOTAL(9,K242:K244)</f>
        <v>11317709.689999999</v>
      </c>
      <c r="L245" s="171"/>
      <c r="M245" s="57">
        <f>SUBTOTAL(9,M242:M244)</f>
        <v>4737665</v>
      </c>
      <c r="N245" s="57"/>
      <c r="O245" s="57">
        <f>SUBTOTAL(9,O242:O244)</f>
        <v>6580045</v>
      </c>
      <c r="P245" s="57"/>
      <c r="Q245" s="57">
        <f>SUBTOTAL(9,Q242:Q244)</f>
        <v>465074</v>
      </c>
      <c r="R245" s="50"/>
      <c r="S245" s="74">
        <f>+ROUND(Q245/K245*100,2)</f>
        <v>4.1100000000000003</v>
      </c>
      <c r="T245" s="181"/>
      <c r="U245" s="186"/>
      <c r="V245" s="23"/>
      <c r="W245" s="23"/>
      <c r="AA245" s="23"/>
    </row>
    <row r="246" spans="1:27">
      <c r="A246" s="80"/>
      <c r="C246" s="94"/>
      <c r="G246" s="183"/>
      <c r="H246" s="183"/>
      <c r="I246" s="184"/>
      <c r="J246" s="65"/>
      <c r="K246" s="71"/>
      <c r="L246" s="185"/>
      <c r="M246" s="73"/>
      <c r="N246" s="73"/>
      <c r="O246" s="73"/>
      <c r="P246" s="73"/>
      <c r="Q246" s="73"/>
      <c r="R246" s="19"/>
      <c r="S246" s="74"/>
      <c r="T246" s="19"/>
      <c r="U246" s="186"/>
      <c r="V246" s="23"/>
      <c r="W246" s="23"/>
      <c r="AA246" s="23"/>
    </row>
    <row r="247" spans="1:27">
      <c r="A247" s="80">
        <v>391.1</v>
      </c>
      <c r="C247" s="94" t="s">
        <v>123</v>
      </c>
      <c r="G247" s="183"/>
      <c r="H247" s="183"/>
      <c r="I247" s="184"/>
      <c r="J247" s="65"/>
      <c r="K247" s="71"/>
      <c r="L247" s="185"/>
      <c r="M247" s="73"/>
      <c r="N247" s="73"/>
      <c r="O247" s="73"/>
      <c r="P247" s="73"/>
      <c r="Q247" s="73"/>
      <c r="R247" s="19"/>
      <c r="S247" s="74"/>
      <c r="T247" s="19"/>
      <c r="U247" s="186"/>
      <c r="V247" s="23"/>
      <c r="W247" s="23"/>
      <c r="AA247" s="23"/>
    </row>
    <row r="248" spans="1:27">
      <c r="A248" s="80"/>
      <c r="C248" s="95" t="s">
        <v>120</v>
      </c>
      <c r="G248" s="169"/>
      <c r="H248" s="169"/>
      <c r="I248" s="170"/>
      <c r="J248" s="50"/>
      <c r="K248" s="55">
        <v>2771805.14</v>
      </c>
      <c r="L248" s="171"/>
      <c r="M248" s="57">
        <v>2771805</v>
      </c>
      <c r="N248" s="57"/>
      <c r="O248" s="57">
        <v>0</v>
      </c>
      <c r="P248" s="57"/>
      <c r="Q248" s="57">
        <v>0</v>
      </c>
      <c r="R248" s="50"/>
      <c r="S248" s="74">
        <v>0</v>
      </c>
      <c r="T248" s="181"/>
      <c r="U248" s="186">
        <v>0</v>
      </c>
      <c r="V248" s="23"/>
      <c r="W248" s="23"/>
      <c r="AA248" s="23"/>
    </row>
    <row r="249" spans="1:27">
      <c r="A249" s="80"/>
      <c r="C249" s="95" t="s">
        <v>121</v>
      </c>
      <c r="G249" s="169" t="s">
        <v>203</v>
      </c>
      <c r="H249" s="169" t="s">
        <v>178</v>
      </c>
      <c r="I249" s="170">
        <v>0</v>
      </c>
      <c r="J249" s="50"/>
      <c r="K249" s="60">
        <v>14526688.529999999</v>
      </c>
      <c r="L249" s="171"/>
      <c r="M249" s="62">
        <v>7449052</v>
      </c>
      <c r="N249" s="57"/>
      <c r="O249" s="62">
        <v>7077637</v>
      </c>
      <c r="P249" s="57"/>
      <c r="Q249" s="62">
        <v>968596</v>
      </c>
      <c r="R249" s="50"/>
      <c r="S249" s="74">
        <v>6.67</v>
      </c>
      <c r="T249" s="181"/>
      <c r="U249" s="186">
        <v>7.3</v>
      </c>
      <c r="V249" s="23"/>
      <c r="W249" s="23"/>
      <c r="AA249" s="23"/>
    </row>
    <row r="250" spans="1:27">
      <c r="A250" s="80"/>
      <c r="C250" s="37"/>
      <c r="G250" s="183"/>
      <c r="H250" s="183"/>
      <c r="I250" s="184"/>
      <c r="J250" s="65"/>
      <c r="K250" s="71"/>
      <c r="L250" s="185"/>
      <c r="M250" s="73"/>
      <c r="N250" s="73"/>
      <c r="O250" s="73"/>
      <c r="P250" s="73"/>
      <c r="Q250" s="73"/>
      <c r="R250" s="19"/>
      <c r="S250" s="74"/>
      <c r="T250" s="19"/>
      <c r="U250" s="186"/>
      <c r="V250" s="23"/>
      <c r="W250" s="23"/>
      <c r="AA250" s="23"/>
    </row>
    <row r="251" spans="1:27">
      <c r="A251" s="80"/>
      <c r="C251" s="37" t="s">
        <v>124</v>
      </c>
      <c r="G251" s="183"/>
      <c r="H251" s="183"/>
      <c r="I251" s="184"/>
      <c r="J251" s="65"/>
      <c r="K251" s="55">
        <f>SUBTOTAL(9,K248:K250)</f>
        <v>17298493.669999998</v>
      </c>
      <c r="L251" s="171"/>
      <c r="M251" s="57">
        <f>SUBTOTAL(9,M248:M250)</f>
        <v>10220857</v>
      </c>
      <c r="N251" s="57"/>
      <c r="O251" s="57">
        <f>SUBTOTAL(9,O248:O250)</f>
        <v>7077637</v>
      </c>
      <c r="P251" s="57"/>
      <c r="Q251" s="57">
        <f>SUBTOTAL(9,Q248:Q250)</f>
        <v>968596</v>
      </c>
      <c r="R251" s="50"/>
      <c r="S251" s="74">
        <f>+ROUND(Q251/K251*100,2)</f>
        <v>5.6</v>
      </c>
      <c r="T251" s="19"/>
      <c r="U251" s="186"/>
      <c r="V251" s="23"/>
      <c r="W251" s="23"/>
      <c r="AA251" s="23"/>
    </row>
    <row r="252" spans="1:27">
      <c r="A252" s="80"/>
      <c r="C252" s="94"/>
      <c r="G252" s="183"/>
      <c r="H252" s="183"/>
      <c r="I252" s="184"/>
      <c r="J252" s="65"/>
      <c r="K252" s="71"/>
      <c r="L252" s="185"/>
      <c r="M252" s="73"/>
      <c r="N252" s="73"/>
      <c r="O252" s="73"/>
      <c r="P252" s="73"/>
      <c r="Q252" s="73"/>
      <c r="R252" s="19"/>
      <c r="S252" s="74"/>
      <c r="T252" s="19"/>
      <c r="U252" s="186"/>
      <c r="V252" s="23"/>
      <c r="W252" s="23"/>
      <c r="AA252" s="23"/>
    </row>
    <row r="253" spans="1:27">
      <c r="A253" s="80">
        <v>392</v>
      </c>
      <c r="C253" s="94" t="s">
        <v>125</v>
      </c>
      <c r="G253" s="183" t="s">
        <v>204</v>
      </c>
      <c r="H253" s="183" t="s">
        <v>178</v>
      </c>
      <c r="I253" s="184">
        <v>0</v>
      </c>
      <c r="J253" s="65"/>
      <c r="K253" s="71">
        <v>17294828.559999999</v>
      </c>
      <c r="L253" s="185"/>
      <c r="M253" s="73">
        <v>9084603</v>
      </c>
      <c r="N253" s="73"/>
      <c r="O253" s="73">
        <v>8210226</v>
      </c>
      <c r="P253" s="73"/>
      <c r="Q253" s="73">
        <v>1010178</v>
      </c>
      <c r="R253" s="19"/>
      <c r="S253" s="74">
        <v>5.84</v>
      </c>
      <c r="T253" s="19"/>
      <c r="U253" s="186">
        <v>8.1</v>
      </c>
      <c r="V253" s="23"/>
      <c r="W253" s="23"/>
      <c r="AA253" s="23"/>
    </row>
    <row r="254" spans="1:27">
      <c r="A254" s="80">
        <v>393</v>
      </c>
      <c r="C254" s="86" t="s">
        <v>126</v>
      </c>
      <c r="G254" s="183" t="s">
        <v>205</v>
      </c>
      <c r="H254" s="183" t="s">
        <v>178</v>
      </c>
      <c r="I254" s="184">
        <v>0</v>
      </c>
      <c r="J254" s="65"/>
      <c r="K254" s="71">
        <v>132973.46</v>
      </c>
      <c r="L254" s="185"/>
      <c r="M254" s="73">
        <v>99601</v>
      </c>
      <c r="N254" s="73"/>
      <c r="O254" s="73">
        <v>33372</v>
      </c>
      <c r="P254" s="73"/>
      <c r="Q254" s="73">
        <v>5318</v>
      </c>
      <c r="R254" s="19"/>
      <c r="S254" s="74">
        <v>4</v>
      </c>
      <c r="T254" s="19"/>
      <c r="U254" s="186">
        <v>6.3</v>
      </c>
      <c r="V254" s="23"/>
      <c r="W254" s="23"/>
      <c r="AA254" s="23"/>
    </row>
    <row r="255" spans="1:27">
      <c r="A255" s="80"/>
      <c r="C255" s="86"/>
      <c r="G255" s="183"/>
      <c r="H255" s="183"/>
      <c r="I255" s="184"/>
      <c r="J255" s="65"/>
      <c r="K255" s="71"/>
      <c r="L255" s="185"/>
      <c r="M255" s="73"/>
      <c r="N255" s="73"/>
      <c r="O255" s="73"/>
      <c r="P255" s="73"/>
      <c r="Q255" s="73"/>
      <c r="R255" s="19"/>
      <c r="S255" s="74"/>
      <c r="T255" s="19"/>
      <c r="U255" s="186"/>
      <c r="V255" s="23"/>
      <c r="W255" s="23"/>
      <c r="AA255" s="23"/>
    </row>
    <row r="256" spans="1:27">
      <c r="A256" s="80">
        <v>394</v>
      </c>
      <c r="C256" s="96" t="s">
        <v>206</v>
      </c>
      <c r="G256" s="183"/>
      <c r="H256" s="183"/>
      <c r="I256" s="184"/>
      <c r="J256" s="65"/>
      <c r="K256" s="71"/>
      <c r="L256" s="185"/>
      <c r="M256" s="73"/>
      <c r="N256" s="73"/>
      <c r="O256" s="73"/>
      <c r="P256" s="73"/>
      <c r="Q256" s="73"/>
      <c r="R256" s="19"/>
      <c r="S256" s="74"/>
      <c r="T256" s="19"/>
      <c r="U256" s="186"/>
      <c r="V256" s="23"/>
      <c r="W256" s="23"/>
      <c r="AA256" s="23"/>
    </row>
    <row r="257" spans="1:27">
      <c r="A257" s="80"/>
      <c r="C257" s="95" t="s">
        <v>120</v>
      </c>
      <c r="G257" s="169"/>
      <c r="H257" s="169"/>
      <c r="I257" s="170"/>
      <c r="J257" s="50"/>
      <c r="K257" s="55">
        <v>772161.33</v>
      </c>
      <c r="L257" s="171"/>
      <c r="M257" s="57">
        <v>772161</v>
      </c>
      <c r="N257" s="57"/>
      <c r="O257" s="57">
        <v>0</v>
      </c>
      <c r="P257" s="57"/>
      <c r="Q257" s="57">
        <v>0</v>
      </c>
      <c r="R257" s="50"/>
      <c r="S257" s="74">
        <v>0</v>
      </c>
      <c r="T257" s="181"/>
      <c r="U257" s="186">
        <v>0</v>
      </c>
      <c r="V257" s="23"/>
      <c r="W257" s="23"/>
      <c r="AA257" s="23"/>
    </row>
    <row r="258" spans="1:27">
      <c r="A258" s="80"/>
      <c r="C258" s="95" t="s">
        <v>121</v>
      </c>
      <c r="G258" s="169" t="s">
        <v>202</v>
      </c>
      <c r="H258" s="169" t="s">
        <v>178</v>
      </c>
      <c r="I258" s="170">
        <v>0</v>
      </c>
      <c r="J258" s="50"/>
      <c r="K258" s="60">
        <v>1540988.46</v>
      </c>
      <c r="L258" s="171"/>
      <c r="M258" s="62">
        <v>602512</v>
      </c>
      <c r="N258" s="57"/>
      <c r="O258" s="62">
        <v>938476</v>
      </c>
      <c r="P258" s="57"/>
      <c r="Q258" s="62">
        <v>77077</v>
      </c>
      <c r="R258" s="50"/>
      <c r="S258" s="74">
        <v>5</v>
      </c>
      <c r="T258" s="181"/>
      <c r="U258" s="186">
        <v>12.2</v>
      </c>
      <c r="V258" s="23"/>
      <c r="W258" s="23"/>
      <c r="AA258" s="23"/>
    </row>
    <row r="259" spans="1:27">
      <c r="A259" s="80"/>
      <c r="C259" s="37"/>
      <c r="G259" s="183"/>
      <c r="H259" s="183"/>
      <c r="I259" s="184"/>
      <c r="J259" s="65"/>
      <c r="K259" s="71"/>
      <c r="L259" s="185"/>
      <c r="M259" s="73"/>
      <c r="N259" s="73"/>
      <c r="O259" s="73"/>
      <c r="P259" s="73"/>
      <c r="Q259" s="73"/>
      <c r="R259" s="19"/>
      <c r="S259" s="74"/>
      <c r="T259" s="19"/>
      <c r="U259" s="186"/>
      <c r="V259" s="23"/>
      <c r="W259" s="23"/>
      <c r="AA259" s="23"/>
    </row>
    <row r="260" spans="1:27">
      <c r="A260" s="80"/>
      <c r="C260" s="37" t="s">
        <v>128</v>
      </c>
      <c r="G260" s="183"/>
      <c r="H260" s="183"/>
      <c r="I260" s="184"/>
      <c r="J260" s="65"/>
      <c r="K260" s="55">
        <f>SUBTOTAL(9,K257:K259)</f>
        <v>2313149.79</v>
      </c>
      <c r="L260" s="171"/>
      <c r="M260" s="57">
        <f>SUBTOTAL(9,M257:M259)</f>
        <v>1374673</v>
      </c>
      <c r="N260" s="57"/>
      <c r="O260" s="57">
        <f>SUBTOTAL(9,O257:O259)</f>
        <v>938476</v>
      </c>
      <c r="P260" s="57"/>
      <c r="Q260" s="57">
        <f>SUBTOTAL(9,Q257:Q259)</f>
        <v>77077</v>
      </c>
      <c r="R260" s="50"/>
      <c r="S260" s="74">
        <f>+ROUND(Q260/K260*100,2)</f>
        <v>3.33</v>
      </c>
      <c r="T260" s="181"/>
      <c r="U260" s="186"/>
      <c r="V260" s="23"/>
      <c r="W260" s="23"/>
      <c r="AA260" s="23"/>
    </row>
    <row r="261" spans="1:27">
      <c r="A261" s="80"/>
      <c r="C261" s="96"/>
      <c r="G261" s="183"/>
      <c r="H261" s="183"/>
      <c r="I261" s="184"/>
      <c r="J261" s="65"/>
      <c r="K261" s="71"/>
      <c r="L261" s="185"/>
      <c r="M261" s="73"/>
      <c r="N261" s="73"/>
      <c r="O261" s="73"/>
      <c r="P261" s="73"/>
      <c r="Q261" s="73"/>
      <c r="R261" s="19"/>
      <c r="S261" s="74"/>
      <c r="T261" s="19"/>
      <c r="U261" s="186"/>
      <c r="V261" s="23"/>
      <c r="W261" s="23"/>
      <c r="AA261" s="23"/>
    </row>
    <row r="262" spans="1:27">
      <c r="A262" s="80">
        <v>395</v>
      </c>
      <c r="C262" s="86" t="s">
        <v>129</v>
      </c>
      <c r="G262" s="169"/>
      <c r="H262" s="169"/>
      <c r="I262" s="170"/>
      <c r="J262" s="50"/>
      <c r="K262" s="55"/>
      <c r="L262" s="171"/>
      <c r="M262" s="57"/>
      <c r="N262" s="57"/>
      <c r="O262" s="57"/>
      <c r="P262" s="57"/>
      <c r="Q262" s="57"/>
      <c r="R262" s="50"/>
      <c r="S262" s="74"/>
      <c r="T262" s="181"/>
      <c r="U262" s="186"/>
      <c r="V262" s="23"/>
      <c r="W262" s="23"/>
      <c r="AA262" s="23"/>
    </row>
    <row r="263" spans="1:27">
      <c r="A263" s="80"/>
      <c r="C263" s="95" t="s">
        <v>120</v>
      </c>
      <c r="G263" s="169"/>
      <c r="H263" s="169"/>
      <c r="I263" s="170"/>
      <c r="J263" s="50"/>
      <c r="K263" s="55">
        <v>1251278.95</v>
      </c>
      <c r="L263" s="171"/>
      <c r="M263" s="57">
        <v>1251279</v>
      </c>
      <c r="N263" s="57"/>
      <c r="O263" s="57">
        <v>0</v>
      </c>
      <c r="P263" s="57"/>
      <c r="Q263" s="57">
        <v>0</v>
      </c>
      <c r="R263" s="50"/>
      <c r="S263" s="74">
        <v>0</v>
      </c>
      <c r="T263" s="181"/>
      <c r="U263" s="186">
        <v>0</v>
      </c>
      <c r="V263" s="23"/>
      <c r="W263" s="23"/>
      <c r="AA263" s="23"/>
    </row>
    <row r="264" spans="1:27">
      <c r="A264" s="80"/>
      <c r="C264" s="95" t="s">
        <v>121</v>
      </c>
      <c r="G264" s="169" t="s">
        <v>202</v>
      </c>
      <c r="H264" s="169" t="s">
        <v>178</v>
      </c>
      <c r="I264" s="170">
        <v>0</v>
      </c>
      <c r="J264" s="50"/>
      <c r="K264" s="60">
        <v>4059896.75</v>
      </c>
      <c r="L264" s="171"/>
      <c r="M264" s="62">
        <v>1563859</v>
      </c>
      <c r="N264" s="57"/>
      <c r="O264" s="62">
        <v>2496038</v>
      </c>
      <c r="P264" s="57"/>
      <c r="Q264" s="62">
        <v>203000</v>
      </c>
      <c r="R264" s="50"/>
      <c r="S264" s="74">
        <v>5</v>
      </c>
      <c r="T264" s="181"/>
      <c r="U264" s="186">
        <v>12.3</v>
      </c>
      <c r="V264" s="23"/>
      <c r="W264" s="23"/>
      <c r="AA264" s="23"/>
    </row>
    <row r="265" spans="1:27">
      <c r="A265" s="80"/>
      <c r="C265" s="37"/>
      <c r="G265" s="183"/>
      <c r="H265" s="183"/>
      <c r="I265" s="184"/>
      <c r="J265" s="65"/>
      <c r="K265" s="71"/>
      <c r="L265" s="185"/>
      <c r="M265" s="73"/>
      <c r="N265" s="73"/>
      <c r="O265" s="73"/>
      <c r="P265" s="73"/>
      <c r="Q265" s="73"/>
      <c r="R265" s="19"/>
      <c r="S265" s="74"/>
      <c r="T265" s="19"/>
      <c r="U265" s="186"/>
      <c r="V265" s="23"/>
      <c r="W265" s="23"/>
      <c r="AA265" s="23"/>
    </row>
    <row r="266" spans="1:27">
      <c r="A266" s="80"/>
      <c r="C266" s="37" t="s">
        <v>130</v>
      </c>
      <c r="G266" s="183"/>
      <c r="H266" s="183"/>
      <c r="I266" s="184"/>
      <c r="J266" s="65"/>
      <c r="K266" s="55">
        <f>SUBTOTAL(9,K263:K265)</f>
        <v>5311175.7</v>
      </c>
      <c r="L266" s="171"/>
      <c r="M266" s="57">
        <f>SUBTOTAL(9,M263:M265)</f>
        <v>2815138</v>
      </c>
      <c r="N266" s="57"/>
      <c r="O266" s="57">
        <f>SUBTOTAL(9,O263:O265)</f>
        <v>2496038</v>
      </c>
      <c r="P266" s="57"/>
      <c r="Q266" s="57">
        <f>SUBTOTAL(9,Q263:Q265)</f>
        <v>203000</v>
      </c>
      <c r="R266" s="50"/>
      <c r="S266" s="74">
        <f>+ROUND(Q266/K266*100,2)</f>
        <v>3.82</v>
      </c>
      <c r="T266" s="19"/>
      <c r="U266" s="186"/>
      <c r="V266" s="23"/>
      <c r="W266" s="23"/>
      <c r="AA266" s="23"/>
    </row>
    <row r="267" spans="1:27">
      <c r="A267" s="80"/>
      <c r="C267" s="86"/>
      <c r="G267" s="183"/>
      <c r="H267" s="183"/>
      <c r="I267" s="184"/>
      <c r="J267" s="65"/>
      <c r="K267" s="71"/>
      <c r="L267" s="185"/>
      <c r="M267" s="73"/>
      <c r="N267" s="73"/>
      <c r="O267" s="73"/>
      <c r="P267" s="73"/>
      <c r="Q267" s="73"/>
      <c r="R267" s="19"/>
      <c r="S267" s="74"/>
      <c r="T267" s="19"/>
      <c r="U267" s="186"/>
      <c r="V267" s="23"/>
      <c r="W267" s="23"/>
      <c r="AA267" s="23"/>
    </row>
    <row r="268" spans="1:27">
      <c r="A268" s="80">
        <v>396</v>
      </c>
      <c r="C268" s="19" t="s">
        <v>131</v>
      </c>
      <c r="G268" s="183" t="s">
        <v>207</v>
      </c>
      <c r="H268" s="183" t="s">
        <v>178</v>
      </c>
      <c r="I268" s="184">
        <v>0</v>
      </c>
      <c r="J268" s="65"/>
      <c r="K268" s="71">
        <v>20685598.48</v>
      </c>
      <c r="L268" s="185"/>
      <c r="M268" s="73">
        <v>13562128.119999999</v>
      </c>
      <c r="N268" s="73"/>
      <c r="O268" s="73">
        <v>7123470</v>
      </c>
      <c r="P268" s="73"/>
      <c r="Q268" s="73">
        <v>416907</v>
      </c>
      <c r="R268" s="19"/>
      <c r="S268" s="74">
        <v>2.02</v>
      </c>
      <c r="T268" s="19"/>
      <c r="U268" s="186">
        <v>17.100000000000001</v>
      </c>
      <c r="V268" s="23"/>
      <c r="W268" s="23"/>
      <c r="AA268" s="23"/>
    </row>
    <row r="269" spans="1:27">
      <c r="A269" s="80"/>
      <c r="C269" s="19"/>
      <c r="G269" s="183"/>
      <c r="H269" s="183"/>
      <c r="I269" s="184"/>
      <c r="J269" s="65"/>
      <c r="K269" s="71"/>
      <c r="L269" s="185"/>
      <c r="M269" s="73"/>
      <c r="N269" s="73"/>
      <c r="O269" s="73"/>
      <c r="P269" s="73"/>
      <c r="Q269" s="73"/>
      <c r="R269" s="19"/>
      <c r="S269" s="74"/>
      <c r="T269" s="19"/>
      <c r="U269" s="186"/>
      <c r="V269" s="23"/>
      <c r="W269" s="23"/>
      <c r="AA269" s="23"/>
    </row>
    <row r="270" spans="1:27">
      <c r="A270" s="80">
        <v>397</v>
      </c>
      <c r="C270" s="19" t="s">
        <v>132</v>
      </c>
      <c r="G270" s="183"/>
      <c r="H270" s="183"/>
      <c r="I270" s="184"/>
      <c r="J270" s="65"/>
      <c r="K270" s="71"/>
      <c r="L270" s="185"/>
      <c r="M270" s="73"/>
      <c r="N270" s="73"/>
      <c r="O270" s="73"/>
      <c r="P270" s="73"/>
      <c r="Q270" s="73"/>
      <c r="R270" s="19"/>
      <c r="S270" s="74"/>
      <c r="T270" s="19"/>
      <c r="U270" s="186"/>
      <c r="V270" s="23"/>
      <c r="W270" s="23"/>
      <c r="AA270" s="23"/>
    </row>
    <row r="271" spans="1:27">
      <c r="A271" s="80"/>
      <c r="C271" s="95" t="s">
        <v>120</v>
      </c>
      <c r="G271" s="169"/>
      <c r="H271" s="169"/>
      <c r="I271" s="170"/>
      <c r="J271" s="50"/>
      <c r="K271" s="55">
        <v>23276736.879999999</v>
      </c>
      <c r="L271" s="171"/>
      <c r="M271" s="57">
        <v>23276737</v>
      </c>
      <c r="N271" s="57"/>
      <c r="O271" s="57">
        <v>0</v>
      </c>
      <c r="P271" s="57"/>
      <c r="Q271" s="57">
        <v>0</v>
      </c>
      <c r="R271" s="50"/>
      <c r="S271" s="74">
        <v>0</v>
      </c>
      <c r="T271" s="181"/>
      <c r="U271" s="186">
        <v>0</v>
      </c>
      <c r="V271" s="23"/>
      <c r="W271" s="23"/>
      <c r="AA271" s="23"/>
    </row>
    <row r="272" spans="1:27">
      <c r="A272" s="80"/>
      <c r="C272" s="95" t="s">
        <v>121</v>
      </c>
      <c r="G272" s="169" t="s">
        <v>203</v>
      </c>
      <c r="H272" s="169" t="s">
        <v>178</v>
      </c>
      <c r="I272" s="170">
        <v>0</v>
      </c>
      <c r="J272" s="50"/>
      <c r="K272" s="60">
        <v>23514697.870000001</v>
      </c>
      <c r="L272" s="171"/>
      <c r="M272" s="62">
        <v>8667518</v>
      </c>
      <c r="N272" s="57"/>
      <c r="O272" s="62">
        <v>14847180</v>
      </c>
      <c r="P272" s="57"/>
      <c r="Q272" s="62">
        <v>1569449</v>
      </c>
      <c r="R272" s="50"/>
      <c r="S272" s="74">
        <v>6.67</v>
      </c>
      <c r="T272" s="181"/>
      <c r="U272" s="186">
        <v>9.5</v>
      </c>
      <c r="V272" s="23"/>
      <c r="W272" s="23"/>
      <c r="AA272" s="23"/>
    </row>
    <row r="273" spans="1:27">
      <c r="A273" s="80"/>
      <c r="C273" s="37"/>
      <c r="G273" s="183"/>
      <c r="H273" s="183"/>
      <c r="I273" s="184"/>
      <c r="J273" s="65"/>
      <c r="K273" s="71"/>
      <c r="L273" s="185"/>
      <c r="M273" s="73"/>
      <c r="N273" s="73"/>
      <c r="O273" s="73"/>
      <c r="P273" s="73"/>
      <c r="Q273" s="73"/>
      <c r="R273" s="19"/>
      <c r="S273" s="74"/>
      <c r="T273" s="19"/>
      <c r="U273" s="186"/>
      <c r="V273" s="23"/>
      <c r="W273" s="23"/>
      <c r="AA273" s="23"/>
    </row>
    <row r="274" spans="1:27">
      <c r="A274" s="80"/>
      <c r="C274" s="37" t="s">
        <v>133</v>
      </c>
      <c r="G274" s="183"/>
      <c r="H274" s="183"/>
      <c r="I274" s="184"/>
      <c r="J274" s="65"/>
      <c r="K274" s="55">
        <f>SUBTOTAL(9,K271:K273)</f>
        <v>46791434.75</v>
      </c>
      <c r="L274" s="171"/>
      <c r="M274" s="57">
        <f>SUBTOTAL(9,M271:M273)</f>
        <v>31944255</v>
      </c>
      <c r="N274" s="57"/>
      <c r="O274" s="57">
        <f>SUBTOTAL(9,O271:O273)</f>
        <v>14847180</v>
      </c>
      <c r="P274" s="57"/>
      <c r="Q274" s="57">
        <f>SUBTOTAL(9,Q271:Q273)</f>
        <v>1569449</v>
      </c>
      <c r="R274" s="50"/>
      <c r="S274" s="74">
        <f>+ROUND(Q274/K274*100,2)</f>
        <v>3.35</v>
      </c>
      <c r="T274" s="19"/>
      <c r="U274" s="186"/>
      <c r="V274" s="23"/>
      <c r="W274" s="23"/>
      <c r="AA274" s="23"/>
    </row>
    <row r="275" spans="1:27">
      <c r="A275" s="80"/>
      <c r="C275" s="19"/>
      <c r="G275" s="183"/>
      <c r="H275" s="183"/>
      <c r="I275" s="184"/>
      <c r="J275" s="65"/>
      <c r="K275" s="71"/>
      <c r="L275" s="185"/>
      <c r="M275" s="73"/>
      <c r="N275" s="73"/>
      <c r="O275" s="73"/>
      <c r="P275" s="73"/>
      <c r="Q275" s="73"/>
      <c r="R275" s="19"/>
      <c r="S275" s="74"/>
      <c r="T275" s="19"/>
      <c r="U275" s="186"/>
      <c r="V275" s="23"/>
      <c r="W275" s="23"/>
      <c r="AA275" s="23"/>
    </row>
    <row r="276" spans="1:27">
      <c r="A276" s="80">
        <v>397.1</v>
      </c>
      <c r="C276" s="19" t="s">
        <v>208</v>
      </c>
      <c r="G276" s="190" t="s">
        <v>120</v>
      </c>
      <c r="H276" s="190"/>
      <c r="I276" s="191"/>
      <c r="J276" s="65"/>
      <c r="K276" s="71">
        <v>642538.48</v>
      </c>
      <c r="L276" s="185"/>
      <c r="M276" s="73">
        <v>642538</v>
      </c>
      <c r="N276" s="73"/>
      <c r="O276" s="73">
        <v>0</v>
      </c>
      <c r="P276" s="73"/>
      <c r="Q276" s="73">
        <v>0</v>
      </c>
      <c r="R276" s="19"/>
      <c r="S276" s="74">
        <v>0</v>
      </c>
      <c r="T276" s="25" t="s">
        <v>209</v>
      </c>
      <c r="U276" s="186">
        <v>0</v>
      </c>
      <c r="V276" s="23"/>
      <c r="W276" s="23"/>
      <c r="AA276" s="23"/>
    </row>
    <row r="277" spans="1:27">
      <c r="A277" s="80"/>
      <c r="C277" s="19"/>
      <c r="G277" s="190"/>
      <c r="H277" s="190"/>
      <c r="I277" s="191"/>
      <c r="J277" s="65"/>
      <c r="K277" s="71"/>
      <c r="L277" s="185"/>
      <c r="M277" s="73"/>
      <c r="N277" s="73"/>
      <c r="O277" s="73"/>
      <c r="P277" s="73"/>
      <c r="Q277" s="73"/>
      <c r="R277" s="19"/>
      <c r="S277" s="74"/>
      <c r="T277" s="19"/>
      <c r="U277" s="186"/>
      <c r="V277" s="23"/>
      <c r="W277" s="23"/>
      <c r="AA277" s="23"/>
    </row>
    <row r="278" spans="1:27">
      <c r="A278" s="80">
        <v>398</v>
      </c>
      <c r="C278" s="19" t="s">
        <v>135</v>
      </c>
      <c r="G278" s="183"/>
      <c r="H278" s="183"/>
      <c r="I278" s="184"/>
      <c r="J278" s="65"/>
      <c r="K278" s="71"/>
      <c r="L278" s="185"/>
      <c r="M278" s="73"/>
      <c r="N278" s="73"/>
      <c r="O278" s="73"/>
      <c r="P278" s="73"/>
      <c r="Q278" s="73"/>
      <c r="R278" s="19"/>
      <c r="S278" s="74"/>
      <c r="T278" s="19"/>
      <c r="U278" s="186"/>
      <c r="V278" s="23"/>
      <c r="W278" s="23"/>
      <c r="AA278" s="23"/>
    </row>
    <row r="279" spans="1:27">
      <c r="A279" s="80"/>
      <c r="C279" s="95" t="s">
        <v>120</v>
      </c>
      <c r="G279" s="169"/>
      <c r="H279" s="169"/>
      <c r="I279" s="170"/>
      <c r="J279" s="50"/>
      <c r="K279" s="55">
        <v>413882.29</v>
      </c>
      <c r="L279" s="171"/>
      <c r="M279" s="57">
        <v>413882</v>
      </c>
      <c r="N279" s="57"/>
      <c r="O279" s="57">
        <v>0</v>
      </c>
      <c r="P279" s="57"/>
      <c r="Q279" s="57">
        <v>0</v>
      </c>
      <c r="R279" s="50"/>
      <c r="S279" s="74">
        <v>0</v>
      </c>
      <c r="T279" s="181"/>
      <c r="U279" s="186">
        <v>0</v>
      </c>
      <c r="V279" s="23"/>
      <c r="W279" s="23"/>
      <c r="AA279" s="23"/>
    </row>
    <row r="280" spans="1:27">
      <c r="A280" s="80"/>
      <c r="C280" s="95" t="s">
        <v>121</v>
      </c>
      <c r="G280" s="169" t="s">
        <v>202</v>
      </c>
      <c r="H280" s="169" t="s">
        <v>178</v>
      </c>
      <c r="I280" s="170">
        <v>0</v>
      </c>
      <c r="J280" s="50"/>
      <c r="K280" s="60">
        <v>2014590.63</v>
      </c>
      <c r="L280" s="171"/>
      <c r="M280" s="62">
        <v>918854</v>
      </c>
      <c r="N280" s="57"/>
      <c r="O280" s="62">
        <v>1095737</v>
      </c>
      <c r="P280" s="57"/>
      <c r="Q280" s="62">
        <v>100721</v>
      </c>
      <c r="R280" s="50"/>
      <c r="S280" s="74">
        <v>5</v>
      </c>
      <c r="T280" s="181"/>
      <c r="U280" s="186">
        <v>10.9</v>
      </c>
      <c r="V280" s="23"/>
      <c r="W280" s="23"/>
      <c r="AA280" s="23"/>
    </row>
    <row r="281" spans="1:27">
      <c r="A281" s="80"/>
      <c r="C281" s="37"/>
      <c r="G281" s="183"/>
      <c r="H281" s="183"/>
      <c r="I281" s="184"/>
      <c r="J281" s="65"/>
      <c r="K281" s="71"/>
      <c r="L281" s="185"/>
      <c r="M281" s="73"/>
      <c r="N281" s="73"/>
      <c r="O281" s="73"/>
      <c r="P281" s="73"/>
      <c r="Q281" s="73"/>
      <c r="R281" s="19"/>
      <c r="S281" s="74"/>
      <c r="T281" s="19"/>
      <c r="U281" s="186"/>
      <c r="V281" s="23"/>
      <c r="W281" s="23"/>
      <c r="AA281" s="23"/>
    </row>
    <row r="282" spans="1:27">
      <c r="A282" s="80"/>
      <c r="C282" s="50" t="s">
        <v>136</v>
      </c>
      <c r="G282" s="183"/>
      <c r="H282" s="183"/>
      <c r="I282" s="184"/>
      <c r="J282" s="65"/>
      <c r="K282" s="60">
        <f>SUBTOTAL(9,K279:K281)</f>
        <v>2428472.92</v>
      </c>
      <c r="L282" s="171"/>
      <c r="M282" s="62">
        <f>SUBTOTAL(9,M279:M281)</f>
        <v>1332736</v>
      </c>
      <c r="N282" s="57"/>
      <c r="O282" s="62">
        <f>SUBTOTAL(9,O279:O281)</f>
        <v>1095737</v>
      </c>
      <c r="P282" s="57"/>
      <c r="Q282" s="62">
        <f>SUBTOTAL(9,Q279:Q281)</f>
        <v>100721</v>
      </c>
      <c r="R282" s="50"/>
      <c r="S282" s="74">
        <f>+ROUND(Q282/K282*100,2)</f>
        <v>4.1500000000000004</v>
      </c>
      <c r="T282" s="19"/>
      <c r="U282" s="186"/>
      <c r="V282" s="23"/>
      <c r="W282" s="23"/>
      <c r="AA282" s="23"/>
    </row>
    <row r="283" spans="1:27">
      <c r="A283" s="80"/>
      <c r="C283" s="19"/>
      <c r="G283" s="183"/>
      <c r="H283" s="183"/>
      <c r="I283" s="184"/>
      <c r="J283" s="65"/>
      <c r="K283" s="71"/>
      <c r="L283" s="185"/>
      <c r="M283" s="73"/>
      <c r="N283" s="73"/>
      <c r="O283" s="73"/>
      <c r="P283" s="73"/>
      <c r="Q283" s="73"/>
      <c r="R283" s="19"/>
      <c r="S283" s="74"/>
      <c r="T283" s="19"/>
      <c r="U283" s="186"/>
      <c r="V283" s="23"/>
      <c r="W283" s="23"/>
      <c r="AA283" s="23"/>
    </row>
    <row r="284" spans="1:27" ht="15.75">
      <c r="A284" s="23"/>
      <c r="C284" s="81" t="s">
        <v>137</v>
      </c>
      <c r="G284" s="25"/>
      <c r="I284" s="188"/>
      <c r="K284" s="97">
        <f>SUBTOTAL(9,K239:K283)</f>
        <v>141393195.67999998</v>
      </c>
      <c r="L284" s="192"/>
      <c r="M284" s="104">
        <f>SUBTOTAL(9,M239:M283)</f>
        <v>85499035.120000005</v>
      </c>
      <c r="N284" s="104"/>
      <c r="O284" s="104">
        <f>SUBTOTAL(9,O239:O283)</f>
        <v>55894160</v>
      </c>
      <c r="P284" s="104"/>
      <c r="Q284" s="104">
        <f>SUBTOTAL(9,Q239:Q283)</f>
        <v>4986678</v>
      </c>
      <c r="R284" s="93"/>
      <c r="S284" s="84">
        <f>+ROUND(Q284/K284*100,2)</f>
        <v>3.53</v>
      </c>
      <c r="T284" s="93"/>
      <c r="U284" s="189"/>
      <c r="V284" s="23"/>
      <c r="W284" s="23"/>
      <c r="AA284" s="23"/>
    </row>
    <row r="285" spans="1:27" ht="15.75">
      <c r="A285" s="23"/>
      <c r="C285" s="81"/>
      <c r="G285" s="25"/>
      <c r="I285" s="188"/>
      <c r="K285" s="97"/>
      <c r="L285" s="192"/>
      <c r="M285" s="104"/>
      <c r="N285" s="104"/>
      <c r="O285" s="104"/>
      <c r="P285" s="104"/>
      <c r="Q285" s="104"/>
      <c r="R285" s="93"/>
      <c r="S285" s="84"/>
      <c r="T285" s="93"/>
      <c r="U285" s="189"/>
      <c r="V285" s="23"/>
      <c r="W285" s="23"/>
    </row>
    <row r="286" spans="1:27" ht="15.75">
      <c r="A286" s="37"/>
      <c r="B286" s="37"/>
      <c r="C286" s="38" t="s">
        <v>210</v>
      </c>
      <c r="D286" s="37"/>
      <c r="E286" s="37"/>
      <c r="F286" s="37"/>
      <c r="G286" s="169"/>
      <c r="H286" s="37"/>
      <c r="I286" s="170"/>
      <c r="J286" s="37"/>
      <c r="K286" s="105"/>
      <c r="L286" s="42"/>
      <c r="M286" s="107"/>
      <c r="N286" s="107"/>
      <c r="O286" s="107"/>
      <c r="P286" s="107"/>
      <c r="Q286" s="107"/>
      <c r="R286" s="93"/>
      <c r="S286" s="84"/>
      <c r="T286" s="93"/>
      <c r="U286" s="189"/>
      <c r="V286" s="23"/>
      <c r="W286" s="23"/>
    </row>
    <row r="287" spans="1:27" ht="15.75">
      <c r="A287" s="37"/>
      <c r="B287" s="37"/>
      <c r="C287" s="108"/>
      <c r="D287" s="37"/>
      <c r="E287" s="37"/>
      <c r="F287" s="37"/>
      <c r="G287" s="169"/>
      <c r="H287" s="37"/>
      <c r="I287" s="170"/>
      <c r="J287" s="37"/>
      <c r="K287" s="105"/>
      <c r="L287" s="42"/>
      <c r="M287" s="107"/>
      <c r="N287" s="107"/>
      <c r="O287" s="107"/>
      <c r="P287" s="107"/>
      <c r="Q287" s="107"/>
      <c r="R287" s="93"/>
      <c r="S287" s="84"/>
      <c r="T287" s="93"/>
      <c r="U287" s="189"/>
      <c r="V287" s="23"/>
      <c r="W287" s="23"/>
    </row>
    <row r="288" spans="1:27" ht="15.75">
      <c r="A288" s="109">
        <v>391</v>
      </c>
      <c r="B288" s="37"/>
      <c r="C288" s="37" t="s">
        <v>119</v>
      </c>
      <c r="D288" s="37"/>
      <c r="E288" s="37"/>
      <c r="F288" s="37"/>
      <c r="G288" s="169"/>
      <c r="H288" s="37"/>
      <c r="I288" s="170"/>
      <c r="J288" s="37"/>
      <c r="K288" s="105"/>
      <c r="L288" s="42"/>
      <c r="M288" s="110">
        <v>1216907</v>
      </c>
      <c r="N288" s="107"/>
      <c r="O288" s="107"/>
      <c r="P288" s="107"/>
      <c r="Q288" s="110">
        <f t="shared" ref="Q288:Q294" si="55">-M288/10</f>
        <v>-121690.7</v>
      </c>
      <c r="R288" s="28" t="s">
        <v>211</v>
      </c>
      <c r="S288" s="84"/>
      <c r="T288" s="93"/>
      <c r="U288" s="189"/>
      <c r="V288" s="23"/>
      <c r="W288" s="23"/>
    </row>
    <row r="289" spans="1:23" ht="15.75">
      <c r="A289" s="109">
        <v>391.1</v>
      </c>
      <c r="B289" s="37"/>
      <c r="C289" s="37" t="s">
        <v>123</v>
      </c>
      <c r="D289" s="37"/>
      <c r="E289" s="37"/>
      <c r="F289" s="37"/>
      <c r="G289" s="169"/>
      <c r="H289" s="37"/>
      <c r="I289" s="170"/>
      <c r="J289" s="37"/>
      <c r="K289" s="105"/>
      <c r="L289" s="42"/>
      <c r="M289" s="110">
        <v>6179000</v>
      </c>
      <c r="N289" s="107"/>
      <c r="O289" s="107"/>
      <c r="P289" s="107"/>
      <c r="Q289" s="110">
        <f t="shared" si="55"/>
        <v>-617900</v>
      </c>
      <c r="R289" s="28" t="s">
        <v>211</v>
      </c>
      <c r="S289" s="84"/>
      <c r="T289" s="93"/>
      <c r="U289" s="189"/>
      <c r="V289" s="23"/>
      <c r="W289" s="23"/>
    </row>
    <row r="290" spans="1:23" ht="15.75">
      <c r="A290" s="109">
        <v>393</v>
      </c>
      <c r="B290" s="37"/>
      <c r="C290" s="112" t="s">
        <v>126</v>
      </c>
      <c r="D290" s="37"/>
      <c r="E290" s="37"/>
      <c r="F290" s="37"/>
      <c r="G290" s="169"/>
      <c r="H290" s="37"/>
      <c r="I290" s="170"/>
      <c r="J290" s="37"/>
      <c r="K290" s="105"/>
      <c r="L290" s="42"/>
      <c r="M290" s="110">
        <v>31577</v>
      </c>
      <c r="N290" s="107"/>
      <c r="O290" s="107"/>
      <c r="P290" s="107"/>
      <c r="Q290" s="110">
        <f t="shared" si="55"/>
        <v>-3157.7</v>
      </c>
      <c r="R290" s="28" t="s">
        <v>211</v>
      </c>
      <c r="S290" s="84"/>
      <c r="T290" s="93"/>
      <c r="U290" s="189"/>
      <c r="V290" s="23"/>
      <c r="W290" s="23"/>
    </row>
    <row r="291" spans="1:23" ht="15.75">
      <c r="A291" s="109">
        <v>394</v>
      </c>
      <c r="B291" s="37"/>
      <c r="C291" s="113" t="s">
        <v>127</v>
      </c>
      <c r="D291" s="37"/>
      <c r="E291" s="37"/>
      <c r="F291" s="37"/>
      <c r="G291" s="169"/>
      <c r="H291" s="37"/>
      <c r="I291" s="170"/>
      <c r="J291" s="37"/>
      <c r="K291" s="105"/>
      <c r="L291" s="42"/>
      <c r="M291" s="110">
        <v>424910</v>
      </c>
      <c r="N291" s="107"/>
      <c r="O291" s="107"/>
      <c r="P291" s="107"/>
      <c r="Q291" s="110">
        <f t="shared" si="55"/>
        <v>-42491</v>
      </c>
      <c r="R291" s="28" t="s">
        <v>211</v>
      </c>
      <c r="S291" s="84"/>
      <c r="T291" s="93"/>
      <c r="U291" s="189"/>
      <c r="V291" s="23"/>
      <c r="W291" s="23"/>
    </row>
    <row r="292" spans="1:23" ht="15.75">
      <c r="A292" s="109">
        <v>395</v>
      </c>
      <c r="B292" s="37"/>
      <c r="C292" s="112" t="s">
        <v>129</v>
      </c>
      <c r="D292" s="37"/>
      <c r="E292" s="37"/>
      <c r="F292" s="37"/>
      <c r="G292" s="169"/>
      <c r="H292" s="37"/>
      <c r="I292" s="170"/>
      <c r="J292" s="37"/>
      <c r="K292" s="105"/>
      <c r="L292" s="42"/>
      <c r="M292" s="110">
        <v>735653</v>
      </c>
      <c r="N292" s="107"/>
      <c r="O292" s="107"/>
      <c r="P292" s="107"/>
      <c r="Q292" s="110">
        <f t="shared" si="55"/>
        <v>-73565.3</v>
      </c>
      <c r="R292" s="28" t="s">
        <v>211</v>
      </c>
      <c r="S292" s="84"/>
      <c r="T292" s="93"/>
      <c r="U292" s="189"/>
      <c r="V292" s="23"/>
      <c r="W292" s="23"/>
    </row>
    <row r="293" spans="1:23" ht="15.75">
      <c r="A293" s="109">
        <v>397</v>
      </c>
      <c r="B293" s="37"/>
      <c r="C293" s="50" t="s">
        <v>132</v>
      </c>
      <c r="D293" s="37"/>
      <c r="E293" s="37"/>
      <c r="F293" s="37"/>
      <c r="G293" s="169"/>
      <c r="H293" s="37"/>
      <c r="I293" s="170"/>
      <c r="J293" s="37"/>
      <c r="K293" s="105"/>
      <c r="L293" s="42"/>
      <c r="M293" s="110">
        <v>9419253</v>
      </c>
      <c r="N293" s="107"/>
      <c r="O293" s="107"/>
      <c r="P293" s="107"/>
      <c r="Q293" s="110">
        <f t="shared" si="55"/>
        <v>-941925.3</v>
      </c>
      <c r="R293" s="28" t="s">
        <v>211</v>
      </c>
      <c r="S293" s="84"/>
      <c r="T293" s="93"/>
      <c r="U293" s="189"/>
      <c r="V293" s="23"/>
      <c r="W293" s="23"/>
    </row>
    <row r="294" spans="1:23" ht="15.75">
      <c r="A294" s="109">
        <v>398</v>
      </c>
      <c r="B294" s="37"/>
      <c r="C294" s="50" t="s">
        <v>135</v>
      </c>
      <c r="D294" s="37"/>
      <c r="E294" s="37"/>
      <c r="F294" s="37"/>
      <c r="G294" s="169"/>
      <c r="H294" s="37"/>
      <c r="I294" s="170"/>
      <c r="J294" s="37"/>
      <c r="K294" s="105"/>
      <c r="L294" s="42"/>
      <c r="M294" s="114">
        <v>1095737</v>
      </c>
      <c r="N294" s="107"/>
      <c r="O294" s="107"/>
      <c r="P294" s="107"/>
      <c r="Q294" s="114">
        <f t="shared" si="55"/>
        <v>-109573.7</v>
      </c>
      <c r="R294" s="28" t="s">
        <v>211</v>
      </c>
      <c r="S294" s="84"/>
      <c r="T294" s="93"/>
      <c r="U294" s="189"/>
      <c r="V294" s="23"/>
      <c r="W294" s="23"/>
    </row>
    <row r="295" spans="1:23" ht="15.75">
      <c r="A295" s="37"/>
      <c r="B295" s="37"/>
      <c r="C295" s="108"/>
      <c r="D295" s="37"/>
      <c r="E295" s="37"/>
      <c r="F295" s="37"/>
      <c r="G295" s="169"/>
      <c r="H295" s="37"/>
      <c r="I295" s="170"/>
      <c r="J295" s="37"/>
      <c r="K295" s="105"/>
      <c r="L295" s="42"/>
      <c r="M295" s="107"/>
      <c r="N295" s="107"/>
      <c r="O295" s="107"/>
      <c r="P295" s="107"/>
      <c r="Q295" s="107"/>
      <c r="R295" s="93"/>
      <c r="S295" s="84"/>
      <c r="T295" s="93"/>
      <c r="U295" s="189"/>
      <c r="V295" s="23"/>
      <c r="W295" s="23"/>
    </row>
    <row r="296" spans="1:23" ht="15.75">
      <c r="A296" s="37"/>
      <c r="B296" s="37"/>
      <c r="C296" s="108" t="s">
        <v>140</v>
      </c>
      <c r="D296" s="37"/>
      <c r="E296" s="37"/>
      <c r="F296" s="37"/>
      <c r="G296" s="169"/>
      <c r="H296" s="37"/>
      <c r="I296" s="170"/>
      <c r="J296" s="37"/>
      <c r="K296" s="105"/>
      <c r="L296" s="42"/>
      <c r="M296" s="117">
        <f>SUBTOTAL(9,M288:M295)</f>
        <v>19103037</v>
      </c>
      <c r="N296" s="107"/>
      <c r="O296" s="107"/>
      <c r="P296" s="107"/>
      <c r="Q296" s="117">
        <f>SUBTOTAL(9,Q288:Q295)</f>
        <v>-1910303.7</v>
      </c>
      <c r="R296" s="93"/>
      <c r="S296" s="84"/>
      <c r="T296" s="93"/>
      <c r="U296" s="189"/>
      <c r="V296" s="23"/>
      <c r="W296" s="23"/>
    </row>
    <row r="297" spans="1:23" ht="15.75">
      <c r="A297" s="23"/>
      <c r="C297" s="81"/>
      <c r="G297" s="25"/>
      <c r="I297" s="188"/>
      <c r="K297" s="118"/>
      <c r="L297" s="93"/>
      <c r="M297" s="120"/>
      <c r="N297" s="120"/>
      <c r="O297" s="120"/>
      <c r="P297" s="120"/>
      <c r="Q297" s="120"/>
      <c r="R297" s="93"/>
      <c r="S297" s="49"/>
      <c r="U297" s="193"/>
      <c r="V297" s="23"/>
      <c r="W297" s="23"/>
    </row>
    <row r="298" spans="1:23" ht="16.5" thickBot="1">
      <c r="A298" s="23"/>
      <c r="C298" s="81" t="s">
        <v>141</v>
      </c>
      <c r="G298" s="25"/>
      <c r="I298" s="188"/>
      <c r="K298" s="121">
        <f>SUBTOTAL(9,K15:K297)</f>
        <v>4037004423.8900018</v>
      </c>
      <c r="L298" s="93"/>
      <c r="M298" s="194">
        <f>SUBTOTAL(9,M15:M297)</f>
        <v>1539337386.8800001</v>
      </c>
      <c r="N298" s="120"/>
      <c r="O298" s="194">
        <f>SUBTOTAL(9,O15:O297)</f>
        <v>2791498957</v>
      </c>
      <c r="P298" s="120"/>
      <c r="Q298" s="194">
        <f>SUBTOTAL(9,Q15:Q297)</f>
        <v>110500198.38820523</v>
      </c>
      <c r="R298" s="93"/>
      <c r="S298" s="84">
        <f>+ROUND(Q298/K298*100,2)</f>
        <v>2.74</v>
      </c>
      <c r="T298" s="93"/>
      <c r="U298" s="189"/>
      <c r="V298" s="23"/>
      <c r="W298" s="23"/>
    </row>
    <row r="299" spans="1:23" ht="16.5" thickTop="1">
      <c r="A299" s="23"/>
      <c r="C299" s="93"/>
      <c r="G299" s="25"/>
      <c r="I299" s="188"/>
      <c r="K299" s="118"/>
      <c r="L299" s="93"/>
      <c r="M299" s="120"/>
      <c r="N299" s="120"/>
      <c r="O299" s="120"/>
      <c r="P299" s="120"/>
      <c r="Q299" s="120"/>
      <c r="R299" s="93"/>
      <c r="S299" s="49"/>
      <c r="U299" s="193"/>
      <c r="V299" s="23"/>
      <c r="W299" s="23"/>
    </row>
    <row r="300" spans="1:23" ht="15.75">
      <c r="A300" s="23"/>
      <c r="C300" s="124" t="s">
        <v>142</v>
      </c>
      <c r="G300" s="25"/>
      <c r="I300" s="188"/>
      <c r="K300" s="118"/>
      <c r="L300" s="93"/>
      <c r="M300" s="120"/>
      <c r="N300" s="120"/>
      <c r="O300" s="120"/>
      <c r="P300" s="120"/>
      <c r="Q300" s="120"/>
      <c r="R300" s="93"/>
      <c r="S300" s="49"/>
      <c r="U300" s="193"/>
      <c r="V300" s="23"/>
      <c r="W300" s="23"/>
    </row>
    <row r="301" spans="1:23" ht="15.75">
      <c r="A301" s="23"/>
      <c r="C301" s="93"/>
      <c r="G301" s="25"/>
      <c r="I301" s="188"/>
      <c r="K301" s="118"/>
      <c r="L301" s="93"/>
      <c r="M301" s="120"/>
      <c r="N301" s="120"/>
      <c r="O301" s="120"/>
      <c r="P301" s="120"/>
      <c r="Q301" s="120"/>
      <c r="R301" s="93"/>
      <c r="S301" s="49"/>
      <c r="U301" s="193"/>
      <c r="V301" s="23"/>
      <c r="W301" s="23"/>
    </row>
    <row r="302" spans="1:23" ht="15.75">
      <c r="A302" s="80">
        <v>301</v>
      </c>
      <c r="C302" s="19" t="s">
        <v>143</v>
      </c>
      <c r="G302" s="25"/>
      <c r="I302" s="188"/>
      <c r="K302" s="87">
        <v>5040.43</v>
      </c>
      <c r="L302" s="19"/>
      <c r="M302" s="89"/>
      <c r="N302" s="120"/>
      <c r="O302" s="120"/>
      <c r="P302" s="120"/>
      <c r="Q302" s="120"/>
      <c r="R302" s="93"/>
      <c r="S302" s="49"/>
      <c r="U302" s="193"/>
      <c r="V302" s="23"/>
      <c r="W302" s="23"/>
    </row>
    <row r="303" spans="1:23" ht="15.75">
      <c r="A303" s="109">
        <v>310</v>
      </c>
      <c r="B303" s="37"/>
      <c r="C303" s="50" t="s">
        <v>144</v>
      </c>
      <c r="D303" s="37"/>
      <c r="E303" s="37"/>
      <c r="F303" s="37"/>
      <c r="G303" s="169"/>
      <c r="H303" s="37"/>
      <c r="I303" s="170"/>
      <c r="J303" s="37"/>
      <c r="K303" s="55">
        <v>6916766.1399999997</v>
      </c>
      <c r="L303" s="19"/>
      <c r="M303" s="89"/>
      <c r="N303" s="120"/>
      <c r="O303" s="120"/>
      <c r="P303" s="120"/>
      <c r="Q303" s="120"/>
      <c r="R303" s="93"/>
      <c r="S303" s="49"/>
      <c r="U303" s="193"/>
      <c r="V303" s="23"/>
      <c r="W303" s="23"/>
    </row>
    <row r="304" spans="1:23" ht="15.75">
      <c r="A304" s="80">
        <v>340</v>
      </c>
      <c r="C304" s="19" t="s">
        <v>144</v>
      </c>
      <c r="G304" s="25"/>
      <c r="I304" s="188"/>
      <c r="K304" s="87">
        <v>5964035.6900000004</v>
      </c>
      <c r="L304" s="19"/>
      <c r="M304" s="89"/>
      <c r="N304" s="120"/>
      <c r="O304" s="120"/>
      <c r="P304" s="120"/>
      <c r="Q304" s="120"/>
      <c r="R304" s="93"/>
      <c r="S304" s="49"/>
      <c r="U304" s="193"/>
      <c r="V304" s="23"/>
      <c r="W304" s="23"/>
    </row>
    <row r="305" spans="1:23" ht="15.75">
      <c r="A305" s="80">
        <v>350</v>
      </c>
      <c r="C305" s="19" t="s">
        <v>144</v>
      </c>
      <c r="G305" s="25"/>
      <c r="I305" s="188"/>
      <c r="K305" s="87">
        <v>5771527.6600000001</v>
      </c>
      <c r="L305" s="19"/>
      <c r="M305" s="89"/>
      <c r="N305" s="120"/>
      <c r="O305" s="120"/>
      <c r="P305" s="120"/>
      <c r="Q305" s="120"/>
      <c r="R305" s="93"/>
      <c r="S305" s="49"/>
      <c r="U305" s="193"/>
      <c r="V305" s="23"/>
      <c r="W305" s="23"/>
    </row>
    <row r="306" spans="1:23" ht="15.75">
      <c r="A306" s="80">
        <v>350.1</v>
      </c>
      <c r="C306" s="19" t="s">
        <v>46</v>
      </c>
      <c r="G306" s="25"/>
      <c r="I306" s="188"/>
      <c r="K306" s="87">
        <v>55719148.420000002</v>
      </c>
      <c r="L306" s="19"/>
      <c r="M306" s="89"/>
      <c r="N306" s="120"/>
      <c r="O306" s="120"/>
      <c r="P306" s="120"/>
      <c r="Q306" s="120"/>
      <c r="R306" s="93"/>
      <c r="S306" s="49"/>
      <c r="U306" s="193"/>
      <c r="V306" s="23"/>
      <c r="W306" s="23"/>
    </row>
    <row r="307" spans="1:23" ht="15.75">
      <c r="A307" s="80">
        <v>360</v>
      </c>
      <c r="C307" s="19" t="s">
        <v>144</v>
      </c>
      <c r="G307" s="25"/>
      <c r="I307" s="188"/>
      <c r="K307" s="87">
        <v>10115251.35</v>
      </c>
      <c r="L307" s="19"/>
      <c r="M307" s="89"/>
      <c r="N307" s="120"/>
      <c r="O307" s="120"/>
      <c r="P307" s="120"/>
      <c r="Q307" s="120"/>
      <c r="R307" s="93"/>
      <c r="S307" s="49"/>
      <c r="U307" s="193"/>
      <c r="V307" s="23"/>
      <c r="W307" s="23"/>
    </row>
    <row r="308" spans="1:23" ht="15.75">
      <c r="A308" s="80">
        <v>389</v>
      </c>
      <c r="C308" s="19" t="s">
        <v>144</v>
      </c>
      <c r="G308" s="25"/>
      <c r="I308" s="188"/>
      <c r="K308" s="87">
        <v>1381311.62</v>
      </c>
      <c r="L308" s="19"/>
      <c r="M308" s="27"/>
      <c r="N308" s="120"/>
      <c r="O308" s="120"/>
      <c r="P308" s="120"/>
      <c r="Q308" s="120"/>
      <c r="R308" s="93"/>
      <c r="S308" s="49"/>
      <c r="U308" s="193"/>
      <c r="V308" s="23"/>
      <c r="W308" s="23"/>
    </row>
    <row r="309" spans="1:23" ht="15.75">
      <c r="A309" s="80">
        <v>389.1</v>
      </c>
      <c r="C309" s="19" t="s">
        <v>46</v>
      </c>
      <c r="G309" s="25"/>
      <c r="I309" s="188"/>
      <c r="K309" s="75">
        <v>454290.88</v>
      </c>
      <c r="L309" s="19"/>
      <c r="M309" s="27"/>
      <c r="N309" s="120"/>
      <c r="O309" s="120"/>
      <c r="P309" s="120"/>
      <c r="Q309" s="120"/>
      <c r="R309" s="93"/>
      <c r="S309" s="49"/>
      <c r="U309" s="193"/>
      <c r="V309" s="23"/>
      <c r="W309" s="23"/>
    </row>
    <row r="310" spans="1:23" ht="15.75">
      <c r="A310" s="23"/>
      <c r="C310" s="93"/>
      <c r="G310" s="25"/>
      <c r="I310" s="188"/>
      <c r="K310" s="118"/>
      <c r="L310" s="93"/>
      <c r="M310" s="104"/>
      <c r="N310" s="120"/>
      <c r="O310" s="104"/>
      <c r="P310" s="104"/>
      <c r="Q310" s="104"/>
      <c r="R310" s="93"/>
      <c r="S310" s="49"/>
      <c r="U310" s="193"/>
      <c r="V310" s="23"/>
      <c r="W310" s="23"/>
    </row>
    <row r="311" spans="1:23" ht="15.75">
      <c r="A311" s="23"/>
      <c r="C311" s="81" t="s">
        <v>145</v>
      </c>
      <c r="G311" s="25"/>
      <c r="I311" s="188"/>
      <c r="K311" s="82">
        <f>SUBTOTAL(9,K302:K310)</f>
        <v>86327372.189999998</v>
      </c>
      <c r="L311" s="93"/>
      <c r="M311" s="104"/>
      <c r="N311" s="120"/>
      <c r="O311" s="104"/>
      <c r="P311" s="104"/>
      <c r="Q311" s="104"/>
      <c r="R311" s="93"/>
      <c r="S311" s="49"/>
      <c r="U311" s="193"/>
      <c r="V311" s="23"/>
      <c r="W311" s="23"/>
    </row>
    <row r="312" spans="1:23" ht="15.75">
      <c r="A312" s="23"/>
      <c r="C312" s="93"/>
      <c r="G312" s="25"/>
      <c r="I312" s="188"/>
      <c r="K312" s="118"/>
      <c r="L312" s="93"/>
      <c r="M312" s="104"/>
      <c r="N312" s="120"/>
      <c r="O312" s="104"/>
      <c r="P312" s="104"/>
      <c r="Q312" s="104"/>
      <c r="R312" s="93"/>
      <c r="S312" s="49"/>
      <c r="U312" s="193"/>
      <c r="V312" s="23"/>
      <c r="W312" s="23"/>
    </row>
    <row r="313" spans="1:23" ht="16.5" thickBot="1">
      <c r="A313" s="23"/>
      <c r="C313" s="81" t="s">
        <v>146</v>
      </c>
      <c r="G313" s="25"/>
      <c r="I313" s="188"/>
      <c r="K313" s="121">
        <f>SUBTOTAL(9,K15:K312)</f>
        <v>4123331796.0800014</v>
      </c>
      <c r="L313" s="93"/>
      <c r="M313" s="104"/>
      <c r="N313" s="120"/>
      <c r="O313" s="104"/>
      <c r="P313" s="104"/>
      <c r="Q313" s="104"/>
      <c r="R313" s="93"/>
      <c r="S313" s="49"/>
      <c r="U313" s="193"/>
      <c r="V313" s="23"/>
      <c r="W313" s="23"/>
    </row>
    <row r="314" spans="1:23" ht="16.5" thickTop="1">
      <c r="A314" s="23"/>
      <c r="C314" s="81"/>
      <c r="G314" s="25"/>
      <c r="I314" s="188"/>
      <c r="K314" s="87"/>
      <c r="L314" s="93"/>
      <c r="M314" s="104"/>
      <c r="N314" s="120"/>
      <c r="O314" s="104"/>
      <c r="P314" s="104"/>
      <c r="Q314" s="104"/>
      <c r="R314" s="93"/>
      <c r="S314" s="49"/>
      <c r="U314" s="193"/>
      <c r="V314" s="23"/>
      <c r="W314" s="23"/>
    </row>
    <row r="315" spans="1:23">
      <c r="B315" s="195" t="s">
        <v>181</v>
      </c>
      <c r="C315" s="50" t="s">
        <v>212</v>
      </c>
      <c r="O315" s="196"/>
      <c r="P315" s="196"/>
      <c r="Q315" s="196"/>
    </row>
    <row r="316" spans="1:23">
      <c r="B316" s="195" t="s">
        <v>209</v>
      </c>
      <c r="C316" s="112" t="s">
        <v>213</v>
      </c>
    </row>
    <row r="317" spans="1:23">
      <c r="B317" s="197" t="s">
        <v>211</v>
      </c>
      <c r="C317" s="19" t="s">
        <v>214</v>
      </c>
    </row>
  </sheetData>
  <printOptions horizontalCentered="1"/>
  <pageMargins left="1" right="0.5" top="1" bottom="0.75" header="0.5" footer="0.5"/>
  <pageSetup scale="28" fitToHeight="0" orientation="landscape" r:id="rId1"/>
  <rowBreaks count="4" manualBreakCount="4">
    <brk id="67" max="20" man="1"/>
    <brk id="133" max="20" man="1"/>
    <brk id="204" max="20" man="1"/>
    <brk id="269"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7"/>
  <sheetViews>
    <sheetView zoomScale="64" zoomScaleNormal="64" workbookViewId="0">
      <pane xSplit="4" ySplit="9" topLeftCell="N112" activePane="bottomRight" state="frozen"/>
      <selection pane="topRight" activeCell="E1" sqref="E1"/>
      <selection pane="bottomLeft" activeCell="A10" sqref="A10"/>
      <selection pane="bottomRight" activeCell="Y302" sqref="Y302"/>
    </sheetView>
  </sheetViews>
  <sheetFormatPr defaultColWidth="12.5703125" defaultRowHeight="15"/>
  <cols>
    <col min="1" max="1" width="10" style="18" customWidth="1"/>
    <col min="2" max="2" width="3.7109375" style="18" customWidth="1"/>
    <col min="3" max="3" width="77.7109375" style="18" customWidth="1"/>
    <col min="4" max="4" width="3.5703125" style="18" customWidth="1"/>
    <col min="5" max="5" width="23.28515625" style="18" customWidth="1"/>
    <col min="6" max="6" width="3.5703125" style="18" customWidth="1"/>
    <col min="7" max="7" width="18.140625" style="18" customWidth="1"/>
    <col min="8" max="8" width="3.7109375" style="18" customWidth="1"/>
    <col min="9" max="9" width="19" style="175" customWidth="1"/>
    <col min="10" max="10" width="3.5703125" style="18" customWidth="1"/>
    <col min="11" max="11" width="29.7109375" style="18" customWidth="1"/>
    <col min="12" max="12" width="3.5703125" style="18" customWidth="1"/>
    <col min="13" max="13" width="29" style="20" customWidth="1"/>
    <col min="14" max="14" width="3.5703125" style="20" customWidth="1"/>
    <col min="15" max="15" width="30.5703125" style="20" customWidth="1"/>
    <col min="16" max="16" width="3.5703125" style="20" customWidth="1"/>
    <col min="17" max="17" width="27.28515625" style="20" customWidth="1"/>
    <col min="18" max="18" width="4.28515625" style="18" customWidth="1"/>
    <col min="19" max="19" width="20.7109375" style="18" customWidth="1"/>
    <col min="20" max="20" width="3.5703125" style="18" customWidth="1"/>
    <col min="21" max="21" width="19.5703125" style="18" customWidth="1"/>
    <col min="22" max="22" width="12.5703125" style="18"/>
    <col min="23" max="23" width="15.28515625" style="18" customWidth="1"/>
    <col min="24" max="24" width="12.5703125" style="18"/>
    <col min="25" max="25" width="15.42578125" style="18" customWidth="1"/>
    <col min="26" max="26" width="12.5703125" style="18"/>
    <col min="27" max="27" width="16.42578125" style="18" customWidth="1"/>
    <col min="28" max="16384" width="12.5703125" style="18"/>
  </cols>
  <sheetData>
    <row r="1" spans="1:27" ht="15.75">
      <c r="A1" s="153" t="s">
        <v>148</v>
      </c>
      <c r="B1" s="153"/>
      <c r="C1" s="153"/>
      <c r="D1" s="153"/>
      <c r="E1" s="153"/>
      <c r="F1" s="153"/>
      <c r="G1" s="153"/>
      <c r="H1" s="153"/>
      <c r="I1" s="154"/>
      <c r="J1" s="153"/>
      <c r="K1" s="153"/>
      <c r="L1" s="153"/>
      <c r="M1" s="153"/>
      <c r="N1" s="153"/>
      <c r="O1" s="153"/>
      <c r="P1" s="153"/>
      <c r="Q1" s="153"/>
      <c r="R1" s="153"/>
      <c r="S1" s="153"/>
      <c r="T1" s="153"/>
      <c r="U1" s="153"/>
      <c r="V1" s="23"/>
      <c r="W1" s="23"/>
    </row>
    <row r="2" spans="1:27" ht="15.75">
      <c r="A2" s="153"/>
      <c r="B2" s="153"/>
      <c r="C2" s="153"/>
      <c r="D2" s="153"/>
      <c r="E2" s="153"/>
      <c r="F2" s="153"/>
      <c r="G2" s="153"/>
      <c r="H2" s="153"/>
      <c r="I2" s="154"/>
      <c r="J2" s="153"/>
      <c r="K2" s="153"/>
      <c r="L2" s="153"/>
      <c r="M2" s="153"/>
      <c r="N2" s="153"/>
      <c r="O2" s="153"/>
      <c r="P2" s="153"/>
      <c r="Q2" s="153"/>
      <c r="R2" s="153"/>
      <c r="S2" s="153"/>
      <c r="T2" s="153"/>
      <c r="U2" s="153"/>
      <c r="V2" s="23"/>
      <c r="W2" s="23"/>
    </row>
    <row r="3" spans="1:27" ht="15.75">
      <c r="A3" s="153" t="s">
        <v>149</v>
      </c>
      <c r="B3" s="153"/>
      <c r="C3" s="153"/>
      <c r="D3" s="153"/>
      <c r="E3" s="153"/>
      <c r="F3" s="153"/>
      <c r="G3" s="153"/>
      <c r="H3" s="153"/>
      <c r="I3" s="154"/>
      <c r="J3" s="153"/>
      <c r="K3" s="153"/>
      <c r="L3" s="153"/>
      <c r="M3" s="153"/>
      <c r="N3" s="153"/>
      <c r="O3" s="153"/>
      <c r="P3" s="153"/>
      <c r="Q3" s="153"/>
      <c r="R3" s="153"/>
      <c r="S3" s="153"/>
      <c r="T3" s="153"/>
      <c r="U3" s="153"/>
      <c r="V3" s="23"/>
      <c r="W3" s="23"/>
    </row>
    <row r="4" spans="1:27" ht="15.75">
      <c r="A4" s="153" t="s">
        <v>150</v>
      </c>
      <c r="B4" s="153"/>
      <c r="C4" s="153"/>
      <c r="D4" s="153"/>
      <c r="E4" s="153"/>
      <c r="F4" s="153"/>
      <c r="G4" s="153"/>
      <c r="H4" s="153"/>
      <c r="I4" s="154"/>
      <c r="J4" s="153"/>
      <c r="K4" s="153"/>
      <c r="L4" s="153"/>
      <c r="M4" s="153"/>
      <c r="N4" s="153"/>
      <c r="O4" s="153"/>
      <c r="P4" s="153"/>
      <c r="Q4" s="153"/>
      <c r="R4" s="153"/>
      <c r="S4" s="153"/>
      <c r="T4" s="153"/>
      <c r="U4" s="153"/>
      <c r="V4" s="23"/>
      <c r="W4" s="23"/>
    </row>
    <row r="5" spans="1:27" ht="15.75">
      <c r="A5" s="21"/>
      <c r="B5" s="22"/>
      <c r="C5" s="22"/>
      <c r="D5" s="22"/>
      <c r="E5" s="22"/>
      <c r="F5" s="22"/>
      <c r="G5" s="22"/>
      <c r="H5" s="22"/>
      <c r="I5" s="155"/>
      <c r="J5" s="22"/>
      <c r="K5" s="22"/>
      <c r="L5" s="22"/>
      <c r="M5" s="156"/>
      <c r="N5" s="156"/>
      <c r="O5" s="156"/>
      <c r="P5" s="156"/>
      <c r="V5" s="23"/>
      <c r="W5" s="201" t="s">
        <v>746</v>
      </c>
      <c r="X5" s="207"/>
      <c r="Y5" s="201" t="s">
        <v>164</v>
      </c>
      <c r="Z5" s="207"/>
      <c r="AA5" s="201" t="s">
        <v>746</v>
      </c>
    </row>
    <row r="6" spans="1:27" ht="15.75">
      <c r="A6" s="23"/>
      <c r="B6" s="93"/>
      <c r="C6" s="24"/>
      <c r="D6" s="28"/>
      <c r="E6" s="157" t="s">
        <v>151</v>
      </c>
      <c r="F6" s="28"/>
      <c r="G6" s="28"/>
      <c r="H6" s="28"/>
      <c r="I6" s="158" t="s">
        <v>152</v>
      </c>
      <c r="J6" s="28"/>
      <c r="K6" s="28" t="s">
        <v>153</v>
      </c>
      <c r="L6" s="28"/>
      <c r="M6" s="36" t="s">
        <v>154</v>
      </c>
      <c r="N6" s="36"/>
      <c r="O6" s="36"/>
      <c r="P6" s="36"/>
      <c r="Q6" s="159" t="s">
        <v>155</v>
      </c>
      <c r="R6" s="160"/>
      <c r="S6" s="160"/>
      <c r="T6" s="25"/>
      <c r="U6" s="28"/>
      <c r="V6" s="23"/>
      <c r="W6" s="201" t="s">
        <v>747</v>
      </c>
      <c r="X6" s="207"/>
      <c r="Y6" s="201" t="s">
        <v>173</v>
      </c>
      <c r="Z6" s="207"/>
      <c r="AA6" s="201" t="s">
        <v>747</v>
      </c>
    </row>
    <row r="7" spans="1:27" ht="15.75">
      <c r="A7" s="23"/>
      <c r="B7" s="93"/>
      <c r="C7" s="28"/>
      <c r="D7" s="28"/>
      <c r="E7" s="157" t="s">
        <v>157</v>
      </c>
      <c r="F7" s="28"/>
      <c r="G7" s="28" t="s">
        <v>158</v>
      </c>
      <c r="H7" s="28"/>
      <c r="I7" s="158" t="s">
        <v>159</v>
      </c>
      <c r="J7" s="28"/>
      <c r="K7" s="28" t="s">
        <v>160</v>
      </c>
      <c r="L7" s="28"/>
      <c r="M7" s="36" t="s">
        <v>161</v>
      </c>
      <c r="N7" s="36"/>
      <c r="O7" s="36" t="s">
        <v>162</v>
      </c>
      <c r="P7" s="36"/>
      <c r="Q7" s="161" t="s">
        <v>163</v>
      </c>
      <c r="R7" s="162"/>
      <c r="S7" s="163"/>
      <c r="T7" s="25"/>
      <c r="U7" s="28" t="s">
        <v>164</v>
      </c>
      <c r="V7" s="23"/>
      <c r="W7" s="201" t="s">
        <v>164</v>
      </c>
      <c r="X7" s="207"/>
      <c r="Y7" s="201" t="s">
        <v>218</v>
      </c>
      <c r="Z7" s="207"/>
      <c r="AA7" s="201" t="s">
        <v>164</v>
      </c>
    </row>
    <row r="8" spans="1:27" ht="15.75">
      <c r="A8" s="23"/>
      <c r="B8" s="93"/>
      <c r="C8" s="28" t="s">
        <v>36</v>
      </c>
      <c r="D8" s="28"/>
      <c r="E8" s="164" t="s">
        <v>165</v>
      </c>
      <c r="F8" s="28"/>
      <c r="G8" s="28" t="s">
        <v>166</v>
      </c>
      <c r="H8" s="28"/>
      <c r="I8" s="158" t="s">
        <v>167</v>
      </c>
      <c r="J8" s="28"/>
      <c r="K8" s="165" t="s">
        <v>168</v>
      </c>
      <c r="L8" s="28"/>
      <c r="M8" s="36" t="s">
        <v>169</v>
      </c>
      <c r="N8" s="36"/>
      <c r="O8" s="36" t="s">
        <v>170</v>
      </c>
      <c r="P8" s="36"/>
      <c r="Q8" s="36" t="s">
        <v>171</v>
      </c>
      <c r="R8" s="28"/>
      <c r="S8" s="24" t="s">
        <v>172</v>
      </c>
      <c r="T8" s="25"/>
      <c r="U8" s="28" t="s">
        <v>173</v>
      </c>
      <c r="V8" s="23"/>
      <c r="W8" s="201" t="s">
        <v>173</v>
      </c>
      <c r="X8" s="207"/>
      <c r="Y8" s="201" t="s">
        <v>219</v>
      </c>
      <c r="Z8" s="207"/>
      <c r="AA8" s="201" t="s">
        <v>173</v>
      </c>
    </row>
    <row r="9" spans="1:27" ht="15.75">
      <c r="A9" s="23"/>
      <c r="B9" s="93"/>
      <c r="C9" s="166">
        <v>-1</v>
      </c>
      <c r="D9" s="35"/>
      <c r="E9" s="166">
        <v>-2</v>
      </c>
      <c r="F9" s="35"/>
      <c r="G9" s="167">
        <v>-3</v>
      </c>
      <c r="H9" s="35"/>
      <c r="I9" s="166">
        <v>-4</v>
      </c>
      <c r="J9" s="35"/>
      <c r="K9" s="166">
        <v>-5</v>
      </c>
      <c r="L9" s="36"/>
      <c r="M9" s="166">
        <v>-6</v>
      </c>
      <c r="N9" s="36"/>
      <c r="O9" s="166">
        <v>-7</v>
      </c>
      <c r="P9" s="36"/>
      <c r="Q9" s="166">
        <v>-8</v>
      </c>
      <c r="R9" s="35"/>
      <c r="S9" s="168" t="s">
        <v>174</v>
      </c>
      <c r="U9" s="168" t="s">
        <v>175</v>
      </c>
      <c r="V9" s="23"/>
      <c r="W9" s="201"/>
      <c r="X9" s="207"/>
      <c r="Y9" s="207"/>
      <c r="Z9" s="207"/>
      <c r="AA9" s="201"/>
    </row>
    <row r="10" spans="1:27" ht="15.75">
      <c r="A10" s="23"/>
      <c r="B10" s="93"/>
      <c r="C10" s="35"/>
      <c r="D10" s="35"/>
      <c r="E10" s="35"/>
      <c r="F10" s="35"/>
      <c r="G10" s="35"/>
      <c r="H10" s="35"/>
      <c r="I10" s="158"/>
      <c r="J10" s="35"/>
      <c r="K10" s="35"/>
      <c r="L10" s="35"/>
      <c r="M10" s="36"/>
      <c r="N10" s="36"/>
      <c r="O10" s="36"/>
      <c r="P10" s="36"/>
      <c r="Q10" s="36"/>
      <c r="R10" s="35"/>
      <c r="S10" s="35"/>
      <c r="U10" s="35"/>
      <c r="V10" s="23"/>
      <c r="W10" s="201"/>
      <c r="X10" s="207"/>
      <c r="Y10" s="207"/>
      <c r="Z10" s="207"/>
      <c r="AA10" s="201"/>
    </row>
    <row r="11" spans="1:27" ht="15.75">
      <c r="A11" s="23"/>
      <c r="B11" s="93"/>
      <c r="C11" s="34" t="s">
        <v>176</v>
      </c>
      <c r="D11" s="35"/>
      <c r="E11" s="35"/>
      <c r="F11" s="35"/>
      <c r="G11" s="35"/>
      <c r="H11" s="35"/>
      <c r="I11" s="158"/>
      <c r="J11" s="35"/>
      <c r="K11" s="35"/>
      <c r="L11" s="35"/>
      <c r="M11" s="36"/>
      <c r="N11" s="36"/>
      <c r="O11" s="36"/>
      <c r="P11" s="36"/>
      <c r="Q11" s="36"/>
      <c r="R11" s="35"/>
      <c r="S11" s="35"/>
      <c r="U11" s="35"/>
      <c r="V11" s="23"/>
      <c r="W11" s="202"/>
      <c r="X11" s="207"/>
      <c r="Y11" s="207"/>
      <c r="Z11" s="207"/>
      <c r="AA11" s="202"/>
    </row>
    <row r="12" spans="1:27" ht="15.75">
      <c r="A12" s="23"/>
      <c r="B12" s="93"/>
      <c r="C12" s="34"/>
      <c r="D12" s="35"/>
      <c r="E12" s="35"/>
      <c r="F12" s="35"/>
      <c r="G12" s="35"/>
      <c r="H12" s="35"/>
      <c r="I12" s="158"/>
      <c r="J12" s="35"/>
      <c r="K12" s="35"/>
      <c r="L12" s="35"/>
      <c r="M12" s="36"/>
      <c r="N12" s="36"/>
      <c r="O12" s="36"/>
      <c r="P12" s="36"/>
      <c r="Q12" s="36"/>
      <c r="R12" s="35"/>
      <c r="S12" s="35"/>
      <c r="U12" s="35"/>
      <c r="V12" s="23"/>
      <c r="W12" s="202"/>
      <c r="X12" s="207"/>
      <c r="Y12" s="207"/>
      <c r="Z12" s="207"/>
      <c r="AA12" s="202"/>
    </row>
    <row r="13" spans="1:27" ht="15.75">
      <c r="A13" s="37"/>
      <c r="B13" s="42"/>
      <c r="C13" s="38" t="s">
        <v>43</v>
      </c>
      <c r="D13" s="35"/>
      <c r="E13" s="35"/>
      <c r="F13" s="35"/>
      <c r="G13" s="35"/>
      <c r="H13" s="35"/>
      <c r="I13" s="158"/>
      <c r="J13" s="35"/>
      <c r="K13" s="35"/>
      <c r="L13" s="35"/>
      <c r="M13" s="36"/>
      <c r="N13" s="36"/>
      <c r="O13" s="36"/>
      <c r="P13" s="36"/>
      <c r="Q13" s="36"/>
      <c r="R13" s="35"/>
      <c r="S13" s="35"/>
      <c r="U13" s="35"/>
      <c r="V13" s="23"/>
      <c r="W13" s="202"/>
      <c r="X13" s="207"/>
      <c r="Y13" s="207"/>
      <c r="Z13" s="207"/>
      <c r="AA13" s="202"/>
    </row>
    <row r="14" spans="1:27" ht="15.75">
      <c r="A14" s="37"/>
      <c r="B14" s="42"/>
      <c r="C14" s="39"/>
      <c r="D14" s="35"/>
      <c r="E14" s="35"/>
      <c r="F14" s="35"/>
      <c r="G14" s="35"/>
      <c r="H14" s="35"/>
      <c r="I14" s="158"/>
      <c r="J14" s="35"/>
      <c r="K14" s="35"/>
      <c r="L14" s="35"/>
      <c r="M14" s="36"/>
      <c r="N14" s="36"/>
      <c r="O14" s="36"/>
      <c r="P14" s="36"/>
      <c r="Q14" s="36"/>
      <c r="R14" s="35"/>
      <c r="S14" s="35"/>
      <c r="U14" s="35"/>
      <c r="V14" s="23"/>
      <c r="W14" s="202"/>
      <c r="X14" s="207"/>
      <c r="Y14" s="207"/>
      <c r="Z14" s="207"/>
      <c r="AA14" s="202"/>
    </row>
    <row r="15" spans="1:27" ht="15.75">
      <c r="A15" s="41">
        <v>303</v>
      </c>
      <c r="B15" s="50"/>
      <c r="C15" s="50" t="s">
        <v>44</v>
      </c>
      <c r="D15" s="35"/>
      <c r="E15" s="35"/>
      <c r="F15" s="35"/>
      <c r="G15" s="169" t="s">
        <v>177</v>
      </c>
      <c r="H15" s="169" t="s">
        <v>178</v>
      </c>
      <c r="I15" s="170">
        <v>0</v>
      </c>
      <c r="J15" s="50"/>
      <c r="K15" s="60">
        <v>2333311.0499999998</v>
      </c>
      <c r="L15" s="171"/>
      <c r="M15" s="62">
        <v>1134520</v>
      </c>
      <c r="N15" s="57"/>
      <c r="O15" s="205">
        <f>ROUND((K15+(K15*-(I15/100)))-M15,0)</f>
        <v>1198791</v>
      </c>
      <c r="P15" s="57"/>
      <c r="Q15" s="62">
        <v>266398</v>
      </c>
      <c r="R15" s="50"/>
      <c r="S15" s="58">
        <v>11.42</v>
      </c>
      <c r="T15" s="50"/>
      <c r="U15" s="172">
        <v>4.5</v>
      </c>
      <c r="V15" s="23"/>
      <c r="W15" s="202"/>
      <c r="X15" s="207"/>
      <c r="Y15" s="207"/>
      <c r="Z15" s="207"/>
      <c r="AA15" s="202"/>
    </row>
    <row r="16" spans="1:27" ht="15.75">
      <c r="A16" s="37"/>
      <c r="B16" s="42"/>
      <c r="C16" s="39"/>
      <c r="D16" s="35"/>
      <c r="E16" s="35"/>
      <c r="F16" s="35"/>
      <c r="G16" s="35"/>
      <c r="H16" s="35"/>
      <c r="I16" s="158"/>
      <c r="J16" s="35"/>
      <c r="K16" s="35"/>
      <c r="L16" s="35"/>
      <c r="M16" s="36"/>
      <c r="N16" s="36"/>
      <c r="O16" s="36"/>
      <c r="P16" s="36"/>
      <c r="Q16" s="36"/>
      <c r="R16" s="35"/>
      <c r="S16" s="35"/>
      <c r="U16" s="35"/>
      <c r="V16" s="23"/>
      <c r="W16" s="202"/>
      <c r="X16" s="207"/>
      <c r="Y16" s="207"/>
      <c r="Z16" s="207"/>
      <c r="AA16" s="202"/>
    </row>
    <row r="17" spans="1:27" ht="15.75">
      <c r="A17" s="37"/>
      <c r="B17" s="42"/>
      <c r="C17" s="108" t="s">
        <v>179</v>
      </c>
      <c r="D17" s="35"/>
      <c r="E17" s="35"/>
      <c r="F17" s="35"/>
      <c r="G17" s="35"/>
      <c r="H17" s="35"/>
      <c r="I17" s="158"/>
      <c r="J17" s="35"/>
      <c r="K17" s="105">
        <f>SUBTOTAL(9,K15:K16)</f>
        <v>2333311.0499999998</v>
      </c>
      <c r="L17" s="173"/>
      <c r="M17" s="174">
        <f>SUBTOTAL(9,M15:M16)</f>
        <v>1134520</v>
      </c>
      <c r="N17" s="174"/>
      <c r="O17" s="174">
        <f>SUBTOTAL(9,O15:O16)</f>
        <v>1198791</v>
      </c>
      <c r="P17" s="174"/>
      <c r="Q17" s="174">
        <f>SUBTOTAL(9,Q15:Q16)</f>
        <v>266398</v>
      </c>
      <c r="R17" s="42"/>
      <c r="S17" s="43">
        <f>+ROUND(Q17/K17*100,2)</f>
        <v>11.42</v>
      </c>
      <c r="U17" s="35"/>
      <c r="V17" s="23"/>
      <c r="W17" s="202"/>
      <c r="X17" s="207"/>
      <c r="Y17" s="207"/>
      <c r="Z17" s="207"/>
      <c r="AA17" s="202"/>
    </row>
    <row r="18" spans="1:27" ht="15.75">
      <c r="A18" s="23"/>
      <c r="B18" s="93"/>
      <c r="C18" s="35"/>
      <c r="D18" s="35"/>
      <c r="E18" s="35"/>
      <c r="F18" s="35"/>
      <c r="G18" s="35"/>
      <c r="H18" s="35"/>
      <c r="I18" s="158"/>
      <c r="J18" s="35"/>
      <c r="K18" s="35"/>
      <c r="L18" s="35"/>
      <c r="M18" s="36"/>
      <c r="N18" s="36"/>
      <c r="O18" s="36"/>
      <c r="P18" s="36"/>
      <c r="Q18" s="36"/>
      <c r="R18" s="35"/>
      <c r="S18" s="35"/>
      <c r="U18" s="35"/>
      <c r="V18" s="23"/>
      <c r="W18" s="202"/>
      <c r="X18" s="207"/>
      <c r="Y18" s="207"/>
      <c r="Z18" s="207"/>
      <c r="AA18" s="202"/>
    </row>
    <row r="19" spans="1:27" ht="15.75">
      <c r="A19" s="23"/>
      <c r="C19" s="24" t="s">
        <v>45</v>
      </c>
      <c r="M19" s="46"/>
      <c r="N19" s="46"/>
      <c r="O19" s="46"/>
      <c r="P19" s="46"/>
      <c r="Q19" s="46"/>
      <c r="S19" s="47"/>
      <c r="U19" s="80"/>
      <c r="V19" s="23"/>
      <c r="W19" s="202"/>
      <c r="X19" s="207"/>
      <c r="Y19" s="207"/>
      <c r="Z19" s="207"/>
      <c r="AA19" s="202"/>
    </row>
    <row r="20" spans="1:27" ht="15.75">
      <c r="A20" s="23"/>
      <c r="C20" s="48"/>
      <c r="M20" s="46"/>
      <c r="N20" s="46"/>
      <c r="O20" s="46"/>
      <c r="P20" s="46"/>
      <c r="Q20" s="46"/>
      <c r="S20" s="49"/>
      <c r="U20" s="176"/>
      <c r="V20" s="23"/>
      <c r="W20" s="202"/>
      <c r="X20" s="207"/>
      <c r="Y20" s="207"/>
      <c r="Z20" s="207"/>
      <c r="AA20" s="202"/>
    </row>
    <row r="21" spans="1:27">
      <c r="A21" s="41">
        <v>310.10000000000002</v>
      </c>
      <c r="B21" s="50"/>
      <c r="C21" s="50" t="s">
        <v>46</v>
      </c>
      <c r="D21" s="37"/>
      <c r="E21" s="37"/>
      <c r="F21" s="37"/>
      <c r="G21" s="37"/>
      <c r="H21" s="37"/>
      <c r="I21" s="177"/>
      <c r="J21" s="37"/>
      <c r="K21" s="37"/>
      <c r="L21" s="37"/>
      <c r="M21" s="52"/>
      <c r="N21" s="52"/>
      <c r="O21" s="52"/>
      <c r="P21" s="52"/>
      <c r="Q21" s="52"/>
      <c r="R21" s="37"/>
      <c r="S21" s="53"/>
      <c r="T21" s="37"/>
      <c r="U21" s="178"/>
      <c r="V21" s="23"/>
      <c r="W21" s="202"/>
      <c r="X21" s="207"/>
      <c r="Y21" s="207"/>
      <c r="Z21" s="207"/>
      <c r="AA21" s="202"/>
    </row>
    <row r="22" spans="1:27">
      <c r="A22" s="37"/>
      <c r="B22" s="37"/>
      <c r="C22" s="54" t="s">
        <v>47</v>
      </c>
      <c r="D22" s="50"/>
      <c r="E22" s="169">
        <v>2030</v>
      </c>
      <c r="F22" s="50"/>
      <c r="G22" s="169" t="s">
        <v>180</v>
      </c>
      <c r="H22" s="169" t="s">
        <v>181</v>
      </c>
      <c r="I22" s="170">
        <v>0</v>
      </c>
      <c r="J22" s="50"/>
      <c r="K22" s="55">
        <v>5325571.5599999996</v>
      </c>
      <c r="L22" s="171"/>
      <c r="M22" s="57">
        <v>0</v>
      </c>
      <c r="N22" s="57"/>
      <c r="O22" s="198">
        <f>ROUND((K22+(K22*-(I22/100)))-M22,0)</f>
        <v>5325572</v>
      </c>
      <c r="P22" s="57"/>
      <c r="Q22" s="57">
        <f>O22/U22</f>
        <v>484142.90909090912</v>
      </c>
      <c r="R22" s="50"/>
      <c r="S22" s="58">
        <f>Q22/K22*100</f>
        <v>9.0909098420021817</v>
      </c>
      <c r="T22" s="50"/>
      <c r="U22" s="172">
        <f>AA22</f>
        <v>11</v>
      </c>
      <c r="V22" s="23"/>
      <c r="W22" s="345">
        <f>'Adjust Depr Table 1'!U22</f>
        <v>11</v>
      </c>
      <c r="X22" s="207"/>
      <c r="Y22" s="209"/>
      <c r="Z22" s="207"/>
      <c r="AA22" s="203">
        <f>W22+Y22</f>
        <v>11</v>
      </c>
    </row>
    <row r="23" spans="1:27">
      <c r="A23" s="37"/>
      <c r="B23" s="37"/>
      <c r="C23" s="54" t="s">
        <v>48</v>
      </c>
      <c r="D23" s="50"/>
      <c r="E23" s="169">
        <v>2030</v>
      </c>
      <c r="F23" s="50"/>
      <c r="G23" s="169" t="s">
        <v>180</v>
      </c>
      <c r="H23" s="169" t="s">
        <v>181</v>
      </c>
      <c r="I23" s="170">
        <v>0</v>
      </c>
      <c r="J23" s="50"/>
      <c r="K23" s="55">
        <v>480134.08</v>
      </c>
      <c r="L23" s="171"/>
      <c r="M23" s="57">
        <v>0</v>
      </c>
      <c r="N23" s="57"/>
      <c r="O23" s="198">
        <f>ROUND((K23+(K23*-(I23/100)))-M23,0)</f>
        <v>480134</v>
      </c>
      <c r="P23" s="57"/>
      <c r="Q23" s="57">
        <f>O23/U23</f>
        <v>43648.545454545456</v>
      </c>
      <c r="R23" s="50"/>
      <c r="S23" s="58">
        <f>Q23/K23*100</f>
        <v>9.0909075761806903</v>
      </c>
      <c r="T23" s="50"/>
      <c r="U23" s="172">
        <f>AA23</f>
        <v>11</v>
      </c>
      <c r="V23" s="23"/>
      <c r="W23" s="345">
        <f>'Adjust Depr Table 1'!U23</f>
        <v>11</v>
      </c>
      <c r="X23" s="207"/>
      <c r="Y23" s="209"/>
      <c r="Z23" s="207"/>
      <c r="AA23" s="203">
        <f>W23+Y23</f>
        <v>11</v>
      </c>
    </row>
    <row r="24" spans="1:27">
      <c r="A24" s="37"/>
      <c r="B24" s="37"/>
      <c r="C24" s="54" t="s">
        <v>49</v>
      </c>
      <c r="D24" s="50"/>
      <c r="E24" s="169">
        <v>2049</v>
      </c>
      <c r="F24" s="50"/>
      <c r="G24" s="169" t="s">
        <v>180</v>
      </c>
      <c r="H24" s="169" t="s">
        <v>181</v>
      </c>
      <c r="I24" s="170">
        <v>0</v>
      </c>
      <c r="J24" s="50"/>
      <c r="K24" s="55">
        <v>20170029.309999999</v>
      </c>
      <c r="L24" s="171"/>
      <c r="M24" s="57">
        <v>0</v>
      </c>
      <c r="N24" s="57"/>
      <c r="O24" s="198">
        <f>ROUND((K24+(K24*-(I24/100)))-M24,0)</f>
        <v>20170029</v>
      </c>
      <c r="P24" s="57"/>
      <c r="Q24" s="57">
        <f>O24/U24</f>
        <v>672334.3</v>
      </c>
      <c r="R24" s="50"/>
      <c r="S24" s="74">
        <f>Q24/K24*100</f>
        <v>3.333333282102207</v>
      </c>
      <c r="T24" s="50"/>
      <c r="U24" s="172">
        <f>AA24</f>
        <v>30</v>
      </c>
      <c r="V24" s="23"/>
      <c r="W24" s="345">
        <f>'Adjust Depr Table 1'!U24</f>
        <v>30</v>
      </c>
      <c r="X24" s="207"/>
      <c r="Y24" s="209"/>
      <c r="Z24" s="207"/>
      <c r="AA24" s="203">
        <f>W24+Y24</f>
        <v>30</v>
      </c>
    </row>
    <row r="25" spans="1:27">
      <c r="A25" s="37"/>
      <c r="B25" s="37"/>
      <c r="C25" s="54" t="s">
        <v>50</v>
      </c>
      <c r="D25" s="50"/>
      <c r="E25" s="169">
        <v>2049</v>
      </c>
      <c r="F25" s="50"/>
      <c r="G25" s="169" t="s">
        <v>180</v>
      </c>
      <c r="H25" s="169" t="s">
        <v>181</v>
      </c>
      <c r="I25" s="170">
        <v>0</v>
      </c>
      <c r="J25" s="50"/>
      <c r="K25" s="55">
        <v>1050779.8600000001</v>
      </c>
      <c r="L25" s="171"/>
      <c r="M25" s="57">
        <v>0</v>
      </c>
      <c r="N25" s="57"/>
      <c r="O25" s="198">
        <f>ROUND((K25+(K25*-(I25/100)))-M25,0)</f>
        <v>1050780</v>
      </c>
      <c r="P25" s="57"/>
      <c r="Q25" s="57">
        <f>O25/U25</f>
        <v>35026</v>
      </c>
      <c r="R25" s="50"/>
      <c r="S25" s="74">
        <f>Q25/K25*100</f>
        <v>3.333333777447923</v>
      </c>
      <c r="T25" s="50"/>
      <c r="U25" s="172">
        <f>AA25</f>
        <v>30</v>
      </c>
      <c r="V25" s="23"/>
      <c r="W25" s="345">
        <f>'Adjust Depr Table 1'!U25</f>
        <v>30</v>
      </c>
      <c r="X25" s="207"/>
      <c r="Y25" s="209"/>
      <c r="Z25" s="207"/>
      <c r="AA25" s="203">
        <f>W25+Y25</f>
        <v>30</v>
      </c>
    </row>
    <row r="26" spans="1:27">
      <c r="A26" s="37"/>
      <c r="B26" s="37"/>
      <c r="C26" s="54" t="s">
        <v>51</v>
      </c>
      <c r="D26" s="50"/>
      <c r="E26" s="169">
        <v>2026</v>
      </c>
      <c r="F26" s="50"/>
      <c r="G26" s="169" t="s">
        <v>180</v>
      </c>
      <c r="H26" s="169" t="s">
        <v>181</v>
      </c>
      <c r="I26" s="170">
        <v>0</v>
      </c>
      <c r="J26" s="50"/>
      <c r="K26" s="60">
        <v>6050424.8700000001</v>
      </c>
      <c r="L26" s="171"/>
      <c r="M26" s="62">
        <v>1462186</v>
      </c>
      <c r="N26" s="57"/>
      <c r="O26" s="205">
        <f>ROUND((K26+(K26*-(I26/100)))-M26,0)</f>
        <v>4588239</v>
      </c>
      <c r="P26" s="57"/>
      <c r="Q26" s="62">
        <f>O26/U26</f>
        <v>655462.71428571432</v>
      </c>
      <c r="R26" s="50"/>
      <c r="S26" s="74">
        <f>Q26/K26*100</f>
        <v>10.833333664478911</v>
      </c>
      <c r="T26" s="50"/>
      <c r="U26" s="172">
        <f>AA26</f>
        <v>7</v>
      </c>
      <c r="V26" s="23"/>
      <c r="W26" s="345">
        <f>'Adjust Depr Table 1'!U26</f>
        <v>7</v>
      </c>
      <c r="X26" s="207"/>
      <c r="Y26" s="209"/>
      <c r="Z26" s="207"/>
      <c r="AA26" s="203">
        <f>W26+Y26</f>
        <v>7</v>
      </c>
    </row>
    <row r="27" spans="1:27" ht="15.75">
      <c r="A27" s="23"/>
      <c r="C27" s="79"/>
      <c r="M27" s="46"/>
      <c r="N27" s="46"/>
      <c r="O27" s="46"/>
      <c r="P27" s="46"/>
      <c r="Q27" s="46"/>
      <c r="S27" s="49"/>
      <c r="U27" s="176"/>
      <c r="V27" s="23"/>
      <c r="W27" s="346"/>
      <c r="X27" s="207"/>
      <c r="Y27" s="207"/>
      <c r="Z27" s="207"/>
      <c r="AA27" s="204"/>
    </row>
    <row r="28" spans="1:27">
      <c r="A28" s="23"/>
      <c r="C28" s="50" t="s">
        <v>52</v>
      </c>
      <c r="K28" s="55">
        <f>SUBTOTAL(9,K22:K27)</f>
        <v>33076939.68</v>
      </c>
      <c r="L28" s="171"/>
      <c r="M28" s="57">
        <f>SUBTOTAL(9,M22:M27)</f>
        <v>1462186</v>
      </c>
      <c r="N28" s="57"/>
      <c r="O28" s="57">
        <f>SUBTOTAL(9,O22:O27)</f>
        <v>31614754</v>
      </c>
      <c r="P28" s="57"/>
      <c r="Q28" s="57">
        <f>SUBTOTAL(9,Q22:Q27)</f>
        <v>1890614.468831169</v>
      </c>
      <c r="R28" s="50"/>
      <c r="S28" s="74">
        <f>+ROUND(Q28/K28*100,2)</f>
        <v>5.72</v>
      </c>
      <c r="U28" s="176"/>
      <c r="V28" s="23"/>
      <c r="W28" s="346"/>
      <c r="X28" s="207"/>
      <c r="Y28" s="207"/>
      <c r="Z28" s="207"/>
      <c r="AA28" s="204"/>
    </row>
    <row r="29" spans="1:27" ht="15.75">
      <c r="A29" s="23"/>
      <c r="C29" s="79"/>
      <c r="M29" s="46"/>
      <c r="N29" s="46"/>
      <c r="O29" s="46"/>
      <c r="P29" s="46"/>
      <c r="Q29" s="46"/>
      <c r="S29" s="49"/>
      <c r="U29" s="176"/>
      <c r="V29" s="23"/>
      <c r="W29" s="346"/>
      <c r="X29" s="207"/>
      <c r="Y29" s="207"/>
      <c r="Z29" s="207"/>
      <c r="AA29" s="204"/>
    </row>
    <row r="30" spans="1:27" s="19" customFormat="1">
      <c r="A30" s="64">
        <v>311</v>
      </c>
      <c r="B30" s="65"/>
      <c r="C30" s="65" t="s">
        <v>53</v>
      </c>
      <c r="D30" s="65"/>
      <c r="E30" s="65"/>
      <c r="F30" s="65"/>
      <c r="G30" s="65"/>
      <c r="H30" s="65"/>
      <c r="I30" s="179"/>
      <c r="J30" s="65"/>
      <c r="K30" s="65"/>
      <c r="L30" s="65"/>
      <c r="M30" s="67"/>
      <c r="N30" s="67"/>
      <c r="O30" s="67"/>
      <c r="P30" s="67"/>
      <c r="Q30" s="67"/>
      <c r="S30" s="68"/>
      <c r="U30" s="180"/>
      <c r="V30" s="181"/>
      <c r="W30" s="347"/>
      <c r="X30" s="208"/>
      <c r="Y30" s="208"/>
      <c r="Z30" s="208"/>
      <c r="AA30" s="203"/>
    </row>
    <row r="31" spans="1:27" s="19" customFormat="1">
      <c r="A31" s="64"/>
      <c r="B31" s="65"/>
      <c r="C31" s="70" t="s">
        <v>54</v>
      </c>
      <c r="D31" s="65"/>
      <c r="E31" s="182">
        <v>2030</v>
      </c>
      <c r="F31" s="65"/>
      <c r="G31" s="183" t="s">
        <v>182</v>
      </c>
      <c r="H31" s="183" t="s">
        <v>181</v>
      </c>
      <c r="I31" s="184">
        <v>0</v>
      </c>
      <c r="J31" s="65"/>
      <c r="K31" s="71">
        <v>619445.56000000006</v>
      </c>
      <c r="L31" s="185"/>
      <c r="M31" s="73">
        <v>501279</v>
      </c>
      <c r="N31" s="73"/>
      <c r="O31" s="198">
        <f>ROUND((K31+(K31*-(I31/100)))-M31,0)</f>
        <v>118167</v>
      </c>
      <c r="P31" s="73"/>
      <c r="Q31" s="57">
        <f t="shared" ref="Q31:Q40" si="0">O31/U31</f>
        <v>10742.454545454546</v>
      </c>
      <c r="S31" s="74">
        <f t="shared" ref="S31:S40" si="1">Q31/K31*100</f>
        <v>1.7342047855592901</v>
      </c>
      <c r="U31" s="172">
        <f t="shared" ref="U31:U40" si="2">AA31</f>
        <v>11</v>
      </c>
      <c r="V31" s="181"/>
      <c r="W31" s="345">
        <f>'Adjust Depr Table 1'!U31</f>
        <v>11</v>
      </c>
      <c r="X31" s="208"/>
      <c r="Y31" s="209"/>
      <c r="Z31" s="208"/>
      <c r="AA31" s="203">
        <f t="shared" ref="AA31:AA40" si="3">W31+Y31</f>
        <v>11</v>
      </c>
    </row>
    <row r="32" spans="1:27" s="19" customFormat="1">
      <c r="A32" s="64"/>
      <c r="B32" s="65"/>
      <c r="C32" s="70" t="s">
        <v>55</v>
      </c>
      <c r="D32" s="65"/>
      <c r="E32" s="182">
        <v>2030</v>
      </c>
      <c r="F32" s="65"/>
      <c r="G32" s="183" t="s">
        <v>182</v>
      </c>
      <c r="H32" s="183" t="s">
        <v>181</v>
      </c>
      <c r="I32" s="184">
        <v>0</v>
      </c>
      <c r="J32" s="65"/>
      <c r="K32" s="71">
        <v>11599889.130000001</v>
      </c>
      <c r="L32" s="185"/>
      <c r="M32" s="73">
        <v>8333766</v>
      </c>
      <c r="N32" s="73"/>
      <c r="O32" s="199">
        <f>ROUND((K32+(K32*-(I32/100)))-M32,0)</f>
        <v>3266123</v>
      </c>
      <c r="P32" s="73"/>
      <c r="Q32" s="57">
        <f t="shared" si="0"/>
        <v>296920.27272727271</v>
      </c>
      <c r="S32" s="74">
        <f t="shared" si="1"/>
        <v>2.5596819883335615</v>
      </c>
      <c r="U32" s="172">
        <f t="shared" si="2"/>
        <v>11</v>
      </c>
      <c r="V32" s="181"/>
      <c r="W32" s="345">
        <f>'Adjust Depr Table 1'!U32</f>
        <v>11</v>
      </c>
      <c r="X32" s="208"/>
      <c r="Y32" s="209"/>
      <c r="Z32" s="208"/>
      <c r="AA32" s="203">
        <f t="shared" si="3"/>
        <v>11</v>
      </c>
    </row>
    <row r="33" spans="1:27" s="19" customFormat="1">
      <c r="A33" s="64"/>
      <c r="B33" s="65"/>
      <c r="C33" s="70" t="s">
        <v>56</v>
      </c>
      <c r="D33" s="65"/>
      <c r="E33" s="182">
        <v>2030</v>
      </c>
      <c r="F33" s="65"/>
      <c r="G33" s="183" t="s">
        <v>182</v>
      </c>
      <c r="H33" s="183" t="s">
        <v>181</v>
      </c>
      <c r="I33" s="184">
        <v>0</v>
      </c>
      <c r="J33" s="65"/>
      <c r="K33" s="71">
        <v>16839214.859999999</v>
      </c>
      <c r="L33" s="185"/>
      <c r="M33" s="73">
        <v>7532370</v>
      </c>
      <c r="N33" s="73"/>
      <c r="O33" s="198">
        <f t="shared" ref="O33:O40" si="4">ROUND((K33+(K33*-(I33/100)))-M33,0)</f>
        <v>9306845</v>
      </c>
      <c r="P33" s="73"/>
      <c r="Q33" s="57">
        <f t="shared" si="0"/>
        <v>846076.81818181823</v>
      </c>
      <c r="S33" s="74">
        <f t="shared" si="1"/>
        <v>5.0244433913103377</v>
      </c>
      <c r="U33" s="172">
        <f t="shared" si="2"/>
        <v>11</v>
      </c>
      <c r="V33" s="181"/>
      <c r="W33" s="345">
        <f>'Adjust Depr Table 1'!U33</f>
        <v>11</v>
      </c>
      <c r="X33" s="208"/>
      <c r="Y33" s="209"/>
      <c r="Z33" s="208"/>
      <c r="AA33" s="203">
        <f t="shared" si="3"/>
        <v>11</v>
      </c>
    </row>
    <row r="34" spans="1:27" s="19" customFormat="1">
      <c r="A34" s="64"/>
      <c r="B34" s="65"/>
      <c r="C34" s="70" t="s">
        <v>57</v>
      </c>
      <c r="D34" s="65"/>
      <c r="E34" s="182">
        <v>2049</v>
      </c>
      <c r="F34" s="65"/>
      <c r="G34" s="183" t="s">
        <v>182</v>
      </c>
      <c r="H34" s="183" t="s">
        <v>181</v>
      </c>
      <c r="I34" s="184">
        <v>0</v>
      </c>
      <c r="J34" s="65"/>
      <c r="K34" s="71">
        <v>29901164.98</v>
      </c>
      <c r="L34" s="185"/>
      <c r="M34" s="73">
        <v>4504371</v>
      </c>
      <c r="N34" s="73"/>
      <c r="O34" s="198">
        <f t="shared" si="4"/>
        <v>25396794</v>
      </c>
      <c r="P34" s="73"/>
      <c r="Q34" s="57">
        <f t="shared" si="0"/>
        <v>846559.8</v>
      </c>
      <c r="S34" s="74">
        <f t="shared" si="1"/>
        <v>2.8311933684397874</v>
      </c>
      <c r="U34" s="172">
        <f t="shared" si="2"/>
        <v>30</v>
      </c>
      <c r="V34" s="181"/>
      <c r="W34" s="345">
        <f>'Adjust Depr Table 1'!U34</f>
        <v>30</v>
      </c>
      <c r="X34" s="208"/>
      <c r="Y34" s="209"/>
      <c r="Z34" s="208"/>
      <c r="AA34" s="203">
        <f t="shared" si="3"/>
        <v>30</v>
      </c>
    </row>
    <row r="35" spans="1:27" s="19" customFormat="1">
      <c r="A35" s="64"/>
      <c r="B35" s="65"/>
      <c r="C35" s="70" t="s">
        <v>58</v>
      </c>
      <c r="D35" s="65"/>
      <c r="E35" s="182">
        <v>2040</v>
      </c>
      <c r="F35" s="65"/>
      <c r="G35" s="183" t="s">
        <v>182</v>
      </c>
      <c r="H35" s="183" t="s">
        <v>181</v>
      </c>
      <c r="I35" s="184">
        <v>0</v>
      </c>
      <c r="J35" s="65"/>
      <c r="K35" s="71">
        <v>27841989</v>
      </c>
      <c r="L35" s="185"/>
      <c r="M35" s="73">
        <v>17909967</v>
      </c>
      <c r="N35" s="73"/>
      <c r="O35" s="198">
        <f t="shared" si="4"/>
        <v>9932022</v>
      </c>
      <c r="P35" s="73"/>
      <c r="Q35" s="57">
        <f t="shared" si="0"/>
        <v>472953.42857142858</v>
      </c>
      <c r="S35" s="74">
        <f t="shared" si="1"/>
        <v>1.6987056081784551</v>
      </c>
      <c r="U35" s="172">
        <f t="shared" si="2"/>
        <v>21</v>
      </c>
      <c r="V35" s="181"/>
      <c r="W35" s="345">
        <f>'Adjust Depr Table 1'!U35</f>
        <v>21</v>
      </c>
      <c r="X35" s="208"/>
      <c r="Y35" s="209"/>
      <c r="Z35" s="208"/>
      <c r="AA35" s="203">
        <f t="shared" si="3"/>
        <v>21</v>
      </c>
    </row>
    <row r="36" spans="1:27" s="19" customFormat="1">
      <c r="A36" s="64"/>
      <c r="B36" s="65"/>
      <c r="C36" s="70" t="s">
        <v>59</v>
      </c>
      <c r="D36" s="65"/>
      <c r="E36" s="182">
        <v>2042</v>
      </c>
      <c r="F36" s="65"/>
      <c r="G36" s="183" t="s">
        <v>182</v>
      </c>
      <c r="H36" s="183" t="s">
        <v>181</v>
      </c>
      <c r="I36" s="184">
        <v>0</v>
      </c>
      <c r="J36" s="65"/>
      <c r="K36" s="71">
        <v>34657321.799999997</v>
      </c>
      <c r="L36" s="185"/>
      <c r="M36" s="73">
        <v>23943936</v>
      </c>
      <c r="N36" s="73"/>
      <c r="O36" s="198">
        <f t="shared" si="4"/>
        <v>10713386</v>
      </c>
      <c r="P36" s="73"/>
      <c r="Q36" s="57">
        <f t="shared" si="0"/>
        <v>465799.39130434784</v>
      </c>
      <c r="S36" s="74">
        <f t="shared" si="1"/>
        <v>1.3440143874716477</v>
      </c>
      <c r="U36" s="172">
        <f t="shared" si="2"/>
        <v>23</v>
      </c>
      <c r="V36" s="181"/>
      <c r="W36" s="345">
        <f>'Adjust Depr Table 1'!U36</f>
        <v>23</v>
      </c>
      <c r="X36" s="208"/>
      <c r="Y36" s="209"/>
      <c r="Z36" s="208"/>
      <c r="AA36" s="203">
        <f t="shared" si="3"/>
        <v>23</v>
      </c>
    </row>
    <row r="37" spans="1:27" s="19" customFormat="1">
      <c r="A37" s="64"/>
      <c r="B37" s="65"/>
      <c r="C37" s="70" t="s">
        <v>60</v>
      </c>
      <c r="D37" s="65"/>
      <c r="E37" s="182">
        <v>2045</v>
      </c>
      <c r="F37" s="65"/>
      <c r="G37" s="183" t="s">
        <v>182</v>
      </c>
      <c r="H37" s="183" t="s">
        <v>181</v>
      </c>
      <c r="I37" s="184">
        <v>0</v>
      </c>
      <c r="J37" s="65"/>
      <c r="K37" s="71">
        <v>135424737.28999999</v>
      </c>
      <c r="L37" s="185"/>
      <c r="M37" s="73">
        <v>43162292</v>
      </c>
      <c r="N37" s="73"/>
      <c r="O37" s="198">
        <f t="shared" si="4"/>
        <v>92262445</v>
      </c>
      <c r="P37" s="73"/>
      <c r="Q37" s="57">
        <f t="shared" si="0"/>
        <v>3548555.576923077</v>
      </c>
      <c r="S37" s="74">
        <f t="shared" si="1"/>
        <v>2.6203156439020163</v>
      </c>
      <c r="U37" s="172">
        <f t="shared" si="2"/>
        <v>26</v>
      </c>
      <c r="V37" s="181"/>
      <c r="W37" s="345">
        <f>'Adjust Depr Table 1'!U37</f>
        <v>26</v>
      </c>
      <c r="X37" s="208"/>
      <c r="Y37" s="209"/>
      <c r="Z37" s="208"/>
      <c r="AA37" s="203">
        <f t="shared" si="3"/>
        <v>26</v>
      </c>
    </row>
    <row r="38" spans="1:27" s="19" customFormat="1">
      <c r="A38" s="64"/>
      <c r="B38" s="65"/>
      <c r="C38" s="70" t="s">
        <v>61</v>
      </c>
      <c r="D38" s="65"/>
      <c r="E38" s="182">
        <v>2049</v>
      </c>
      <c r="F38" s="65"/>
      <c r="G38" s="183" t="s">
        <v>182</v>
      </c>
      <c r="H38" s="183" t="s">
        <v>181</v>
      </c>
      <c r="I38" s="184">
        <v>0</v>
      </c>
      <c r="J38" s="65"/>
      <c r="K38" s="71">
        <v>91915875.079999998</v>
      </c>
      <c r="L38" s="185"/>
      <c r="M38" s="73">
        <v>9800259</v>
      </c>
      <c r="N38" s="73"/>
      <c r="O38" s="198">
        <f t="shared" si="4"/>
        <v>82115616</v>
      </c>
      <c r="P38" s="73"/>
      <c r="Q38" s="57">
        <f t="shared" si="0"/>
        <v>2737187.2</v>
      </c>
      <c r="S38" s="74">
        <f t="shared" si="1"/>
        <v>2.9779264981350164</v>
      </c>
      <c r="U38" s="172">
        <f t="shared" si="2"/>
        <v>30</v>
      </c>
      <c r="V38" s="181"/>
      <c r="W38" s="345">
        <f>'Adjust Depr Table 1'!U38</f>
        <v>30</v>
      </c>
      <c r="X38" s="208"/>
      <c r="Y38" s="209"/>
      <c r="Z38" s="208"/>
      <c r="AA38" s="203">
        <f t="shared" si="3"/>
        <v>30</v>
      </c>
    </row>
    <row r="39" spans="1:27" s="19" customFormat="1">
      <c r="A39" s="64"/>
      <c r="B39" s="65"/>
      <c r="C39" s="70" t="s">
        <v>62</v>
      </c>
      <c r="D39" s="65"/>
      <c r="E39" s="182">
        <v>2040</v>
      </c>
      <c r="F39" s="65"/>
      <c r="G39" s="183" t="s">
        <v>182</v>
      </c>
      <c r="H39" s="183" t="s">
        <v>181</v>
      </c>
      <c r="I39" s="184">
        <v>0</v>
      </c>
      <c r="J39" s="65"/>
      <c r="K39" s="71">
        <v>25289573.359999999</v>
      </c>
      <c r="L39" s="185"/>
      <c r="M39" s="73">
        <v>9007550</v>
      </c>
      <c r="N39" s="73"/>
      <c r="O39" s="198">
        <f t="shared" si="4"/>
        <v>16282023</v>
      </c>
      <c r="P39" s="73"/>
      <c r="Q39" s="57">
        <f t="shared" si="0"/>
        <v>775334.42857142852</v>
      </c>
      <c r="S39" s="74">
        <f t="shared" si="1"/>
        <v>3.0658264476606756</v>
      </c>
      <c r="U39" s="172">
        <f t="shared" si="2"/>
        <v>21</v>
      </c>
      <c r="V39" s="181"/>
      <c r="W39" s="345">
        <f>'Adjust Depr Table 1'!U39</f>
        <v>21</v>
      </c>
      <c r="X39" s="208"/>
      <c r="Y39" s="209"/>
      <c r="Z39" s="208"/>
      <c r="AA39" s="203">
        <f t="shared" si="3"/>
        <v>21</v>
      </c>
    </row>
    <row r="40" spans="1:27" s="19" customFormat="1">
      <c r="A40" s="64"/>
      <c r="B40" s="65"/>
      <c r="C40" s="70" t="s">
        <v>63</v>
      </c>
      <c r="D40" s="65"/>
      <c r="E40" s="182">
        <v>2042</v>
      </c>
      <c r="F40" s="65"/>
      <c r="G40" s="183" t="s">
        <v>182</v>
      </c>
      <c r="H40" s="183" t="s">
        <v>181</v>
      </c>
      <c r="I40" s="184">
        <v>0</v>
      </c>
      <c r="J40" s="65"/>
      <c r="K40" s="75">
        <v>22341947.210000001</v>
      </c>
      <c r="L40" s="185"/>
      <c r="M40" s="77">
        <v>8045353</v>
      </c>
      <c r="N40" s="73"/>
      <c r="O40" s="205">
        <f t="shared" si="4"/>
        <v>14296594</v>
      </c>
      <c r="P40" s="73"/>
      <c r="Q40" s="62">
        <f t="shared" si="0"/>
        <v>621591.04347826086</v>
      </c>
      <c r="S40" s="74">
        <f t="shared" si="1"/>
        <v>2.7821704063468728</v>
      </c>
      <c r="U40" s="172">
        <f t="shared" si="2"/>
        <v>23</v>
      </c>
      <c r="V40" s="181"/>
      <c r="W40" s="345">
        <f>'Adjust Depr Table 1'!U40</f>
        <v>23</v>
      </c>
      <c r="X40" s="208"/>
      <c r="Y40" s="209"/>
      <c r="Z40" s="208"/>
      <c r="AA40" s="203">
        <f t="shared" si="3"/>
        <v>23</v>
      </c>
    </row>
    <row r="41" spans="1:27" s="19" customFormat="1">
      <c r="A41" s="64"/>
      <c r="B41" s="65"/>
      <c r="C41" s="78"/>
      <c r="D41" s="65"/>
      <c r="E41" s="65"/>
      <c r="F41" s="65"/>
      <c r="G41" s="183"/>
      <c r="H41" s="183"/>
      <c r="I41" s="184"/>
      <c r="J41" s="65"/>
      <c r="K41" s="71"/>
      <c r="L41" s="185"/>
      <c r="M41" s="73"/>
      <c r="N41" s="73"/>
      <c r="O41" s="73"/>
      <c r="P41" s="73"/>
      <c r="Q41" s="73"/>
      <c r="S41" s="74"/>
      <c r="U41" s="186"/>
      <c r="V41" s="181"/>
      <c r="W41" s="345"/>
      <c r="X41" s="208"/>
      <c r="Y41" s="208"/>
      <c r="Z41" s="208"/>
      <c r="AA41" s="203"/>
    </row>
    <row r="42" spans="1:27" s="19" customFormat="1">
      <c r="A42" s="64"/>
      <c r="B42" s="65"/>
      <c r="C42" s="78" t="s">
        <v>64</v>
      </c>
      <c r="D42" s="65"/>
      <c r="E42" s="65"/>
      <c r="F42" s="65"/>
      <c r="G42" s="183"/>
      <c r="H42" s="183"/>
      <c r="I42" s="184"/>
      <c r="J42" s="65"/>
      <c r="K42" s="71">
        <f>SUBTOTAL(9,K31:K41)</f>
        <v>396431158.26999998</v>
      </c>
      <c r="L42" s="185"/>
      <c r="M42" s="73">
        <f>SUBTOTAL(9,M31:M41)</f>
        <v>132741143</v>
      </c>
      <c r="N42" s="73"/>
      <c r="O42" s="73">
        <f>SUBTOTAL(9,O31:O41)</f>
        <v>263690015</v>
      </c>
      <c r="P42" s="73"/>
      <c r="Q42" s="73">
        <f>SUBTOTAL(9,Q31:Q41)</f>
        <v>10621720.41430309</v>
      </c>
      <c r="S42" s="74">
        <f>+ROUND(Q42/K42*100,2)</f>
        <v>2.68</v>
      </c>
      <c r="U42" s="186"/>
      <c r="V42" s="181"/>
      <c r="W42" s="345"/>
      <c r="X42" s="208"/>
      <c r="Y42" s="208"/>
      <c r="Z42" s="208"/>
      <c r="AA42" s="203"/>
    </row>
    <row r="43" spans="1:27" s="19" customFormat="1">
      <c r="A43" s="64"/>
      <c r="B43" s="65"/>
      <c r="C43" s="78"/>
      <c r="D43" s="65"/>
      <c r="E43" s="65"/>
      <c r="F43" s="65"/>
      <c r="G43" s="183"/>
      <c r="H43" s="183"/>
      <c r="I43" s="184"/>
      <c r="J43" s="65"/>
      <c r="K43" s="71"/>
      <c r="L43" s="185"/>
      <c r="M43" s="73"/>
      <c r="N43" s="73"/>
      <c r="O43" s="73"/>
      <c r="P43" s="73"/>
      <c r="Q43" s="73"/>
      <c r="S43" s="74"/>
      <c r="U43" s="186"/>
      <c r="V43" s="181"/>
      <c r="W43" s="345"/>
      <c r="X43" s="208"/>
      <c r="Y43" s="208"/>
      <c r="Z43" s="208"/>
      <c r="AA43" s="203"/>
    </row>
    <row r="44" spans="1:27" s="19" customFormat="1">
      <c r="A44" s="64">
        <v>312</v>
      </c>
      <c r="B44" s="65"/>
      <c r="C44" s="78" t="s">
        <v>65</v>
      </c>
      <c r="D44" s="65"/>
      <c r="E44" s="65"/>
      <c r="F44" s="65"/>
      <c r="G44" s="183"/>
      <c r="H44" s="183"/>
      <c r="I44" s="184"/>
      <c r="J44" s="65"/>
      <c r="K44" s="71"/>
      <c r="L44" s="185"/>
      <c r="M44" s="73"/>
      <c r="N44" s="73"/>
      <c r="O44" s="73"/>
      <c r="P44" s="73"/>
      <c r="Q44" s="73"/>
      <c r="S44" s="74"/>
      <c r="U44" s="186"/>
      <c r="V44" s="181"/>
      <c r="W44" s="345"/>
      <c r="X44" s="208"/>
      <c r="Y44" s="208"/>
      <c r="Z44" s="208"/>
      <c r="AA44" s="203"/>
    </row>
    <row r="45" spans="1:27" s="19" customFormat="1">
      <c r="A45" s="64"/>
      <c r="B45" s="65"/>
      <c r="C45" s="70" t="s">
        <v>55</v>
      </c>
      <c r="D45" s="65"/>
      <c r="E45" s="182">
        <v>2030</v>
      </c>
      <c r="F45" s="65"/>
      <c r="G45" s="183" t="s">
        <v>183</v>
      </c>
      <c r="H45" s="183" t="s">
        <v>181</v>
      </c>
      <c r="I45" s="184">
        <v>0</v>
      </c>
      <c r="J45" s="65"/>
      <c r="K45" s="71">
        <v>102794003.59</v>
      </c>
      <c r="L45" s="185"/>
      <c r="M45" s="73">
        <v>66700151</v>
      </c>
      <c r="N45" s="73"/>
      <c r="O45" s="198">
        <f t="shared" ref="O45:O55" si="5">ROUND((K45+(K45*-(I45/100)))-M45,0)</f>
        <v>36093853</v>
      </c>
      <c r="P45" s="73"/>
      <c r="Q45" s="57">
        <f t="shared" ref="Q45:Q55" si="6">O45/U45</f>
        <v>3281259.3636363638</v>
      </c>
      <c r="S45" s="74">
        <f t="shared" ref="S45:S55" si="7">Q45/K45*100</f>
        <v>3.192072736775446</v>
      </c>
      <c r="U45" s="172">
        <f t="shared" ref="U45:U55" si="8">AA45</f>
        <v>11</v>
      </c>
      <c r="V45" s="181"/>
      <c r="W45" s="345">
        <f>'Adjust Depr Table 1'!U45</f>
        <v>11</v>
      </c>
      <c r="X45" s="208"/>
      <c r="Y45" s="209"/>
      <c r="Z45" s="208"/>
      <c r="AA45" s="203">
        <f t="shared" ref="AA45:AA55" si="9">W45+Y45</f>
        <v>11</v>
      </c>
    </row>
    <row r="46" spans="1:27" s="19" customFormat="1">
      <c r="A46" s="64"/>
      <c r="B46" s="65"/>
      <c r="C46" s="70" t="s">
        <v>66</v>
      </c>
      <c r="D46" s="65"/>
      <c r="E46" s="182">
        <v>2030</v>
      </c>
      <c r="F46" s="65"/>
      <c r="G46" s="183" t="s">
        <v>183</v>
      </c>
      <c r="H46" s="183" t="s">
        <v>181</v>
      </c>
      <c r="I46" s="184">
        <v>0</v>
      </c>
      <c r="J46" s="65"/>
      <c r="K46" s="71">
        <v>14959125.039999999</v>
      </c>
      <c r="L46" s="185"/>
      <c r="M46" s="73">
        <v>4819574</v>
      </c>
      <c r="N46" s="73"/>
      <c r="O46" s="198">
        <f t="shared" si="5"/>
        <v>10139551</v>
      </c>
      <c r="P46" s="73"/>
      <c r="Q46" s="57">
        <f t="shared" si="6"/>
        <v>921777.36363636365</v>
      </c>
      <c r="S46" s="74">
        <f t="shared" si="7"/>
        <v>6.1619737863783755</v>
      </c>
      <c r="U46" s="172">
        <f t="shared" si="8"/>
        <v>11</v>
      </c>
      <c r="V46" s="181"/>
      <c r="W46" s="345">
        <f>'Adjust Depr Table 1'!U46</f>
        <v>11</v>
      </c>
      <c r="X46" s="208"/>
      <c r="Y46" s="209"/>
      <c r="Z46" s="208"/>
      <c r="AA46" s="203">
        <f t="shared" si="9"/>
        <v>11</v>
      </c>
    </row>
    <row r="47" spans="1:27" s="19" customFormat="1">
      <c r="A47" s="64"/>
      <c r="B47" s="65"/>
      <c r="C47" s="70" t="s">
        <v>67</v>
      </c>
      <c r="D47" s="65"/>
      <c r="E47" s="182">
        <v>2030</v>
      </c>
      <c r="F47" s="65"/>
      <c r="G47" s="183" t="s">
        <v>183</v>
      </c>
      <c r="H47" s="183" t="s">
        <v>181</v>
      </c>
      <c r="I47" s="184">
        <v>0</v>
      </c>
      <c r="J47" s="65"/>
      <c r="K47" s="71">
        <v>1476057.99</v>
      </c>
      <c r="L47" s="185"/>
      <c r="M47" s="73">
        <v>320975</v>
      </c>
      <c r="N47" s="73"/>
      <c r="O47" s="198">
        <f t="shared" si="5"/>
        <v>1155083</v>
      </c>
      <c r="P47" s="73"/>
      <c r="Q47" s="57">
        <f t="shared" si="6"/>
        <v>105007.54545454546</v>
      </c>
      <c r="S47" s="74">
        <f t="shared" si="7"/>
        <v>7.1140528465650217</v>
      </c>
      <c r="U47" s="172">
        <f t="shared" si="8"/>
        <v>11</v>
      </c>
      <c r="V47" s="181"/>
      <c r="W47" s="345">
        <f>'Adjust Depr Table 1'!U47</f>
        <v>11</v>
      </c>
      <c r="X47" s="208"/>
      <c r="Y47" s="209"/>
      <c r="Z47" s="208"/>
      <c r="AA47" s="203">
        <f t="shared" si="9"/>
        <v>11</v>
      </c>
    </row>
    <row r="48" spans="1:27" s="19" customFormat="1">
      <c r="A48" s="64"/>
      <c r="B48" s="65"/>
      <c r="C48" s="70" t="s">
        <v>56</v>
      </c>
      <c r="D48" s="65"/>
      <c r="E48" s="182">
        <v>2030</v>
      </c>
      <c r="F48" s="65"/>
      <c r="G48" s="183" t="s">
        <v>183</v>
      </c>
      <c r="H48" s="183" t="s">
        <v>181</v>
      </c>
      <c r="I48" s="184">
        <v>0</v>
      </c>
      <c r="J48" s="65"/>
      <c r="K48" s="71">
        <v>194151378.75</v>
      </c>
      <c r="L48" s="185"/>
      <c r="M48" s="73">
        <v>86850256.75</v>
      </c>
      <c r="N48" s="73"/>
      <c r="O48" s="198">
        <f t="shared" si="5"/>
        <v>107301122</v>
      </c>
      <c r="P48" s="73"/>
      <c r="Q48" s="57">
        <f t="shared" si="6"/>
        <v>9754647.4545454551</v>
      </c>
      <c r="S48" s="74">
        <f t="shared" si="7"/>
        <v>5.0242483557668045</v>
      </c>
      <c r="U48" s="172">
        <f t="shared" si="8"/>
        <v>11</v>
      </c>
      <c r="V48" s="181"/>
      <c r="W48" s="345">
        <f>'Adjust Depr Table 1'!U48</f>
        <v>11</v>
      </c>
      <c r="X48" s="208"/>
      <c r="Y48" s="209"/>
      <c r="Z48" s="208"/>
      <c r="AA48" s="203">
        <f t="shared" si="9"/>
        <v>11</v>
      </c>
    </row>
    <row r="49" spans="1:27" s="19" customFormat="1">
      <c r="A49" s="64"/>
      <c r="B49" s="65"/>
      <c r="C49" s="70" t="s">
        <v>57</v>
      </c>
      <c r="D49" s="65"/>
      <c r="E49" s="182">
        <v>2049</v>
      </c>
      <c r="F49" s="65"/>
      <c r="G49" s="183" t="s">
        <v>183</v>
      </c>
      <c r="H49" s="183" t="s">
        <v>181</v>
      </c>
      <c r="I49" s="184">
        <v>0</v>
      </c>
      <c r="J49" s="65"/>
      <c r="K49" s="71">
        <v>47303061.5</v>
      </c>
      <c r="L49" s="185"/>
      <c r="M49" s="73">
        <v>11032731.539999999</v>
      </c>
      <c r="N49" s="73"/>
      <c r="O49" s="198">
        <f t="shared" si="5"/>
        <v>36270330</v>
      </c>
      <c r="P49" s="73"/>
      <c r="Q49" s="57">
        <f t="shared" si="6"/>
        <v>1209011</v>
      </c>
      <c r="S49" s="74">
        <f t="shared" si="7"/>
        <v>2.5558831958476937</v>
      </c>
      <c r="U49" s="172">
        <f t="shared" si="8"/>
        <v>30</v>
      </c>
      <c r="V49" s="181"/>
      <c r="W49" s="345">
        <f>'Adjust Depr Table 1'!U49</f>
        <v>30</v>
      </c>
      <c r="X49" s="208"/>
      <c r="Y49" s="209"/>
      <c r="Z49" s="208"/>
      <c r="AA49" s="203">
        <f t="shared" si="9"/>
        <v>30</v>
      </c>
    </row>
    <row r="50" spans="1:27" s="19" customFormat="1">
      <c r="A50" s="64"/>
      <c r="B50" s="65"/>
      <c r="C50" s="70" t="s">
        <v>58</v>
      </c>
      <c r="D50" s="65"/>
      <c r="E50" s="182">
        <v>2040</v>
      </c>
      <c r="F50" s="65"/>
      <c r="G50" s="183" t="s">
        <v>183</v>
      </c>
      <c r="H50" s="183" t="s">
        <v>181</v>
      </c>
      <c r="I50" s="184">
        <v>0</v>
      </c>
      <c r="J50" s="65"/>
      <c r="K50" s="71">
        <v>207072332.59</v>
      </c>
      <c r="L50" s="185"/>
      <c r="M50" s="73">
        <v>100727355.12</v>
      </c>
      <c r="N50" s="73"/>
      <c r="O50" s="198">
        <f t="shared" si="5"/>
        <v>106344977</v>
      </c>
      <c r="P50" s="73"/>
      <c r="Q50" s="57">
        <f t="shared" si="6"/>
        <v>5064046.5238095243</v>
      </c>
      <c r="S50" s="74">
        <f t="shared" si="7"/>
        <v>2.4455447333160905</v>
      </c>
      <c r="U50" s="172">
        <f t="shared" si="8"/>
        <v>21</v>
      </c>
      <c r="V50" s="181"/>
      <c r="W50" s="345">
        <f>'Adjust Depr Table 1'!U50</f>
        <v>21</v>
      </c>
      <c r="X50" s="208"/>
      <c r="Y50" s="209"/>
      <c r="Z50" s="208"/>
      <c r="AA50" s="203">
        <f t="shared" si="9"/>
        <v>21</v>
      </c>
    </row>
    <row r="51" spans="1:27" s="19" customFormat="1">
      <c r="A51" s="64"/>
      <c r="B51" s="65"/>
      <c r="C51" s="70" t="s">
        <v>59</v>
      </c>
      <c r="D51" s="65"/>
      <c r="E51" s="182">
        <v>2042</v>
      </c>
      <c r="F51" s="65"/>
      <c r="G51" s="183" t="s">
        <v>183</v>
      </c>
      <c r="H51" s="183" t="s">
        <v>181</v>
      </c>
      <c r="I51" s="184">
        <v>0</v>
      </c>
      <c r="J51" s="65"/>
      <c r="K51" s="71">
        <v>264954492.52000001</v>
      </c>
      <c r="L51" s="185"/>
      <c r="M51" s="73">
        <v>148127711.71000001</v>
      </c>
      <c r="N51" s="73"/>
      <c r="O51" s="198">
        <f t="shared" si="5"/>
        <v>116826781</v>
      </c>
      <c r="P51" s="73"/>
      <c r="Q51" s="57">
        <f t="shared" si="6"/>
        <v>5079425.2608695654</v>
      </c>
      <c r="S51" s="74">
        <f t="shared" si="7"/>
        <v>1.917093464828171</v>
      </c>
      <c r="U51" s="172">
        <f t="shared" si="8"/>
        <v>23</v>
      </c>
      <c r="V51" s="181"/>
      <c r="W51" s="345">
        <f>'Adjust Depr Table 1'!U51</f>
        <v>23</v>
      </c>
      <c r="X51" s="208"/>
      <c r="Y51" s="209"/>
      <c r="Z51" s="208"/>
      <c r="AA51" s="203">
        <f t="shared" si="9"/>
        <v>23</v>
      </c>
    </row>
    <row r="52" spans="1:27" s="19" customFormat="1">
      <c r="A52" s="64"/>
      <c r="B52" s="65"/>
      <c r="C52" s="70" t="s">
        <v>60</v>
      </c>
      <c r="D52" s="65"/>
      <c r="E52" s="182">
        <v>2045</v>
      </c>
      <c r="F52" s="65"/>
      <c r="G52" s="183" t="s">
        <v>183</v>
      </c>
      <c r="H52" s="183" t="s">
        <v>181</v>
      </c>
      <c r="I52" s="184">
        <v>0</v>
      </c>
      <c r="J52" s="65"/>
      <c r="K52" s="71">
        <v>182163077.56</v>
      </c>
      <c r="L52" s="185"/>
      <c r="M52" s="73">
        <v>55645311.229999997</v>
      </c>
      <c r="N52" s="73"/>
      <c r="O52" s="198">
        <f t="shared" si="5"/>
        <v>126517766</v>
      </c>
      <c r="P52" s="73"/>
      <c r="Q52" s="57">
        <f t="shared" si="6"/>
        <v>4866067.923076923</v>
      </c>
      <c r="S52" s="74">
        <f t="shared" si="7"/>
        <v>2.6712701543341906</v>
      </c>
      <c r="U52" s="172">
        <f t="shared" si="8"/>
        <v>26</v>
      </c>
      <c r="V52" s="181"/>
      <c r="W52" s="345">
        <f>'Adjust Depr Table 1'!U52</f>
        <v>26</v>
      </c>
      <c r="X52" s="208"/>
      <c r="Y52" s="209"/>
      <c r="Z52" s="208"/>
      <c r="AA52" s="203">
        <f t="shared" si="9"/>
        <v>26</v>
      </c>
    </row>
    <row r="53" spans="1:27" s="19" customFormat="1">
      <c r="A53" s="64"/>
      <c r="B53" s="65"/>
      <c r="C53" s="70" t="s">
        <v>61</v>
      </c>
      <c r="D53" s="65"/>
      <c r="E53" s="182">
        <v>2049</v>
      </c>
      <c r="F53" s="65"/>
      <c r="G53" s="183" t="s">
        <v>183</v>
      </c>
      <c r="H53" s="183" t="s">
        <v>181</v>
      </c>
      <c r="I53" s="184">
        <v>0</v>
      </c>
      <c r="J53" s="65"/>
      <c r="K53" s="71">
        <v>310905410.86000001</v>
      </c>
      <c r="L53" s="185"/>
      <c r="M53" s="73">
        <v>33139433.84</v>
      </c>
      <c r="N53" s="73"/>
      <c r="O53" s="198">
        <f t="shared" si="5"/>
        <v>277765977</v>
      </c>
      <c r="P53" s="73"/>
      <c r="Q53" s="57">
        <f t="shared" si="6"/>
        <v>9258865.9000000004</v>
      </c>
      <c r="S53" s="74">
        <f t="shared" si="7"/>
        <v>2.9780330533292796</v>
      </c>
      <c r="U53" s="172">
        <f t="shared" si="8"/>
        <v>30</v>
      </c>
      <c r="V53" s="181"/>
      <c r="W53" s="345">
        <f>'Adjust Depr Table 1'!U53</f>
        <v>30</v>
      </c>
      <c r="X53" s="208"/>
      <c r="Y53" s="209"/>
      <c r="Z53" s="208"/>
      <c r="AA53" s="203">
        <f t="shared" si="9"/>
        <v>30</v>
      </c>
    </row>
    <row r="54" spans="1:27" s="19" customFormat="1">
      <c r="A54" s="64"/>
      <c r="B54" s="65"/>
      <c r="C54" s="70" t="s">
        <v>62</v>
      </c>
      <c r="D54" s="65"/>
      <c r="E54" s="182">
        <v>2040</v>
      </c>
      <c r="F54" s="65"/>
      <c r="G54" s="183" t="s">
        <v>183</v>
      </c>
      <c r="H54" s="183" t="s">
        <v>181</v>
      </c>
      <c r="I54" s="184">
        <v>0</v>
      </c>
      <c r="J54" s="65"/>
      <c r="K54" s="71">
        <v>102930250.29000001</v>
      </c>
      <c r="L54" s="185"/>
      <c r="M54" s="73">
        <v>36988548</v>
      </c>
      <c r="N54" s="73"/>
      <c r="O54" s="198">
        <f t="shared" si="5"/>
        <v>65941702</v>
      </c>
      <c r="P54" s="73"/>
      <c r="Q54" s="57">
        <f t="shared" si="6"/>
        <v>3140081.0476190476</v>
      </c>
      <c r="S54" s="74">
        <f t="shared" si="7"/>
        <v>3.0506882464310068</v>
      </c>
      <c r="U54" s="172">
        <f t="shared" si="8"/>
        <v>21</v>
      </c>
      <c r="V54" s="181"/>
      <c r="W54" s="345">
        <f>'Adjust Depr Table 1'!U54</f>
        <v>21</v>
      </c>
      <c r="X54" s="208"/>
      <c r="Y54" s="209"/>
      <c r="Z54" s="208"/>
      <c r="AA54" s="203">
        <f t="shared" si="9"/>
        <v>21</v>
      </c>
    </row>
    <row r="55" spans="1:27" s="19" customFormat="1">
      <c r="A55" s="64"/>
      <c r="B55" s="65"/>
      <c r="C55" s="70" t="s">
        <v>63</v>
      </c>
      <c r="D55" s="65"/>
      <c r="E55" s="182">
        <v>2042</v>
      </c>
      <c r="F55" s="65"/>
      <c r="G55" s="183" t="s">
        <v>183</v>
      </c>
      <c r="H55" s="183" t="s">
        <v>181</v>
      </c>
      <c r="I55" s="184">
        <v>0</v>
      </c>
      <c r="J55" s="65"/>
      <c r="K55" s="75">
        <v>157598866.33000001</v>
      </c>
      <c r="L55" s="185"/>
      <c r="M55" s="77">
        <v>57451408</v>
      </c>
      <c r="N55" s="73"/>
      <c r="O55" s="205">
        <f t="shared" si="5"/>
        <v>100147458</v>
      </c>
      <c r="P55" s="73"/>
      <c r="Q55" s="62">
        <f t="shared" si="6"/>
        <v>4354237.3043478262</v>
      </c>
      <c r="S55" s="74">
        <f t="shared" si="7"/>
        <v>2.7628608033451112</v>
      </c>
      <c r="U55" s="172">
        <f t="shared" si="8"/>
        <v>23</v>
      </c>
      <c r="V55" s="181"/>
      <c r="W55" s="345">
        <f>'Adjust Depr Table 1'!U55</f>
        <v>23</v>
      </c>
      <c r="X55" s="208"/>
      <c r="Y55" s="209"/>
      <c r="Z55" s="208"/>
      <c r="AA55" s="203">
        <f t="shared" si="9"/>
        <v>23</v>
      </c>
    </row>
    <row r="56" spans="1:27" s="19" customFormat="1">
      <c r="A56" s="64"/>
      <c r="B56" s="65"/>
      <c r="C56" s="78"/>
      <c r="D56" s="65"/>
      <c r="E56" s="182"/>
      <c r="F56" s="65"/>
      <c r="G56" s="183"/>
      <c r="H56" s="183"/>
      <c r="I56" s="184"/>
      <c r="J56" s="65"/>
      <c r="K56" s="71"/>
      <c r="L56" s="185"/>
      <c r="M56" s="73"/>
      <c r="N56" s="73"/>
      <c r="O56" s="73"/>
      <c r="P56" s="73"/>
      <c r="Q56" s="73"/>
      <c r="S56" s="74"/>
      <c r="U56" s="186"/>
      <c r="V56" s="181"/>
      <c r="W56" s="345"/>
      <c r="X56" s="208"/>
      <c r="Y56" s="208"/>
      <c r="Z56" s="208"/>
      <c r="AA56" s="203"/>
    </row>
    <row r="57" spans="1:27" s="19" customFormat="1">
      <c r="A57" s="64"/>
      <c r="B57" s="65"/>
      <c r="C57" s="78" t="s">
        <v>68</v>
      </c>
      <c r="D57" s="65"/>
      <c r="E57" s="65"/>
      <c r="F57" s="65"/>
      <c r="G57" s="183"/>
      <c r="H57" s="183"/>
      <c r="I57" s="184"/>
      <c r="J57" s="65"/>
      <c r="K57" s="71">
        <f>SUBTOTAL(9,K45:K56)</f>
        <v>1586308057.02</v>
      </c>
      <c r="L57" s="185"/>
      <c r="M57" s="73">
        <f>SUBTOTAL(9,M45:M56)</f>
        <v>601803456.19000006</v>
      </c>
      <c r="N57" s="73"/>
      <c r="O57" s="73">
        <f>SUBTOTAL(9,O45:O56)</f>
        <v>984504600</v>
      </c>
      <c r="P57" s="73"/>
      <c r="Q57" s="73">
        <f>SUBTOTAL(9,Q45:Q56)</f>
        <v>47034426.686995618</v>
      </c>
      <c r="S57" s="74">
        <f>+ROUND(Q57/K57*100,2)</f>
        <v>2.97</v>
      </c>
      <c r="U57" s="186"/>
      <c r="V57" s="181"/>
      <c r="W57" s="345"/>
      <c r="X57" s="208"/>
      <c r="Y57" s="208"/>
      <c r="Z57" s="208"/>
      <c r="AA57" s="203"/>
    </row>
    <row r="58" spans="1:27" s="19" customFormat="1">
      <c r="A58" s="64"/>
      <c r="B58" s="65"/>
      <c r="C58" s="78"/>
      <c r="D58" s="65"/>
      <c r="E58" s="65"/>
      <c r="F58" s="65"/>
      <c r="G58" s="183"/>
      <c r="H58" s="183"/>
      <c r="I58" s="184"/>
      <c r="J58" s="65"/>
      <c r="K58" s="71"/>
      <c r="L58" s="185"/>
      <c r="M58" s="73"/>
      <c r="N58" s="73"/>
      <c r="O58" s="73"/>
      <c r="P58" s="73"/>
      <c r="Q58" s="73"/>
      <c r="S58" s="74"/>
      <c r="U58" s="186"/>
      <c r="V58" s="181"/>
      <c r="W58" s="345"/>
      <c r="X58" s="208"/>
      <c r="Y58" s="208"/>
      <c r="Z58" s="208"/>
      <c r="AA58" s="203"/>
    </row>
    <row r="59" spans="1:27" s="19" customFormat="1">
      <c r="A59" s="64">
        <v>314</v>
      </c>
      <c r="B59" s="65"/>
      <c r="C59" s="78" t="s">
        <v>69</v>
      </c>
      <c r="D59" s="65"/>
      <c r="E59" s="65"/>
      <c r="F59" s="65"/>
      <c r="G59" s="183"/>
      <c r="H59" s="183"/>
      <c r="I59" s="184"/>
      <c r="J59" s="65"/>
      <c r="K59" s="71"/>
      <c r="L59" s="185"/>
      <c r="M59" s="73"/>
      <c r="N59" s="73"/>
      <c r="O59" s="73"/>
      <c r="P59" s="73"/>
      <c r="Q59" s="73"/>
      <c r="S59" s="74"/>
      <c r="U59" s="186"/>
      <c r="V59" s="181"/>
      <c r="W59" s="345"/>
      <c r="X59" s="208"/>
      <c r="Y59" s="208"/>
      <c r="Z59" s="208"/>
      <c r="AA59" s="203"/>
    </row>
    <row r="60" spans="1:27" s="19" customFormat="1">
      <c r="A60" s="64"/>
      <c r="B60" s="65"/>
      <c r="C60" s="70" t="s">
        <v>55</v>
      </c>
      <c r="D60" s="65"/>
      <c r="E60" s="182">
        <v>2030</v>
      </c>
      <c r="F60" s="65"/>
      <c r="G60" s="183" t="s">
        <v>184</v>
      </c>
      <c r="H60" s="183" t="s">
        <v>181</v>
      </c>
      <c r="I60" s="184">
        <v>0</v>
      </c>
      <c r="J60" s="65"/>
      <c r="K60" s="71">
        <v>23714956.780000001</v>
      </c>
      <c r="L60" s="185"/>
      <c r="M60" s="73">
        <v>17101082</v>
      </c>
      <c r="N60" s="73"/>
      <c r="O60" s="198">
        <f>ROUND((K60+(K60*-(I60/100)))-M60,0)</f>
        <v>6613875</v>
      </c>
      <c r="P60" s="73"/>
      <c r="Q60" s="57">
        <f>O60/U60</f>
        <v>601261.36363636365</v>
      </c>
      <c r="S60" s="74">
        <f>Q60/K60*100</f>
        <v>2.5353677394994758</v>
      </c>
      <c r="U60" s="172">
        <f>AA60</f>
        <v>11</v>
      </c>
      <c r="V60" s="181"/>
      <c r="W60" s="345">
        <f>'Adjust Depr Table 1'!U60</f>
        <v>11</v>
      </c>
      <c r="X60" s="208"/>
      <c r="Y60" s="209"/>
      <c r="Z60" s="208"/>
      <c r="AA60" s="203">
        <f>W60+Y60</f>
        <v>11</v>
      </c>
    </row>
    <row r="61" spans="1:27" s="19" customFormat="1">
      <c r="A61" s="64"/>
      <c r="B61" s="65"/>
      <c r="C61" s="70" t="s">
        <v>58</v>
      </c>
      <c r="D61" s="65"/>
      <c r="E61" s="182">
        <v>2040</v>
      </c>
      <c r="F61" s="65"/>
      <c r="G61" s="183" t="s">
        <v>184</v>
      </c>
      <c r="H61" s="183" t="s">
        <v>181</v>
      </c>
      <c r="I61" s="184">
        <v>0</v>
      </c>
      <c r="J61" s="65"/>
      <c r="K61" s="71">
        <v>33699815.289999999</v>
      </c>
      <c r="L61" s="185"/>
      <c r="M61" s="73">
        <v>21499392</v>
      </c>
      <c r="N61" s="73"/>
      <c r="O61" s="198">
        <f>ROUND((K61+(K61*-(I61/100)))-M61,0)</f>
        <v>12200423</v>
      </c>
      <c r="P61" s="73"/>
      <c r="Q61" s="57">
        <f>O61/U61</f>
        <v>580972.52380952379</v>
      </c>
      <c r="S61" s="74">
        <f>Q61/K61*100</f>
        <v>1.723963525645555</v>
      </c>
      <c r="U61" s="172">
        <f>AA61</f>
        <v>21</v>
      </c>
      <c r="V61" s="181"/>
      <c r="W61" s="345">
        <f>'Adjust Depr Table 1'!U61</f>
        <v>21</v>
      </c>
      <c r="X61" s="208"/>
      <c r="Y61" s="209"/>
      <c r="Z61" s="208"/>
      <c r="AA61" s="203">
        <f>W61+Y61</f>
        <v>21</v>
      </c>
    </row>
    <row r="62" spans="1:27" s="19" customFormat="1">
      <c r="A62" s="64"/>
      <c r="B62" s="65"/>
      <c r="C62" s="70" t="s">
        <v>59</v>
      </c>
      <c r="D62" s="65"/>
      <c r="E62" s="182">
        <v>2042</v>
      </c>
      <c r="F62" s="65"/>
      <c r="G62" s="183" t="s">
        <v>184</v>
      </c>
      <c r="H62" s="183" t="s">
        <v>181</v>
      </c>
      <c r="I62" s="184">
        <v>0</v>
      </c>
      <c r="J62" s="65"/>
      <c r="K62" s="71">
        <v>60137136.600000001</v>
      </c>
      <c r="L62" s="185"/>
      <c r="M62" s="73">
        <v>34021115</v>
      </c>
      <c r="N62" s="73"/>
      <c r="O62" s="198">
        <f>ROUND((K62+(K62*-(I62/100)))-M62,0)</f>
        <v>26116022</v>
      </c>
      <c r="P62" s="73"/>
      <c r="Q62" s="57">
        <f>O62/U62</f>
        <v>1135479.2173913044</v>
      </c>
      <c r="S62" s="74">
        <f>Q62/K62*100</f>
        <v>1.8881497882812472</v>
      </c>
      <c r="U62" s="172">
        <f>AA62</f>
        <v>23</v>
      </c>
      <c r="V62" s="181"/>
      <c r="W62" s="345">
        <f>'Adjust Depr Table 1'!U62</f>
        <v>23</v>
      </c>
      <c r="X62" s="208"/>
      <c r="Y62" s="209"/>
      <c r="Z62" s="208"/>
      <c r="AA62" s="203">
        <f>W62+Y62</f>
        <v>23</v>
      </c>
    </row>
    <row r="63" spans="1:27" s="19" customFormat="1">
      <c r="A63" s="64"/>
      <c r="B63" s="65"/>
      <c r="C63" s="70" t="s">
        <v>60</v>
      </c>
      <c r="D63" s="65"/>
      <c r="E63" s="182">
        <v>2045</v>
      </c>
      <c r="F63" s="65"/>
      <c r="G63" s="183" t="s">
        <v>184</v>
      </c>
      <c r="H63" s="183" t="s">
        <v>181</v>
      </c>
      <c r="I63" s="184">
        <v>0</v>
      </c>
      <c r="J63" s="65"/>
      <c r="K63" s="71">
        <v>80408959.549999997</v>
      </c>
      <c r="L63" s="185"/>
      <c r="M63" s="73">
        <v>25108153</v>
      </c>
      <c r="N63" s="73"/>
      <c r="O63" s="198">
        <f>ROUND((K63+(K63*-(I63/100)))-M63,0)</f>
        <v>55300807</v>
      </c>
      <c r="P63" s="73"/>
      <c r="Q63" s="57">
        <f>O63/U63</f>
        <v>2126954.1153846155</v>
      </c>
      <c r="S63" s="74">
        <f>Q63/K63*100</f>
        <v>2.645170547272198</v>
      </c>
      <c r="U63" s="172">
        <f>AA63</f>
        <v>26</v>
      </c>
      <c r="V63" s="181"/>
      <c r="W63" s="345">
        <f>'Adjust Depr Table 1'!U63</f>
        <v>26</v>
      </c>
      <c r="X63" s="208"/>
      <c r="Y63" s="209"/>
      <c r="Z63" s="208"/>
      <c r="AA63" s="203">
        <f>W63+Y63</f>
        <v>26</v>
      </c>
    </row>
    <row r="64" spans="1:27" s="19" customFormat="1">
      <c r="A64" s="64"/>
      <c r="B64" s="65"/>
      <c r="C64" s="70" t="s">
        <v>61</v>
      </c>
      <c r="D64" s="65"/>
      <c r="E64" s="182">
        <v>2049</v>
      </c>
      <c r="F64" s="65"/>
      <c r="G64" s="183" t="s">
        <v>184</v>
      </c>
      <c r="H64" s="183" t="s">
        <v>181</v>
      </c>
      <c r="I64" s="184">
        <v>0</v>
      </c>
      <c r="J64" s="65"/>
      <c r="K64" s="75">
        <v>80239064.25</v>
      </c>
      <c r="L64" s="185"/>
      <c r="M64" s="77">
        <v>6017115</v>
      </c>
      <c r="N64" s="73"/>
      <c r="O64" s="205">
        <f>ROUND((K64+(K64*-(I64/100)))-M64,0)</f>
        <v>74221949</v>
      </c>
      <c r="P64" s="73"/>
      <c r="Q64" s="62">
        <f>O64/U64</f>
        <v>2474064.9666666668</v>
      </c>
      <c r="S64" s="74">
        <f>Q64/K64*100</f>
        <v>3.0833671725760023</v>
      </c>
      <c r="U64" s="172">
        <f>AA64</f>
        <v>30</v>
      </c>
      <c r="V64" s="181"/>
      <c r="W64" s="345">
        <f>'Adjust Depr Table 1'!U64</f>
        <v>30</v>
      </c>
      <c r="X64" s="208"/>
      <c r="Y64" s="209"/>
      <c r="Z64" s="208"/>
      <c r="AA64" s="203">
        <f>W64+Y64</f>
        <v>30</v>
      </c>
    </row>
    <row r="65" spans="1:27" s="19" customFormat="1">
      <c r="A65" s="64"/>
      <c r="B65" s="65"/>
      <c r="C65" s="78"/>
      <c r="D65" s="65"/>
      <c r="E65" s="182"/>
      <c r="F65" s="65"/>
      <c r="G65" s="183"/>
      <c r="H65" s="183"/>
      <c r="I65" s="184"/>
      <c r="J65" s="65"/>
      <c r="K65" s="71"/>
      <c r="L65" s="185"/>
      <c r="M65" s="73"/>
      <c r="N65" s="73"/>
      <c r="O65" s="73"/>
      <c r="P65" s="73"/>
      <c r="Q65" s="73"/>
      <c r="S65" s="74"/>
      <c r="U65" s="186"/>
      <c r="V65" s="181"/>
      <c r="W65" s="345"/>
      <c r="X65" s="208"/>
      <c r="Y65" s="208"/>
      <c r="Z65" s="208"/>
      <c r="AA65" s="203"/>
    </row>
    <row r="66" spans="1:27" s="19" customFormat="1">
      <c r="A66" s="64"/>
      <c r="B66" s="65"/>
      <c r="C66" s="78" t="s">
        <v>70</v>
      </c>
      <c r="D66" s="65"/>
      <c r="E66" s="182"/>
      <c r="F66" s="65"/>
      <c r="G66" s="183"/>
      <c r="H66" s="183"/>
      <c r="I66" s="184"/>
      <c r="J66" s="65"/>
      <c r="K66" s="71">
        <f>SUBTOTAL(9,K60:K65)</f>
        <v>278199932.47000003</v>
      </c>
      <c r="L66" s="185"/>
      <c r="M66" s="73">
        <f>SUBTOTAL(9,M60:M65)</f>
        <v>103746857</v>
      </c>
      <c r="N66" s="73"/>
      <c r="O66" s="73">
        <f>SUBTOTAL(9,O60:O65)</f>
        <v>174453076</v>
      </c>
      <c r="P66" s="73"/>
      <c r="Q66" s="73">
        <f>SUBTOTAL(9,Q60:Q65)</f>
        <v>6918732.186888475</v>
      </c>
      <c r="S66" s="74">
        <f>+ROUND(Q66/K66*100,2)</f>
        <v>2.4900000000000002</v>
      </c>
      <c r="U66" s="186"/>
      <c r="V66" s="181"/>
      <c r="W66" s="345"/>
      <c r="X66" s="208"/>
      <c r="Y66" s="208"/>
      <c r="Z66" s="208"/>
      <c r="AA66" s="203"/>
    </row>
    <row r="67" spans="1:27" s="19" customFormat="1">
      <c r="A67" s="64"/>
      <c r="B67" s="65"/>
      <c r="C67" s="78"/>
      <c r="D67" s="65"/>
      <c r="E67" s="182"/>
      <c r="F67" s="65"/>
      <c r="G67" s="183"/>
      <c r="H67" s="183"/>
      <c r="I67" s="184"/>
      <c r="J67" s="65"/>
      <c r="K67" s="71"/>
      <c r="L67" s="185"/>
      <c r="M67" s="73"/>
      <c r="N67" s="73"/>
      <c r="O67" s="73"/>
      <c r="P67" s="73"/>
      <c r="Q67" s="73"/>
      <c r="S67" s="74"/>
      <c r="U67" s="186"/>
      <c r="V67" s="181"/>
      <c r="W67" s="345"/>
      <c r="X67" s="208"/>
      <c r="Y67" s="208"/>
      <c r="Z67" s="208"/>
      <c r="AA67" s="203"/>
    </row>
    <row r="68" spans="1:27" s="19" customFormat="1">
      <c r="A68" s="64">
        <v>315</v>
      </c>
      <c r="B68" s="65"/>
      <c r="C68" s="78" t="s">
        <v>71</v>
      </c>
      <c r="D68" s="65"/>
      <c r="E68" s="182"/>
      <c r="F68" s="65"/>
      <c r="G68" s="183"/>
      <c r="H68" s="183"/>
      <c r="I68" s="184"/>
      <c r="J68" s="65"/>
      <c r="K68" s="71"/>
      <c r="L68" s="185"/>
      <c r="M68" s="73"/>
      <c r="N68" s="73"/>
      <c r="O68" s="73"/>
      <c r="P68" s="73"/>
      <c r="Q68" s="73"/>
      <c r="S68" s="74"/>
      <c r="U68" s="186"/>
      <c r="V68" s="181"/>
      <c r="W68" s="345"/>
      <c r="X68" s="208"/>
      <c r="Y68" s="208"/>
      <c r="Z68" s="208"/>
      <c r="AA68" s="203"/>
    </row>
    <row r="69" spans="1:27" s="19" customFormat="1">
      <c r="A69" s="64"/>
      <c r="B69" s="65"/>
      <c r="C69" s="70" t="s">
        <v>55</v>
      </c>
      <c r="D69" s="65"/>
      <c r="E69" s="182">
        <v>2030</v>
      </c>
      <c r="F69" s="65"/>
      <c r="G69" s="183" t="s">
        <v>185</v>
      </c>
      <c r="H69" s="183" t="s">
        <v>181</v>
      </c>
      <c r="I69" s="184">
        <v>0</v>
      </c>
      <c r="J69" s="65"/>
      <c r="K69" s="71">
        <v>3362383.45</v>
      </c>
      <c r="L69" s="185"/>
      <c r="M69" s="73">
        <v>2657793</v>
      </c>
      <c r="N69" s="73"/>
      <c r="O69" s="198">
        <f t="shared" ref="O69:O79" si="10">ROUND((K69+(K69*-(I69/100)))-M69,0)</f>
        <v>704590</v>
      </c>
      <c r="P69" s="73"/>
      <c r="Q69" s="57">
        <f t="shared" ref="Q69:Q79" si="11">O69/U69</f>
        <v>64053.63636363636</v>
      </c>
      <c r="S69" s="74">
        <f t="shared" ref="S69:S79" si="12">Q69/K69*100</f>
        <v>1.9050068891945195</v>
      </c>
      <c r="U69" s="172">
        <f t="shared" ref="U69:U79" si="13">AA69</f>
        <v>11</v>
      </c>
      <c r="V69" s="181"/>
      <c r="W69" s="345">
        <f>'Adjust Depr Table 1'!U69</f>
        <v>11</v>
      </c>
      <c r="X69" s="208"/>
      <c r="Y69" s="209"/>
      <c r="Z69" s="208"/>
      <c r="AA69" s="203">
        <f t="shared" ref="AA69:AA79" si="14">W69+Y69</f>
        <v>11</v>
      </c>
    </row>
    <row r="70" spans="1:27" s="19" customFormat="1">
      <c r="A70" s="64"/>
      <c r="B70" s="65"/>
      <c r="C70" s="70" t="s">
        <v>66</v>
      </c>
      <c r="D70" s="65"/>
      <c r="E70" s="182">
        <v>2030</v>
      </c>
      <c r="F70" s="65"/>
      <c r="G70" s="183" t="s">
        <v>185</v>
      </c>
      <c r="H70" s="183" t="s">
        <v>181</v>
      </c>
      <c r="I70" s="184">
        <v>0</v>
      </c>
      <c r="J70" s="65"/>
      <c r="K70" s="71">
        <v>108139.1</v>
      </c>
      <c r="L70" s="185"/>
      <c r="M70" s="73">
        <v>17587</v>
      </c>
      <c r="N70" s="73"/>
      <c r="O70" s="198">
        <f t="shared" si="10"/>
        <v>90552</v>
      </c>
      <c r="P70" s="73"/>
      <c r="Q70" s="57">
        <f t="shared" si="11"/>
        <v>8232</v>
      </c>
      <c r="S70" s="74">
        <f t="shared" si="12"/>
        <v>7.6124177101529416</v>
      </c>
      <c r="U70" s="172">
        <f t="shared" si="13"/>
        <v>11</v>
      </c>
      <c r="V70" s="181"/>
      <c r="W70" s="345">
        <f>'Adjust Depr Table 1'!U70</f>
        <v>11</v>
      </c>
      <c r="X70" s="208"/>
      <c r="Y70" s="209"/>
      <c r="Z70" s="208"/>
      <c r="AA70" s="203">
        <f t="shared" si="14"/>
        <v>11</v>
      </c>
    </row>
    <row r="71" spans="1:27" s="19" customFormat="1">
      <c r="A71" s="64"/>
      <c r="B71" s="65"/>
      <c r="C71" s="70" t="s">
        <v>67</v>
      </c>
      <c r="D71" s="65"/>
      <c r="E71" s="182">
        <v>2030</v>
      </c>
      <c r="F71" s="65"/>
      <c r="G71" s="183" t="s">
        <v>185</v>
      </c>
      <c r="H71" s="183" t="s">
        <v>181</v>
      </c>
      <c r="I71" s="184">
        <v>0</v>
      </c>
      <c r="J71" s="65"/>
      <c r="K71" s="71">
        <v>108269.09</v>
      </c>
      <c r="L71" s="185"/>
      <c r="M71" s="73">
        <v>17606</v>
      </c>
      <c r="N71" s="73"/>
      <c r="O71" s="198">
        <f t="shared" si="10"/>
        <v>90663</v>
      </c>
      <c r="P71" s="73"/>
      <c r="Q71" s="57">
        <f t="shared" si="11"/>
        <v>8242.0909090909099</v>
      </c>
      <c r="S71" s="74">
        <f t="shared" si="12"/>
        <v>7.6125983039950826</v>
      </c>
      <c r="U71" s="172">
        <f t="shared" si="13"/>
        <v>11</v>
      </c>
      <c r="V71" s="181"/>
      <c r="W71" s="345">
        <f>'Adjust Depr Table 1'!U71</f>
        <v>11</v>
      </c>
      <c r="X71" s="208"/>
      <c r="Y71" s="209"/>
      <c r="Z71" s="208"/>
      <c r="AA71" s="203">
        <f t="shared" si="14"/>
        <v>11</v>
      </c>
    </row>
    <row r="72" spans="1:27" s="19" customFormat="1">
      <c r="A72" s="64"/>
      <c r="B72" s="65"/>
      <c r="C72" s="70" t="s">
        <v>56</v>
      </c>
      <c r="D72" s="65"/>
      <c r="E72" s="182">
        <v>2030</v>
      </c>
      <c r="F72" s="65"/>
      <c r="G72" s="183" t="s">
        <v>185</v>
      </c>
      <c r="H72" s="183" t="s">
        <v>181</v>
      </c>
      <c r="I72" s="184">
        <v>0</v>
      </c>
      <c r="J72" s="65"/>
      <c r="K72" s="71">
        <v>12060627.85</v>
      </c>
      <c r="L72" s="185"/>
      <c r="M72" s="73">
        <v>5388909</v>
      </c>
      <c r="N72" s="73"/>
      <c r="O72" s="198">
        <f t="shared" si="10"/>
        <v>6671719</v>
      </c>
      <c r="P72" s="73"/>
      <c r="Q72" s="57">
        <f t="shared" si="11"/>
        <v>606519.90909090906</v>
      </c>
      <c r="S72" s="74">
        <f t="shared" si="12"/>
        <v>5.0289248340492412</v>
      </c>
      <c r="U72" s="172">
        <f t="shared" si="13"/>
        <v>11</v>
      </c>
      <c r="V72" s="181"/>
      <c r="W72" s="345">
        <f>'Adjust Depr Table 1'!U72</f>
        <v>11</v>
      </c>
      <c r="X72" s="208"/>
      <c r="Y72" s="209"/>
      <c r="Z72" s="208"/>
      <c r="AA72" s="203">
        <f t="shared" si="14"/>
        <v>11</v>
      </c>
    </row>
    <row r="73" spans="1:27" s="19" customFormat="1">
      <c r="A73" s="64"/>
      <c r="B73" s="65"/>
      <c r="C73" s="70" t="s">
        <v>57</v>
      </c>
      <c r="D73" s="65"/>
      <c r="E73" s="182">
        <v>2049</v>
      </c>
      <c r="F73" s="65"/>
      <c r="G73" s="183" t="s">
        <v>185</v>
      </c>
      <c r="H73" s="183" t="s">
        <v>181</v>
      </c>
      <c r="I73" s="184">
        <v>0</v>
      </c>
      <c r="J73" s="65"/>
      <c r="K73" s="71">
        <v>657912.36</v>
      </c>
      <c r="L73" s="185"/>
      <c r="M73" s="73">
        <v>7870</v>
      </c>
      <c r="N73" s="73"/>
      <c r="O73" s="198">
        <f t="shared" si="10"/>
        <v>650042</v>
      </c>
      <c r="P73" s="73"/>
      <c r="Q73" s="57">
        <f t="shared" si="11"/>
        <v>21668.066666666666</v>
      </c>
      <c r="S73" s="74">
        <f t="shared" si="12"/>
        <v>3.293457910817585</v>
      </c>
      <c r="U73" s="172">
        <f t="shared" si="13"/>
        <v>30</v>
      </c>
      <c r="V73" s="181"/>
      <c r="W73" s="345">
        <f>'Adjust Depr Table 1'!U73</f>
        <v>30</v>
      </c>
      <c r="X73" s="208"/>
      <c r="Y73" s="209"/>
      <c r="Z73" s="208"/>
      <c r="AA73" s="203">
        <f t="shared" si="14"/>
        <v>30</v>
      </c>
    </row>
    <row r="74" spans="1:27" s="19" customFormat="1">
      <c r="A74" s="64"/>
      <c r="B74" s="65"/>
      <c r="C74" s="70" t="s">
        <v>58</v>
      </c>
      <c r="D74" s="65"/>
      <c r="E74" s="182">
        <v>2040</v>
      </c>
      <c r="F74" s="65"/>
      <c r="G74" s="183" t="s">
        <v>185</v>
      </c>
      <c r="H74" s="183" t="s">
        <v>181</v>
      </c>
      <c r="I74" s="184">
        <v>0</v>
      </c>
      <c r="J74" s="65"/>
      <c r="K74" s="71">
        <v>10670855.65</v>
      </c>
      <c r="L74" s="185"/>
      <c r="M74" s="73">
        <v>6663401</v>
      </c>
      <c r="N74" s="73"/>
      <c r="O74" s="198">
        <f t="shared" si="10"/>
        <v>4007455</v>
      </c>
      <c r="P74" s="73"/>
      <c r="Q74" s="57">
        <f t="shared" si="11"/>
        <v>190831.19047619047</v>
      </c>
      <c r="S74" s="74">
        <f t="shared" si="12"/>
        <v>1.7883400988203835</v>
      </c>
      <c r="U74" s="172">
        <f t="shared" si="13"/>
        <v>21</v>
      </c>
      <c r="V74" s="181"/>
      <c r="W74" s="345">
        <f>'Adjust Depr Table 1'!U74</f>
        <v>21</v>
      </c>
      <c r="X74" s="208"/>
      <c r="Y74" s="209"/>
      <c r="Z74" s="208"/>
      <c r="AA74" s="203">
        <f t="shared" si="14"/>
        <v>21</v>
      </c>
    </row>
    <row r="75" spans="1:27" s="19" customFormat="1">
      <c r="A75" s="64"/>
      <c r="B75" s="65"/>
      <c r="C75" s="70" t="s">
        <v>59</v>
      </c>
      <c r="D75" s="65"/>
      <c r="E75" s="182">
        <v>2042</v>
      </c>
      <c r="F75" s="65"/>
      <c r="G75" s="183" t="s">
        <v>185</v>
      </c>
      <c r="H75" s="183" t="s">
        <v>181</v>
      </c>
      <c r="I75" s="184">
        <v>0</v>
      </c>
      <c r="J75" s="65"/>
      <c r="K75" s="71">
        <v>21783326.510000002</v>
      </c>
      <c r="L75" s="185"/>
      <c r="M75" s="73">
        <v>15081564</v>
      </c>
      <c r="N75" s="73"/>
      <c r="O75" s="198">
        <f t="shared" si="10"/>
        <v>6701763</v>
      </c>
      <c r="P75" s="73"/>
      <c r="Q75" s="57">
        <f t="shared" si="11"/>
        <v>291381</v>
      </c>
      <c r="S75" s="74">
        <f t="shared" si="12"/>
        <v>1.3376331657437017</v>
      </c>
      <c r="U75" s="172">
        <f t="shared" si="13"/>
        <v>23</v>
      </c>
      <c r="V75" s="181"/>
      <c r="W75" s="345">
        <f>'Adjust Depr Table 1'!U75</f>
        <v>23</v>
      </c>
      <c r="X75" s="208"/>
      <c r="Y75" s="209"/>
      <c r="Z75" s="208"/>
      <c r="AA75" s="203">
        <f t="shared" si="14"/>
        <v>23</v>
      </c>
    </row>
    <row r="76" spans="1:27" s="19" customFormat="1">
      <c r="A76" s="64"/>
      <c r="B76" s="65"/>
      <c r="C76" s="70" t="s">
        <v>60</v>
      </c>
      <c r="D76" s="65"/>
      <c r="E76" s="182">
        <v>2045</v>
      </c>
      <c r="F76" s="65"/>
      <c r="G76" s="183" t="s">
        <v>185</v>
      </c>
      <c r="H76" s="183" t="s">
        <v>181</v>
      </c>
      <c r="I76" s="184">
        <v>0</v>
      </c>
      <c r="J76" s="65"/>
      <c r="K76" s="71">
        <v>23764302.84</v>
      </c>
      <c r="L76" s="185"/>
      <c r="M76" s="73">
        <v>7521598</v>
      </c>
      <c r="N76" s="73"/>
      <c r="O76" s="198">
        <f t="shared" si="10"/>
        <v>16242705</v>
      </c>
      <c r="P76" s="73"/>
      <c r="Q76" s="57">
        <f t="shared" si="11"/>
        <v>624719.42307692312</v>
      </c>
      <c r="S76" s="74">
        <f t="shared" si="12"/>
        <v>2.6288144334930683</v>
      </c>
      <c r="U76" s="172">
        <f t="shared" si="13"/>
        <v>26</v>
      </c>
      <c r="V76" s="181"/>
      <c r="W76" s="345">
        <f>'Adjust Depr Table 1'!U76</f>
        <v>26</v>
      </c>
      <c r="X76" s="208"/>
      <c r="Y76" s="209"/>
      <c r="Z76" s="208"/>
      <c r="AA76" s="203">
        <f t="shared" si="14"/>
        <v>26</v>
      </c>
    </row>
    <row r="77" spans="1:27" s="19" customFormat="1">
      <c r="A77" s="64"/>
      <c r="B77" s="65"/>
      <c r="C77" s="70" t="s">
        <v>61</v>
      </c>
      <c r="D77" s="65"/>
      <c r="E77" s="182">
        <v>2049</v>
      </c>
      <c r="F77" s="65"/>
      <c r="G77" s="183" t="s">
        <v>185</v>
      </c>
      <c r="H77" s="183" t="s">
        <v>181</v>
      </c>
      <c r="I77" s="184">
        <v>0</v>
      </c>
      <c r="J77" s="65"/>
      <c r="K77" s="71">
        <v>12751242.41</v>
      </c>
      <c r="L77" s="185"/>
      <c r="M77" s="73">
        <v>1382162</v>
      </c>
      <c r="N77" s="73"/>
      <c r="O77" s="198">
        <f t="shared" si="10"/>
        <v>11369080</v>
      </c>
      <c r="P77" s="73"/>
      <c r="Q77" s="57">
        <f t="shared" si="11"/>
        <v>378969.33333333331</v>
      </c>
      <c r="S77" s="74">
        <f t="shared" si="12"/>
        <v>2.9720188915562566</v>
      </c>
      <c r="U77" s="172">
        <f t="shared" si="13"/>
        <v>30</v>
      </c>
      <c r="V77" s="181"/>
      <c r="W77" s="345">
        <f>'Adjust Depr Table 1'!U77</f>
        <v>30</v>
      </c>
      <c r="X77" s="208"/>
      <c r="Y77" s="209"/>
      <c r="Z77" s="208"/>
      <c r="AA77" s="203">
        <f t="shared" si="14"/>
        <v>30</v>
      </c>
    </row>
    <row r="78" spans="1:27" s="19" customFormat="1">
      <c r="A78" s="64"/>
      <c r="B78" s="65"/>
      <c r="C78" s="70" t="s">
        <v>62</v>
      </c>
      <c r="D78" s="65"/>
      <c r="E78" s="182">
        <v>2040</v>
      </c>
      <c r="F78" s="65"/>
      <c r="G78" s="183" t="s">
        <v>185</v>
      </c>
      <c r="H78" s="183" t="s">
        <v>181</v>
      </c>
      <c r="I78" s="184">
        <v>0</v>
      </c>
      <c r="J78" s="65"/>
      <c r="K78" s="71">
        <v>12520715.15</v>
      </c>
      <c r="L78" s="185"/>
      <c r="M78" s="73">
        <v>4450680</v>
      </c>
      <c r="N78" s="73"/>
      <c r="O78" s="198">
        <f t="shared" si="10"/>
        <v>8070035</v>
      </c>
      <c r="P78" s="73"/>
      <c r="Q78" s="57">
        <f t="shared" si="11"/>
        <v>384287.38095238095</v>
      </c>
      <c r="S78" s="74">
        <f t="shared" si="12"/>
        <v>3.0692127114830252</v>
      </c>
      <c r="U78" s="172">
        <f t="shared" si="13"/>
        <v>21</v>
      </c>
      <c r="V78" s="181"/>
      <c r="W78" s="345">
        <f>'Adjust Depr Table 1'!U78</f>
        <v>21</v>
      </c>
      <c r="X78" s="208"/>
      <c r="Y78" s="209"/>
      <c r="Z78" s="208"/>
      <c r="AA78" s="203">
        <f t="shared" si="14"/>
        <v>21</v>
      </c>
    </row>
    <row r="79" spans="1:27" s="19" customFormat="1">
      <c r="A79" s="64"/>
      <c r="B79" s="65"/>
      <c r="C79" s="70" t="s">
        <v>63</v>
      </c>
      <c r="D79" s="65"/>
      <c r="E79" s="182">
        <v>2042</v>
      </c>
      <c r="F79" s="65"/>
      <c r="G79" s="183" t="s">
        <v>185</v>
      </c>
      <c r="H79" s="183" t="s">
        <v>181</v>
      </c>
      <c r="I79" s="184">
        <v>0</v>
      </c>
      <c r="J79" s="65"/>
      <c r="K79" s="75">
        <v>17731988.489999998</v>
      </c>
      <c r="L79" s="185"/>
      <c r="M79" s="77">
        <v>6374337</v>
      </c>
      <c r="N79" s="73"/>
      <c r="O79" s="205">
        <f t="shared" si="10"/>
        <v>11357651</v>
      </c>
      <c r="P79" s="73"/>
      <c r="Q79" s="62">
        <f t="shared" si="11"/>
        <v>493810.91304347827</v>
      </c>
      <c r="S79" s="74">
        <f t="shared" si="12"/>
        <v>2.7848592013352831</v>
      </c>
      <c r="U79" s="172">
        <f t="shared" si="13"/>
        <v>23</v>
      </c>
      <c r="V79" s="181"/>
      <c r="W79" s="345">
        <f>'Adjust Depr Table 1'!U79</f>
        <v>23</v>
      </c>
      <c r="X79" s="208"/>
      <c r="Y79" s="209"/>
      <c r="Z79" s="208"/>
      <c r="AA79" s="203">
        <f t="shared" si="14"/>
        <v>23</v>
      </c>
    </row>
    <row r="80" spans="1:27" s="19" customFormat="1">
      <c r="A80" s="64"/>
      <c r="B80" s="65"/>
      <c r="C80" s="78"/>
      <c r="D80" s="65"/>
      <c r="E80" s="65"/>
      <c r="F80" s="65"/>
      <c r="G80" s="183"/>
      <c r="H80" s="183"/>
      <c r="I80" s="184"/>
      <c r="J80" s="65"/>
      <c r="K80" s="71"/>
      <c r="L80" s="185"/>
      <c r="M80" s="73"/>
      <c r="N80" s="73"/>
      <c r="O80" s="73"/>
      <c r="P80" s="73"/>
      <c r="Q80" s="73"/>
      <c r="S80" s="74"/>
      <c r="U80" s="186"/>
      <c r="V80" s="181"/>
      <c r="W80" s="345"/>
      <c r="X80" s="208"/>
      <c r="Y80" s="208"/>
      <c r="Z80" s="208"/>
      <c r="AA80" s="203"/>
    </row>
    <row r="81" spans="1:27" s="19" customFormat="1">
      <c r="A81" s="64"/>
      <c r="B81" s="65"/>
      <c r="C81" s="78" t="s">
        <v>72</v>
      </c>
      <c r="D81" s="65"/>
      <c r="E81" s="65"/>
      <c r="F81" s="65"/>
      <c r="G81" s="183"/>
      <c r="H81" s="183"/>
      <c r="I81" s="184"/>
      <c r="J81" s="65"/>
      <c r="K81" s="71">
        <f>SUBTOTAL(9,K69:K80)</f>
        <v>115519762.90000001</v>
      </c>
      <c r="L81" s="185"/>
      <c r="M81" s="73">
        <f>SUBTOTAL(9,M69:M80)</f>
        <v>49563507</v>
      </c>
      <c r="N81" s="73"/>
      <c r="O81" s="73">
        <f>SUBTOTAL(9,O69:O80)</f>
        <v>65956255</v>
      </c>
      <c r="P81" s="73"/>
      <c r="Q81" s="73">
        <f>SUBTOTAL(9,Q69:Q80)</f>
        <v>3072714.9439126095</v>
      </c>
      <c r="S81" s="74">
        <f>+ROUND(Q81/K81*100,2)</f>
        <v>2.66</v>
      </c>
      <c r="U81" s="186"/>
      <c r="V81" s="181"/>
      <c r="W81" s="345"/>
      <c r="X81" s="208"/>
      <c r="Y81" s="208"/>
      <c r="Z81" s="208"/>
      <c r="AA81" s="203"/>
    </row>
    <row r="82" spans="1:27" s="19" customFormat="1">
      <c r="A82" s="64"/>
      <c r="B82" s="65"/>
      <c r="C82" s="78"/>
      <c r="D82" s="65"/>
      <c r="E82" s="65"/>
      <c r="F82" s="65"/>
      <c r="G82" s="183"/>
      <c r="H82" s="183"/>
      <c r="I82" s="184"/>
      <c r="J82" s="65"/>
      <c r="K82" s="71"/>
      <c r="L82" s="185"/>
      <c r="M82" s="73"/>
      <c r="N82" s="73"/>
      <c r="O82" s="73"/>
      <c r="P82" s="73"/>
      <c r="Q82" s="73"/>
      <c r="S82" s="74"/>
      <c r="U82" s="186"/>
      <c r="V82" s="181"/>
      <c r="W82" s="345"/>
      <c r="X82" s="208"/>
      <c r="Y82" s="208"/>
      <c r="Z82" s="208"/>
      <c r="AA82" s="203"/>
    </row>
    <row r="83" spans="1:27" s="19" customFormat="1">
      <c r="A83" s="64">
        <v>316</v>
      </c>
      <c r="B83" s="65"/>
      <c r="C83" s="78" t="s">
        <v>73</v>
      </c>
      <c r="D83" s="65"/>
      <c r="E83" s="65"/>
      <c r="F83" s="65"/>
      <c r="G83" s="183"/>
      <c r="H83" s="183"/>
      <c r="I83" s="184"/>
      <c r="J83" s="65"/>
      <c r="K83" s="71"/>
      <c r="L83" s="65"/>
      <c r="M83" s="67"/>
      <c r="N83" s="67"/>
      <c r="O83" s="67"/>
      <c r="P83" s="67"/>
      <c r="Q83" s="67"/>
      <c r="S83" s="74"/>
      <c r="U83" s="186"/>
      <c r="V83" s="181"/>
      <c r="W83" s="345"/>
      <c r="X83" s="208"/>
      <c r="Y83" s="208"/>
      <c r="Z83" s="208"/>
      <c r="AA83" s="203"/>
    </row>
    <row r="84" spans="1:27" s="19" customFormat="1">
      <c r="A84" s="64"/>
      <c r="B84" s="65"/>
      <c r="C84" s="70" t="s">
        <v>54</v>
      </c>
      <c r="D84" s="65"/>
      <c r="E84" s="182">
        <v>2030</v>
      </c>
      <c r="F84" s="65"/>
      <c r="G84" s="183" t="s">
        <v>186</v>
      </c>
      <c r="H84" s="183" t="s">
        <v>181</v>
      </c>
      <c r="I84" s="184">
        <v>0</v>
      </c>
      <c r="J84" s="65"/>
      <c r="K84" s="71">
        <v>1111554.28</v>
      </c>
      <c r="L84" s="185"/>
      <c r="M84" s="73">
        <v>695769.46</v>
      </c>
      <c r="N84" s="73"/>
      <c r="O84" s="198">
        <f t="shared" ref="O84:O90" si="15">ROUND((K84+(K84*-(I84/100)))-M84,0)</f>
        <v>415785</v>
      </c>
      <c r="P84" s="73"/>
      <c r="Q84" s="57">
        <f t="shared" ref="Q84:Q90" si="16">O84/U84</f>
        <v>37798.63636363636</v>
      </c>
      <c r="S84" s="74">
        <f t="shared" ref="S84:S90" si="17">Q84/K84*100</f>
        <v>3.4005209681380886</v>
      </c>
      <c r="U84" s="172">
        <f t="shared" ref="U84:U90" si="18">AA84</f>
        <v>11</v>
      </c>
      <c r="V84" s="181"/>
      <c r="W84" s="345">
        <f>'Adjust Depr Table 1'!U84</f>
        <v>11</v>
      </c>
      <c r="X84" s="208"/>
      <c r="Y84" s="209"/>
      <c r="Z84" s="208"/>
      <c r="AA84" s="203">
        <f t="shared" ref="AA84:AA90" si="19">W84+Y84</f>
        <v>11</v>
      </c>
    </row>
    <row r="85" spans="1:27" s="19" customFormat="1">
      <c r="A85" s="64"/>
      <c r="B85" s="65"/>
      <c r="C85" s="70" t="s">
        <v>55</v>
      </c>
      <c r="D85" s="65"/>
      <c r="E85" s="182">
        <v>2030</v>
      </c>
      <c r="F85" s="65"/>
      <c r="G85" s="183" t="s">
        <v>186</v>
      </c>
      <c r="H85" s="183" t="s">
        <v>181</v>
      </c>
      <c r="I85" s="184">
        <v>0</v>
      </c>
      <c r="J85" s="65"/>
      <c r="K85" s="71">
        <v>2706566.34</v>
      </c>
      <c r="L85" s="185"/>
      <c r="M85" s="73">
        <v>1294786</v>
      </c>
      <c r="N85" s="73"/>
      <c r="O85" s="198">
        <f t="shared" si="15"/>
        <v>1411780</v>
      </c>
      <c r="P85" s="73"/>
      <c r="Q85" s="57">
        <f t="shared" si="16"/>
        <v>128343.63636363637</v>
      </c>
      <c r="S85" s="74">
        <f t="shared" si="17"/>
        <v>4.7419357311462154</v>
      </c>
      <c r="U85" s="172">
        <f t="shared" si="18"/>
        <v>11</v>
      </c>
      <c r="V85" s="181"/>
      <c r="W85" s="345">
        <f>'Adjust Depr Table 1'!U85</f>
        <v>11</v>
      </c>
      <c r="X85" s="208"/>
      <c r="Y85" s="209"/>
      <c r="Z85" s="208"/>
      <c r="AA85" s="203">
        <f t="shared" si="19"/>
        <v>11</v>
      </c>
    </row>
    <row r="86" spans="1:27" s="19" customFormat="1">
      <c r="A86" s="64"/>
      <c r="B86" s="65"/>
      <c r="C86" s="70" t="s">
        <v>56</v>
      </c>
      <c r="D86" s="65"/>
      <c r="E86" s="182">
        <v>2030</v>
      </c>
      <c r="F86" s="65"/>
      <c r="G86" s="183" t="s">
        <v>186</v>
      </c>
      <c r="H86" s="183" t="s">
        <v>181</v>
      </c>
      <c r="I86" s="184">
        <v>0</v>
      </c>
      <c r="J86" s="65"/>
      <c r="K86" s="71">
        <v>2139985.1800000002</v>
      </c>
      <c r="L86" s="185"/>
      <c r="M86" s="73">
        <v>969395</v>
      </c>
      <c r="N86" s="73"/>
      <c r="O86" s="198">
        <f t="shared" si="15"/>
        <v>1170590</v>
      </c>
      <c r="P86" s="73"/>
      <c r="Q86" s="57">
        <f t="shared" si="16"/>
        <v>106417.27272727272</v>
      </c>
      <c r="S86" s="74">
        <f t="shared" si="17"/>
        <v>4.97280419144177</v>
      </c>
      <c r="U86" s="172">
        <f t="shared" si="18"/>
        <v>11</v>
      </c>
      <c r="V86" s="181"/>
      <c r="W86" s="345">
        <f>'Adjust Depr Table 1'!U86</f>
        <v>11</v>
      </c>
      <c r="X86" s="208"/>
      <c r="Y86" s="209"/>
      <c r="Z86" s="208"/>
      <c r="AA86" s="203">
        <f t="shared" si="19"/>
        <v>11</v>
      </c>
    </row>
    <row r="87" spans="1:27" s="19" customFormat="1">
      <c r="A87" s="64"/>
      <c r="B87" s="65"/>
      <c r="C87" s="70" t="s">
        <v>57</v>
      </c>
      <c r="D87" s="65"/>
      <c r="E87" s="182">
        <v>2049</v>
      </c>
      <c r="F87" s="65"/>
      <c r="G87" s="183" t="s">
        <v>186</v>
      </c>
      <c r="H87" s="183" t="s">
        <v>181</v>
      </c>
      <c r="I87" s="184">
        <v>0</v>
      </c>
      <c r="J87" s="65"/>
      <c r="K87" s="71">
        <v>4774642.05</v>
      </c>
      <c r="L87" s="185"/>
      <c r="M87" s="73">
        <v>1942513</v>
      </c>
      <c r="N87" s="73"/>
      <c r="O87" s="198">
        <f t="shared" si="15"/>
        <v>2832129</v>
      </c>
      <c r="P87" s="73"/>
      <c r="Q87" s="57">
        <f t="shared" si="16"/>
        <v>94404.3</v>
      </c>
      <c r="S87" s="74">
        <f t="shared" si="17"/>
        <v>1.9772016208000347</v>
      </c>
      <c r="U87" s="172">
        <f t="shared" si="18"/>
        <v>30</v>
      </c>
      <c r="V87" s="181"/>
      <c r="W87" s="345">
        <f>'Adjust Depr Table 1'!U87</f>
        <v>30</v>
      </c>
      <c r="X87" s="208"/>
      <c r="Y87" s="209"/>
      <c r="Z87" s="208"/>
      <c r="AA87" s="203">
        <f t="shared" si="19"/>
        <v>30</v>
      </c>
    </row>
    <row r="88" spans="1:27" s="19" customFormat="1">
      <c r="A88" s="64"/>
      <c r="B88" s="65"/>
      <c r="C88" s="70" t="s">
        <v>58</v>
      </c>
      <c r="D88" s="65"/>
      <c r="E88" s="182">
        <v>2040</v>
      </c>
      <c r="F88" s="65"/>
      <c r="G88" s="183" t="s">
        <v>186</v>
      </c>
      <c r="H88" s="183" t="s">
        <v>181</v>
      </c>
      <c r="I88" s="184">
        <v>0</v>
      </c>
      <c r="J88" s="65"/>
      <c r="K88" s="71">
        <v>182562.7</v>
      </c>
      <c r="L88" s="185"/>
      <c r="M88" s="73">
        <v>127731</v>
      </c>
      <c r="N88" s="73"/>
      <c r="O88" s="198">
        <f t="shared" si="15"/>
        <v>54832</v>
      </c>
      <c r="P88" s="73"/>
      <c r="Q88" s="57">
        <f t="shared" si="16"/>
        <v>2611.0476190476193</v>
      </c>
      <c r="S88" s="74">
        <f t="shared" si="17"/>
        <v>1.4302196555197852</v>
      </c>
      <c r="U88" s="172">
        <f t="shared" si="18"/>
        <v>21</v>
      </c>
      <c r="V88" s="181"/>
      <c r="W88" s="345">
        <f>'Adjust Depr Table 1'!U88</f>
        <v>21</v>
      </c>
      <c r="X88" s="208"/>
      <c r="Y88" s="209"/>
      <c r="Z88" s="208"/>
      <c r="AA88" s="203">
        <f t="shared" si="19"/>
        <v>21</v>
      </c>
    </row>
    <row r="89" spans="1:27" s="19" customFormat="1">
      <c r="A89" s="64"/>
      <c r="B89" s="65"/>
      <c r="C89" s="70" t="s">
        <v>60</v>
      </c>
      <c r="D89" s="65"/>
      <c r="E89" s="182">
        <v>2045</v>
      </c>
      <c r="F89" s="65"/>
      <c r="G89" s="183" t="s">
        <v>186</v>
      </c>
      <c r="H89" s="183" t="s">
        <v>181</v>
      </c>
      <c r="I89" s="184">
        <v>0</v>
      </c>
      <c r="J89" s="65"/>
      <c r="K89" s="71">
        <v>2192469.65</v>
      </c>
      <c r="L89" s="185"/>
      <c r="M89" s="73">
        <v>248026</v>
      </c>
      <c r="N89" s="73"/>
      <c r="O89" s="198">
        <f t="shared" si="15"/>
        <v>1944444</v>
      </c>
      <c r="P89" s="73"/>
      <c r="Q89" s="57">
        <f t="shared" si="16"/>
        <v>74786.307692307688</v>
      </c>
      <c r="S89" s="74">
        <f t="shared" si="17"/>
        <v>3.41105327010149</v>
      </c>
      <c r="U89" s="172">
        <f t="shared" si="18"/>
        <v>26</v>
      </c>
      <c r="V89" s="181"/>
      <c r="W89" s="345">
        <f>'Adjust Depr Table 1'!U89</f>
        <v>26</v>
      </c>
      <c r="X89" s="208"/>
      <c r="Y89" s="209"/>
      <c r="Z89" s="208"/>
      <c r="AA89" s="203">
        <f t="shared" si="19"/>
        <v>26</v>
      </c>
    </row>
    <row r="90" spans="1:27" s="19" customFormat="1">
      <c r="A90" s="64"/>
      <c r="B90" s="65"/>
      <c r="C90" s="70" t="s">
        <v>61</v>
      </c>
      <c r="D90" s="65"/>
      <c r="E90" s="182">
        <v>2049</v>
      </c>
      <c r="F90" s="65"/>
      <c r="G90" s="183" t="s">
        <v>186</v>
      </c>
      <c r="H90" s="183" t="s">
        <v>181</v>
      </c>
      <c r="I90" s="184">
        <v>0</v>
      </c>
      <c r="J90" s="65"/>
      <c r="K90" s="75">
        <v>3964220.82</v>
      </c>
      <c r="L90" s="185"/>
      <c r="M90" s="77">
        <v>272786</v>
      </c>
      <c r="N90" s="73"/>
      <c r="O90" s="205">
        <f t="shared" si="15"/>
        <v>3691435</v>
      </c>
      <c r="P90" s="73"/>
      <c r="Q90" s="62">
        <f t="shared" si="16"/>
        <v>123047.83333333333</v>
      </c>
      <c r="S90" s="74">
        <f t="shared" si="17"/>
        <v>3.1039601202975704</v>
      </c>
      <c r="U90" s="172">
        <f t="shared" si="18"/>
        <v>30</v>
      </c>
      <c r="V90" s="181"/>
      <c r="W90" s="345">
        <f>'Adjust Depr Table 1'!U90</f>
        <v>30</v>
      </c>
      <c r="X90" s="208"/>
      <c r="Y90" s="209"/>
      <c r="Z90" s="208"/>
      <c r="AA90" s="203">
        <f t="shared" si="19"/>
        <v>30</v>
      </c>
    </row>
    <row r="91" spans="1:27" s="19" customFormat="1">
      <c r="A91" s="64"/>
      <c r="B91" s="65"/>
      <c r="C91" s="78"/>
      <c r="D91" s="65"/>
      <c r="E91" s="65"/>
      <c r="F91" s="65"/>
      <c r="G91" s="183"/>
      <c r="H91" s="183"/>
      <c r="I91" s="184"/>
      <c r="J91" s="65"/>
      <c r="K91" s="71"/>
      <c r="L91" s="185"/>
      <c r="M91" s="73"/>
      <c r="N91" s="73"/>
      <c r="O91" s="73"/>
      <c r="P91" s="73"/>
      <c r="Q91" s="73"/>
      <c r="S91" s="74"/>
      <c r="U91" s="186"/>
      <c r="V91" s="181"/>
      <c r="W91" s="345"/>
      <c r="X91" s="208"/>
      <c r="Y91" s="208"/>
      <c r="Z91" s="208"/>
      <c r="AA91" s="203"/>
    </row>
    <row r="92" spans="1:27" s="19" customFormat="1">
      <c r="A92" s="64"/>
      <c r="B92" s="65"/>
      <c r="C92" s="78" t="s">
        <v>74</v>
      </c>
      <c r="D92" s="65"/>
      <c r="E92" s="65"/>
      <c r="F92" s="65"/>
      <c r="G92" s="183"/>
      <c r="H92" s="183"/>
      <c r="I92" s="184"/>
      <c r="J92" s="65"/>
      <c r="K92" s="75">
        <f>SUBTOTAL(9,K84:K91)</f>
        <v>17072001.02</v>
      </c>
      <c r="L92" s="185"/>
      <c r="M92" s="77">
        <f>SUBTOTAL(9,M84:M91)</f>
        <v>5551006.46</v>
      </c>
      <c r="N92" s="73"/>
      <c r="O92" s="77">
        <f>SUBTOTAL(9,O84:O91)</f>
        <v>11520995</v>
      </c>
      <c r="P92" s="73"/>
      <c r="Q92" s="77">
        <f>SUBTOTAL(9,Q84:Q91)</f>
        <v>567409.03409923415</v>
      </c>
      <c r="S92" s="74">
        <f>+ROUND(Q92/K92*100,2)</f>
        <v>3.32</v>
      </c>
      <c r="U92" s="186"/>
      <c r="V92" s="181"/>
      <c r="W92" s="345"/>
      <c r="X92" s="208"/>
      <c r="Y92" s="208"/>
      <c r="Z92" s="208"/>
      <c r="AA92" s="203"/>
    </row>
    <row r="93" spans="1:27" ht="15.75">
      <c r="A93" s="23"/>
      <c r="C93" s="79"/>
      <c r="K93" s="71"/>
      <c r="L93" s="185"/>
      <c r="M93" s="73"/>
      <c r="N93" s="73"/>
      <c r="O93" s="73"/>
      <c r="P93" s="73"/>
      <c r="Q93" s="73"/>
      <c r="S93" s="49"/>
      <c r="U93" s="176"/>
      <c r="V93" s="23"/>
      <c r="W93" s="346"/>
      <c r="X93" s="207"/>
      <c r="Y93" s="207"/>
      <c r="Z93" s="207"/>
      <c r="AA93" s="204"/>
    </row>
    <row r="94" spans="1:27" ht="15.75">
      <c r="A94" s="80"/>
      <c r="C94" s="81" t="s">
        <v>75</v>
      </c>
      <c r="G94" s="187"/>
      <c r="H94" s="187"/>
      <c r="I94" s="188"/>
      <c r="K94" s="118">
        <f>SUBTOTAL(9,K22:K93)</f>
        <v>2426607851.3600001</v>
      </c>
      <c r="L94" s="93"/>
      <c r="M94" s="120">
        <f>SUBTOTAL(9,M22:M93)</f>
        <v>894868155.6500001</v>
      </c>
      <c r="N94" s="120"/>
      <c r="O94" s="120">
        <f>SUBTOTAL(9,O22:O93)</f>
        <v>1531739695</v>
      </c>
      <c r="P94" s="120"/>
      <c r="Q94" s="120">
        <f>SUBTOTAL(9,Q22:Q93)</f>
        <v>70105617.735030189</v>
      </c>
      <c r="S94" s="84">
        <f>+ROUND(Q94/K94*100,2)</f>
        <v>2.89</v>
      </c>
      <c r="T94" s="93"/>
      <c r="U94" s="189"/>
      <c r="V94" s="23"/>
      <c r="W94" s="348"/>
      <c r="X94" s="207"/>
      <c r="Y94" s="207"/>
      <c r="Z94" s="207"/>
      <c r="AA94" s="204"/>
    </row>
    <row r="95" spans="1:27" s="19" customFormat="1">
      <c r="A95" s="85"/>
      <c r="C95" s="86"/>
      <c r="G95" s="187"/>
      <c r="H95" s="187"/>
      <c r="I95" s="188"/>
      <c r="K95" s="87"/>
      <c r="M95" s="89"/>
      <c r="N95" s="89"/>
      <c r="O95" s="89"/>
      <c r="P95" s="89"/>
      <c r="Q95" s="89"/>
      <c r="S95" s="74"/>
      <c r="U95" s="186"/>
      <c r="V95" s="181"/>
      <c r="W95" s="345"/>
      <c r="X95" s="208"/>
      <c r="Y95" s="208"/>
      <c r="Z95" s="208"/>
      <c r="AA95" s="203"/>
    </row>
    <row r="96" spans="1:27" ht="15.75">
      <c r="A96" s="23"/>
      <c r="C96" s="24" t="s">
        <v>76</v>
      </c>
      <c r="M96" s="46"/>
      <c r="N96" s="46"/>
      <c r="O96" s="46"/>
      <c r="P96" s="46"/>
      <c r="Q96" s="46"/>
      <c r="S96" s="49"/>
      <c r="U96" s="176"/>
      <c r="V96" s="23"/>
      <c r="W96" s="346"/>
      <c r="X96" s="207"/>
      <c r="Y96" s="207"/>
      <c r="Z96" s="207"/>
      <c r="AA96" s="204"/>
    </row>
    <row r="97" spans="1:27" ht="15.75">
      <c r="A97" s="23"/>
      <c r="C97" s="48"/>
      <c r="M97" s="46"/>
      <c r="N97" s="46"/>
      <c r="O97" s="46"/>
      <c r="P97" s="46"/>
      <c r="Q97" s="46"/>
      <c r="S97" s="49"/>
      <c r="U97" s="176"/>
      <c r="V97" s="23"/>
      <c r="W97" s="346"/>
      <c r="X97" s="207"/>
      <c r="Y97" s="207"/>
      <c r="Z97" s="207"/>
      <c r="AA97" s="204"/>
    </row>
    <row r="98" spans="1:27" s="19" customFormat="1">
      <c r="A98" s="64">
        <v>341</v>
      </c>
      <c r="B98" s="65"/>
      <c r="C98" s="65" t="s">
        <v>53</v>
      </c>
      <c r="D98" s="65"/>
      <c r="E98" s="65"/>
      <c r="F98" s="65"/>
      <c r="G98" s="65"/>
      <c r="H98" s="65"/>
      <c r="I98" s="179"/>
      <c r="J98" s="65"/>
      <c r="K98" s="65"/>
      <c r="L98" s="65"/>
      <c r="M98" s="67"/>
      <c r="N98" s="67"/>
      <c r="O98" s="67"/>
      <c r="P98" s="67"/>
      <c r="Q98" s="67"/>
      <c r="S98" s="68"/>
      <c r="U98" s="180"/>
      <c r="V98" s="181"/>
      <c r="W98" s="347"/>
      <c r="X98" s="208"/>
      <c r="Y98" s="208"/>
      <c r="Z98" s="208"/>
      <c r="AA98" s="203"/>
    </row>
    <row r="99" spans="1:27" s="19" customFormat="1">
      <c r="A99" s="64"/>
      <c r="B99" s="65"/>
      <c r="C99" s="70" t="s">
        <v>77</v>
      </c>
      <c r="D99" s="65"/>
      <c r="E99" s="182">
        <v>2050</v>
      </c>
      <c r="F99" s="65"/>
      <c r="G99" s="183" t="s">
        <v>187</v>
      </c>
      <c r="H99" s="183" t="s">
        <v>181</v>
      </c>
      <c r="I99" s="184">
        <v>0</v>
      </c>
      <c r="J99" s="65"/>
      <c r="K99" s="71">
        <v>19534021.23</v>
      </c>
      <c r="L99" s="185"/>
      <c r="M99" s="73">
        <v>8079954</v>
      </c>
      <c r="N99" s="73"/>
      <c r="O99" s="198">
        <f t="shared" ref="O99:O118" si="20">ROUND((K99+(K99*-(I99/100)))-M99,0)</f>
        <v>11454067</v>
      </c>
      <c r="P99" s="73"/>
      <c r="Q99" s="57">
        <f t="shared" ref="Q99:Q118" si="21">O99/U99</f>
        <v>318168.52777777775</v>
      </c>
      <c r="S99" s="74">
        <f t="shared" ref="S99:S118" si="22">Q99/K99*100</f>
        <v>1.6287917578851618</v>
      </c>
      <c r="U99" s="172">
        <f t="shared" ref="U99:U118" si="23">AA99</f>
        <v>36</v>
      </c>
      <c r="V99" s="181"/>
      <c r="W99" s="345">
        <f>'Adjust Depr Table 1'!U99</f>
        <v>31</v>
      </c>
      <c r="X99" s="208"/>
      <c r="Y99" s="209">
        <v>5</v>
      </c>
      <c r="Z99" s="208"/>
      <c r="AA99" s="203">
        <f t="shared" ref="AA99:AA118" si="24">W99+Y99</f>
        <v>36</v>
      </c>
    </row>
    <row r="100" spans="1:27" s="19" customFormat="1">
      <c r="A100" s="64"/>
      <c r="B100" s="65"/>
      <c r="C100" s="70" t="s">
        <v>78</v>
      </c>
      <c r="D100" s="65"/>
      <c r="E100" s="182">
        <v>2034</v>
      </c>
      <c r="F100" s="65"/>
      <c r="G100" s="183" t="s">
        <v>187</v>
      </c>
      <c r="H100" s="183" t="s">
        <v>181</v>
      </c>
      <c r="I100" s="184">
        <v>0</v>
      </c>
      <c r="J100" s="65"/>
      <c r="K100" s="71">
        <v>2666719.81</v>
      </c>
      <c r="L100" s="185"/>
      <c r="M100" s="73">
        <v>1526577</v>
      </c>
      <c r="N100" s="73"/>
      <c r="O100" s="198">
        <f t="shared" si="20"/>
        <v>1140143</v>
      </c>
      <c r="P100" s="73"/>
      <c r="Q100" s="57">
        <f t="shared" si="21"/>
        <v>45605.72</v>
      </c>
      <c r="S100" s="74">
        <f t="shared" si="22"/>
        <v>1.71018041824199</v>
      </c>
      <c r="U100" s="172">
        <f t="shared" si="23"/>
        <v>25</v>
      </c>
      <c r="V100" s="181"/>
      <c r="W100" s="345">
        <f>'Adjust Depr Table 1'!U100</f>
        <v>15</v>
      </c>
      <c r="X100" s="208"/>
      <c r="Y100" s="209">
        <v>10</v>
      </c>
      <c r="Z100" s="208"/>
      <c r="AA100" s="203">
        <f t="shared" si="24"/>
        <v>25</v>
      </c>
    </row>
    <row r="101" spans="1:27" s="19" customFormat="1">
      <c r="A101" s="64"/>
      <c r="B101" s="65"/>
      <c r="C101" s="70" t="s">
        <v>79</v>
      </c>
      <c r="D101" s="65"/>
      <c r="E101" s="182">
        <v>2034</v>
      </c>
      <c r="F101" s="65"/>
      <c r="G101" s="183" t="s">
        <v>187</v>
      </c>
      <c r="H101" s="183" t="s">
        <v>181</v>
      </c>
      <c r="I101" s="184">
        <v>0</v>
      </c>
      <c r="J101" s="65"/>
      <c r="K101" s="71">
        <v>2666719.81</v>
      </c>
      <c r="L101" s="185"/>
      <c r="M101" s="73">
        <v>1547030</v>
      </c>
      <c r="N101" s="73"/>
      <c r="O101" s="198">
        <f t="shared" si="20"/>
        <v>1119690</v>
      </c>
      <c r="P101" s="73"/>
      <c r="Q101" s="57">
        <f t="shared" si="21"/>
        <v>44787.6</v>
      </c>
      <c r="S101" s="74">
        <f t="shared" si="22"/>
        <v>1.6795015296338911</v>
      </c>
      <c r="U101" s="172">
        <f t="shared" si="23"/>
        <v>25</v>
      </c>
      <c r="V101" s="181"/>
      <c r="W101" s="345">
        <f>'Adjust Depr Table 1'!U101</f>
        <v>15</v>
      </c>
      <c r="X101" s="208"/>
      <c r="Y101" s="209">
        <v>10</v>
      </c>
      <c r="Z101" s="208"/>
      <c r="AA101" s="203">
        <f t="shared" si="24"/>
        <v>25</v>
      </c>
    </row>
    <row r="102" spans="1:27" s="19" customFormat="1">
      <c r="A102" s="64"/>
      <c r="B102" s="65"/>
      <c r="C102" s="70" t="s">
        <v>80</v>
      </c>
      <c r="D102" s="65"/>
      <c r="E102" s="182">
        <v>2034</v>
      </c>
      <c r="F102" s="65"/>
      <c r="G102" s="183" t="s">
        <v>187</v>
      </c>
      <c r="H102" s="183" t="s">
        <v>181</v>
      </c>
      <c r="I102" s="184">
        <v>0</v>
      </c>
      <c r="J102" s="65"/>
      <c r="K102" s="71">
        <v>2666719.81</v>
      </c>
      <c r="L102" s="185"/>
      <c r="M102" s="73">
        <v>1537134</v>
      </c>
      <c r="N102" s="73"/>
      <c r="O102" s="198">
        <f t="shared" si="20"/>
        <v>1129586</v>
      </c>
      <c r="P102" s="73"/>
      <c r="Q102" s="57">
        <f t="shared" si="21"/>
        <v>45183.44</v>
      </c>
      <c r="S102" s="74">
        <f t="shared" si="22"/>
        <v>1.6943452338174216</v>
      </c>
      <c r="U102" s="172">
        <f t="shared" si="23"/>
        <v>25</v>
      </c>
      <c r="V102" s="181"/>
      <c r="W102" s="345">
        <f>'Adjust Depr Table 1'!U102</f>
        <v>15</v>
      </c>
      <c r="X102" s="208"/>
      <c r="Y102" s="209">
        <v>10</v>
      </c>
      <c r="Z102" s="208"/>
      <c r="AA102" s="203">
        <f t="shared" si="24"/>
        <v>25</v>
      </c>
    </row>
    <row r="103" spans="1:27" s="19" customFormat="1">
      <c r="A103" s="64"/>
      <c r="B103" s="65"/>
      <c r="C103" s="70" t="s">
        <v>81</v>
      </c>
      <c r="D103" s="65"/>
      <c r="E103" s="182">
        <v>2041</v>
      </c>
      <c r="F103" s="65"/>
      <c r="G103" s="183" t="s">
        <v>187</v>
      </c>
      <c r="H103" s="183" t="s">
        <v>181</v>
      </c>
      <c r="I103" s="184">
        <v>0</v>
      </c>
      <c r="J103" s="65"/>
      <c r="K103" s="71">
        <v>1937757.41</v>
      </c>
      <c r="L103" s="185"/>
      <c r="M103" s="73">
        <v>910073</v>
      </c>
      <c r="N103" s="73"/>
      <c r="O103" s="198">
        <f t="shared" si="20"/>
        <v>1027684</v>
      </c>
      <c r="P103" s="73"/>
      <c r="Q103" s="57">
        <f t="shared" si="21"/>
        <v>38062.370370370372</v>
      </c>
      <c r="S103" s="74">
        <f t="shared" si="22"/>
        <v>1.9642484747546585</v>
      </c>
      <c r="U103" s="172">
        <f t="shared" si="23"/>
        <v>27</v>
      </c>
      <c r="V103" s="181"/>
      <c r="W103" s="345">
        <f>'Adjust Depr Table 1'!U103</f>
        <v>22</v>
      </c>
      <c r="X103" s="208"/>
      <c r="Y103" s="209">
        <v>5</v>
      </c>
      <c r="Z103" s="208"/>
      <c r="AA103" s="203">
        <f t="shared" si="24"/>
        <v>27</v>
      </c>
    </row>
    <row r="104" spans="1:27" s="19" customFormat="1">
      <c r="A104" s="64"/>
      <c r="B104" s="65"/>
      <c r="C104" s="70" t="s">
        <v>82</v>
      </c>
      <c r="D104" s="65"/>
      <c r="E104" s="182">
        <v>2041</v>
      </c>
      <c r="F104" s="65"/>
      <c r="G104" s="183" t="s">
        <v>187</v>
      </c>
      <c r="H104" s="183" t="s">
        <v>181</v>
      </c>
      <c r="I104" s="184">
        <v>0</v>
      </c>
      <c r="J104" s="65"/>
      <c r="K104" s="71">
        <v>1599135.43</v>
      </c>
      <c r="L104" s="185"/>
      <c r="M104" s="73">
        <v>744544</v>
      </c>
      <c r="N104" s="73"/>
      <c r="O104" s="198">
        <f t="shared" si="20"/>
        <v>854591</v>
      </c>
      <c r="P104" s="73"/>
      <c r="Q104" s="57">
        <f t="shared" si="21"/>
        <v>31651.518518518518</v>
      </c>
      <c r="S104" s="74">
        <f t="shared" si="22"/>
        <v>1.9792894288208296</v>
      </c>
      <c r="U104" s="172">
        <f t="shared" si="23"/>
        <v>27</v>
      </c>
      <c r="V104" s="181"/>
      <c r="W104" s="345">
        <f>'Adjust Depr Table 1'!U104</f>
        <v>22</v>
      </c>
      <c r="X104" s="208"/>
      <c r="Y104" s="209">
        <v>5</v>
      </c>
      <c r="Z104" s="208"/>
      <c r="AA104" s="203">
        <f t="shared" si="24"/>
        <v>27</v>
      </c>
    </row>
    <row r="105" spans="1:27" s="19" customFormat="1">
      <c r="A105" s="64"/>
      <c r="B105" s="65"/>
      <c r="C105" s="70" t="s">
        <v>83</v>
      </c>
      <c r="D105" s="65"/>
      <c r="E105" s="182">
        <v>2045</v>
      </c>
      <c r="F105" s="65"/>
      <c r="G105" s="183" t="s">
        <v>187</v>
      </c>
      <c r="H105" s="183" t="s">
        <v>181</v>
      </c>
      <c r="I105" s="184">
        <v>0</v>
      </c>
      <c r="J105" s="65"/>
      <c r="K105" s="71">
        <v>303524.78000000003</v>
      </c>
      <c r="L105" s="185"/>
      <c r="M105" s="73">
        <v>111370</v>
      </c>
      <c r="N105" s="73"/>
      <c r="O105" s="198">
        <f t="shared" si="20"/>
        <v>192155</v>
      </c>
      <c r="P105" s="73"/>
      <c r="Q105" s="57">
        <f t="shared" si="21"/>
        <v>6198.5483870967746</v>
      </c>
      <c r="S105" s="74">
        <f t="shared" si="22"/>
        <v>2.0421885775180444</v>
      </c>
      <c r="U105" s="172">
        <f t="shared" si="23"/>
        <v>31</v>
      </c>
      <c r="V105" s="181"/>
      <c r="W105" s="345">
        <f>'Adjust Depr Table 1'!U105</f>
        <v>26</v>
      </c>
      <c r="X105" s="208"/>
      <c r="Y105" s="209">
        <v>5</v>
      </c>
      <c r="Z105" s="208"/>
      <c r="AA105" s="203">
        <f t="shared" si="24"/>
        <v>31</v>
      </c>
    </row>
    <row r="106" spans="1:27" s="19" customFormat="1">
      <c r="A106" s="64"/>
      <c r="B106" s="65"/>
      <c r="C106" s="70" t="s">
        <v>84</v>
      </c>
      <c r="D106" s="65"/>
      <c r="E106" s="182">
        <v>2045</v>
      </c>
      <c r="F106" s="65"/>
      <c r="G106" s="183" t="s">
        <v>187</v>
      </c>
      <c r="H106" s="183" t="s">
        <v>181</v>
      </c>
      <c r="I106" s="184">
        <v>0</v>
      </c>
      <c r="J106" s="65"/>
      <c r="K106" s="71">
        <v>303524.78000000003</v>
      </c>
      <c r="L106" s="185"/>
      <c r="M106" s="73">
        <v>111368</v>
      </c>
      <c r="N106" s="73"/>
      <c r="O106" s="198">
        <f t="shared" si="20"/>
        <v>192157</v>
      </c>
      <c r="P106" s="73"/>
      <c r="Q106" s="57">
        <f t="shared" si="21"/>
        <v>6198.6129032258068</v>
      </c>
      <c r="S106" s="74">
        <f t="shared" si="22"/>
        <v>2.0422098331562273</v>
      </c>
      <c r="U106" s="172">
        <f t="shared" si="23"/>
        <v>31</v>
      </c>
      <c r="V106" s="181"/>
      <c r="W106" s="345">
        <f>'Adjust Depr Table 1'!U106</f>
        <v>26</v>
      </c>
      <c r="X106" s="208"/>
      <c r="Y106" s="209">
        <v>5</v>
      </c>
      <c r="Z106" s="208"/>
      <c r="AA106" s="203">
        <f t="shared" si="24"/>
        <v>31</v>
      </c>
    </row>
    <row r="107" spans="1:27" s="19" customFormat="1">
      <c r="A107" s="64"/>
      <c r="B107" s="65"/>
      <c r="C107" s="70" t="s">
        <v>85</v>
      </c>
      <c r="D107" s="65"/>
      <c r="E107" s="182">
        <v>2050</v>
      </c>
      <c r="F107" s="65"/>
      <c r="G107" s="183" t="s">
        <v>187</v>
      </c>
      <c r="H107" s="183" t="s">
        <v>181</v>
      </c>
      <c r="I107" s="184">
        <v>0</v>
      </c>
      <c r="J107" s="65"/>
      <c r="K107" s="71">
        <v>4500637.37</v>
      </c>
      <c r="L107" s="185"/>
      <c r="M107" s="73">
        <v>883169</v>
      </c>
      <c r="N107" s="73"/>
      <c r="O107" s="198">
        <f t="shared" si="20"/>
        <v>3617468</v>
      </c>
      <c r="P107" s="73"/>
      <c r="Q107" s="57">
        <f t="shared" si="21"/>
        <v>100485.22222222222</v>
      </c>
      <c r="S107" s="74">
        <f t="shared" si="22"/>
        <v>2.23268870520493</v>
      </c>
      <c r="U107" s="172">
        <f t="shared" si="23"/>
        <v>36</v>
      </c>
      <c r="V107" s="181"/>
      <c r="W107" s="345">
        <f>'Adjust Depr Table 1'!U107</f>
        <v>31</v>
      </c>
      <c r="X107" s="208"/>
      <c r="Y107" s="209">
        <v>5</v>
      </c>
      <c r="Z107" s="208"/>
      <c r="AA107" s="203">
        <f t="shared" si="24"/>
        <v>36</v>
      </c>
    </row>
    <row r="108" spans="1:27" s="19" customFormat="1">
      <c r="A108" s="64"/>
      <c r="B108" s="65"/>
      <c r="C108" s="70" t="s">
        <v>86</v>
      </c>
      <c r="D108" s="65"/>
      <c r="E108" s="182">
        <v>2050</v>
      </c>
      <c r="F108" s="65"/>
      <c r="G108" s="183" t="s">
        <v>187</v>
      </c>
      <c r="H108" s="183" t="s">
        <v>181</v>
      </c>
      <c r="I108" s="184">
        <v>0</v>
      </c>
      <c r="J108" s="65"/>
      <c r="K108" s="71">
        <v>88846.57</v>
      </c>
      <c r="L108" s="185"/>
      <c r="M108" s="73">
        <v>22007</v>
      </c>
      <c r="N108" s="73"/>
      <c r="O108" s="198">
        <f t="shared" si="20"/>
        <v>66840</v>
      </c>
      <c r="P108" s="73"/>
      <c r="Q108" s="57">
        <f t="shared" si="21"/>
        <v>1856.6666666666667</v>
      </c>
      <c r="S108" s="74">
        <f t="shared" si="22"/>
        <v>2.0897449014257576</v>
      </c>
      <c r="U108" s="172">
        <f t="shared" si="23"/>
        <v>36</v>
      </c>
      <c r="V108" s="181"/>
      <c r="W108" s="345">
        <f>'Adjust Depr Table 1'!U108</f>
        <v>31</v>
      </c>
      <c r="X108" s="208"/>
      <c r="Y108" s="209">
        <v>5</v>
      </c>
      <c r="Z108" s="208"/>
      <c r="AA108" s="203">
        <f t="shared" si="24"/>
        <v>36</v>
      </c>
    </row>
    <row r="109" spans="1:27" s="19" customFormat="1">
      <c r="A109" s="64"/>
      <c r="B109" s="65"/>
      <c r="C109" s="70" t="s">
        <v>87</v>
      </c>
      <c r="D109" s="65"/>
      <c r="E109" s="182">
        <v>2038</v>
      </c>
      <c r="F109" s="65"/>
      <c r="G109" s="183" t="s">
        <v>187</v>
      </c>
      <c r="H109" s="183" t="s">
        <v>181</v>
      </c>
      <c r="I109" s="184">
        <v>0</v>
      </c>
      <c r="J109" s="65"/>
      <c r="K109" s="71">
        <v>1119860.8</v>
      </c>
      <c r="L109" s="185"/>
      <c r="M109" s="73">
        <v>495454</v>
      </c>
      <c r="N109" s="73"/>
      <c r="O109" s="198">
        <f t="shared" si="20"/>
        <v>624407</v>
      </c>
      <c r="P109" s="73"/>
      <c r="Q109" s="57">
        <f t="shared" si="21"/>
        <v>32863.526315789473</v>
      </c>
      <c r="S109" s="74">
        <f t="shared" si="22"/>
        <v>2.9346081509228177</v>
      </c>
      <c r="U109" s="172">
        <f t="shared" si="23"/>
        <v>19</v>
      </c>
      <c r="V109" s="181"/>
      <c r="W109" s="345">
        <f>'Adjust Depr Table 1'!U109</f>
        <v>19</v>
      </c>
      <c r="X109" s="208"/>
      <c r="Y109" s="209"/>
      <c r="Z109" s="208"/>
      <c r="AA109" s="203">
        <f t="shared" si="24"/>
        <v>19</v>
      </c>
    </row>
    <row r="110" spans="1:27" s="19" customFormat="1">
      <c r="A110" s="64"/>
      <c r="B110" s="65"/>
      <c r="C110" s="70" t="s">
        <v>88</v>
      </c>
      <c r="D110" s="65"/>
      <c r="E110" s="182">
        <v>2038</v>
      </c>
      <c r="F110" s="65"/>
      <c r="G110" s="183" t="s">
        <v>187</v>
      </c>
      <c r="H110" s="183" t="s">
        <v>181</v>
      </c>
      <c r="I110" s="184">
        <v>0</v>
      </c>
      <c r="J110" s="65"/>
      <c r="K110" s="71">
        <v>1200486.53</v>
      </c>
      <c r="L110" s="185"/>
      <c r="M110" s="73">
        <v>531124</v>
      </c>
      <c r="N110" s="73"/>
      <c r="O110" s="198">
        <f t="shared" si="20"/>
        <v>669363</v>
      </c>
      <c r="P110" s="73"/>
      <c r="Q110" s="57">
        <f t="shared" si="21"/>
        <v>35229.631578947367</v>
      </c>
      <c r="S110" s="74">
        <f t="shared" si="22"/>
        <v>2.934612817267293</v>
      </c>
      <c r="U110" s="172">
        <f t="shared" si="23"/>
        <v>19</v>
      </c>
      <c r="V110" s="181"/>
      <c r="W110" s="345">
        <f>'Adjust Depr Table 1'!U110</f>
        <v>19</v>
      </c>
      <c r="X110" s="208"/>
      <c r="Y110" s="209"/>
      <c r="Z110" s="208"/>
      <c r="AA110" s="203">
        <f t="shared" si="24"/>
        <v>19</v>
      </c>
    </row>
    <row r="111" spans="1:27" s="19" customFormat="1">
      <c r="A111" s="64"/>
      <c r="B111" s="65"/>
      <c r="C111" s="70" t="s">
        <v>89</v>
      </c>
      <c r="D111" s="65"/>
      <c r="E111" s="182">
        <v>2038</v>
      </c>
      <c r="F111" s="65"/>
      <c r="G111" s="183" t="s">
        <v>187</v>
      </c>
      <c r="H111" s="183" t="s">
        <v>181</v>
      </c>
      <c r="I111" s="184">
        <v>0</v>
      </c>
      <c r="J111" s="65"/>
      <c r="K111" s="71">
        <v>1135966.24</v>
      </c>
      <c r="L111" s="185"/>
      <c r="M111" s="73">
        <v>502579</v>
      </c>
      <c r="N111" s="73"/>
      <c r="O111" s="198">
        <f t="shared" si="20"/>
        <v>633387</v>
      </c>
      <c r="P111" s="73"/>
      <c r="Q111" s="57">
        <f t="shared" si="21"/>
        <v>33336.15789473684</v>
      </c>
      <c r="S111" s="74">
        <f t="shared" si="22"/>
        <v>2.9346081530325092</v>
      </c>
      <c r="U111" s="172">
        <f t="shared" si="23"/>
        <v>19</v>
      </c>
      <c r="V111" s="181"/>
      <c r="W111" s="345">
        <f>'Adjust Depr Table 1'!U111</f>
        <v>19</v>
      </c>
      <c r="X111" s="208"/>
      <c r="Y111" s="209"/>
      <c r="Z111" s="208"/>
      <c r="AA111" s="203">
        <f t="shared" si="24"/>
        <v>19</v>
      </c>
    </row>
    <row r="112" spans="1:27" s="19" customFormat="1">
      <c r="A112" s="64"/>
      <c r="B112" s="65"/>
      <c r="C112" s="70" t="s">
        <v>90</v>
      </c>
      <c r="D112" s="65"/>
      <c r="E112" s="182">
        <v>2041</v>
      </c>
      <c r="F112" s="65"/>
      <c r="G112" s="183" t="s">
        <v>187</v>
      </c>
      <c r="H112" s="183" t="s">
        <v>181</v>
      </c>
      <c r="I112" s="184">
        <v>0</v>
      </c>
      <c r="J112" s="65"/>
      <c r="K112" s="71">
        <v>1465228.09</v>
      </c>
      <c r="L112" s="185"/>
      <c r="M112" s="73">
        <v>534890</v>
      </c>
      <c r="N112" s="73"/>
      <c r="O112" s="198">
        <f t="shared" si="20"/>
        <v>930338</v>
      </c>
      <c r="P112" s="73"/>
      <c r="Q112" s="57">
        <f t="shared" si="21"/>
        <v>42288.090909090912</v>
      </c>
      <c r="S112" s="74">
        <f t="shared" si="22"/>
        <v>2.8861097598184124</v>
      </c>
      <c r="U112" s="172">
        <f t="shared" si="23"/>
        <v>22</v>
      </c>
      <c r="V112" s="181"/>
      <c r="W112" s="345">
        <f>'Adjust Depr Table 1'!U112</f>
        <v>22</v>
      </c>
      <c r="X112" s="208"/>
      <c r="Y112" s="209"/>
      <c r="Z112" s="208"/>
      <c r="AA112" s="203">
        <f t="shared" si="24"/>
        <v>22</v>
      </c>
    </row>
    <row r="113" spans="1:27" s="19" customFormat="1">
      <c r="A113" s="64"/>
      <c r="B113" s="65"/>
      <c r="C113" s="70" t="s">
        <v>91</v>
      </c>
      <c r="D113" s="65"/>
      <c r="E113" s="182">
        <v>2042</v>
      </c>
      <c r="F113" s="65"/>
      <c r="G113" s="183" t="s">
        <v>187</v>
      </c>
      <c r="H113" s="183" t="s">
        <v>181</v>
      </c>
      <c r="I113" s="184">
        <v>0</v>
      </c>
      <c r="J113" s="65"/>
      <c r="K113" s="71">
        <v>2033652.36</v>
      </c>
      <c r="L113" s="185"/>
      <c r="M113" s="73">
        <v>141041</v>
      </c>
      <c r="N113" s="73"/>
      <c r="O113" s="198">
        <f t="shared" si="20"/>
        <v>1892611</v>
      </c>
      <c r="P113" s="73"/>
      <c r="Q113" s="57">
        <f t="shared" si="21"/>
        <v>82287.434782608689</v>
      </c>
      <c r="S113" s="74">
        <f t="shared" si="22"/>
        <v>4.046288166115505</v>
      </c>
      <c r="U113" s="172">
        <f t="shared" si="23"/>
        <v>23</v>
      </c>
      <c r="V113" s="181"/>
      <c r="W113" s="345">
        <f>'Adjust Depr Table 1'!U113</f>
        <v>23</v>
      </c>
      <c r="X113" s="208"/>
      <c r="Y113" s="209"/>
      <c r="Z113" s="208"/>
      <c r="AA113" s="203">
        <f t="shared" si="24"/>
        <v>23</v>
      </c>
    </row>
    <row r="114" spans="1:27" s="19" customFormat="1">
      <c r="A114" s="64"/>
      <c r="B114" s="65"/>
      <c r="C114" s="70" t="s">
        <v>92</v>
      </c>
      <c r="D114" s="65"/>
      <c r="E114" s="182">
        <v>2042</v>
      </c>
      <c r="F114" s="65"/>
      <c r="G114" s="183" t="s">
        <v>187</v>
      </c>
      <c r="H114" s="183" t="s">
        <v>181</v>
      </c>
      <c r="I114" s="184">
        <v>0</v>
      </c>
      <c r="J114" s="65"/>
      <c r="K114" s="71">
        <v>7229721.6399999997</v>
      </c>
      <c r="L114" s="185"/>
      <c r="M114" s="73">
        <v>3246261.9</v>
      </c>
      <c r="N114" s="73"/>
      <c r="O114" s="198">
        <f t="shared" si="20"/>
        <v>3983460</v>
      </c>
      <c r="P114" s="73"/>
      <c r="Q114" s="57">
        <f t="shared" si="21"/>
        <v>173193.91304347827</v>
      </c>
      <c r="S114" s="74">
        <f t="shared" si="22"/>
        <v>2.3955820385289175</v>
      </c>
      <c r="U114" s="172">
        <f t="shared" si="23"/>
        <v>23</v>
      </c>
      <c r="V114" s="181"/>
      <c r="W114" s="345">
        <f>'Adjust Depr Table 1'!U114</f>
        <v>23</v>
      </c>
      <c r="X114" s="208"/>
      <c r="Y114" s="209"/>
      <c r="Z114" s="208"/>
      <c r="AA114" s="203">
        <f t="shared" si="24"/>
        <v>23</v>
      </c>
    </row>
    <row r="115" spans="1:27" s="19" customFormat="1">
      <c r="A115" s="64"/>
      <c r="B115" s="65"/>
      <c r="C115" s="70" t="s">
        <v>93</v>
      </c>
      <c r="D115" s="65"/>
      <c r="E115" s="182">
        <v>2042</v>
      </c>
      <c r="F115" s="65"/>
      <c r="G115" s="183" t="s">
        <v>187</v>
      </c>
      <c r="H115" s="183" t="s">
        <v>181</v>
      </c>
      <c r="I115" s="184">
        <v>0</v>
      </c>
      <c r="J115" s="65"/>
      <c r="K115" s="71">
        <v>933680.4</v>
      </c>
      <c r="L115" s="185"/>
      <c r="M115" s="73">
        <v>448838</v>
      </c>
      <c r="N115" s="73"/>
      <c r="O115" s="198">
        <f t="shared" si="20"/>
        <v>484842</v>
      </c>
      <c r="P115" s="73"/>
      <c r="Q115" s="57">
        <f t="shared" si="21"/>
        <v>21080.08695652174</v>
      </c>
      <c r="S115" s="74">
        <f t="shared" si="22"/>
        <v>2.257741188154077</v>
      </c>
      <c r="U115" s="172">
        <f t="shared" si="23"/>
        <v>23</v>
      </c>
      <c r="V115" s="181"/>
      <c r="W115" s="345">
        <f>'Adjust Depr Table 1'!U115</f>
        <v>23</v>
      </c>
      <c r="X115" s="208"/>
      <c r="Y115" s="209"/>
      <c r="Z115" s="208"/>
      <c r="AA115" s="203">
        <f t="shared" si="24"/>
        <v>23</v>
      </c>
    </row>
    <row r="116" spans="1:27" s="19" customFormat="1">
      <c r="A116" s="64"/>
      <c r="B116" s="65"/>
      <c r="C116" s="70" t="s">
        <v>94</v>
      </c>
      <c r="D116" s="65"/>
      <c r="E116" s="182">
        <v>2042</v>
      </c>
      <c r="F116" s="65"/>
      <c r="G116" s="183" t="s">
        <v>187</v>
      </c>
      <c r="H116" s="183" t="s">
        <v>181</v>
      </c>
      <c r="I116" s="184">
        <v>0</v>
      </c>
      <c r="J116" s="65"/>
      <c r="K116" s="71">
        <v>933680.4</v>
      </c>
      <c r="L116" s="185"/>
      <c r="M116" s="73">
        <v>444133</v>
      </c>
      <c r="N116" s="73"/>
      <c r="O116" s="198">
        <f t="shared" si="20"/>
        <v>489547</v>
      </c>
      <c r="P116" s="73"/>
      <c r="Q116" s="57">
        <f t="shared" si="21"/>
        <v>21284.652173913044</v>
      </c>
      <c r="S116" s="74">
        <f t="shared" si="22"/>
        <v>2.2796507427930419</v>
      </c>
      <c r="U116" s="172">
        <f t="shared" si="23"/>
        <v>23</v>
      </c>
      <c r="V116" s="181"/>
      <c r="W116" s="345">
        <f>'Adjust Depr Table 1'!U116</f>
        <v>23</v>
      </c>
      <c r="X116" s="208"/>
      <c r="Y116" s="209"/>
      <c r="Z116" s="208"/>
      <c r="AA116" s="203">
        <f t="shared" si="24"/>
        <v>23</v>
      </c>
    </row>
    <row r="117" spans="1:27" s="19" customFormat="1">
      <c r="A117" s="64"/>
      <c r="B117" s="65"/>
      <c r="C117" s="70" t="s">
        <v>95</v>
      </c>
      <c r="D117" s="65"/>
      <c r="E117" s="182">
        <v>2042</v>
      </c>
      <c r="F117" s="65"/>
      <c r="G117" s="183" t="s">
        <v>187</v>
      </c>
      <c r="H117" s="183" t="s">
        <v>181</v>
      </c>
      <c r="I117" s="184">
        <v>0</v>
      </c>
      <c r="J117" s="65"/>
      <c r="K117" s="71">
        <v>933680.4</v>
      </c>
      <c r="L117" s="185"/>
      <c r="M117" s="73">
        <v>448802</v>
      </c>
      <c r="N117" s="73"/>
      <c r="O117" s="198">
        <f t="shared" si="20"/>
        <v>484878</v>
      </c>
      <c r="P117" s="73"/>
      <c r="Q117" s="57">
        <f t="shared" si="21"/>
        <v>21081.652173913044</v>
      </c>
      <c r="S117" s="74">
        <f t="shared" si="22"/>
        <v>2.2579088276794761</v>
      </c>
      <c r="U117" s="172">
        <f t="shared" si="23"/>
        <v>23</v>
      </c>
      <c r="V117" s="181"/>
      <c r="W117" s="345">
        <f>'Adjust Depr Table 1'!U117</f>
        <v>23</v>
      </c>
      <c r="X117" s="208"/>
      <c r="Y117" s="209"/>
      <c r="Z117" s="208"/>
      <c r="AA117" s="203">
        <f t="shared" si="24"/>
        <v>23</v>
      </c>
    </row>
    <row r="118" spans="1:27" s="19" customFormat="1">
      <c r="A118" s="64"/>
      <c r="B118" s="65"/>
      <c r="C118" s="70" t="s">
        <v>96</v>
      </c>
      <c r="D118" s="65"/>
      <c r="E118" s="182">
        <v>2042</v>
      </c>
      <c r="F118" s="65"/>
      <c r="G118" s="183" t="s">
        <v>187</v>
      </c>
      <c r="H118" s="183" t="s">
        <v>181</v>
      </c>
      <c r="I118" s="184">
        <v>0</v>
      </c>
      <c r="J118" s="65"/>
      <c r="K118" s="75">
        <v>625882</v>
      </c>
      <c r="L118" s="185"/>
      <c r="M118" s="77">
        <v>55403</v>
      </c>
      <c r="N118" s="73"/>
      <c r="O118" s="205">
        <f t="shared" si="20"/>
        <v>570479</v>
      </c>
      <c r="P118" s="73"/>
      <c r="Q118" s="62">
        <f t="shared" si="21"/>
        <v>24803.434782608696</v>
      </c>
      <c r="S118" s="74">
        <f t="shared" si="22"/>
        <v>3.9629570402422014</v>
      </c>
      <c r="U118" s="172">
        <f t="shared" si="23"/>
        <v>23</v>
      </c>
      <c r="V118" s="181"/>
      <c r="W118" s="345">
        <f>'Adjust Depr Table 1'!U118</f>
        <v>23</v>
      </c>
      <c r="X118" s="208"/>
      <c r="Y118" s="209"/>
      <c r="Z118" s="208"/>
      <c r="AA118" s="203">
        <f t="shared" si="24"/>
        <v>23</v>
      </c>
    </row>
    <row r="119" spans="1:27" s="19" customFormat="1">
      <c r="A119" s="64"/>
      <c r="B119" s="65"/>
      <c r="C119" s="78"/>
      <c r="D119" s="65"/>
      <c r="E119" s="65"/>
      <c r="F119" s="65"/>
      <c r="G119" s="183"/>
      <c r="H119" s="183"/>
      <c r="I119" s="184"/>
      <c r="J119" s="65"/>
      <c r="K119" s="71"/>
      <c r="L119" s="185"/>
      <c r="M119" s="73"/>
      <c r="N119" s="73"/>
      <c r="O119" s="73"/>
      <c r="P119" s="73"/>
      <c r="Q119" s="73"/>
      <c r="S119" s="74"/>
      <c r="U119" s="186"/>
      <c r="V119" s="181"/>
      <c r="W119" s="345"/>
      <c r="X119" s="208"/>
      <c r="Y119" s="208"/>
      <c r="Z119" s="208"/>
      <c r="AA119" s="203"/>
    </row>
    <row r="120" spans="1:27" s="19" customFormat="1">
      <c r="A120" s="64"/>
      <c r="B120" s="65"/>
      <c r="C120" s="78" t="s">
        <v>64</v>
      </c>
      <c r="D120" s="65"/>
      <c r="E120" s="65"/>
      <c r="F120" s="65"/>
      <c r="G120" s="183"/>
      <c r="H120" s="183"/>
      <c r="I120" s="184"/>
      <c r="J120" s="65"/>
      <c r="K120" s="71">
        <f>SUBTOTAL(9,K99:K119)</f>
        <v>53879445.859999999</v>
      </c>
      <c r="L120" s="185"/>
      <c r="M120" s="73">
        <f>SUBTOTAL(9,M99:M119)</f>
        <v>22321751.899999999</v>
      </c>
      <c r="N120" s="73"/>
      <c r="O120" s="73">
        <f>SUBTOTAL(9,O99:O119)</f>
        <v>31557693</v>
      </c>
      <c r="P120" s="73"/>
      <c r="Q120" s="73">
        <f>SUBTOTAL(9,Q99:Q119)</f>
        <v>1125646.8074574862</v>
      </c>
      <c r="S120" s="74">
        <f>+ROUND(Q120/K120*100,2)</f>
        <v>2.09</v>
      </c>
      <c r="U120" s="186"/>
      <c r="V120" s="181"/>
      <c r="W120" s="345"/>
      <c r="X120" s="208"/>
      <c r="Y120" s="208"/>
      <c r="Z120" s="208"/>
      <c r="AA120" s="203"/>
    </row>
    <row r="121" spans="1:27" s="19" customFormat="1">
      <c r="A121" s="64"/>
      <c r="B121" s="65"/>
      <c r="C121" s="78"/>
      <c r="D121" s="65"/>
      <c r="E121" s="65"/>
      <c r="F121" s="65"/>
      <c r="G121" s="183"/>
      <c r="H121" s="183"/>
      <c r="I121" s="184"/>
      <c r="J121" s="65"/>
      <c r="K121" s="71"/>
      <c r="L121" s="185"/>
      <c r="M121" s="73"/>
      <c r="N121" s="73"/>
      <c r="O121" s="73"/>
      <c r="P121" s="73"/>
      <c r="Q121" s="73"/>
      <c r="S121" s="74"/>
      <c r="U121" s="186"/>
      <c r="V121" s="181"/>
      <c r="W121" s="345"/>
      <c r="X121" s="208"/>
      <c r="Y121" s="208"/>
      <c r="Z121" s="208"/>
      <c r="AA121" s="203"/>
    </row>
    <row r="122" spans="1:27" s="19" customFormat="1">
      <c r="A122" s="64">
        <v>342</v>
      </c>
      <c r="B122" s="65"/>
      <c r="C122" s="65" t="s">
        <v>188</v>
      </c>
      <c r="D122" s="65"/>
      <c r="E122" s="65"/>
      <c r="F122" s="65"/>
      <c r="G122" s="65"/>
      <c r="H122" s="65"/>
      <c r="I122" s="179"/>
      <c r="J122" s="65"/>
      <c r="K122" s="65"/>
      <c r="L122" s="65"/>
      <c r="M122" s="67"/>
      <c r="N122" s="67"/>
      <c r="O122" s="67"/>
      <c r="P122" s="67"/>
      <c r="Q122" s="67"/>
      <c r="S122" s="68"/>
      <c r="U122" s="180"/>
      <c r="V122" s="181"/>
      <c r="W122" s="347"/>
      <c r="X122" s="208"/>
      <c r="Y122" s="208"/>
      <c r="Z122" s="208"/>
      <c r="AA122" s="203"/>
    </row>
    <row r="123" spans="1:27" s="19" customFormat="1">
      <c r="A123" s="64"/>
      <c r="B123" s="65"/>
      <c r="C123" s="70" t="s">
        <v>77</v>
      </c>
      <c r="D123" s="65"/>
      <c r="E123" s="182">
        <v>2050</v>
      </c>
      <c r="F123" s="65"/>
      <c r="G123" s="183" t="s">
        <v>189</v>
      </c>
      <c r="H123" s="183" t="s">
        <v>181</v>
      </c>
      <c r="I123" s="184">
        <v>0</v>
      </c>
      <c r="J123" s="65"/>
      <c r="K123" s="71">
        <v>13766120.51</v>
      </c>
      <c r="L123" s="185"/>
      <c r="M123" s="73">
        <v>6102433</v>
      </c>
      <c r="N123" s="73"/>
      <c r="O123" s="198">
        <f t="shared" ref="O123:O130" si="25">ROUND((K123+(K123*-(I123/100)))-M123,0)</f>
        <v>7663688</v>
      </c>
      <c r="P123" s="73"/>
      <c r="Q123" s="57">
        <f t="shared" ref="Q123:Q130" si="26">O123/U123</f>
        <v>212880.22222222222</v>
      </c>
      <c r="S123" s="74">
        <f t="shared" ref="S123:S130" si="27">Q123/K123*100</f>
        <v>1.5464067895350875</v>
      </c>
      <c r="U123" s="172">
        <f t="shared" ref="U123:U130" si="28">AA123</f>
        <v>36</v>
      </c>
      <c r="V123" s="181"/>
      <c r="W123" s="345">
        <f>'Adjust Depr Table 1'!U123</f>
        <v>31</v>
      </c>
      <c r="X123" s="208"/>
      <c r="Y123" s="209">
        <v>5</v>
      </c>
      <c r="Z123" s="208"/>
      <c r="AA123" s="203">
        <f t="shared" ref="AA123:AA130" si="29">W123+Y123</f>
        <v>36</v>
      </c>
    </row>
    <row r="124" spans="1:27" s="19" customFormat="1">
      <c r="A124" s="64"/>
      <c r="B124" s="65"/>
      <c r="C124" s="70" t="s">
        <v>83</v>
      </c>
      <c r="D124" s="65"/>
      <c r="E124" s="182">
        <v>2045</v>
      </c>
      <c r="F124" s="65"/>
      <c r="G124" s="183" t="s">
        <v>189</v>
      </c>
      <c r="H124" s="183" t="s">
        <v>181</v>
      </c>
      <c r="I124" s="184">
        <v>0</v>
      </c>
      <c r="J124" s="65"/>
      <c r="K124" s="71">
        <v>70051.649999999994</v>
      </c>
      <c r="L124" s="185"/>
      <c r="M124" s="73">
        <v>26328</v>
      </c>
      <c r="N124" s="73"/>
      <c r="O124" s="198">
        <f t="shared" si="25"/>
        <v>43724</v>
      </c>
      <c r="P124" s="73"/>
      <c r="Q124" s="57">
        <f t="shared" si="26"/>
        <v>1410.4516129032259</v>
      </c>
      <c r="S124" s="74">
        <f t="shared" si="27"/>
        <v>2.0134452406234913</v>
      </c>
      <c r="U124" s="172">
        <f t="shared" si="28"/>
        <v>31</v>
      </c>
      <c r="V124" s="181"/>
      <c r="W124" s="345">
        <f>'Adjust Depr Table 1'!U124</f>
        <v>26</v>
      </c>
      <c r="X124" s="208"/>
      <c r="Y124" s="209">
        <v>5</v>
      </c>
      <c r="Z124" s="208"/>
      <c r="AA124" s="203">
        <f t="shared" si="29"/>
        <v>31</v>
      </c>
    </row>
    <row r="125" spans="1:27" s="19" customFormat="1">
      <c r="A125" s="64"/>
      <c r="B125" s="65"/>
      <c r="C125" s="70" t="s">
        <v>84</v>
      </c>
      <c r="D125" s="65"/>
      <c r="E125" s="182">
        <v>2045</v>
      </c>
      <c r="F125" s="65"/>
      <c r="G125" s="183" t="s">
        <v>189</v>
      </c>
      <c r="H125" s="183" t="s">
        <v>181</v>
      </c>
      <c r="I125" s="184">
        <v>0</v>
      </c>
      <c r="J125" s="65"/>
      <c r="K125" s="71">
        <v>70051.649999999994</v>
      </c>
      <c r="L125" s="185"/>
      <c r="M125" s="73">
        <v>26327</v>
      </c>
      <c r="N125" s="73"/>
      <c r="O125" s="198">
        <f t="shared" si="25"/>
        <v>43725</v>
      </c>
      <c r="P125" s="73"/>
      <c r="Q125" s="57">
        <f t="shared" si="26"/>
        <v>1410.483870967742</v>
      </c>
      <c r="S125" s="74">
        <f t="shared" si="27"/>
        <v>2.0134912895952373</v>
      </c>
      <c r="U125" s="172">
        <f t="shared" si="28"/>
        <v>31</v>
      </c>
      <c r="V125" s="181"/>
      <c r="W125" s="345">
        <f>'Adjust Depr Table 1'!U125</f>
        <v>26</v>
      </c>
      <c r="X125" s="208"/>
      <c r="Y125" s="209">
        <v>5</v>
      </c>
      <c r="Z125" s="208"/>
      <c r="AA125" s="203">
        <f t="shared" si="29"/>
        <v>31</v>
      </c>
    </row>
    <row r="126" spans="1:27" s="19" customFormat="1">
      <c r="A126" s="64"/>
      <c r="B126" s="65"/>
      <c r="C126" s="70" t="s">
        <v>85</v>
      </c>
      <c r="D126" s="65"/>
      <c r="E126" s="182">
        <v>2050</v>
      </c>
      <c r="F126" s="65"/>
      <c r="G126" s="183" t="s">
        <v>189</v>
      </c>
      <c r="H126" s="183" t="s">
        <v>181</v>
      </c>
      <c r="I126" s="184">
        <v>0</v>
      </c>
      <c r="J126" s="65"/>
      <c r="K126" s="71">
        <v>2384532.85</v>
      </c>
      <c r="L126" s="185"/>
      <c r="M126" s="73">
        <v>464445</v>
      </c>
      <c r="N126" s="73"/>
      <c r="O126" s="198">
        <f t="shared" si="25"/>
        <v>1920088</v>
      </c>
      <c r="P126" s="73"/>
      <c r="Q126" s="57">
        <f t="shared" si="26"/>
        <v>53335.777777777781</v>
      </c>
      <c r="S126" s="74">
        <f t="shared" si="27"/>
        <v>2.2367390651706804</v>
      </c>
      <c r="U126" s="172">
        <f t="shared" si="28"/>
        <v>36</v>
      </c>
      <c r="V126" s="181"/>
      <c r="W126" s="345">
        <f>'Adjust Depr Table 1'!U126</f>
        <v>31</v>
      </c>
      <c r="X126" s="208"/>
      <c r="Y126" s="209">
        <v>5</v>
      </c>
      <c r="Z126" s="208"/>
      <c r="AA126" s="203">
        <f t="shared" si="29"/>
        <v>36</v>
      </c>
    </row>
    <row r="127" spans="1:27" s="19" customFormat="1">
      <c r="A127" s="64"/>
      <c r="B127" s="65"/>
      <c r="C127" s="70" t="s">
        <v>86</v>
      </c>
      <c r="D127" s="65"/>
      <c r="E127" s="182">
        <v>2050</v>
      </c>
      <c r="F127" s="65"/>
      <c r="G127" s="183" t="s">
        <v>189</v>
      </c>
      <c r="H127" s="183" t="s">
        <v>181</v>
      </c>
      <c r="I127" s="184">
        <v>0</v>
      </c>
      <c r="J127" s="65"/>
      <c r="K127" s="71">
        <v>2116650.59</v>
      </c>
      <c r="L127" s="185"/>
      <c r="M127" s="73">
        <v>551382</v>
      </c>
      <c r="N127" s="73"/>
      <c r="O127" s="198">
        <f t="shared" si="25"/>
        <v>1565269</v>
      </c>
      <c r="P127" s="73"/>
      <c r="Q127" s="57">
        <f t="shared" si="26"/>
        <v>43479.694444444445</v>
      </c>
      <c r="S127" s="74">
        <f t="shared" si="27"/>
        <v>2.0541743946715574</v>
      </c>
      <c r="U127" s="172">
        <f t="shared" si="28"/>
        <v>36</v>
      </c>
      <c r="V127" s="181"/>
      <c r="W127" s="345">
        <f>'Adjust Depr Table 1'!U127</f>
        <v>31</v>
      </c>
      <c r="X127" s="208"/>
      <c r="Y127" s="209">
        <v>5</v>
      </c>
      <c r="Z127" s="208"/>
      <c r="AA127" s="203">
        <f t="shared" si="29"/>
        <v>36</v>
      </c>
    </row>
    <row r="128" spans="1:27" s="19" customFormat="1">
      <c r="A128" s="64"/>
      <c r="B128" s="65"/>
      <c r="C128" s="70" t="s">
        <v>88</v>
      </c>
      <c r="D128" s="65"/>
      <c r="E128" s="182">
        <v>2038</v>
      </c>
      <c r="F128" s="65"/>
      <c r="G128" s="183" t="s">
        <v>189</v>
      </c>
      <c r="H128" s="183" t="s">
        <v>181</v>
      </c>
      <c r="I128" s="184">
        <v>0</v>
      </c>
      <c r="J128" s="65"/>
      <c r="K128" s="71">
        <v>106294.19</v>
      </c>
      <c r="L128" s="185"/>
      <c r="M128" s="73">
        <v>47199</v>
      </c>
      <c r="N128" s="73"/>
      <c r="O128" s="198">
        <f t="shared" si="25"/>
        <v>59095</v>
      </c>
      <c r="P128" s="73"/>
      <c r="Q128" s="57">
        <f t="shared" si="26"/>
        <v>3110.2631578947367</v>
      </c>
      <c r="S128" s="74">
        <f t="shared" si="27"/>
        <v>2.9260895237027884</v>
      </c>
      <c r="U128" s="172">
        <f t="shared" si="28"/>
        <v>19</v>
      </c>
      <c r="V128" s="181"/>
      <c r="W128" s="345">
        <f>'Adjust Depr Table 1'!U128</f>
        <v>19</v>
      </c>
      <c r="X128" s="208"/>
      <c r="Y128" s="209"/>
      <c r="Z128" s="208"/>
      <c r="AA128" s="203">
        <f t="shared" si="29"/>
        <v>19</v>
      </c>
    </row>
    <row r="129" spans="1:27" s="19" customFormat="1">
      <c r="A129" s="64"/>
      <c r="B129" s="65"/>
      <c r="C129" s="70" t="s">
        <v>89</v>
      </c>
      <c r="D129" s="65"/>
      <c r="E129" s="182">
        <v>2038</v>
      </c>
      <c r="F129" s="65"/>
      <c r="G129" s="183" t="s">
        <v>189</v>
      </c>
      <c r="H129" s="183" t="s">
        <v>181</v>
      </c>
      <c r="I129" s="184">
        <v>0</v>
      </c>
      <c r="J129" s="65"/>
      <c r="K129" s="71">
        <v>357670.24</v>
      </c>
      <c r="L129" s="185"/>
      <c r="M129" s="73">
        <v>158822</v>
      </c>
      <c r="N129" s="73"/>
      <c r="O129" s="198">
        <f t="shared" si="25"/>
        <v>198848</v>
      </c>
      <c r="P129" s="73"/>
      <c r="Q129" s="57">
        <f t="shared" si="26"/>
        <v>10465.684210526315</v>
      </c>
      <c r="S129" s="74">
        <f t="shared" si="27"/>
        <v>2.9260707322270689</v>
      </c>
      <c r="U129" s="172">
        <f t="shared" si="28"/>
        <v>19</v>
      </c>
      <c r="V129" s="181"/>
      <c r="W129" s="345">
        <f>'Adjust Depr Table 1'!U129</f>
        <v>19</v>
      </c>
      <c r="X129" s="208"/>
      <c r="Y129" s="209"/>
      <c r="Z129" s="208"/>
      <c r="AA129" s="203">
        <f t="shared" si="29"/>
        <v>19</v>
      </c>
    </row>
    <row r="130" spans="1:27" s="19" customFormat="1">
      <c r="A130" s="64"/>
      <c r="B130" s="65"/>
      <c r="C130" s="70" t="s">
        <v>92</v>
      </c>
      <c r="D130" s="65"/>
      <c r="E130" s="182">
        <v>2042</v>
      </c>
      <c r="F130" s="65"/>
      <c r="G130" s="183" t="s">
        <v>189</v>
      </c>
      <c r="H130" s="183" t="s">
        <v>181</v>
      </c>
      <c r="I130" s="184">
        <v>0</v>
      </c>
      <c r="J130" s="65"/>
      <c r="K130" s="75">
        <v>1162203.57</v>
      </c>
      <c r="L130" s="185"/>
      <c r="M130" s="77">
        <v>513184</v>
      </c>
      <c r="N130" s="73"/>
      <c r="O130" s="205">
        <f t="shared" si="25"/>
        <v>649020</v>
      </c>
      <c r="P130" s="73"/>
      <c r="Q130" s="62">
        <f t="shared" si="26"/>
        <v>28218.260869565216</v>
      </c>
      <c r="S130" s="74">
        <f t="shared" si="27"/>
        <v>2.4279964025205341</v>
      </c>
      <c r="U130" s="172">
        <f t="shared" si="28"/>
        <v>23</v>
      </c>
      <c r="V130" s="181"/>
      <c r="W130" s="345">
        <f>'Adjust Depr Table 1'!U130</f>
        <v>23</v>
      </c>
      <c r="X130" s="208"/>
      <c r="Y130" s="209"/>
      <c r="Z130" s="208"/>
      <c r="AA130" s="203">
        <f t="shared" si="29"/>
        <v>23</v>
      </c>
    </row>
    <row r="131" spans="1:27" s="19" customFormat="1">
      <c r="A131" s="64"/>
      <c r="B131" s="65"/>
      <c r="C131" s="78"/>
      <c r="D131" s="65"/>
      <c r="E131" s="65"/>
      <c r="F131" s="65"/>
      <c r="G131" s="183"/>
      <c r="H131" s="183"/>
      <c r="I131" s="184"/>
      <c r="J131" s="65"/>
      <c r="K131" s="71"/>
      <c r="L131" s="185"/>
      <c r="M131" s="73"/>
      <c r="N131" s="73"/>
      <c r="O131" s="73"/>
      <c r="P131" s="73"/>
      <c r="Q131" s="73"/>
      <c r="S131" s="74"/>
      <c r="U131" s="186"/>
      <c r="V131" s="181"/>
      <c r="W131" s="345"/>
      <c r="X131" s="208"/>
      <c r="Y131" s="208"/>
      <c r="Z131" s="208"/>
      <c r="AA131" s="203"/>
    </row>
    <row r="132" spans="1:27" s="19" customFormat="1">
      <c r="A132" s="64"/>
      <c r="B132" s="65"/>
      <c r="C132" s="78" t="s">
        <v>190</v>
      </c>
      <c r="D132" s="65"/>
      <c r="E132" s="65"/>
      <c r="F132" s="65"/>
      <c r="G132" s="183"/>
      <c r="H132" s="183"/>
      <c r="I132" s="184"/>
      <c r="J132" s="65"/>
      <c r="K132" s="71">
        <f>SUBTOTAL(9,K123:K131)</f>
        <v>20033575.25</v>
      </c>
      <c r="L132" s="185"/>
      <c r="M132" s="73">
        <f>SUBTOTAL(9,M123:M131)</f>
        <v>7890120</v>
      </c>
      <c r="N132" s="73"/>
      <c r="O132" s="73">
        <f>SUBTOTAL(9,O123:O131)</f>
        <v>12143457</v>
      </c>
      <c r="P132" s="73"/>
      <c r="Q132" s="73">
        <f>SUBTOTAL(9,Q123:Q131)</f>
        <v>354310.8381663016</v>
      </c>
      <c r="S132" s="74">
        <f>+ROUND(Q132/K132*100,2)</f>
        <v>1.77</v>
      </c>
      <c r="U132" s="186"/>
      <c r="V132" s="181"/>
      <c r="W132" s="345"/>
      <c r="X132" s="208"/>
      <c r="Y132" s="208"/>
      <c r="Z132" s="208"/>
      <c r="AA132" s="203"/>
    </row>
    <row r="133" spans="1:27" s="19" customFormat="1">
      <c r="A133" s="64"/>
      <c r="B133" s="65"/>
      <c r="C133" s="78"/>
      <c r="D133" s="65"/>
      <c r="E133" s="65"/>
      <c r="F133" s="65"/>
      <c r="G133" s="183"/>
      <c r="H133" s="183"/>
      <c r="I133" s="184"/>
      <c r="J133" s="65"/>
      <c r="K133" s="71"/>
      <c r="L133" s="185"/>
      <c r="M133" s="73"/>
      <c r="N133" s="73"/>
      <c r="O133" s="73"/>
      <c r="P133" s="73"/>
      <c r="Q133" s="73"/>
      <c r="S133" s="74"/>
      <c r="U133" s="186"/>
      <c r="V133" s="181"/>
      <c r="W133" s="345"/>
      <c r="X133" s="208"/>
      <c r="Y133" s="208"/>
      <c r="Z133" s="208"/>
      <c r="AA133" s="203"/>
    </row>
    <row r="134" spans="1:27" s="19" customFormat="1">
      <c r="A134" s="64">
        <v>343</v>
      </c>
      <c r="B134" s="65"/>
      <c r="C134" s="65" t="s">
        <v>99</v>
      </c>
      <c r="D134" s="65"/>
      <c r="E134" s="65"/>
      <c r="F134" s="65"/>
      <c r="G134" s="65"/>
      <c r="H134" s="65"/>
      <c r="I134" s="179"/>
      <c r="J134" s="65"/>
      <c r="K134" s="65"/>
      <c r="L134" s="65"/>
      <c r="M134" s="67"/>
      <c r="N134" s="67"/>
      <c r="O134" s="67"/>
      <c r="P134" s="67"/>
      <c r="Q134" s="67"/>
      <c r="S134" s="68"/>
      <c r="U134" s="180"/>
      <c r="V134" s="181"/>
      <c r="W134" s="347"/>
      <c r="X134" s="208"/>
      <c r="Y134" s="208"/>
      <c r="Z134" s="208"/>
      <c r="AA134" s="203"/>
    </row>
    <row r="135" spans="1:27" s="19" customFormat="1">
      <c r="A135" s="64"/>
      <c r="B135" s="65"/>
      <c r="C135" s="70" t="s">
        <v>77</v>
      </c>
      <c r="D135" s="65"/>
      <c r="E135" s="182">
        <v>2050</v>
      </c>
      <c r="F135" s="65"/>
      <c r="G135" s="183" t="s">
        <v>191</v>
      </c>
      <c r="H135" s="183" t="s">
        <v>181</v>
      </c>
      <c r="I135" s="184">
        <v>0</v>
      </c>
      <c r="J135" s="65"/>
      <c r="K135" s="71">
        <v>21662783.59</v>
      </c>
      <c r="L135" s="185"/>
      <c r="M135" s="73">
        <v>9422539.3200000003</v>
      </c>
      <c r="N135" s="73"/>
      <c r="O135" s="198">
        <f t="shared" ref="O135:O153" si="30">ROUND((K135+(K135*-(I135/100)))-M135,0)</f>
        <v>12240244</v>
      </c>
      <c r="P135" s="73"/>
      <c r="Q135" s="57">
        <f t="shared" ref="Q135:Q153" si="31">O135/U135</f>
        <v>340006.77777777775</v>
      </c>
      <c r="S135" s="74">
        <f t="shared" ref="S135:S153" si="32">Q135/K135*100</f>
        <v>1.569543343149733</v>
      </c>
      <c r="U135" s="172">
        <f t="shared" ref="U135:U153" si="33">AA135</f>
        <v>36</v>
      </c>
      <c r="V135" s="181"/>
      <c r="W135" s="345">
        <f>'Adjust Depr Table 1'!U135</f>
        <v>31</v>
      </c>
      <c r="X135" s="208"/>
      <c r="Y135" s="209">
        <v>5</v>
      </c>
      <c r="Z135" s="208"/>
      <c r="AA135" s="203">
        <f t="shared" ref="AA135:AA153" si="34">W135+Y135</f>
        <v>36</v>
      </c>
    </row>
    <row r="136" spans="1:27" s="19" customFormat="1">
      <c r="A136" s="64"/>
      <c r="B136" s="65"/>
      <c r="C136" s="70" t="s">
        <v>78</v>
      </c>
      <c r="D136" s="65"/>
      <c r="E136" s="182">
        <v>2034</v>
      </c>
      <c r="F136" s="65"/>
      <c r="G136" s="183" t="s">
        <v>191</v>
      </c>
      <c r="H136" s="183" t="s">
        <v>181</v>
      </c>
      <c r="I136" s="184">
        <v>0</v>
      </c>
      <c r="J136" s="65"/>
      <c r="K136" s="71">
        <v>18938769.399999999</v>
      </c>
      <c r="L136" s="185"/>
      <c r="M136" s="73">
        <v>10814893.970000001</v>
      </c>
      <c r="N136" s="73"/>
      <c r="O136" s="198">
        <f t="shared" si="30"/>
        <v>8123875</v>
      </c>
      <c r="P136" s="73"/>
      <c r="Q136" s="57">
        <f t="shared" si="31"/>
        <v>324955</v>
      </c>
      <c r="S136" s="74">
        <f t="shared" si="32"/>
        <v>1.7158189802976325</v>
      </c>
      <c r="U136" s="172">
        <f t="shared" si="33"/>
        <v>25</v>
      </c>
      <c r="V136" s="181"/>
      <c r="W136" s="345">
        <f>'Adjust Depr Table 1'!U136</f>
        <v>15</v>
      </c>
      <c r="X136" s="208"/>
      <c r="Y136" s="209">
        <v>10</v>
      </c>
      <c r="Z136" s="208"/>
      <c r="AA136" s="203">
        <f t="shared" si="34"/>
        <v>25</v>
      </c>
    </row>
    <row r="137" spans="1:27" s="19" customFormat="1">
      <c r="A137" s="64"/>
      <c r="B137" s="65"/>
      <c r="C137" s="70" t="s">
        <v>79</v>
      </c>
      <c r="D137" s="65"/>
      <c r="E137" s="182">
        <v>2034</v>
      </c>
      <c r="F137" s="65"/>
      <c r="G137" s="183" t="s">
        <v>191</v>
      </c>
      <c r="H137" s="183" t="s">
        <v>181</v>
      </c>
      <c r="I137" s="184">
        <v>0</v>
      </c>
      <c r="J137" s="65"/>
      <c r="K137" s="71">
        <v>17021561.969999999</v>
      </c>
      <c r="L137" s="185"/>
      <c r="M137" s="73">
        <v>10158430.17</v>
      </c>
      <c r="N137" s="73"/>
      <c r="O137" s="198">
        <f t="shared" si="30"/>
        <v>6863132</v>
      </c>
      <c r="P137" s="73"/>
      <c r="Q137" s="57">
        <f t="shared" si="31"/>
        <v>274525.28000000003</v>
      </c>
      <c r="S137" s="74">
        <f t="shared" si="32"/>
        <v>1.6128089800680028</v>
      </c>
      <c r="U137" s="172">
        <f t="shared" si="33"/>
        <v>25</v>
      </c>
      <c r="V137" s="181"/>
      <c r="W137" s="345">
        <f>'Adjust Depr Table 1'!U137</f>
        <v>15</v>
      </c>
      <c r="X137" s="208"/>
      <c r="Y137" s="209">
        <v>10</v>
      </c>
      <c r="Z137" s="208"/>
      <c r="AA137" s="203">
        <f t="shared" si="34"/>
        <v>25</v>
      </c>
    </row>
    <row r="138" spans="1:27" s="19" customFormat="1">
      <c r="A138" s="64"/>
      <c r="B138" s="65"/>
      <c r="C138" s="70" t="s">
        <v>80</v>
      </c>
      <c r="D138" s="65"/>
      <c r="E138" s="182">
        <v>2034</v>
      </c>
      <c r="F138" s="65"/>
      <c r="G138" s="183" t="s">
        <v>191</v>
      </c>
      <c r="H138" s="183" t="s">
        <v>181</v>
      </c>
      <c r="I138" s="184">
        <v>0</v>
      </c>
      <c r="J138" s="65"/>
      <c r="K138" s="71">
        <v>17950085.800000001</v>
      </c>
      <c r="L138" s="185"/>
      <c r="M138" s="73">
        <v>10645167.189999999</v>
      </c>
      <c r="N138" s="73"/>
      <c r="O138" s="198">
        <f t="shared" si="30"/>
        <v>7304919</v>
      </c>
      <c r="P138" s="73"/>
      <c r="Q138" s="57">
        <f t="shared" si="31"/>
        <v>292196.76</v>
      </c>
      <c r="S138" s="74">
        <f t="shared" si="32"/>
        <v>1.6278293221305937</v>
      </c>
      <c r="U138" s="172">
        <f t="shared" si="33"/>
        <v>25</v>
      </c>
      <c r="V138" s="181"/>
      <c r="W138" s="345">
        <f>'Adjust Depr Table 1'!U138</f>
        <v>15</v>
      </c>
      <c r="X138" s="208"/>
      <c r="Y138" s="209">
        <v>10</v>
      </c>
      <c r="Z138" s="208"/>
      <c r="AA138" s="203">
        <f t="shared" si="34"/>
        <v>25</v>
      </c>
    </row>
    <row r="139" spans="1:27" s="19" customFormat="1">
      <c r="A139" s="64"/>
      <c r="B139" s="65"/>
      <c r="C139" s="70" t="s">
        <v>81</v>
      </c>
      <c r="D139" s="65"/>
      <c r="E139" s="182">
        <v>2041</v>
      </c>
      <c r="F139" s="65"/>
      <c r="G139" s="183" t="s">
        <v>191</v>
      </c>
      <c r="H139" s="183" t="s">
        <v>181</v>
      </c>
      <c r="I139" s="184">
        <v>0</v>
      </c>
      <c r="J139" s="65"/>
      <c r="K139" s="71">
        <v>25858484.41</v>
      </c>
      <c r="L139" s="185"/>
      <c r="M139" s="73">
        <v>12138052.800000001</v>
      </c>
      <c r="N139" s="73"/>
      <c r="O139" s="198">
        <f t="shared" si="30"/>
        <v>13720432</v>
      </c>
      <c r="P139" s="73"/>
      <c r="Q139" s="57">
        <f t="shared" si="31"/>
        <v>508164.14814814815</v>
      </c>
      <c r="S139" s="74">
        <f t="shared" si="32"/>
        <v>1.9651737514501462</v>
      </c>
      <c r="U139" s="172">
        <f t="shared" si="33"/>
        <v>27</v>
      </c>
      <c r="V139" s="181"/>
      <c r="W139" s="345">
        <f>'Adjust Depr Table 1'!U139</f>
        <v>22</v>
      </c>
      <c r="X139" s="208"/>
      <c r="Y139" s="209">
        <v>5</v>
      </c>
      <c r="Z139" s="208"/>
      <c r="AA139" s="203">
        <f t="shared" si="34"/>
        <v>27</v>
      </c>
    </row>
    <row r="140" spans="1:27" s="19" customFormat="1">
      <c r="A140" s="64"/>
      <c r="B140" s="65"/>
      <c r="C140" s="70" t="s">
        <v>82</v>
      </c>
      <c r="D140" s="65"/>
      <c r="E140" s="182">
        <v>2041</v>
      </c>
      <c r="F140" s="65"/>
      <c r="G140" s="183" t="s">
        <v>191</v>
      </c>
      <c r="H140" s="183" t="s">
        <v>181</v>
      </c>
      <c r="I140" s="184">
        <v>0</v>
      </c>
      <c r="J140" s="65"/>
      <c r="K140" s="71">
        <v>21295538.73</v>
      </c>
      <c r="L140" s="185"/>
      <c r="M140" s="73">
        <v>10125651.369999999</v>
      </c>
      <c r="N140" s="73"/>
      <c r="O140" s="198">
        <f t="shared" si="30"/>
        <v>11169887</v>
      </c>
      <c r="P140" s="73"/>
      <c r="Q140" s="57">
        <f t="shared" si="31"/>
        <v>413699.51851851854</v>
      </c>
      <c r="S140" s="74">
        <f t="shared" si="32"/>
        <v>1.9426581490315671</v>
      </c>
      <c r="U140" s="172">
        <f t="shared" si="33"/>
        <v>27</v>
      </c>
      <c r="V140" s="181"/>
      <c r="W140" s="345">
        <f>'Adjust Depr Table 1'!U140</f>
        <v>22</v>
      </c>
      <c r="X140" s="208"/>
      <c r="Y140" s="209">
        <v>5</v>
      </c>
      <c r="Z140" s="208"/>
      <c r="AA140" s="203">
        <f t="shared" si="34"/>
        <v>27</v>
      </c>
    </row>
    <row r="141" spans="1:27" s="19" customFormat="1">
      <c r="A141" s="64"/>
      <c r="B141" s="65"/>
      <c r="C141" s="70" t="s">
        <v>83</v>
      </c>
      <c r="D141" s="65"/>
      <c r="E141" s="182">
        <v>2045</v>
      </c>
      <c r="F141" s="65"/>
      <c r="G141" s="183" t="s">
        <v>191</v>
      </c>
      <c r="H141" s="183" t="s">
        <v>181</v>
      </c>
      <c r="I141" s="184">
        <v>0</v>
      </c>
      <c r="J141" s="65"/>
      <c r="K141" s="71">
        <v>17001567.77</v>
      </c>
      <c r="L141" s="185"/>
      <c r="M141" s="73">
        <v>6146558.7400000002</v>
      </c>
      <c r="N141" s="73"/>
      <c r="O141" s="198">
        <f t="shared" si="30"/>
        <v>10855009</v>
      </c>
      <c r="P141" s="73"/>
      <c r="Q141" s="57">
        <f t="shared" si="31"/>
        <v>350161.58064516127</v>
      </c>
      <c r="S141" s="74">
        <f t="shared" si="32"/>
        <v>2.0595840653180026</v>
      </c>
      <c r="U141" s="172">
        <f t="shared" si="33"/>
        <v>31</v>
      </c>
      <c r="V141" s="181"/>
      <c r="W141" s="345">
        <f>'Adjust Depr Table 1'!U141</f>
        <v>26</v>
      </c>
      <c r="X141" s="208"/>
      <c r="Y141" s="209">
        <v>5</v>
      </c>
      <c r="Z141" s="208"/>
      <c r="AA141" s="203">
        <f t="shared" si="34"/>
        <v>31</v>
      </c>
    </row>
    <row r="142" spans="1:27" s="19" customFormat="1">
      <c r="A142" s="64"/>
      <c r="B142" s="65"/>
      <c r="C142" s="70" t="s">
        <v>84</v>
      </c>
      <c r="D142" s="65"/>
      <c r="E142" s="182">
        <v>2045</v>
      </c>
      <c r="F142" s="65"/>
      <c r="G142" s="183" t="s">
        <v>191</v>
      </c>
      <c r="H142" s="183" t="s">
        <v>181</v>
      </c>
      <c r="I142" s="184">
        <v>0</v>
      </c>
      <c r="J142" s="65"/>
      <c r="K142" s="71">
        <v>16754183.57</v>
      </c>
      <c r="L142" s="185"/>
      <c r="M142" s="73">
        <v>6064093.3200000003</v>
      </c>
      <c r="N142" s="73"/>
      <c r="O142" s="198">
        <f t="shared" si="30"/>
        <v>10690090</v>
      </c>
      <c r="P142" s="73"/>
      <c r="Q142" s="57">
        <f t="shared" si="31"/>
        <v>344841.61290322582</v>
      </c>
      <c r="S142" s="74">
        <f t="shared" si="32"/>
        <v>2.0582418203934352</v>
      </c>
      <c r="U142" s="172">
        <f t="shared" si="33"/>
        <v>31</v>
      </c>
      <c r="V142" s="181"/>
      <c r="W142" s="345">
        <f>'Adjust Depr Table 1'!U142</f>
        <v>26</v>
      </c>
      <c r="X142" s="208"/>
      <c r="Y142" s="209">
        <v>5</v>
      </c>
      <c r="Z142" s="208"/>
      <c r="AA142" s="203">
        <f t="shared" si="34"/>
        <v>31</v>
      </c>
    </row>
    <row r="143" spans="1:27" s="19" customFormat="1">
      <c r="A143" s="64"/>
      <c r="B143" s="65"/>
      <c r="C143" s="70" t="s">
        <v>85</v>
      </c>
      <c r="D143" s="65"/>
      <c r="E143" s="182">
        <v>2050</v>
      </c>
      <c r="F143" s="65"/>
      <c r="G143" s="183" t="s">
        <v>191</v>
      </c>
      <c r="H143" s="183" t="s">
        <v>181</v>
      </c>
      <c r="I143" s="184">
        <v>0</v>
      </c>
      <c r="J143" s="65"/>
      <c r="K143" s="71">
        <v>57736570.219999999</v>
      </c>
      <c r="L143" s="185"/>
      <c r="M143" s="73">
        <v>10973966.49</v>
      </c>
      <c r="N143" s="73"/>
      <c r="O143" s="198">
        <f t="shared" si="30"/>
        <v>46762604</v>
      </c>
      <c r="P143" s="73"/>
      <c r="Q143" s="57">
        <f t="shared" si="31"/>
        <v>1298961.2222222222</v>
      </c>
      <c r="S143" s="74">
        <f t="shared" si="32"/>
        <v>2.2498066949121633</v>
      </c>
      <c r="U143" s="172">
        <f t="shared" si="33"/>
        <v>36</v>
      </c>
      <c r="V143" s="181"/>
      <c r="W143" s="345">
        <f>'Adjust Depr Table 1'!U143</f>
        <v>31</v>
      </c>
      <c r="X143" s="208"/>
      <c r="Y143" s="209">
        <v>5</v>
      </c>
      <c r="Z143" s="208"/>
      <c r="AA143" s="203">
        <f t="shared" si="34"/>
        <v>36</v>
      </c>
    </row>
    <row r="144" spans="1:27" s="19" customFormat="1">
      <c r="A144" s="64"/>
      <c r="B144" s="65"/>
      <c r="C144" s="70" t="s">
        <v>86</v>
      </c>
      <c r="D144" s="65"/>
      <c r="E144" s="182">
        <v>2050</v>
      </c>
      <c r="F144" s="65"/>
      <c r="G144" s="183" t="s">
        <v>191</v>
      </c>
      <c r="H144" s="183" t="s">
        <v>181</v>
      </c>
      <c r="I144" s="184">
        <v>0</v>
      </c>
      <c r="J144" s="65"/>
      <c r="K144" s="71">
        <v>55010982.469999999</v>
      </c>
      <c r="L144" s="185"/>
      <c r="M144" s="73">
        <v>14018583.890000001</v>
      </c>
      <c r="N144" s="73"/>
      <c r="O144" s="198">
        <f t="shared" si="30"/>
        <v>40992399</v>
      </c>
      <c r="P144" s="73"/>
      <c r="Q144" s="57">
        <f t="shared" si="31"/>
        <v>1138677.75</v>
      </c>
      <c r="S144" s="74">
        <f t="shared" si="32"/>
        <v>2.0699098595829897</v>
      </c>
      <c r="U144" s="172">
        <f t="shared" si="33"/>
        <v>36</v>
      </c>
      <c r="V144" s="181"/>
      <c r="W144" s="345">
        <f>'Adjust Depr Table 1'!U144</f>
        <v>31</v>
      </c>
      <c r="X144" s="208"/>
      <c r="Y144" s="209">
        <v>5</v>
      </c>
      <c r="Z144" s="208"/>
      <c r="AA144" s="203">
        <f t="shared" si="34"/>
        <v>36</v>
      </c>
    </row>
    <row r="145" spans="1:27" s="19" customFormat="1">
      <c r="A145" s="64"/>
      <c r="B145" s="65"/>
      <c r="C145" s="70" t="s">
        <v>87</v>
      </c>
      <c r="D145" s="65"/>
      <c r="E145" s="182">
        <v>2038</v>
      </c>
      <c r="F145" s="65"/>
      <c r="G145" s="183" t="s">
        <v>191</v>
      </c>
      <c r="H145" s="183" t="s">
        <v>181</v>
      </c>
      <c r="I145" s="184">
        <v>0</v>
      </c>
      <c r="J145" s="65"/>
      <c r="K145" s="71">
        <v>354070.8</v>
      </c>
      <c r="L145" s="185"/>
      <c r="M145" s="73">
        <v>141911</v>
      </c>
      <c r="N145" s="73"/>
      <c r="O145" s="198">
        <f t="shared" si="30"/>
        <v>212160</v>
      </c>
      <c r="P145" s="73"/>
      <c r="Q145" s="57">
        <f t="shared" si="31"/>
        <v>11166.315789473685</v>
      </c>
      <c r="S145" s="74">
        <f t="shared" si="32"/>
        <v>3.1536957550505957</v>
      </c>
      <c r="U145" s="172">
        <f t="shared" si="33"/>
        <v>19</v>
      </c>
      <c r="V145" s="181"/>
      <c r="W145" s="345">
        <f>'Adjust Depr Table 1'!U145</f>
        <v>19</v>
      </c>
      <c r="X145" s="208"/>
      <c r="Y145" s="209"/>
      <c r="Z145" s="208"/>
      <c r="AA145" s="203">
        <f t="shared" si="34"/>
        <v>19</v>
      </c>
    </row>
    <row r="146" spans="1:27" s="19" customFormat="1">
      <c r="A146" s="64"/>
      <c r="B146" s="65"/>
      <c r="C146" s="70" t="s">
        <v>88</v>
      </c>
      <c r="D146" s="65"/>
      <c r="E146" s="182">
        <v>2038</v>
      </c>
      <c r="F146" s="65"/>
      <c r="G146" s="183" t="s">
        <v>191</v>
      </c>
      <c r="H146" s="183" t="s">
        <v>181</v>
      </c>
      <c r="I146" s="184">
        <v>0</v>
      </c>
      <c r="J146" s="65"/>
      <c r="K146" s="71">
        <v>300785.96999999997</v>
      </c>
      <c r="L146" s="185"/>
      <c r="M146" s="73">
        <v>132190</v>
      </c>
      <c r="N146" s="73"/>
      <c r="O146" s="198">
        <f t="shared" si="30"/>
        <v>168596</v>
      </c>
      <c r="P146" s="73"/>
      <c r="Q146" s="57">
        <f t="shared" si="31"/>
        <v>8873.4736842105267</v>
      </c>
      <c r="S146" s="74">
        <f t="shared" si="32"/>
        <v>2.950095605925545</v>
      </c>
      <c r="U146" s="172">
        <f t="shared" si="33"/>
        <v>19</v>
      </c>
      <c r="V146" s="181"/>
      <c r="W146" s="345">
        <f>'Adjust Depr Table 1'!U146</f>
        <v>19</v>
      </c>
      <c r="X146" s="208"/>
      <c r="Y146" s="209"/>
      <c r="Z146" s="208"/>
      <c r="AA146" s="203">
        <f t="shared" si="34"/>
        <v>19</v>
      </c>
    </row>
    <row r="147" spans="1:27" s="19" customFormat="1">
      <c r="A147" s="64"/>
      <c r="B147" s="65"/>
      <c r="C147" s="70" t="s">
        <v>89</v>
      </c>
      <c r="D147" s="65"/>
      <c r="E147" s="182">
        <v>2038</v>
      </c>
      <c r="F147" s="65"/>
      <c r="G147" s="183" t="s">
        <v>191</v>
      </c>
      <c r="H147" s="183" t="s">
        <v>181</v>
      </c>
      <c r="I147" s="184">
        <v>0</v>
      </c>
      <c r="J147" s="65"/>
      <c r="K147" s="71">
        <v>388128.81</v>
      </c>
      <c r="L147" s="185"/>
      <c r="M147" s="73">
        <v>150290</v>
      </c>
      <c r="N147" s="73"/>
      <c r="O147" s="198">
        <f t="shared" si="30"/>
        <v>237839</v>
      </c>
      <c r="P147" s="73"/>
      <c r="Q147" s="57">
        <f t="shared" si="31"/>
        <v>12517.842105263158</v>
      </c>
      <c r="S147" s="74">
        <f t="shared" si="32"/>
        <v>3.2251772562987937</v>
      </c>
      <c r="U147" s="172">
        <f t="shared" si="33"/>
        <v>19</v>
      </c>
      <c r="V147" s="181"/>
      <c r="W147" s="345">
        <f>'Adjust Depr Table 1'!U147</f>
        <v>19</v>
      </c>
      <c r="X147" s="208"/>
      <c r="Y147" s="209"/>
      <c r="Z147" s="208"/>
      <c r="AA147" s="203">
        <f t="shared" si="34"/>
        <v>19</v>
      </c>
    </row>
    <row r="148" spans="1:27" s="19" customFormat="1">
      <c r="A148" s="64"/>
      <c r="B148" s="65"/>
      <c r="C148" s="70" t="s">
        <v>90</v>
      </c>
      <c r="D148" s="65"/>
      <c r="E148" s="182">
        <v>2041</v>
      </c>
      <c r="F148" s="65"/>
      <c r="G148" s="183" t="s">
        <v>191</v>
      </c>
      <c r="H148" s="183" t="s">
        <v>181</v>
      </c>
      <c r="I148" s="184">
        <v>0</v>
      </c>
      <c r="J148" s="65"/>
      <c r="K148" s="71">
        <v>201654.6</v>
      </c>
      <c r="L148" s="185"/>
      <c r="M148" s="73">
        <v>72823</v>
      </c>
      <c r="N148" s="73"/>
      <c r="O148" s="198">
        <f t="shared" si="30"/>
        <v>128832</v>
      </c>
      <c r="P148" s="73"/>
      <c r="Q148" s="57">
        <f t="shared" si="31"/>
        <v>5856</v>
      </c>
      <c r="S148" s="74">
        <f t="shared" si="32"/>
        <v>2.9039754114213117</v>
      </c>
      <c r="U148" s="172">
        <f t="shared" si="33"/>
        <v>22</v>
      </c>
      <c r="V148" s="181"/>
      <c r="W148" s="345">
        <f>'Adjust Depr Table 1'!U148</f>
        <v>22</v>
      </c>
      <c r="X148" s="208"/>
      <c r="Y148" s="209"/>
      <c r="Z148" s="208"/>
      <c r="AA148" s="203">
        <f t="shared" si="34"/>
        <v>22</v>
      </c>
    </row>
    <row r="149" spans="1:27" s="19" customFormat="1">
      <c r="A149" s="64"/>
      <c r="B149" s="65"/>
      <c r="C149" s="70" t="s">
        <v>91</v>
      </c>
      <c r="D149" s="65"/>
      <c r="E149" s="182">
        <v>2042</v>
      </c>
      <c r="F149" s="65"/>
      <c r="G149" s="183" t="s">
        <v>191</v>
      </c>
      <c r="H149" s="183" t="s">
        <v>181</v>
      </c>
      <c r="I149" s="184">
        <v>0</v>
      </c>
      <c r="J149" s="65"/>
      <c r="K149" s="71">
        <v>275099.08</v>
      </c>
      <c r="L149" s="185"/>
      <c r="M149" s="73">
        <v>92033</v>
      </c>
      <c r="N149" s="73"/>
      <c r="O149" s="198">
        <f t="shared" si="30"/>
        <v>183066</v>
      </c>
      <c r="P149" s="73"/>
      <c r="Q149" s="57">
        <f t="shared" si="31"/>
        <v>7959.391304347826</v>
      </c>
      <c r="S149" s="74">
        <f t="shared" si="32"/>
        <v>2.8932816875824616</v>
      </c>
      <c r="U149" s="172">
        <f t="shared" si="33"/>
        <v>23</v>
      </c>
      <c r="V149" s="181"/>
      <c r="W149" s="345">
        <f>'Adjust Depr Table 1'!U149</f>
        <v>23</v>
      </c>
      <c r="X149" s="208"/>
      <c r="Y149" s="209"/>
      <c r="Z149" s="208"/>
      <c r="AA149" s="203">
        <f t="shared" si="34"/>
        <v>23</v>
      </c>
    </row>
    <row r="150" spans="1:27" s="19" customFormat="1">
      <c r="A150" s="64"/>
      <c r="B150" s="65"/>
      <c r="C150" s="70" t="s">
        <v>92</v>
      </c>
      <c r="D150" s="65"/>
      <c r="E150" s="182">
        <v>2042</v>
      </c>
      <c r="F150" s="65"/>
      <c r="G150" s="183" t="s">
        <v>191</v>
      </c>
      <c r="H150" s="183" t="s">
        <v>181</v>
      </c>
      <c r="I150" s="184">
        <v>0</v>
      </c>
      <c r="J150" s="65"/>
      <c r="K150" s="71">
        <v>2407952.29</v>
      </c>
      <c r="L150" s="185"/>
      <c r="M150" s="73">
        <v>582589</v>
      </c>
      <c r="N150" s="73"/>
      <c r="O150" s="198">
        <f t="shared" si="30"/>
        <v>1825363</v>
      </c>
      <c r="P150" s="73"/>
      <c r="Q150" s="57">
        <f t="shared" si="31"/>
        <v>79363.608695652176</v>
      </c>
      <c r="S150" s="74">
        <f t="shared" si="32"/>
        <v>3.2958962278962831</v>
      </c>
      <c r="U150" s="172">
        <f t="shared" si="33"/>
        <v>23</v>
      </c>
      <c r="V150" s="181"/>
      <c r="W150" s="345">
        <f>'Adjust Depr Table 1'!U150</f>
        <v>23</v>
      </c>
      <c r="X150" s="208"/>
      <c r="Y150" s="209"/>
      <c r="Z150" s="208"/>
      <c r="AA150" s="203">
        <f t="shared" si="34"/>
        <v>23</v>
      </c>
    </row>
    <row r="151" spans="1:27" s="19" customFormat="1">
      <c r="A151" s="64"/>
      <c r="B151" s="65"/>
      <c r="C151" s="70" t="s">
        <v>93</v>
      </c>
      <c r="D151" s="65"/>
      <c r="E151" s="182">
        <v>2042</v>
      </c>
      <c r="F151" s="65"/>
      <c r="G151" s="183" t="s">
        <v>191</v>
      </c>
      <c r="H151" s="183" t="s">
        <v>181</v>
      </c>
      <c r="I151" s="184">
        <v>0</v>
      </c>
      <c r="J151" s="65"/>
      <c r="K151" s="71">
        <v>46724956.780000001</v>
      </c>
      <c r="L151" s="185"/>
      <c r="M151" s="73">
        <v>22062972.190000001</v>
      </c>
      <c r="N151" s="73"/>
      <c r="O151" s="198">
        <f t="shared" si="30"/>
        <v>24661985</v>
      </c>
      <c r="P151" s="73"/>
      <c r="Q151" s="57">
        <f t="shared" si="31"/>
        <v>1072260.2173913044</v>
      </c>
      <c r="S151" s="74">
        <f t="shared" si="32"/>
        <v>2.2948340486218943</v>
      </c>
      <c r="U151" s="172">
        <f t="shared" si="33"/>
        <v>23</v>
      </c>
      <c r="V151" s="181"/>
      <c r="W151" s="345">
        <f>'Adjust Depr Table 1'!U151</f>
        <v>23</v>
      </c>
      <c r="X151" s="208"/>
      <c r="Y151" s="209"/>
      <c r="Z151" s="208"/>
      <c r="AA151" s="203">
        <f t="shared" si="34"/>
        <v>23</v>
      </c>
    </row>
    <row r="152" spans="1:27" s="19" customFormat="1">
      <c r="A152" s="64"/>
      <c r="B152" s="65"/>
      <c r="C152" s="70" t="s">
        <v>94</v>
      </c>
      <c r="D152" s="65"/>
      <c r="E152" s="182">
        <v>2042</v>
      </c>
      <c r="F152" s="65"/>
      <c r="G152" s="183" t="s">
        <v>191</v>
      </c>
      <c r="H152" s="183" t="s">
        <v>181</v>
      </c>
      <c r="I152" s="184">
        <v>0</v>
      </c>
      <c r="J152" s="65"/>
      <c r="K152" s="71">
        <v>45508646.350000001</v>
      </c>
      <c r="L152" s="185"/>
      <c r="M152" s="73">
        <v>20986500.329999998</v>
      </c>
      <c r="N152" s="73"/>
      <c r="O152" s="198">
        <f t="shared" si="30"/>
        <v>24522146</v>
      </c>
      <c r="P152" s="73"/>
      <c r="Q152" s="57">
        <f t="shared" si="31"/>
        <v>1066180.2608695652</v>
      </c>
      <c r="S152" s="74">
        <f t="shared" si="32"/>
        <v>2.3428081175382296</v>
      </c>
      <c r="U152" s="172">
        <f t="shared" si="33"/>
        <v>23</v>
      </c>
      <c r="V152" s="181"/>
      <c r="W152" s="345">
        <f>'Adjust Depr Table 1'!U152</f>
        <v>23</v>
      </c>
      <c r="X152" s="208"/>
      <c r="Y152" s="209"/>
      <c r="Z152" s="208"/>
      <c r="AA152" s="203">
        <f t="shared" si="34"/>
        <v>23</v>
      </c>
    </row>
    <row r="153" spans="1:27" s="19" customFormat="1">
      <c r="A153" s="64"/>
      <c r="B153" s="65"/>
      <c r="C153" s="70" t="s">
        <v>95</v>
      </c>
      <c r="D153" s="65"/>
      <c r="E153" s="182">
        <v>2042</v>
      </c>
      <c r="F153" s="65"/>
      <c r="G153" s="183" t="s">
        <v>191</v>
      </c>
      <c r="H153" s="183" t="s">
        <v>181</v>
      </c>
      <c r="I153" s="184">
        <v>0</v>
      </c>
      <c r="J153" s="65"/>
      <c r="K153" s="75">
        <v>41213903.719999999</v>
      </c>
      <c r="L153" s="185"/>
      <c r="M153" s="77">
        <v>19457814.420000002</v>
      </c>
      <c r="N153" s="73"/>
      <c r="O153" s="205">
        <f t="shared" si="30"/>
        <v>21756089</v>
      </c>
      <c r="P153" s="73"/>
      <c r="Q153" s="62">
        <f t="shared" si="31"/>
        <v>945916.91304347827</v>
      </c>
      <c r="S153" s="74">
        <f t="shared" si="32"/>
        <v>2.2951402989386085</v>
      </c>
      <c r="U153" s="172">
        <f t="shared" si="33"/>
        <v>23</v>
      </c>
      <c r="V153" s="181"/>
      <c r="W153" s="345">
        <f>'Adjust Depr Table 1'!U153</f>
        <v>23</v>
      </c>
      <c r="X153" s="208"/>
      <c r="Y153" s="209"/>
      <c r="Z153" s="208"/>
      <c r="AA153" s="203">
        <f t="shared" si="34"/>
        <v>23</v>
      </c>
    </row>
    <row r="154" spans="1:27" s="19" customFormat="1">
      <c r="A154" s="64"/>
      <c r="B154" s="65"/>
      <c r="C154" s="78"/>
      <c r="D154" s="65"/>
      <c r="E154" s="65"/>
      <c r="F154" s="65"/>
      <c r="G154" s="183"/>
      <c r="H154" s="183"/>
      <c r="I154" s="184"/>
      <c r="J154" s="65"/>
      <c r="K154" s="71"/>
      <c r="L154" s="185"/>
      <c r="M154" s="73"/>
      <c r="N154" s="73"/>
      <c r="O154" s="73"/>
      <c r="P154" s="73"/>
      <c r="Q154" s="73"/>
      <c r="S154" s="74"/>
      <c r="U154" s="186"/>
      <c r="V154" s="181"/>
      <c r="W154" s="345"/>
      <c r="X154" s="208"/>
      <c r="Y154" s="208"/>
      <c r="Z154" s="208"/>
      <c r="AA154" s="203"/>
    </row>
    <row r="155" spans="1:27" s="19" customFormat="1">
      <c r="A155" s="64"/>
      <c r="B155" s="65"/>
      <c r="C155" s="78" t="s">
        <v>100</v>
      </c>
      <c r="D155" s="65"/>
      <c r="E155" s="65"/>
      <c r="F155" s="65"/>
      <c r="G155" s="183"/>
      <c r="H155" s="183"/>
      <c r="I155" s="184"/>
      <c r="J155" s="65"/>
      <c r="K155" s="71">
        <f>SUBTOTAL(9,K135:K154)</f>
        <v>406605726.33000004</v>
      </c>
      <c r="L155" s="185"/>
      <c r="M155" s="73">
        <f>SUBTOTAL(9,M135:M154)</f>
        <v>164187060.19999999</v>
      </c>
      <c r="N155" s="73"/>
      <c r="O155" s="73">
        <f>SUBTOTAL(9,O135:O154)</f>
        <v>242418667</v>
      </c>
      <c r="P155" s="73"/>
      <c r="Q155" s="73">
        <f>SUBTOTAL(9,Q135:Q154)</f>
        <v>8496283.6730983481</v>
      </c>
      <c r="S155" s="74">
        <f>+ROUND(Q155/K155*100,2)</f>
        <v>2.09</v>
      </c>
      <c r="U155" s="186"/>
      <c r="V155" s="181"/>
      <c r="W155" s="345"/>
      <c r="X155" s="208"/>
      <c r="Y155" s="208"/>
      <c r="Z155" s="208"/>
      <c r="AA155" s="203"/>
    </row>
    <row r="156" spans="1:27" s="19" customFormat="1">
      <c r="A156" s="64"/>
      <c r="B156" s="65"/>
      <c r="C156" s="78"/>
      <c r="D156" s="65"/>
      <c r="E156" s="65"/>
      <c r="F156" s="65"/>
      <c r="G156" s="183"/>
      <c r="H156" s="183"/>
      <c r="I156" s="184"/>
      <c r="J156" s="65"/>
      <c r="K156" s="71"/>
      <c r="L156" s="185"/>
      <c r="M156" s="73"/>
      <c r="N156" s="73"/>
      <c r="O156" s="73"/>
      <c r="P156" s="73"/>
      <c r="Q156" s="73"/>
      <c r="S156" s="74"/>
      <c r="U156" s="186"/>
      <c r="V156" s="181"/>
      <c r="W156" s="345"/>
      <c r="X156" s="208"/>
      <c r="Y156" s="208"/>
      <c r="Z156" s="208"/>
      <c r="AA156" s="203"/>
    </row>
    <row r="157" spans="1:27" s="19" customFormat="1">
      <c r="A157" s="64">
        <v>344</v>
      </c>
      <c r="B157" s="65"/>
      <c r="C157" s="65" t="s">
        <v>101</v>
      </c>
      <c r="D157" s="65"/>
      <c r="E157" s="65"/>
      <c r="F157" s="65"/>
      <c r="G157" s="65"/>
      <c r="H157" s="65"/>
      <c r="I157" s="179"/>
      <c r="J157" s="65"/>
      <c r="K157" s="65"/>
      <c r="L157" s="65"/>
      <c r="M157" s="67"/>
      <c r="N157" s="67"/>
      <c r="O157" s="67"/>
      <c r="P157" s="67"/>
      <c r="Q157" s="67"/>
      <c r="S157" s="68"/>
      <c r="U157" s="180"/>
      <c r="V157" s="181"/>
      <c r="W157" s="347"/>
      <c r="X157" s="208"/>
      <c r="Y157" s="208"/>
      <c r="Z157" s="208"/>
      <c r="AA157" s="203"/>
    </row>
    <row r="158" spans="1:27" s="19" customFormat="1">
      <c r="A158" s="64"/>
      <c r="B158" s="65"/>
      <c r="C158" s="70" t="s">
        <v>77</v>
      </c>
      <c r="D158" s="65"/>
      <c r="E158" s="182">
        <v>2050</v>
      </c>
      <c r="F158" s="65"/>
      <c r="G158" s="183" t="s">
        <v>192</v>
      </c>
      <c r="H158" s="183" t="s">
        <v>181</v>
      </c>
      <c r="I158" s="184">
        <v>0</v>
      </c>
      <c r="J158" s="65"/>
      <c r="K158" s="71">
        <v>385287.95</v>
      </c>
      <c r="L158" s="185"/>
      <c r="M158" s="73">
        <v>100840</v>
      </c>
      <c r="N158" s="73"/>
      <c r="O158" s="198">
        <f t="shared" ref="O158:O178" si="35">ROUND((K158+(K158*-(I158/100)))-M158,0)</f>
        <v>284448</v>
      </c>
      <c r="P158" s="73"/>
      <c r="Q158" s="57">
        <f t="shared" ref="Q158:Q178" si="36">O158/U158</f>
        <v>7901.333333333333</v>
      </c>
      <c r="S158" s="74">
        <f t="shared" ref="S158:S178" si="37">Q158/K158*100</f>
        <v>2.0507605631926284</v>
      </c>
      <c r="U158" s="172">
        <f t="shared" ref="U158:U178" si="38">AA158</f>
        <v>36</v>
      </c>
      <c r="V158" s="181"/>
      <c r="W158" s="345">
        <f>'Adjust Depr Table 1'!U158</f>
        <v>31</v>
      </c>
      <c r="X158" s="208"/>
      <c r="Y158" s="209">
        <v>5</v>
      </c>
      <c r="Z158" s="208"/>
      <c r="AA158" s="203">
        <f t="shared" ref="AA158:AA178" si="39">W158+Y158</f>
        <v>36</v>
      </c>
    </row>
    <row r="159" spans="1:27" s="19" customFormat="1">
      <c r="A159" s="64"/>
      <c r="B159" s="65"/>
      <c r="C159" s="70" t="s">
        <v>78</v>
      </c>
      <c r="D159" s="65"/>
      <c r="E159" s="182">
        <v>2034</v>
      </c>
      <c r="F159" s="65"/>
      <c r="G159" s="183" t="s">
        <v>192</v>
      </c>
      <c r="H159" s="183" t="s">
        <v>181</v>
      </c>
      <c r="I159" s="184">
        <v>0</v>
      </c>
      <c r="J159" s="65"/>
      <c r="K159" s="71">
        <v>5409806.3600000003</v>
      </c>
      <c r="L159" s="185"/>
      <c r="M159" s="73">
        <v>3149102</v>
      </c>
      <c r="N159" s="73"/>
      <c r="O159" s="198">
        <f t="shared" si="35"/>
        <v>2260704</v>
      </c>
      <c r="P159" s="73"/>
      <c r="Q159" s="57">
        <f t="shared" si="36"/>
        <v>90428.160000000003</v>
      </c>
      <c r="S159" s="74">
        <f t="shared" si="37"/>
        <v>1.6715600149503316</v>
      </c>
      <c r="U159" s="172">
        <f t="shared" si="38"/>
        <v>25</v>
      </c>
      <c r="V159" s="181"/>
      <c r="W159" s="345">
        <f>'Adjust Depr Table 1'!U159</f>
        <v>15</v>
      </c>
      <c r="X159" s="208"/>
      <c r="Y159" s="209">
        <v>10</v>
      </c>
      <c r="Z159" s="208"/>
      <c r="AA159" s="203">
        <f t="shared" si="39"/>
        <v>25</v>
      </c>
    </row>
    <row r="160" spans="1:27" s="19" customFormat="1">
      <c r="A160" s="64"/>
      <c r="B160" s="65"/>
      <c r="C160" s="70" t="s">
        <v>79</v>
      </c>
      <c r="D160" s="65"/>
      <c r="E160" s="182">
        <v>2034</v>
      </c>
      <c r="F160" s="65"/>
      <c r="G160" s="183" t="s">
        <v>192</v>
      </c>
      <c r="H160" s="183" t="s">
        <v>181</v>
      </c>
      <c r="I160" s="184">
        <v>0</v>
      </c>
      <c r="J160" s="65"/>
      <c r="K160" s="71">
        <v>5315973.93</v>
      </c>
      <c r="L160" s="185"/>
      <c r="M160" s="73">
        <v>3110623</v>
      </c>
      <c r="N160" s="73"/>
      <c r="O160" s="198">
        <f t="shared" si="35"/>
        <v>2205351</v>
      </c>
      <c r="P160" s="73"/>
      <c r="Q160" s="57">
        <f t="shared" si="36"/>
        <v>88214.04</v>
      </c>
      <c r="S160" s="74">
        <f t="shared" si="37"/>
        <v>1.6594144584151487</v>
      </c>
      <c r="U160" s="172">
        <f t="shared" si="38"/>
        <v>25</v>
      </c>
      <c r="V160" s="181"/>
      <c r="W160" s="345">
        <f>'Adjust Depr Table 1'!U160</f>
        <v>15</v>
      </c>
      <c r="X160" s="208"/>
      <c r="Y160" s="209">
        <v>10</v>
      </c>
      <c r="Z160" s="208"/>
      <c r="AA160" s="203">
        <f t="shared" si="39"/>
        <v>25</v>
      </c>
    </row>
    <row r="161" spans="1:27" s="19" customFormat="1">
      <c r="A161" s="64"/>
      <c r="B161" s="65"/>
      <c r="C161" s="70" t="s">
        <v>80</v>
      </c>
      <c r="D161" s="65"/>
      <c r="E161" s="182">
        <v>2034</v>
      </c>
      <c r="F161" s="65"/>
      <c r="G161" s="183" t="s">
        <v>192</v>
      </c>
      <c r="H161" s="183" t="s">
        <v>181</v>
      </c>
      <c r="I161" s="184">
        <v>0</v>
      </c>
      <c r="J161" s="65"/>
      <c r="K161" s="71">
        <v>5368828.4000000004</v>
      </c>
      <c r="L161" s="185"/>
      <c r="M161" s="73">
        <v>3095925</v>
      </c>
      <c r="N161" s="73"/>
      <c r="O161" s="198">
        <f t="shared" si="35"/>
        <v>2272903</v>
      </c>
      <c r="P161" s="73"/>
      <c r="Q161" s="57">
        <f t="shared" si="36"/>
        <v>90916.12</v>
      </c>
      <c r="S161" s="74">
        <f t="shared" si="37"/>
        <v>1.6934070755548825</v>
      </c>
      <c r="U161" s="172">
        <f t="shared" si="38"/>
        <v>25</v>
      </c>
      <c r="V161" s="181"/>
      <c r="W161" s="345">
        <f>'Adjust Depr Table 1'!U161</f>
        <v>15</v>
      </c>
      <c r="X161" s="208"/>
      <c r="Y161" s="209">
        <v>10</v>
      </c>
      <c r="Z161" s="208"/>
      <c r="AA161" s="203">
        <f t="shared" si="39"/>
        <v>25</v>
      </c>
    </row>
    <row r="162" spans="1:27" s="19" customFormat="1">
      <c r="A162" s="64"/>
      <c r="B162" s="65"/>
      <c r="C162" s="70" t="s">
        <v>81</v>
      </c>
      <c r="D162" s="65"/>
      <c r="E162" s="182">
        <v>2041</v>
      </c>
      <c r="F162" s="65"/>
      <c r="G162" s="183" t="s">
        <v>192</v>
      </c>
      <c r="H162" s="183" t="s">
        <v>181</v>
      </c>
      <c r="I162" s="184">
        <v>0</v>
      </c>
      <c r="J162" s="65"/>
      <c r="K162" s="71">
        <v>8212342.4100000001</v>
      </c>
      <c r="L162" s="185"/>
      <c r="M162" s="73">
        <v>3863206</v>
      </c>
      <c r="N162" s="73"/>
      <c r="O162" s="198">
        <f t="shared" si="35"/>
        <v>4349136</v>
      </c>
      <c r="P162" s="73"/>
      <c r="Q162" s="57">
        <f t="shared" si="36"/>
        <v>161079.11111111112</v>
      </c>
      <c r="S162" s="74">
        <f t="shared" si="37"/>
        <v>1.9614271187105934</v>
      </c>
      <c r="U162" s="172">
        <f t="shared" si="38"/>
        <v>27</v>
      </c>
      <c r="V162" s="181"/>
      <c r="W162" s="345">
        <f>'Adjust Depr Table 1'!U162</f>
        <v>22</v>
      </c>
      <c r="X162" s="208"/>
      <c r="Y162" s="209">
        <v>5</v>
      </c>
      <c r="Z162" s="208"/>
      <c r="AA162" s="203">
        <f t="shared" si="39"/>
        <v>27</v>
      </c>
    </row>
    <row r="163" spans="1:27" s="19" customFormat="1">
      <c r="A163" s="64"/>
      <c r="B163" s="65"/>
      <c r="C163" s="70" t="s">
        <v>82</v>
      </c>
      <c r="D163" s="65"/>
      <c r="E163" s="182">
        <v>2041</v>
      </c>
      <c r="F163" s="65"/>
      <c r="G163" s="183" t="s">
        <v>192</v>
      </c>
      <c r="H163" s="183" t="s">
        <v>181</v>
      </c>
      <c r="I163" s="184">
        <v>0</v>
      </c>
      <c r="J163" s="65"/>
      <c r="K163" s="71">
        <v>8155918.4000000004</v>
      </c>
      <c r="L163" s="185"/>
      <c r="M163" s="73">
        <v>3837752</v>
      </c>
      <c r="N163" s="73"/>
      <c r="O163" s="198">
        <f t="shared" si="35"/>
        <v>4318166</v>
      </c>
      <c r="P163" s="73"/>
      <c r="Q163" s="57">
        <f t="shared" si="36"/>
        <v>159932.07407407407</v>
      </c>
      <c r="S163" s="74">
        <f t="shared" si="37"/>
        <v>1.9609327390288023</v>
      </c>
      <c r="U163" s="172">
        <f t="shared" si="38"/>
        <v>27</v>
      </c>
      <c r="V163" s="181"/>
      <c r="W163" s="345">
        <f>'Adjust Depr Table 1'!U163</f>
        <v>22</v>
      </c>
      <c r="X163" s="208"/>
      <c r="Y163" s="209">
        <v>5</v>
      </c>
      <c r="Z163" s="208"/>
      <c r="AA163" s="203">
        <f t="shared" si="39"/>
        <v>27</v>
      </c>
    </row>
    <row r="164" spans="1:27" s="19" customFormat="1">
      <c r="A164" s="64"/>
      <c r="B164" s="65"/>
      <c r="C164" s="70" t="s">
        <v>83</v>
      </c>
      <c r="D164" s="65"/>
      <c r="E164" s="182">
        <v>2045</v>
      </c>
      <c r="F164" s="65"/>
      <c r="G164" s="183" t="s">
        <v>192</v>
      </c>
      <c r="H164" s="183" t="s">
        <v>181</v>
      </c>
      <c r="I164" s="184">
        <v>0</v>
      </c>
      <c r="J164" s="65"/>
      <c r="K164" s="71">
        <v>4831725.68</v>
      </c>
      <c r="L164" s="185"/>
      <c r="M164" s="73">
        <v>1839937</v>
      </c>
      <c r="N164" s="73"/>
      <c r="O164" s="198">
        <f t="shared" si="35"/>
        <v>2991789</v>
      </c>
      <c r="P164" s="73"/>
      <c r="Q164" s="57">
        <f t="shared" si="36"/>
        <v>96509.322580645166</v>
      </c>
      <c r="S164" s="74">
        <f t="shared" si="37"/>
        <v>1.9974089791588743</v>
      </c>
      <c r="U164" s="172">
        <f t="shared" si="38"/>
        <v>31</v>
      </c>
      <c r="V164" s="181"/>
      <c r="W164" s="345">
        <f>'Adjust Depr Table 1'!U164</f>
        <v>26</v>
      </c>
      <c r="X164" s="208"/>
      <c r="Y164" s="209">
        <v>5</v>
      </c>
      <c r="Z164" s="208"/>
      <c r="AA164" s="203">
        <f t="shared" si="39"/>
        <v>31</v>
      </c>
    </row>
    <row r="165" spans="1:27" s="19" customFormat="1">
      <c r="A165" s="64"/>
      <c r="B165" s="65"/>
      <c r="C165" s="70" t="s">
        <v>84</v>
      </c>
      <c r="D165" s="65"/>
      <c r="E165" s="182">
        <v>2045</v>
      </c>
      <c r="F165" s="65"/>
      <c r="G165" s="183" t="s">
        <v>192</v>
      </c>
      <c r="H165" s="183" t="s">
        <v>181</v>
      </c>
      <c r="I165" s="184">
        <v>0</v>
      </c>
      <c r="J165" s="65"/>
      <c r="K165" s="71">
        <v>4838938.32</v>
      </c>
      <c r="L165" s="185"/>
      <c r="M165" s="73">
        <v>1842648</v>
      </c>
      <c r="N165" s="73"/>
      <c r="O165" s="198">
        <f t="shared" si="35"/>
        <v>2996290</v>
      </c>
      <c r="P165" s="73"/>
      <c r="Q165" s="57">
        <f t="shared" si="36"/>
        <v>96654.516129032258</v>
      </c>
      <c r="S165" s="74">
        <f t="shared" si="37"/>
        <v>1.9974322823985129</v>
      </c>
      <c r="U165" s="172">
        <f t="shared" si="38"/>
        <v>31</v>
      </c>
      <c r="V165" s="181"/>
      <c r="W165" s="345">
        <f>'Adjust Depr Table 1'!U165</f>
        <v>26</v>
      </c>
      <c r="X165" s="208"/>
      <c r="Y165" s="209">
        <v>5</v>
      </c>
      <c r="Z165" s="208"/>
      <c r="AA165" s="203">
        <f t="shared" si="39"/>
        <v>31</v>
      </c>
    </row>
    <row r="166" spans="1:27" s="19" customFormat="1">
      <c r="A166" s="64"/>
      <c r="B166" s="65"/>
      <c r="C166" s="70" t="s">
        <v>85</v>
      </c>
      <c r="D166" s="65"/>
      <c r="E166" s="182">
        <v>2050</v>
      </c>
      <c r="F166" s="65"/>
      <c r="G166" s="183" t="s">
        <v>192</v>
      </c>
      <c r="H166" s="183" t="s">
        <v>181</v>
      </c>
      <c r="I166" s="184">
        <v>0</v>
      </c>
      <c r="J166" s="65"/>
      <c r="K166" s="71">
        <v>5428818.3700000001</v>
      </c>
      <c r="L166" s="185"/>
      <c r="M166" s="73">
        <v>879891</v>
      </c>
      <c r="N166" s="73"/>
      <c r="O166" s="198">
        <f t="shared" si="35"/>
        <v>4548927</v>
      </c>
      <c r="P166" s="73"/>
      <c r="Q166" s="57">
        <f t="shared" si="36"/>
        <v>126359.08333333333</v>
      </c>
      <c r="S166" s="74">
        <f t="shared" si="37"/>
        <v>2.3275614456287905</v>
      </c>
      <c r="U166" s="172">
        <f t="shared" si="38"/>
        <v>36</v>
      </c>
      <c r="V166" s="181"/>
      <c r="W166" s="345">
        <f>'Adjust Depr Table 1'!U166</f>
        <v>31</v>
      </c>
      <c r="X166" s="208"/>
      <c r="Y166" s="209">
        <v>5</v>
      </c>
      <c r="Z166" s="208"/>
      <c r="AA166" s="203">
        <f t="shared" si="39"/>
        <v>36</v>
      </c>
    </row>
    <row r="167" spans="1:27" s="19" customFormat="1">
      <c r="A167" s="64"/>
      <c r="B167" s="65"/>
      <c r="C167" s="70" t="s">
        <v>86</v>
      </c>
      <c r="D167" s="65"/>
      <c r="E167" s="182">
        <v>2050</v>
      </c>
      <c r="F167" s="65"/>
      <c r="G167" s="183" t="s">
        <v>192</v>
      </c>
      <c r="H167" s="183" t="s">
        <v>181</v>
      </c>
      <c r="I167" s="184">
        <v>0</v>
      </c>
      <c r="J167" s="65"/>
      <c r="K167" s="71">
        <v>4887853.5</v>
      </c>
      <c r="L167" s="185"/>
      <c r="M167" s="73">
        <v>1176798</v>
      </c>
      <c r="N167" s="73"/>
      <c r="O167" s="198">
        <f t="shared" si="35"/>
        <v>3711056</v>
      </c>
      <c r="P167" s="73"/>
      <c r="Q167" s="57">
        <f t="shared" si="36"/>
        <v>103084.88888888889</v>
      </c>
      <c r="S167" s="74">
        <f t="shared" si="37"/>
        <v>2.1090011983560655</v>
      </c>
      <c r="U167" s="172">
        <f t="shared" si="38"/>
        <v>36</v>
      </c>
      <c r="V167" s="181"/>
      <c r="W167" s="345">
        <f>'Adjust Depr Table 1'!U167</f>
        <v>31</v>
      </c>
      <c r="X167" s="208"/>
      <c r="Y167" s="209">
        <v>5</v>
      </c>
      <c r="Z167" s="208"/>
      <c r="AA167" s="203">
        <f t="shared" si="39"/>
        <v>36</v>
      </c>
    </row>
    <row r="168" spans="1:27" s="19" customFormat="1">
      <c r="A168" s="64"/>
      <c r="B168" s="65"/>
      <c r="C168" s="70" t="s">
        <v>87</v>
      </c>
      <c r="D168" s="65"/>
      <c r="E168" s="182">
        <v>2038</v>
      </c>
      <c r="F168" s="65"/>
      <c r="G168" s="183" t="s">
        <v>192</v>
      </c>
      <c r="H168" s="183" t="s">
        <v>181</v>
      </c>
      <c r="I168" s="184">
        <v>0</v>
      </c>
      <c r="J168" s="65"/>
      <c r="K168" s="71">
        <v>1098205.33</v>
      </c>
      <c r="L168" s="185"/>
      <c r="M168" s="73">
        <v>498493</v>
      </c>
      <c r="N168" s="73"/>
      <c r="O168" s="198">
        <f t="shared" si="35"/>
        <v>599712</v>
      </c>
      <c r="P168" s="73"/>
      <c r="Q168" s="57">
        <f t="shared" si="36"/>
        <v>31563.78947368421</v>
      </c>
      <c r="S168" s="74">
        <f t="shared" si="37"/>
        <v>2.8741245932292285</v>
      </c>
      <c r="U168" s="172">
        <f t="shared" si="38"/>
        <v>19</v>
      </c>
      <c r="V168" s="181"/>
      <c r="W168" s="345">
        <f>'Adjust Depr Table 1'!U168</f>
        <v>19</v>
      </c>
      <c r="X168" s="208"/>
      <c r="Y168" s="209"/>
      <c r="Z168" s="208"/>
      <c r="AA168" s="203">
        <f t="shared" si="39"/>
        <v>19</v>
      </c>
    </row>
    <row r="169" spans="1:27" s="19" customFormat="1">
      <c r="A169" s="64"/>
      <c r="B169" s="65"/>
      <c r="C169" s="70" t="s">
        <v>88</v>
      </c>
      <c r="D169" s="65"/>
      <c r="E169" s="182">
        <v>2038</v>
      </c>
      <c r="F169" s="65"/>
      <c r="G169" s="183" t="s">
        <v>192</v>
      </c>
      <c r="H169" s="183" t="s">
        <v>181</v>
      </c>
      <c r="I169" s="184">
        <v>0</v>
      </c>
      <c r="J169" s="65"/>
      <c r="K169" s="71">
        <v>1963510.74</v>
      </c>
      <c r="L169" s="185"/>
      <c r="M169" s="73">
        <v>867730</v>
      </c>
      <c r="N169" s="73"/>
      <c r="O169" s="198">
        <f t="shared" si="35"/>
        <v>1095781</v>
      </c>
      <c r="P169" s="73"/>
      <c r="Q169" s="57">
        <f t="shared" si="36"/>
        <v>57672.684210526313</v>
      </c>
      <c r="S169" s="74">
        <f t="shared" si="37"/>
        <v>2.9372227528801962</v>
      </c>
      <c r="U169" s="172">
        <f t="shared" si="38"/>
        <v>19</v>
      </c>
      <c r="V169" s="181"/>
      <c r="W169" s="345">
        <f>'Adjust Depr Table 1'!U169</f>
        <v>19</v>
      </c>
      <c r="X169" s="208"/>
      <c r="Y169" s="209"/>
      <c r="Z169" s="208"/>
      <c r="AA169" s="203">
        <f t="shared" si="39"/>
        <v>19</v>
      </c>
    </row>
    <row r="170" spans="1:27" s="19" customFormat="1">
      <c r="A170" s="64"/>
      <c r="B170" s="65"/>
      <c r="C170" s="70" t="s">
        <v>89</v>
      </c>
      <c r="D170" s="65"/>
      <c r="E170" s="182">
        <v>2038</v>
      </c>
      <c r="F170" s="65"/>
      <c r="G170" s="183" t="s">
        <v>192</v>
      </c>
      <c r="H170" s="183" t="s">
        <v>181</v>
      </c>
      <c r="I170" s="184">
        <v>0</v>
      </c>
      <c r="J170" s="65"/>
      <c r="K170" s="71">
        <v>4525028.84</v>
      </c>
      <c r="L170" s="185"/>
      <c r="M170" s="73">
        <v>1301455</v>
      </c>
      <c r="N170" s="73"/>
      <c r="O170" s="198">
        <f t="shared" si="35"/>
        <v>3223574</v>
      </c>
      <c r="P170" s="73"/>
      <c r="Q170" s="57">
        <f t="shared" si="36"/>
        <v>169661.78947368421</v>
      </c>
      <c r="S170" s="74">
        <f t="shared" si="37"/>
        <v>3.7494079147942894</v>
      </c>
      <c r="U170" s="172">
        <f t="shared" si="38"/>
        <v>19</v>
      </c>
      <c r="V170" s="181"/>
      <c r="W170" s="345">
        <f>'Adjust Depr Table 1'!U170</f>
        <v>19</v>
      </c>
      <c r="X170" s="208"/>
      <c r="Y170" s="209"/>
      <c r="Z170" s="208"/>
      <c r="AA170" s="203">
        <f t="shared" si="39"/>
        <v>19</v>
      </c>
    </row>
    <row r="171" spans="1:27" s="19" customFormat="1">
      <c r="A171" s="64"/>
      <c r="B171" s="65"/>
      <c r="C171" s="70" t="s">
        <v>90</v>
      </c>
      <c r="D171" s="65"/>
      <c r="E171" s="182">
        <v>2041</v>
      </c>
      <c r="F171" s="65"/>
      <c r="G171" s="183" t="s">
        <v>192</v>
      </c>
      <c r="H171" s="183" t="s">
        <v>181</v>
      </c>
      <c r="I171" s="184">
        <v>0</v>
      </c>
      <c r="J171" s="65"/>
      <c r="K171" s="71">
        <v>1285806.3799999999</v>
      </c>
      <c r="L171" s="185"/>
      <c r="M171" s="73">
        <v>479024</v>
      </c>
      <c r="N171" s="73"/>
      <c r="O171" s="198">
        <f t="shared" si="35"/>
        <v>806782</v>
      </c>
      <c r="P171" s="73"/>
      <c r="Q171" s="57">
        <f t="shared" si="36"/>
        <v>36671.909090909088</v>
      </c>
      <c r="S171" s="74">
        <f t="shared" si="37"/>
        <v>2.8520553064069483</v>
      </c>
      <c r="U171" s="172">
        <f t="shared" si="38"/>
        <v>22</v>
      </c>
      <c r="V171" s="181"/>
      <c r="W171" s="345">
        <f>'Adjust Depr Table 1'!U171</f>
        <v>22</v>
      </c>
      <c r="X171" s="208"/>
      <c r="Y171" s="209"/>
      <c r="Z171" s="208"/>
      <c r="AA171" s="203">
        <f t="shared" si="39"/>
        <v>22</v>
      </c>
    </row>
    <row r="172" spans="1:27" s="19" customFormat="1">
      <c r="A172" s="64"/>
      <c r="B172" s="65"/>
      <c r="C172" s="70" t="s">
        <v>91</v>
      </c>
      <c r="D172" s="65"/>
      <c r="E172" s="182">
        <v>2042</v>
      </c>
      <c r="F172" s="65"/>
      <c r="G172" s="183" t="s">
        <v>192</v>
      </c>
      <c r="H172" s="183" t="s">
        <v>181</v>
      </c>
      <c r="I172" s="184">
        <v>0</v>
      </c>
      <c r="J172" s="65"/>
      <c r="K172" s="71">
        <v>1680579.61</v>
      </c>
      <c r="L172" s="185"/>
      <c r="M172" s="73">
        <v>580668</v>
      </c>
      <c r="N172" s="73"/>
      <c r="O172" s="198">
        <f t="shared" si="35"/>
        <v>1099912</v>
      </c>
      <c r="P172" s="73"/>
      <c r="Q172" s="57">
        <f t="shared" si="36"/>
        <v>47822.260869565216</v>
      </c>
      <c r="S172" s="74">
        <f t="shared" si="37"/>
        <v>2.8455814044754009</v>
      </c>
      <c r="U172" s="172">
        <f t="shared" si="38"/>
        <v>23</v>
      </c>
      <c r="V172" s="181"/>
      <c r="W172" s="345">
        <f>'Adjust Depr Table 1'!U172</f>
        <v>23</v>
      </c>
      <c r="X172" s="208"/>
      <c r="Y172" s="209"/>
      <c r="Z172" s="208"/>
      <c r="AA172" s="203">
        <f t="shared" si="39"/>
        <v>23</v>
      </c>
    </row>
    <row r="173" spans="1:27" s="19" customFormat="1">
      <c r="A173" s="64"/>
      <c r="B173" s="65"/>
      <c r="C173" s="70" t="s">
        <v>102</v>
      </c>
      <c r="D173" s="65"/>
      <c r="E173" s="182">
        <v>2046</v>
      </c>
      <c r="F173" s="65"/>
      <c r="G173" s="183" t="s">
        <v>192</v>
      </c>
      <c r="H173" s="183" t="s">
        <v>181</v>
      </c>
      <c r="I173" s="184">
        <v>0</v>
      </c>
      <c r="J173" s="65"/>
      <c r="K173" s="71">
        <v>2993753.87</v>
      </c>
      <c r="L173" s="185"/>
      <c r="M173" s="73">
        <v>457130</v>
      </c>
      <c r="N173" s="73"/>
      <c r="O173" s="198">
        <f t="shared" si="35"/>
        <v>2536624</v>
      </c>
      <c r="P173" s="73"/>
      <c r="Q173" s="57">
        <f t="shared" si="36"/>
        <v>93949.037037037036</v>
      </c>
      <c r="S173" s="74">
        <f t="shared" si="37"/>
        <v>3.1381683704357779</v>
      </c>
      <c r="U173" s="172">
        <f t="shared" si="38"/>
        <v>27</v>
      </c>
      <c r="V173" s="181"/>
      <c r="W173" s="345">
        <f>'Adjust Depr Table 1'!U173</f>
        <v>27</v>
      </c>
      <c r="X173" s="208"/>
      <c r="Y173" s="209"/>
      <c r="Z173" s="208"/>
      <c r="AA173" s="203">
        <f t="shared" si="39"/>
        <v>27</v>
      </c>
    </row>
    <row r="174" spans="1:27" s="19" customFormat="1">
      <c r="A174" s="64"/>
      <c r="B174" s="65"/>
      <c r="C174" s="70" t="s">
        <v>92</v>
      </c>
      <c r="D174" s="65"/>
      <c r="E174" s="182">
        <v>2042</v>
      </c>
      <c r="F174" s="65"/>
      <c r="G174" s="183" t="s">
        <v>192</v>
      </c>
      <c r="H174" s="183" t="s">
        <v>181</v>
      </c>
      <c r="I174" s="184">
        <v>0</v>
      </c>
      <c r="J174" s="65"/>
      <c r="K174" s="71">
        <v>17086.14</v>
      </c>
      <c r="L174" s="185"/>
      <c r="M174" s="73">
        <v>6300</v>
      </c>
      <c r="N174" s="73"/>
      <c r="O174" s="198">
        <f t="shared" si="35"/>
        <v>10786</v>
      </c>
      <c r="P174" s="73"/>
      <c r="Q174" s="57">
        <f t="shared" si="36"/>
        <v>468.95652173913044</v>
      </c>
      <c r="S174" s="74">
        <f t="shared" si="37"/>
        <v>2.7446604191416575</v>
      </c>
      <c r="U174" s="172">
        <f t="shared" si="38"/>
        <v>23</v>
      </c>
      <c r="V174" s="181"/>
      <c r="W174" s="345">
        <f>'Adjust Depr Table 1'!U174</f>
        <v>23</v>
      </c>
      <c r="X174" s="208"/>
      <c r="Y174" s="209"/>
      <c r="Z174" s="208"/>
      <c r="AA174" s="203">
        <f t="shared" si="39"/>
        <v>23</v>
      </c>
    </row>
    <row r="175" spans="1:27" s="19" customFormat="1">
      <c r="A175" s="64"/>
      <c r="B175" s="65"/>
      <c r="C175" s="70" t="s">
        <v>93</v>
      </c>
      <c r="D175" s="65"/>
      <c r="E175" s="182">
        <v>2042</v>
      </c>
      <c r="F175" s="65"/>
      <c r="G175" s="183" t="s">
        <v>192</v>
      </c>
      <c r="H175" s="183" t="s">
        <v>181</v>
      </c>
      <c r="I175" s="184">
        <v>0</v>
      </c>
      <c r="J175" s="65"/>
      <c r="K175" s="71">
        <v>7457690.5700000003</v>
      </c>
      <c r="L175" s="185"/>
      <c r="M175" s="73">
        <v>3646045</v>
      </c>
      <c r="N175" s="73"/>
      <c r="O175" s="198">
        <f t="shared" si="35"/>
        <v>3811646</v>
      </c>
      <c r="P175" s="73"/>
      <c r="Q175" s="57">
        <f t="shared" si="36"/>
        <v>165723.73913043478</v>
      </c>
      <c r="S175" s="74">
        <f t="shared" si="37"/>
        <v>2.2221857768823301</v>
      </c>
      <c r="U175" s="172">
        <f t="shared" si="38"/>
        <v>23</v>
      </c>
      <c r="V175" s="181"/>
      <c r="W175" s="345">
        <f>'Adjust Depr Table 1'!U175</f>
        <v>23</v>
      </c>
      <c r="X175" s="208"/>
      <c r="Y175" s="209"/>
      <c r="Z175" s="208"/>
      <c r="AA175" s="203">
        <f t="shared" si="39"/>
        <v>23</v>
      </c>
    </row>
    <row r="176" spans="1:27" s="19" customFormat="1">
      <c r="A176" s="64"/>
      <c r="B176" s="65"/>
      <c r="C176" s="70" t="s">
        <v>94</v>
      </c>
      <c r="D176" s="65"/>
      <c r="E176" s="182">
        <v>2042</v>
      </c>
      <c r="F176" s="65"/>
      <c r="G176" s="183" t="s">
        <v>192</v>
      </c>
      <c r="H176" s="183" t="s">
        <v>181</v>
      </c>
      <c r="I176" s="184">
        <v>0</v>
      </c>
      <c r="J176" s="65"/>
      <c r="K176" s="71">
        <v>7457690.5700000003</v>
      </c>
      <c r="L176" s="185"/>
      <c r="M176" s="73">
        <v>3607830</v>
      </c>
      <c r="N176" s="73"/>
      <c r="O176" s="198">
        <f t="shared" si="35"/>
        <v>3849861</v>
      </c>
      <c r="P176" s="73"/>
      <c r="Q176" s="57">
        <f t="shared" si="36"/>
        <v>167385.26086956522</v>
      </c>
      <c r="S176" s="74">
        <f t="shared" si="37"/>
        <v>2.2444650833718516</v>
      </c>
      <c r="U176" s="172">
        <f t="shared" si="38"/>
        <v>23</v>
      </c>
      <c r="V176" s="181"/>
      <c r="W176" s="345">
        <f>'Adjust Depr Table 1'!U176</f>
        <v>23</v>
      </c>
      <c r="X176" s="208"/>
      <c r="Y176" s="209"/>
      <c r="Z176" s="208"/>
      <c r="AA176" s="203">
        <f t="shared" si="39"/>
        <v>23</v>
      </c>
    </row>
    <row r="177" spans="1:27" s="19" customFormat="1">
      <c r="A177" s="64"/>
      <c r="B177" s="65"/>
      <c r="C177" s="70" t="s">
        <v>95</v>
      </c>
      <c r="D177" s="65"/>
      <c r="E177" s="182">
        <v>2042</v>
      </c>
      <c r="F177" s="65"/>
      <c r="G177" s="183" t="s">
        <v>192</v>
      </c>
      <c r="H177" s="183" t="s">
        <v>181</v>
      </c>
      <c r="I177" s="184">
        <v>0</v>
      </c>
      <c r="J177" s="65"/>
      <c r="K177" s="71">
        <v>7457690.5700000003</v>
      </c>
      <c r="L177" s="185"/>
      <c r="M177" s="73">
        <v>3645751</v>
      </c>
      <c r="N177" s="73"/>
      <c r="O177" s="198">
        <f t="shared" si="35"/>
        <v>3811940</v>
      </c>
      <c r="P177" s="73"/>
      <c r="Q177" s="57">
        <f t="shared" si="36"/>
        <v>165736.52173913043</v>
      </c>
      <c r="S177" s="74">
        <f t="shared" si="37"/>
        <v>2.2223571785860567</v>
      </c>
      <c r="U177" s="172">
        <f t="shared" si="38"/>
        <v>23</v>
      </c>
      <c r="V177" s="181"/>
      <c r="W177" s="345">
        <f>'Adjust Depr Table 1'!U177</f>
        <v>23</v>
      </c>
      <c r="X177" s="208"/>
      <c r="Y177" s="209"/>
      <c r="Z177" s="208"/>
      <c r="AA177" s="203">
        <f t="shared" si="39"/>
        <v>23</v>
      </c>
    </row>
    <row r="178" spans="1:27" s="19" customFormat="1">
      <c r="A178" s="64"/>
      <c r="B178" s="65"/>
      <c r="C178" s="70" t="s">
        <v>96</v>
      </c>
      <c r="D178" s="65"/>
      <c r="E178" s="182">
        <v>2042</v>
      </c>
      <c r="F178" s="65"/>
      <c r="G178" s="183" t="s">
        <v>192</v>
      </c>
      <c r="H178" s="183" t="s">
        <v>181</v>
      </c>
      <c r="I178" s="184">
        <v>0</v>
      </c>
      <c r="J178" s="65"/>
      <c r="K178" s="75">
        <v>15810305.550000001</v>
      </c>
      <c r="L178" s="185"/>
      <c r="M178" s="77">
        <v>1428297</v>
      </c>
      <c r="N178" s="73"/>
      <c r="O178" s="205">
        <f t="shared" si="35"/>
        <v>14382009</v>
      </c>
      <c r="P178" s="73"/>
      <c r="Q178" s="62">
        <f t="shared" si="36"/>
        <v>625304.73913043481</v>
      </c>
      <c r="S178" s="74">
        <f t="shared" si="37"/>
        <v>3.9550452529390538</v>
      </c>
      <c r="U178" s="172">
        <f t="shared" si="38"/>
        <v>23</v>
      </c>
      <c r="V178" s="181"/>
      <c r="W178" s="345">
        <f>'Adjust Depr Table 1'!U178</f>
        <v>23</v>
      </c>
      <c r="X178" s="208"/>
      <c r="Y178" s="209"/>
      <c r="Z178" s="208"/>
      <c r="AA178" s="203">
        <f t="shared" si="39"/>
        <v>23</v>
      </c>
    </row>
    <row r="179" spans="1:27" s="19" customFormat="1">
      <c r="A179" s="64"/>
      <c r="B179" s="65"/>
      <c r="C179" s="78"/>
      <c r="D179" s="65"/>
      <c r="E179" s="65"/>
      <c r="F179" s="65"/>
      <c r="G179" s="183"/>
      <c r="H179" s="183"/>
      <c r="I179" s="184"/>
      <c r="J179" s="65"/>
      <c r="K179" s="71"/>
      <c r="L179" s="185"/>
      <c r="M179" s="73"/>
      <c r="N179" s="73"/>
      <c r="O179" s="73"/>
      <c r="P179" s="73"/>
      <c r="Q179" s="73"/>
      <c r="S179" s="74"/>
      <c r="U179" s="186"/>
      <c r="V179" s="181"/>
      <c r="W179" s="345"/>
      <c r="X179" s="208"/>
      <c r="Y179" s="208"/>
      <c r="Z179" s="208"/>
      <c r="AA179" s="203"/>
    </row>
    <row r="180" spans="1:27" s="19" customFormat="1">
      <c r="A180" s="64"/>
      <c r="B180" s="65"/>
      <c r="C180" s="78" t="s">
        <v>103</v>
      </c>
      <c r="D180" s="65"/>
      <c r="E180" s="65"/>
      <c r="F180" s="65"/>
      <c r="G180" s="183"/>
      <c r="H180" s="183"/>
      <c r="I180" s="184"/>
      <c r="J180" s="65"/>
      <c r="K180" s="71">
        <f>SUBTOTAL(9,K158:K179)</f>
        <v>104582841.48999999</v>
      </c>
      <c r="L180" s="185"/>
      <c r="M180" s="73">
        <f>SUBTOTAL(9,M158:M179)</f>
        <v>39415445</v>
      </c>
      <c r="N180" s="73"/>
      <c r="O180" s="73">
        <f>SUBTOTAL(9,O158:O179)</f>
        <v>65167397</v>
      </c>
      <c r="P180" s="73"/>
      <c r="Q180" s="73">
        <f>SUBTOTAL(9,Q158:Q179)</f>
        <v>2583039.3369971286</v>
      </c>
      <c r="S180" s="74">
        <f>+ROUND(Q180/K180*100,2)</f>
        <v>2.4700000000000002</v>
      </c>
      <c r="U180" s="186"/>
      <c r="V180" s="181"/>
      <c r="W180" s="345"/>
      <c r="X180" s="208"/>
      <c r="Y180" s="208"/>
      <c r="Z180" s="208"/>
      <c r="AA180" s="203"/>
    </row>
    <row r="181" spans="1:27" s="19" customFormat="1">
      <c r="A181" s="64"/>
      <c r="B181" s="65"/>
      <c r="C181" s="78"/>
      <c r="D181" s="65"/>
      <c r="E181" s="65"/>
      <c r="F181" s="65"/>
      <c r="G181" s="183"/>
      <c r="H181" s="183"/>
      <c r="I181" s="184"/>
      <c r="J181" s="65"/>
      <c r="K181" s="71"/>
      <c r="L181" s="185"/>
      <c r="M181" s="73"/>
      <c r="N181" s="73"/>
      <c r="O181" s="73"/>
      <c r="P181" s="73"/>
      <c r="Q181" s="73"/>
      <c r="S181" s="74"/>
      <c r="U181" s="186"/>
      <c r="V181" s="181"/>
      <c r="W181" s="345"/>
      <c r="X181" s="208"/>
      <c r="Y181" s="208"/>
      <c r="Z181" s="208"/>
      <c r="AA181" s="203"/>
    </row>
    <row r="182" spans="1:27" s="19" customFormat="1">
      <c r="A182" s="64">
        <v>345</v>
      </c>
      <c r="B182" s="65"/>
      <c r="C182" s="65" t="s">
        <v>71</v>
      </c>
      <c r="D182" s="65"/>
      <c r="E182" s="65"/>
      <c r="F182" s="65"/>
      <c r="G182" s="65"/>
      <c r="H182" s="65"/>
      <c r="I182" s="179"/>
      <c r="J182" s="65"/>
      <c r="K182" s="65"/>
      <c r="L182" s="65"/>
      <c r="M182" s="67"/>
      <c r="N182" s="67"/>
      <c r="O182" s="67"/>
      <c r="P182" s="67"/>
      <c r="Q182" s="67"/>
      <c r="S182" s="68"/>
      <c r="U182" s="180"/>
      <c r="V182" s="181"/>
      <c r="W182" s="347"/>
      <c r="X182" s="208"/>
      <c r="Y182" s="208"/>
      <c r="Z182" s="208"/>
      <c r="AA182" s="203"/>
    </row>
    <row r="183" spans="1:27" s="19" customFormat="1">
      <c r="A183" s="64"/>
      <c r="B183" s="65"/>
      <c r="C183" s="70" t="s">
        <v>77</v>
      </c>
      <c r="D183" s="65"/>
      <c r="E183" s="182">
        <v>2050</v>
      </c>
      <c r="F183" s="65"/>
      <c r="G183" s="183" t="s">
        <v>192</v>
      </c>
      <c r="H183" s="183" t="s">
        <v>181</v>
      </c>
      <c r="I183" s="184">
        <v>0</v>
      </c>
      <c r="J183" s="65"/>
      <c r="K183" s="71">
        <v>9876096.8200000003</v>
      </c>
      <c r="L183" s="185"/>
      <c r="M183" s="73">
        <v>4171972</v>
      </c>
      <c r="N183" s="73"/>
      <c r="O183" s="198">
        <f t="shared" ref="O183:O202" si="40">ROUND((K183+(K183*-(I183/100)))-M183,0)</f>
        <v>5704125</v>
      </c>
      <c r="P183" s="73"/>
      <c r="Q183" s="57">
        <f t="shared" ref="Q183:Q202" si="41">O183/U183</f>
        <v>158447.91666666666</v>
      </c>
      <c r="S183" s="74">
        <f t="shared" ref="S183:S202" si="42">Q183/K183*100</f>
        <v>1.6043576683634277</v>
      </c>
      <c r="U183" s="172">
        <f t="shared" ref="U183:U202" si="43">AA183</f>
        <v>36</v>
      </c>
      <c r="V183" s="181"/>
      <c r="W183" s="345">
        <f>'Adjust Depr Table 1'!U183</f>
        <v>31</v>
      </c>
      <c r="X183" s="208"/>
      <c r="Y183" s="209">
        <v>5</v>
      </c>
      <c r="Z183" s="208"/>
      <c r="AA183" s="203">
        <f t="shared" ref="AA183:AA202" si="44">W183+Y183</f>
        <v>36</v>
      </c>
    </row>
    <row r="184" spans="1:27" s="19" customFormat="1">
      <c r="A184" s="64"/>
      <c r="B184" s="65"/>
      <c r="C184" s="70" t="s">
        <v>78</v>
      </c>
      <c r="D184" s="65"/>
      <c r="E184" s="182">
        <v>2034</v>
      </c>
      <c r="F184" s="65"/>
      <c r="G184" s="183" t="s">
        <v>192</v>
      </c>
      <c r="H184" s="183" t="s">
        <v>181</v>
      </c>
      <c r="I184" s="184">
        <v>0</v>
      </c>
      <c r="J184" s="65"/>
      <c r="K184" s="71">
        <v>1039394.43</v>
      </c>
      <c r="L184" s="185"/>
      <c r="M184" s="73">
        <v>608799</v>
      </c>
      <c r="N184" s="73"/>
      <c r="O184" s="198">
        <f t="shared" si="40"/>
        <v>430595</v>
      </c>
      <c r="P184" s="73"/>
      <c r="Q184" s="57">
        <f t="shared" si="41"/>
        <v>17223.8</v>
      </c>
      <c r="S184" s="74">
        <f t="shared" si="42"/>
        <v>1.6570995093748961</v>
      </c>
      <c r="U184" s="172">
        <f t="shared" si="43"/>
        <v>25</v>
      </c>
      <c r="V184" s="181"/>
      <c r="W184" s="345">
        <f>'Adjust Depr Table 1'!U184</f>
        <v>15</v>
      </c>
      <c r="X184" s="208"/>
      <c r="Y184" s="209">
        <v>10</v>
      </c>
      <c r="Z184" s="208"/>
      <c r="AA184" s="203">
        <f t="shared" si="44"/>
        <v>25</v>
      </c>
    </row>
    <row r="185" spans="1:27" s="19" customFormat="1">
      <c r="A185" s="64"/>
      <c r="B185" s="65"/>
      <c r="C185" s="70" t="s">
        <v>79</v>
      </c>
      <c r="D185" s="65"/>
      <c r="E185" s="182">
        <v>2034</v>
      </c>
      <c r="F185" s="65"/>
      <c r="G185" s="183" t="s">
        <v>192</v>
      </c>
      <c r="H185" s="183" t="s">
        <v>181</v>
      </c>
      <c r="I185" s="184">
        <v>0</v>
      </c>
      <c r="J185" s="65"/>
      <c r="K185" s="71">
        <v>1039395.53</v>
      </c>
      <c r="L185" s="185"/>
      <c r="M185" s="73">
        <v>616956</v>
      </c>
      <c r="N185" s="73"/>
      <c r="O185" s="198">
        <f t="shared" si="40"/>
        <v>422440</v>
      </c>
      <c r="P185" s="73"/>
      <c r="Q185" s="57">
        <f t="shared" si="41"/>
        <v>16897.599999999999</v>
      </c>
      <c r="S185" s="74">
        <f t="shared" si="42"/>
        <v>1.6257141302118163</v>
      </c>
      <c r="U185" s="172">
        <f t="shared" si="43"/>
        <v>25</v>
      </c>
      <c r="V185" s="181"/>
      <c r="W185" s="345">
        <f>'Adjust Depr Table 1'!U185</f>
        <v>15</v>
      </c>
      <c r="X185" s="208"/>
      <c r="Y185" s="209">
        <v>10</v>
      </c>
      <c r="Z185" s="208"/>
      <c r="AA185" s="203">
        <f t="shared" si="44"/>
        <v>25</v>
      </c>
    </row>
    <row r="186" spans="1:27" s="19" customFormat="1">
      <c r="A186" s="64"/>
      <c r="B186" s="65"/>
      <c r="C186" s="70" t="s">
        <v>80</v>
      </c>
      <c r="D186" s="65"/>
      <c r="E186" s="182">
        <v>2034</v>
      </c>
      <c r="F186" s="65"/>
      <c r="G186" s="183" t="s">
        <v>192</v>
      </c>
      <c r="H186" s="183" t="s">
        <v>181</v>
      </c>
      <c r="I186" s="184">
        <v>0</v>
      </c>
      <c r="J186" s="65"/>
      <c r="K186" s="71">
        <v>1039395.53</v>
      </c>
      <c r="L186" s="185"/>
      <c r="M186" s="73">
        <v>613009</v>
      </c>
      <c r="N186" s="73"/>
      <c r="O186" s="198">
        <f t="shared" si="40"/>
        <v>426387</v>
      </c>
      <c r="P186" s="73"/>
      <c r="Q186" s="57">
        <f t="shared" si="41"/>
        <v>17055.48</v>
      </c>
      <c r="S186" s="74">
        <f t="shared" si="42"/>
        <v>1.640903727958114</v>
      </c>
      <c r="U186" s="172">
        <f t="shared" si="43"/>
        <v>25</v>
      </c>
      <c r="V186" s="181"/>
      <c r="W186" s="345">
        <f>'Adjust Depr Table 1'!U186</f>
        <v>15</v>
      </c>
      <c r="X186" s="208"/>
      <c r="Y186" s="209">
        <v>10</v>
      </c>
      <c r="Z186" s="208"/>
      <c r="AA186" s="203">
        <f t="shared" si="44"/>
        <v>25</v>
      </c>
    </row>
    <row r="187" spans="1:27" s="19" customFormat="1">
      <c r="A187" s="64"/>
      <c r="B187" s="65"/>
      <c r="C187" s="70" t="s">
        <v>81</v>
      </c>
      <c r="D187" s="65"/>
      <c r="E187" s="182">
        <v>2041</v>
      </c>
      <c r="F187" s="65"/>
      <c r="G187" s="183" t="s">
        <v>192</v>
      </c>
      <c r="H187" s="183" t="s">
        <v>181</v>
      </c>
      <c r="I187" s="184">
        <v>0</v>
      </c>
      <c r="J187" s="65"/>
      <c r="K187" s="71">
        <v>993996.86</v>
      </c>
      <c r="L187" s="185"/>
      <c r="M187" s="73">
        <v>470616</v>
      </c>
      <c r="N187" s="73"/>
      <c r="O187" s="198">
        <f t="shared" si="40"/>
        <v>523381</v>
      </c>
      <c r="P187" s="73"/>
      <c r="Q187" s="57">
        <f t="shared" si="41"/>
        <v>19384.481481481482</v>
      </c>
      <c r="S187" s="74">
        <f t="shared" si="42"/>
        <v>1.9501552028526006</v>
      </c>
      <c r="U187" s="172">
        <f t="shared" si="43"/>
        <v>27</v>
      </c>
      <c r="V187" s="181"/>
      <c r="W187" s="345">
        <f>'Adjust Depr Table 1'!U187</f>
        <v>22</v>
      </c>
      <c r="X187" s="208"/>
      <c r="Y187" s="209">
        <v>5</v>
      </c>
      <c r="Z187" s="208"/>
      <c r="AA187" s="203">
        <f t="shared" si="44"/>
        <v>27</v>
      </c>
    </row>
    <row r="188" spans="1:27" s="19" customFormat="1">
      <c r="A188" s="64"/>
      <c r="B188" s="65"/>
      <c r="C188" s="70" t="s">
        <v>82</v>
      </c>
      <c r="D188" s="65"/>
      <c r="E188" s="182">
        <v>2041</v>
      </c>
      <c r="F188" s="65"/>
      <c r="G188" s="183" t="s">
        <v>192</v>
      </c>
      <c r="H188" s="183" t="s">
        <v>181</v>
      </c>
      <c r="I188" s="184">
        <v>0</v>
      </c>
      <c r="J188" s="65"/>
      <c r="K188" s="71">
        <v>993996.86</v>
      </c>
      <c r="L188" s="185"/>
      <c r="M188" s="73">
        <v>468711</v>
      </c>
      <c r="N188" s="73"/>
      <c r="O188" s="198">
        <f t="shared" si="40"/>
        <v>525286</v>
      </c>
      <c r="P188" s="73"/>
      <c r="Q188" s="57">
        <f t="shared" si="41"/>
        <v>19455.037037037036</v>
      </c>
      <c r="S188" s="74">
        <f t="shared" si="42"/>
        <v>1.9572533696974692</v>
      </c>
      <c r="U188" s="172">
        <f t="shared" si="43"/>
        <v>27</v>
      </c>
      <c r="V188" s="181"/>
      <c r="W188" s="345">
        <f>'Adjust Depr Table 1'!U188</f>
        <v>22</v>
      </c>
      <c r="X188" s="208"/>
      <c r="Y188" s="209">
        <v>5</v>
      </c>
      <c r="Z188" s="208"/>
      <c r="AA188" s="203">
        <f t="shared" si="44"/>
        <v>27</v>
      </c>
    </row>
    <row r="189" spans="1:27" s="19" customFormat="1">
      <c r="A189" s="64"/>
      <c r="B189" s="65"/>
      <c r="C189" s="70" t="s">
        <v>83</v>
      </c>
      <c r="D189" s="65"/>
      <c r="E189" s="182">
        <v>2045</v>
      </c>
      <c r="F189" s="65"/>
      <c r="G189" s="183" t="s">
        <v>192</v>
      </c>
      <c r="H189" s="183" t="s">
        <v>181</v>
      </c>
      <c r="I189" s="184">
        <v>0</v>
      </c>
      <c r="J189" s="65"/>
      <c r="K189" s="71">
        <v>1251472.92</v>
      </c>
      <c r="L189" s="185"/>
      <c r="M189" s="73">
        <v>457774</v>
      </c>
      <c r="N189" s="73"/>
      <c r="O189" s="198">
        <f t="shared" si="40"/>
        <v>793699</v>
      </c>
      <c r="P189" s="73"/>
      <c r="Q189" s="57">
        <f t="shared" si="41"/>
        <v>25603.193548387098</v>
      </c>
      <c r="S189" s="74">
        <f t="shared" si="42"/>
        <v>2.0458447913029634</v>
      </c>
      <c r="U189" s="172">
        <f t="shared" si="43"/>
        <v>31</v>
      </c>
      <c r="V189" s="181"/>
      <c r="W189" s="345">
        <f>'Adjust Depr Table 1'!U189</f>
        <v>26</v>
      </c>
      <c r="X189" s="208"/>
      <c r="Y189" s="209">
        <v>5</v>
      </c>
      <c r="Z189" s="208"/>
      <c r="AA189" s="203">
        <f t="shared" si="44"/>
        <v>31</v>
      </c>
    </row>
    <row r="190" spans="1:27" s="19" customFormat="1">
      <c r="A190" s="64"/>
      <c r="B190" s="65"/>
      <c r="C190" s="70" t="s">
        <v>84</v>
      </c>
      <c r="D190" s="65"/>
      <c r="E190" s="182">
        <v>2045</v>
      </c>
      <c r="F190" s="65"/>
      <c r="G190" s="183" t="s">
        <v>192</v>
      </c>
      <c r="H190" s="183" t="s">
        <v>181</v>
      </c>
      <c r="I190" s="184">
        <v>0</v>
      </c>
      <c r="J190" s="65"/>
      <c r="K190" s="71">
        <v>1220275.5900000001</v>
      </c>
      <c r="L190" s="185"/>
      <c r="M190" s="73">
        <v>446353</v>
      </c>
      <c r="N190" s="73"/>
      <c r="O190" s="198">
        <f t="shared" si="40"/>
        <v>773923</v>
      </c>
      <c r="P190" s="73"/>
      <c r="Q190" s="57">
        <f t="shared" si="41"/>
        <v>24965.258064516129</v>
      </c>
      <c r="S190" s="74">
        <f t="shared" si="42"/>
        <v>2.045870479513249</v>
      </c>
      <c r="U190" s="172">
        <f t="shared" si="43"/>
        <v>31</v>
      </c>
      <c r="V190" s="181"/>
      <c r="W190" s="345">
        <f>'Adjust Depr Table 1'!U190</f>
        <v>26</v>
      </c>
      <c r="X190" s="208"/>
      <c r="Y190" s="209">
        <v>5</v>
      </c>
      <c r="Z190" s="208"/>
      <c r="AA190" s="203">
        <f t="shared" si="44"/>
        <v>31</v>
      </c>
    </row>
    <row r="191" spans="1:27" s="19" customFormat="1">
      <c r="A191" s="64"/>
      <c r="B191" s="65"/>
      <c r="C191" s="70" t="s">
        <v>85</v>
      </c>
      <c r="D191" s="65"/>
      <c r="E191" s="182">
        <v>2050</v>
      </c>
      <c r="F191" s="65"/>
      <c r="G191" s="183" t="s">
        <v>192</v>
      </c>
      <c r="H191" s="183" t="s">
        <v>181</v>
      </c>
      <c r="I191" s="184">
        <v>0</v>
      </c>
      <c r="J191" s="65"/>
      <c r="K191" s="71">
        <v>12040203.140000001</v>
      </c>
      <c r="L191" s="185"/>
      <c r="M191" s="73">
        <v>2290836</v>
      </c>
      <c r="N191" s="73"/>
      <c r="O191" s="198">
        <f t="shared" si="40"/>
        <v>9749367</v>
      </c>
      <c r="P191" s="73"/>
      <c r="Q191" s="57">
        <f t="shared" si="41"/>
        <v>270815.75</v>
      </c>
      <c r="S191" s="74">
        <f t="shared" si="42"/>
        <v>2.2492622994066855</v>
      </c>
      <c r="U191" s="172">
        <f t="shared" si="43"/>
        <v>36</v>
      </c>
      <c r="V191" s="181"/>
      <c r="W191" s="345">
        <f>'Adjust Depr Table 1'!U191</f>
        <v>31</v>
      </c>
      <c r="X191" s="208"/>
      <c r="Y191" s="209">
        <v>5</v>
      </c>
      <c r="Z191" s="208"/>
      <c r="AA191" s="203">
        <f t="shared" si="44"/>
        <v>36</v>
      </c>
    </row>
    <row r="192" spans="1:27" s="19" customFormat="1">
      <c r="A192" s="64"/>
      <c r="B192" s="65"/>
      <c r="C192" s="70" t="s">
        <v>86</v>
      </c>
      <c r="D192" s="65"/>
      <c r="E192" s="182">
        <v>2050</v>
      </c>
      <c r="F192" s="65"/>
      <c r="G192" s="183" t="s">
        <v>192</v>
      </c>
      <c r="H192" s="183" t="s">
        <v>181</v>
      </c>
      <c r="I192" s="184">
        <v>0</v>
      </c>
      <c r="J192" s="65"/>
      <c r="K192" s="71">
        <v>1879693.27</v>
      </c>
      <c r="L192" s="185"/>
      <c r="M192" s="73">
        <v>478322</v>
      </c>
      <c r="N192" s="73"/>
      <c r="O192" s="198">
        <f t="shared" si="40"/>
        <v>1401371</v>
      </c>
      <c r="P192" s="73"/>
      <c r="Q192" s="57">
        <f t="shared" si="41"/>
        <v>38926.972222222219</v>
      </c>
      <c r="S192" s="74">
        <f t="shared" si="42"/>
        <v>2.0709215084981509</v>
      </c>
      <c r="U192" s="172">
        <f t="shared" si="43"/>
        <v>36</v>
      </c>
      <c r="V192" s="181"/>
      <c r="W192" s="345">
        <f>'Adjust Depr Table 1'!U192</f>
        <v>31</v>
      </c>
      <c r="X192" s="208"/>
      <c r="Y192" s="209">
        <v>5</v>
      </c>
      <c r="Z192" s="208"/>
      <c r="AA192" s="203">
        <f t="shared" si="44"/>
        <v>36</v>
      </c>
    </row>
    <row r="193" spans="1:27" s="19" customFormat="1">
      <c r="A193" s="64"/>
      <c r="B193" s="65"/>
      <c r="C193" s="70" t="s">
        <v>87</v>
      </c>
      <c r="D193" s="65"/>
      <c r="E193" s="182">
        <v>2038</v>
      </c>
      <c r="F193" s="65"/>
      <c r="G193" s="183" t="s">
        <v>192</v>
      </c>
      <c r="H193" s="183" t="s">
        <v>181</v>
      </c>
      <c r="I193" s="184">
        <v>0</v>
      </c>
      <c r="J193" s="65"/>
      <c r="K193" s="71">
        <v>344891.29</v>
      </c>
      <c r="L193" s="185"/>
      <c r="M193" s="73">
        <v>150379</v>
      </c>
      <c r="N193" s="73"/>
      <c r="O193" s="198">
        <f t="shared" si="40"/>
        <v>194512</v>
      </c>
      <c r="P193" s="73"/>
      <c r="Q193" s="57">
        <f t="shared" si="41"/>
        <v>10237.473684210527</v>
      </c>
      <c r="S193" s="74">
        <f t="shared" si="42"/>
        <v>2.9683189982010063</v>
      </c>
      <c r="U193" s="172">
        <f t="shared" si="43"/>
        <v>19</v>
      </c>
      <c r="V193" s="181"/>
      <c r="W193" s="345">
        <f>'Adjust Depr Table 1'!U193</f>
        <v>19</v>
      </c>
      <c r="X193" s="208"/>
      <c r="Y193" s="209"/>
      <c r="Z193" s="208"/>
      <c r="AA193" s="203">
        <f t="shared" si="44"/>
        <v>19</v>
      </c>
    </row>
    <row r="194" spans="1:27" s="19" customFormat="1">
      <c r="A194" s="64"/>
      <c r="B194" s="65"/>
      <c r="C194" s="70" t="s">
        <v>88</v>
      </c>
      <c r="D194" s="65"/>
      <c r="E194" s="182">
        <v>2038</v>
      </c>
      <c r="F194" s="65"/>
      <c r="G194" s="183" t="s">
        <v>192</v>
      </c>
      <c r="H194" s="183" t="s">
        <v>181</v>
      </c>
      <c r="I194" s="184">
        <v>0</v>
      </c>
      <c r="J194" s="65"/>
      <c r="K194" s="71">
        <v>386164.65</v>
      </c>
      <c r="L194" s="185"/>
      <c r="M194" s="73">
        <v>168375</v>
      </c>
      <c r="N194" s="73"/>
      <c r="O194" s="198">
        <f t="shared" si="40"/>
        <v>217790</v>
      </c>
      <c r="P194" s="73"/>
      <c r="Q194" s="57">
        <f t="shared" si="41"/>
        <v>11462.631578947368</v>
      </c>
      <c r="S194" s="74">
        <f t="shared" si="42"/>
        <v>2.9683275201257722</v>
      </c>
      <c r="U194" s="172">
        <f t="shared" si="43"/>
        <v>19</v>
      </c>
      <c r="V194" s="181"/>
      <c r="W194" s="345">
        <f>'Adjust Depr Table 1'!U194</f>
        <v>19</v>
      </c>
      <c r="X194" s="208"/>
      <c r="Y194" s="209"/>
      <c r="Z194" s="208"/>
      <c r="AA194" s="203">
        <f t="shared" si="44"/>
        <v>19</v>
      </c>
    </row>
    <row r="195" spans="1:27" s="19" customFormat="1">
      <c r="A195" s="64"/>
      <c r="B195" s="65"/>
      <c r="C195" s="70" t="s">
        <v>89</v>
      </c>
      <c r="D195" s="65"/>
      <c r="E195" s="182">
        <v>2038</v>
      </c>
      <c r="F195" s="65"/>
      <c r="G195" s="183" t="s">
        <v>192</v>
      </c>
      <c r="H195" s="183" t="s">
        <v>181</v>
      </c>
      <c r="I195" s="184">
        <v>0</v>
      </c>
      <c r="J195" s="65"/>
      <c r="K195" s="71">
        <v>357452.26</v>
      </c>
      <c r="L195" s="185"/>
      <c r="M195" s="73">
        <v>155856</v>
      </c>
      <c r="N195" s="73"/>
      <c r="O195" s="198">
        <f t="shared" si="40"/>
        <v>201596</v>
      </c>
      <c r="P195" s="73"/>
      <c r="Q195" s="57">
        <f t="shared" si="41"/>
        <v>10610.315789473685</v>
      </c>
      <c r="S195" s="74">
        <f t="shared" si="42"/>
        <v>2.9683168850222641</v>
      </c>
      <c r="U195" s="172">
        <f t="shared" si="43"/>
        <v>19</v>
      </c>
      <c r="V195" s="181"/>
      <c r="W195" s="345">
        <f>'Adjust Depr Table 1'!U195</f>
        <v>19</v>
      </c>
      <c r="X195" s="208"/>
      <c r="Y195" s="209"/>
      <c r="Z195" s="208"/>
      <c r="AA195" s="203">
        <f t="shared" si="44"/>
        <v>19</v>
      </c>
    </row>
    <row r="196" spans="1:27" s="19" customFormat="1">
      <c r="A196" s="64"/>
      <c r="B196" s="65"/>
      <c r="C196" s="70" t="s">
        <v>90</v>
      </c>
      <c r="D196" s="65"/>
      <c r="E196" s="182">
        <v>2041</v>
      </c>
      <c r="F196" s="65"/>
      <c r="G196" s="183" t="s">
        <v>192</v>
      </c>
      <c r="H196" s="183" t="s">
        <v>181</v>
      </c>
      <c r="I196" s="184">
        <v>0</v>
      </c>
      <c r="J196" s="65"/>
      <c r="K196" s="71">
        <v>452676.95</v>
      </c>
      <c r="L196" s="185"/>
      <c r="M196" s="73">
        <v>161993</v>
      </c>
      <c r="N196" s="73"/>
      <c r="O196" s="198">
        <f t="shared" si="40"/>
        <v>290684</v>
      </c>
      <c r="P196" s="73"/>
      <c r="Q196" s="57">
        <f t="shared" si="41"/>
        <v>13212.90909090909</v>
      </c>
      <c r="S196" s="74">
        <f t="shared" si="42"/>
        <v>2.9188384986045985</v>
      </c>
      <c r="U196" s="172">
        <f t="shared" si="43"/>
        <v>22</v>
      </c>
      <c r="V196" s="181"/>
      <c r="W196" s="345">
        <f>'Adjust Depr Table 1'!U196</f>
        <v>22</v>
      </c>
      <c r="X196" s="208"/>
      <c r="Y196" s="209"/>
      <c r="Z196" s="208"/>
      <c r="AA196" s="203">
        <f t="shared" si="44"/>
        <v>22</v>
      </c>
    </row>
    <row r="197" spans="1:27" s="19" customFormat="1">
      <c r="A197" s="64"/>
      <c r="B197" s="65"/>
      <c r="C197" s="70" t="s">
        <v>91</v>
      </c>
      <c r="D197" s="65"/>
      <c r="E197" s="182">
        <v>2042</v>
      </c>
      <c r="F197" s="65"/>
      <c r="G197" s="183" t="s">
        <v>192</v>
      </c>
      <c r="H197" s="183" t="s">
        <v>181</v>
      </c>
      <c r="I197" s="184">
        <v>0</v>
      </c>
      <c r="J197" s="65"/>
      <c r="K197" s="71">
        <v>406784.25</v>
      </c>
      <c r="L197" s="185"/>
      <c r="M197" s="73">
        <v>135008</v>
      </c>
      <c r="N197" s="73"/>
      <c r="O197" s="198">
        <f t="shared" si="40"/>
        <v>271776</v>
      </c>
      <c r="P197" s="73"/>
      <c r="Q197" s="57">
        <f t="shared" si="41"/>
        <v>11816.347826086956</v>
      </c>
      <c r="S197" s="74">
        <f t="shared" si="42"/>
        <v>2.9048194039191428</v>
      </c>
      <c r="U197" s="172">
        <f t="shared" si="43"/>
        <v>23</v>
      </c>
      <c r="V197" s="181"/>
      <c r="W197" s="345">
        <f>'Adjust Depr Table 1'!U197</f>
        <v>23</v>
      </c>
      <c r="X197" s="208"/>
      <c r="Y197" s="209"/>
      <c r="Z197" s="208"/>
      <c r="AA197" s="203">
        <f t="shared" si="44"/>
        <v>23</v>
      </c>
    </row>
    <row r="198" spans="1:27" s="19" customFormat="1">
      <c r="A198" s="64"/>
      <c r="B198" s="65"/>
      <c r="C198" s="70" t="s">
        <v>92</v>
      </c>
      <c r="D198" s="65"/>
      <c r="E198" s="182">
        <v>2042</v>
      </c>
      <c r="F198" s="65"/>
      <c r="G198" s="183" t="s">
        <v>192</v>
      </c>
      <c r="H198" s="183" t="s">
        <v>181</v>
      </c>
      <c r="I198" s="184">
        <v>0</v>
      </c>
      <c r="J198" s="65"/>
      <c r="K198" s="71">
        <v>3028262.11</v>
      </c>
      <c r="L198" s="185"/>
      <c r="M198" s="73">
        <v>1323010</v>
      </c>
      <c r="N198" s="73"/>
      <c r="O198" s="198">
        <f t="shared" si="40"/>
        <v>1705252</v>
      </c>
      <c r="P198" s="73"/>
      <c r="Q198" s="57">
        <f t="shared" si="41"/>
        <v>74141.391304347824</v>
      </c>
      <c r="S198" s="74">
        <f t="shared" si="42"/>
        <v>2.4483148621619093</v>
      </c>
      <c r="U198" s="172">
        <f t="shared" si="43"/>
        <v>23</v>
      </c>
      <c r="V198" s="181"/>
      <c r="W198" s="345">
        <f>'Adjust Depr Table 1'!U198</f>
        <v>23</v>
      </c>
      <c r="X198" s="208"/>
      <c r="Y198" s="209"/>
      <c r="Z198" s="208"/>
      <c r="AA198" s="203">
        <f t="shared" si="44"/>
        <v>23</v>
      </c>
    </row>
    <row r="199" spans="1:27" s="19" customFormat="1">
      <c r="A199" s="64"/>
      <c r="B199" s="65"/>
      <c r="C199" s="70" t="s">
        <v>93</v>
      </c>
      <c r="D199" s="65"/>
      <c r="E199" s="182">
        <v>2042</v>
      </c>
      <c r="F199" s="65"/>
      <c r="G199" s="183" t="s">
        <v>192</v>
      </c>
      <c r="H199" s="183" t="s">
        <v>181</v>
      </c>
      <c r="I199" s="184">
        <v>0</v>
      </c>
      <c r="J199" s="65"/>
      <c r="K199" s="71">
        <v>386034.41</v>
      </c>
      <c r="L199" s="185"/>
      <c r="M199" s="73">
        <v>181290</v>
      </c>
      <c r="N199" s="73"/>
      <c r="O199" s="198">
        <f t="shared" si="40"/>
        <v>204744</v>
      </c>
      <c r="P199" s="73"/>
      <c r="Q199" s="57">
        <f t="shared" si="41"/>
        <v>8901.9130434782601</v>
      </c>
      <c r="S199" s="74">
        <f t="shared" si="42"/>
        <v>2.3059895213689008</v>
      </c>
      <c r="U199" s="172">
        <f t="shared" si="43"/>
        <v>23</v>
      </c>
      <c r="V199" s="181"/>
      <c r="W199" s="345">
        <f>'Adjust Depr Table 1'!U199</f>
        <v>23</v>
      </c>
      <c r="X199" s="208"/>
      <c r="Y199" s="209"/>
      <c r="Z199" s="208"/>
      <c r="AA199" s="203">
        <f t="shared" si="44"/>
        <v>23</v>
      </c>
    </row>
    <row r="200" spans="1:27" s="19" customFormat="1">
      <c r="A200" s="64"/>
      <c r="B200" s="65"/>
      <c r="C200" s="70" t="s">
        <v>94</v>
      </c>
      <c r="D200" s="65"/>
      <c r="E200" s="182">
        <v>2042</v>
      </c>
      <c r="F200" s="65"/>
      <c r="G200" s="183" t="s">
        <v>192</v>
      </c>
      <c r="H200" s="183" t="s">
        <v>181</v>
      </c>
      <c r="I200" s="184">
        <v>0</v>
      </c>
      <c r="J200" s="65"/>
      <c r="K200" s="71">
        <v>386034.41</v>
      </c>
      <c r="L200" s="185"/>
      <c r="M200" s="73">
        <v>179389</v>
      </c>
      <c r="N200" s="73"/>
      <c r="O200" s="198">
        <f t="shared" si="40"/>
        <v>206645</v>
      </c>
      <c r="P200" s="73"/>
      <c r="Q200" s="57">
        <f t="shared" si="41"/>
        <v>8984.565217391304</v>
      </c>
      <c r="S200" s="74">
        <f t="shared" si="42"/>
        <v>2.3274000930101812</v>
      </c>
      <c r="U200" s="172">
        <f t="shared" si="43"/>
        <v>23</v>
      </c>
      <c r="V200" s="181"/>
      <c r="W200" s="345">
        <f>'Adjust Depr Table 1'!U200</f>
        <v>23</v>
      </c>
      <c r="X200" s="208"/>
      <c r="Y200" s="209"/>
      <c r="Z200" s="208"/>
      <c r="AA200" s="203">
        <f t="shared" si="44"/>
        <v>23</v>
      </c>
    </row>
    <row r="201" spans="1:27" s="19" customFormat="1">
      <c r="A201" s="64"/>
      <c r="B201" s="65"/>
      <c r="C201" s="70" t="s">
        <v>95</v>
      </c>
      <c r="D201" s="65"/>
      <c r="E201" s="182">
        <v>2042</v>
      </c>
      <c r="F201" s="65"/>
      <c r="G201" s="183" t="s">
        <v>192</v>
      </c>
      <c r="H201" s="183" t="s">
        <v>181</v>
      </c>
      <c r="I201" s="184">
        <v>0</v>
      </c>
      <c r="J201" s="65"/>
      <c r="K201" s="71">
        <v>386034.41</v>
      </c>
      <c r="L201" s="185"/>
      <c r="M201" s="73">
        <v>181275</v>
      </c>
      <c r="N201" s="73"/>
      <c r="O201" s="198">
        <f t="shared" si="40"/>
        <v>204759</v>
      </c>
      <c r="P201" s="73"/>
      <c r="Q201" s="57">
        <f t="shared" si="41"/>
        <v>8902.565217391304</v>
      </c>
      <c r="S201" s="74">
        <f t="shared" si="42"/>
        <v>2.3061584632808523</v>
      </c>
      <c r="U201" s="172">
        <f t="shared" si="43"/>
        <v>23</v>
      </c>
      <c r="V201" s="181"/>
      <c r="W201" s="345">
        <f>'Adjust Depr Table 1'!U201</f>
        <v>23</v>
      </c>
      <c r="X201" s="208"/>
      <c r="Y201" s="209"/>
      <c r="Z201" s="208"/>
      <c r="AA201" s="203">
        <f t="shared" si="44"/>
        <v>23</v>
      </c>
    </row>
    <row r="202" spans="1:27" s="19" customFormat="1">
      <c r="A202" s="64"/>
      <c r="B202" s="65"/>
      <c r="C202" s="70" t="s">
        <v>96</v>
      </c>
      <c r="D202" s="65"/>
      <c r="E202" s="182">
        <v>2042</v>
      </c>
      <c r="F202" s="65"/>
      <c r="G202" s="183" t="s">
        <v>192</v>
      </c>
      <c r="H202" s="183" t="s">
        <v>181</v>
      </c>
      <c r="I202" s="184">
        <v>0</v>
      </c>
      <c r="J202" s="65"/>
      <c r="K202" s="75">
        <v>779800</v>
      </c>
      <c r="L202" s="185"/>
      <c r="M202" s="77">
        <v>67669</v>
      </c>
      <c r="N202" s="73"/>
      <c r="O202" s="205">
        <f t="shared" si="40"/>
        <v>712131</v>
      </c>
      <c r="P202" s="73"/>
      <c r="Q202" s="62">
        <f t="shared" si="41"/>
        <v>30962.217391304348</v>
      </c>
      <c r="S202" s="74">
        <f t="shared" si="42"/>
        <v>3.9705331355866056</v>
      </c>
      <c r="U202" s="172">
        <f t="shared" si="43"/>
        <v>23</v>
      </c>
      <c r="V202" s="181"/>
      <c r="W202" s="345">
        <f>'Adjust Depr Table 1'!U202</f>
        <v>23</v>
      </c>
      <c r="X202" s="208"/>
      <c r="Y202" s="209"/>
      <c r="Z202" s="208"/>
      <c r="AA202" s="203">
        <f t="shared" si="44"/>
        <v>23</v>
      </c>
    </row>
    <row r="203" spans="1:27" s="19" customFormat="1">
      <c r="A203" s="64"/>
      <c r="B203" s="65"/>
      <c r="C203" s="78"/>
      <c r="D203" s="65"/>
      <c r="E203" s="65"/>
      <c r="F203" s="65"/>
      <c r="G203" s="183"/>
      <c r="H203" s="183"/>
      <c r="I203" s="184"/>
      <c r="J203" s="65"/>
      <c r="K203" s="71"/>
      <c r="L203" s="185"/>
      <c r="M203" s="73"/>
      <c r="N203" s="73"/>
      <c r="O203" s="73"/>
      <c r="P203" s="73"/>
      <c r="Q203" s="73"/>
      <c r="S203" s="74"/>
      <c r="U203" s="186"/>
      <c r="V203" s="181"/>
      <c r="W203" s="345"/>
      <c r="X203" s="208"/>
      <c r="Y203" s="208"/>
      <c r="Z203" s="208"/>
      <c r="AA203" s="203"/>
    </row>
    <row r="204" spans="1:27" s="19" customFormat="1">
      <c r="A204" s="64"/>
      <c r="B204" s="65"/>
      <c r="C204" s="78" t="s">
        <v>72</v>
      </c>
      <c r="D204" s="65"/>
      <c r="E204" s="65"/>
      <c r="F204" s="65"/>
      <c r="G204" s="183"/>
      <c r="H204" s="183"/>
      <c r="I204" s="184"/>
      <c r="J204" s="65"/>
      <c r="K204" s="71">
        <f>SUBTOTAL(9,K183:K203)</f>
        <v>38288055.68999999</v>
      </c>
      <c r="L204" s="185"/>
      <c r="M204" s="73">
        <f>SUBTOTAL(9,M183:M203)</f>
        <v>13327592</v>
      </c>
      <c r="N204" s="73"/>
      <c r="O204" s="73">
        <f>SUBTOTAL(9,O183:O203)</f>
        <v>24960463</v>
      </c>
      <c r="P204" s="73"/>
      <c r="Q204" s="73">
        <f>SUBTOTAL(9,Q183:Q203)</f>
        <v>798007.81916385132</v>
      </c>
      <c r="S204" s="74">
        <f>+ROUND(Q204/K204*100,2)</f>
        <v>2.08</v>
      </c>
      <c r="U204" s="186"/>
      <c r="V204" s="181"/>
      <c r="W204" s="345"/>
      <c r="X204" s="208"/>
      <c r="Y204" s="208"/>
      <c r="Z204" s="208"/>
      <c r="AA204" s="203"/>
    </row>
    <row r="205" spans="1:27" s="19" customFormat="1">
      <c r="A205" s="64"/>
      <c r="B205" s="65"/>
      <c r="C205" s="78"/>
      <c r="D205" s="65"/>
      <c r="E205" s="65"/>
      <c r="F205" s="65"/>
      <c r="G205" s="183"/>
      <c r="H205" s="183"/>
      <c r="I205" s="184"/>
      <c r="J205" s="65"/>
      <c r="K205" s="71"/>
      <c r="L205" s="185"/>
      <c r="M205" s="73"/>
      <c r="N205" s="73"/>
      <c r="O205" s="73"/>
      <c r="P205" s="73"/>
      <c r="Q205" s="73"/>
      <c r="S205" s="74"/>
      <c r="U205" s="186"/>
      <c r="V205" s="181"/>
      <c r="W205" s="345"/>
      <c r="X205" s="208"/>
      <c r="Y205" s="208"/>
      <c r="Z205" s="208"/>
      <c r="AA205" s="203"/>
    </row>
    <row r="206" spans="1:27" s="19" customFormat="1">
      <c r="A206" s="64">
        <v>346</v>
      </c>
      <c r="B206" s="65"/>
      <c r="C206" s="65" t="s">
        <v>73</v>
      </c>
      <c r="D206" s="65"/>
      <c r="E206" s="65"/>
      <c r="F206" s="65"/>
      <c r="G206" s="65"/>
      <c r="H206" s="65"/>
      <c r="I206" s="179"/>
      <c r="J206" s="65"/>
      <c r="K206" s="65"/>
      <c r="L206" s="65"/>
      <c r="M206" s="67"/>
      <c r="N206" s="67"/>
      <c r="O206" s="67"/>
      <c r="P206" s="67"/>
      <c r="Q206" s="67"/>
      <c r="S206" s="68"/>
      <c r="U206" s="180"/>
      <c r="V206" s="181"/>
      <c r="W206" s="347"/>
      <c r="X206" s="208"/>
      <c r="Y206" s="208"/>
      <c r="Z206" s="208"/>
      <c r="AA206" s="203"/>
    </row>
    <row r="207" spans="1:27" s="19" customFormat="1">
      <c r="A207" s="64"/>
      <c r="B207" s="65"/>
      <c r="C207" s="70" t="s">
        <v>77</v>
      </c>
      <c r="D207" s="65"/>
      <c r="E207" s="182">
        <v>2050</v>
      </c>
      <c r="F207" s="65"/>
      <c r="G207" s="183" t="s">
        <v>193</v>
      </c>
      <c r="H207" s="183" t="s">
        <v>181</v>
      </c>
      <c r="I207" s="184">
        <v>0</v>
      </c>
      <c r="J207" s="65"/>
      <c r="K207" s="71">
        <v>15528635.619999999</v>
      </c>
      <c r="L207" s="185"/>
      <c r="M207" s="73">
        <v>4517088</v>
      </c>
      <c r="N207" s="73"/>
      <c r="O207" s="198">
        <f t="shared" ref="O207:O212" si="45">ROUND((K207+(K207*-(I207/100)))-M207,0)</f>
        <v>11011548</v>
      </c>
      <c r="P207" s="73"/>
      <c r="Q207" s="57">
        <f t="shared" ref="Q207:Q212" si="46">O207/U207</f>
        <v>305876.33333333331</v>
      </c>
      <c r="S207" s="74">
        <f t="shared" ref="S207:S212" si="47">Q207/K207*100</f>
        <v>1.9697566535683406</v>
      </c>
      <c r="U207" s="172">
        <f t="shared" ref="U207:U212" si="48">AA207</f>
        <v>36</v>
      </c>
      <c r="V207" s="181"/>
      <c r="W207" s="345">
        <f>'Adjust Depr Table 1'!U207</f>
        <v>31</v>
      </c>
      <c r="X207" s="208"/>
      <c r="Y207" s="209">
        <v>5</v>
      </c>
      <c r="Z207" s="208"/>
      <c r="AA207" s="203">
        <f t="shared" ref="AA207:AA212" si="49">W207+Y207</f>
        <v>36</v>
      </c>
    </row>
    <row r="208" spans="1:27" s="19" customFormat="1">
      <c r="A208" s="64"/>
      <c r="B208" s="65"/>
      <c r="C208" s="70" t="s">
        <v>87</v>
      </c>
      <c r="D208" s="65"/>
      <c r="E208" s="182">
        <v>2038</v>
      </c>
      <c r="F208" s="65"/>
      <c r="G208" s="183" t="s">
        <v>193</v>
      </c>
      <c r="H208" s="183" t="s">
        <v>181</v>
      </c>
      <c r="I208" s="184">
        <v>0</v>
      </c>
      <c r="J208" s="65"/>
      <c r="K208" s="71">
        <v>91253.04</v>
      </c>
      <c r="L208" s="185"/>
      <c r="M208" s="73">
        <v>39954</v>
      </c>
      <c r="N208" s="73"/>
      <c r="O208" s="198">
        <f t="shared" si="45"/>
        <v>51299</v>
      </c>
      <c r="P208" s="73"/>
      <c r="Q208" s="57">
        <f t="shared" si="46"/>
        <v>2699.9473684210525</v>
      </c>
      <c r="S208" s="74">
        <f t="shared" si="47"/>
        <v>2.9587478602587409</v>
      </c>
      <c r="U208" s="172">
        <f t="shared" si="48"/>
        <v>19</v>
      </c>
      <c r="V208" s="181"/>
      <c r="W208" s="345">
        <f>'Adjust Depr Table 1'!U208</f>
        <v>19</v>
      </c>
      <c r="X208" s="208"/>
      <c r="Y208" s="209"/>
      <c r="Z208" s="208"/>
      <c r="AA208" s="203">
        <f t="shared" si="49"/>
        <v>19</v>
      </c>
    </row>
    <row r="209" spans="1:27" s="19" customFormat="1">
      <c r="A209" s="64"/>
      <c r="B209" s="65"/>
      <c r="C209" s="70" t="s">
        <v>88</v>
      </c>
      <c r="D209" s="65"/>
      <c r="E209" s="182">
        <v>2038</v>
      </c>
      <c r="F209" s="65"/>
      <c r="G209" s="183" t="s">
        <v>193</v>
      </c>
      <c r="H209" s="183" t="s">
        <v>181</v>
      </c>
      <c r="I209" s="184">
        <v>0</v>
      </c>
      <c r="J209" s="65"/>
      <c r="K209" s="71">
        <v>103431.55</v>
      </c>
      <c r="L209" s="185"/>
      <c r="M209" s="73">
        <v>23594</v>
      </c>
      <c r="N209" s="73"/>
      <c r="O209" s="198">
        <f t="shared" si="45"/>
        <v>79838</v>
      </c>
      <c r="P209" s="73"/>
      <c r="Q209" s="57">
        <f t="shared" si="46"/>
        <v>4202</v>
      </c>
      <c r="S209" s="74">
        <f t="shared" si="47"/>
        <v>4.0625901864566467</v>
      </c>
      <c r="U209" s="172">
        <f t="shared" si="48"/>
        <v>19</v>
      </c>
      <c r="V209" s="181"/>
      <c r="W209" s="345">
        <f>'Adjust Depr Table 1'!U209</f>
        <v>19</v>
      </c>
      <c r="X209" s="208"/>
      <c r="Y209" s="209"/>
      <c r="Z209" s="208"/>
      <c r="AA209" s="203">
        <f t="shared" si="49"/>
        <v>19</v>
      </c>
    </row>
    <row r="210" spans="1:27" s="19" customFormat="1">
      <c r="A210" s="64"/>
      <c r="B210" s="65"/>
      <c r="C210" s="70" t="s">
        <v>89</v>
      </c>
      <c r="D210" s="65"/>
      <c r="E210" s="182">
        <v>2038</v>
      </c>
      <c r="F210" s="65"/>
      <c r="G210" s="183" t="s">
        <v>193</v>
      </c>
      <c r="H210" s="183" t="s">
        <v>181</v>
      </c>
      <c r="I210" s="184">
        <v>0</v>
      </c>
      <c r="J210" s="65"/>
      <c r="K210" s="71">
        <v>60998.54</v>
      </c>
      <c r="L210" s="185"/>
      <c r="M210" s="73">
        <v>27965</v>
      </c>
      <c r="N210" s="73"/>
      <c r="O210" s="198">
        <f t="shared" si="45"/>
        <v>33034</v>
      </c>
      <c r="P210" s="73"/>
      <c r="Q210" s="57">
        <f t="shared" si="46"/>
        <v>1738.6315789473683</v>
      </c>
      <c r="S210" s="74">
        <f t="shared" si="47"/>
        <v>2.8502839231026975</v>
      </c>
      <c r="U210" s="172">
        <f t="shared" si="48"/>
        <v>19</v>
      </c>
      <c r="V210" s="181"/>
      <c r="W210" s="345">
        <f>'Adjust Depr Table 1'!U210</f>
        <v>19</v>
      </c>
      <c r="X210" s="208"/>
      <c r="Y210" s="209"/>
      <c r="Z210" s="208"/>
      <c r="AA210" s="203">
        <f t="shared" si="49"/>
        <v>19</v>
      </c>
    </row>
    <row r="211" spans="1:27" s="19" customFormat="1">
      <c r="A211" s="64"/>
      <c r="B211" s="65"/>
      <c r="C211" s="70" t="s">
        <v>90</v>
      </c>
      <c r="D211" s="65"/>
      <c r="E211" s="182">
        <v>2041</v>
      </c>
      <c r="F211" s="65"/>
      <c r="G211" s="183" t="s">
        <v>193</v>
      </c>
      <c r="H211" s="183" t="s">
        <v>181</v>
      </c>
      <c r="I211" s="184">
        <v>0</v>
      </c>
      <c r="J211" s="65"/>
      <c r="K211" s="71">
        <v>63896.29</v>
      </c>
      <c r="L211" s="185"/>
      <c r="M211" s="73">
        <v>24158</v>
      </c>
      <c r="N211" s="73"/>
      <c r="O211" s="198">
        <f t="shared" si="45"/>
        <v>39738</v>
      </c>
      <c r="P211" s="73"/>
      <c r="Q211" s="57">
        <f t="shared" si="46"/>
        <v>1806.2727272727273</v>
      </c>
      <c r="S211" s="74">
        <f t="shared" si="47"/>
        <v>2.8268820103212988</v>
      </c>
      <c r="U211" s="172">
        <f t="shared" si="48"/>
        <v>22</v>
      </c>
      <c r="V211" s="181"/>
      <c r="W211" s="345">
        <f>'Adjust Depr Table 1'!U211</f>
        <v>22</v>
      </c>
      <c r="X211" s="208"/>
      <c r="Y211" s="209"/>
      <c r="Z211" s="208"/>
      <c r="AA211" s="203">
        <f t="shared" si="49"/>
        <v>22</v>
      </c>
    </row>
    <row r="212" spans="1:27" s="19" customFormat="1">
      <c r="A212" s="64"/>
      <c r="B212" s="65"/>
      <c r="C212" s="70" t="s">
        <v>91</v>
      </c>
      <c r="D212" s="65"/>
      <c r="E212" s="182">
        <v>2042</v>
      </c>
      <c r="F212" s="65"/>
      <c r="G212" s="183" t="s">
        <v>193</v>
      </c>
      <c r="H212" s="183" t="s">
        <v>181</v>
      </c>
      <c r="I212" s="184">
        <v>0</v>
      </c>
      <c r="J212" s="65"/>
      <c r="K212" s="75">
        <v>141993.37</v>
      </c>
      <c r="L212" s="185"/>
      <c r="M212" s="77">
        <v>29284</v>
      </c>
      <c r="N212" s="73"/>
      <c r="O212" s="205">
        <f t="shared" si="45"/>
        <v>112709</v>
      </c>
      <c r="P212" s="73"/>
      <c r="Q212" s="62">
        <f t="shared" si="46"/>
        <v>4900.391304347826</v>
      </c>
      <c r="S212" s="74">
        <f t="shared" si="47"/>
        <v>3.4511409260501571</v>
      </c>
      <c r="U212" s="172">
        <f t="shared" si="48"/>
        <v>23</v>
      </c>
      <c r="V212" s="181"/>
      <c r="W212" s="345">
        <f>'Adjust Depr Table 1'!U212</f>
        <v>23</v>
      </c>
      <c r="X212" s="208"/>
      <c r="Y212" s="209"/>
      <c r="Z212" s="208"/>
      <c r="AA212" s="203">
        <f t="shared" si="49"/>
        <v>23</v>
      </c>
    </row>
    <row r="213" spans="1:27" s="19" customFormat="1">
      <c r="A213" s="64"/>
      <c r="B213" s="65"/>
      <c r="C213" s="78"/>
      <c r="D213" s="65"/>
      <c r="E213" s="65"/>
      <c r="F213" s="65"/>
      <c r="G213" s="183"/>
      <c r="H213" s="183"/>
      <c r="I213" s="184"/>
      <c r="J213" s="65"/>
      <c r="K213" s="71"/>
      <c r="L213" s="185"/>
      <c r="M213" s="73"/>
      <c r="N213" s="73"/>
      <c r="O213" s="73"/>
      <c r="P213" s="73"/>
      <c r="Q213" s="73"/>
      <c r="S213" s="74"/>
      <c r="U213" s="186"/>
      <c r="V213" s="181"/>
      <c r="W213" s="301"/>
      <c r="AA213" s="301"/>
    </row>
    <row r="214" spans="1:27" s="19" customFormat="1">
      <c r="A214" s="64"/>
      <c r="B214" s="65"/>
      <c r="C214" s="78" t="s">
        <v>74</v>
      </c>
      <c r="D214" s="65"/>
      <c r="E214" s="65"/>
      <c r="F214" s="65"/>
      <c r="G214" s="183"/>
      <c r="H214" s="183"/>
      <c r="I214" s="184"/>
      <c r="J214" s="65"/>
      <c r="K214" s="75">
        <f>SUBTOTAL(9,K207:K213)</f>
        <v>15990208.409999996</v>
      </c>
      <c r="L214" s="185"/>
      <c r="M214" s="77">
        <f>SUBTOTAL(9,M207:M213)</f>
        <v>4662043</v>
      </c>
      <c r="N214" s="73"/>
      <c r="O214" s="77">
        <f>SUBTOTAL(9,O207:O213)</f>
        <v>11328166</v>
      </c>
      <c r="P214" s="73"/>
      <c r="Q214" s="77">
        <f>SUBTOTAL(9,Q207:Q213)</f>
        <v>321223.57631232229</v>
      </c>
      <c r="S214" s="74">
        <f>+ROUND(Q214/K214*100,2)</f>
        <v>2.0099999999999998</v>
      </c>
      <c r="U214" s="186"/>
      <c r="V214" s="181"/>
      <c r="W214" s="301"/>
      <c r="AA214" s="301"/>
    </row>
    <row r="215" spans="1:27" ht="15.75">
      <c r="A215" s="23"/>
      <c r="C215" s="79"/>
      <c r="K215" s="71"/>
      <c r="L215" s="185"/>
      <c r="M215" s="73"/>
      <c r="N215" s="73"/>
      <c r="O215" s="73"/>
      <c r="P215" s="73"/>
      <c r="Q215" s="73"/>
      <c r="S215" s="49"/>
      <c r="U215" s="176"/>
      <c r="V215" s="23"/>
      <c r="W215" s="302"/>
      <c r="AA215" s="302"/>
    </row>
    <row r="216" spans="1:27" ht="15.75">
      <c r="A216" s="80"/>
      <c r="C216" s="81" t="s">
        <v>104</v>
      </c>
      <c r="G216" s="187"/>
      <c r="H216" s="187"/>
      <c r="I216" s="188"/>
      <c r="K216" s="118">
        <f>SUBTOTAL(9,K99:K215)</f>
        <v>639379853.02999985</v>
      </c>
      <c r="L216" s="93"/>
      <c r="M216" s="120">
        <f>SUBTOTAL(9,M99:M215)</f>
        <v>251804012.10000002</v>
      </c>
      <c r="N216" s="120"/>
      <c r="O216" s="120">
        <f>SUBTOTAL(9,O99:O215)</f>
        <v>387575843</v>
      </c>
      <c r="P216" s="120"/>
      <c r="Q216" s="120">
        <f>SUBTOTAL(9,Q99:Q215)</f>
        <v>13678512.051195435</v>
      </c>
      <c r="S216" s="84">
        <f>+ROUND(Q216/K216*100,2)</f>
        <v>2.14</v>
      </c>
      <c r="T216" s="93"/>
      <c r="U216" s="189"/>
      <c r="V216" s="23"/>
      <c r="W216" s="302"/>
      <c r="AA216" s="302"/>
    </row>
    <row r="217" spans="1:27" s="19" customFormat="1">
      <c r="A217" s="85"/>
      <c r="C217" s="86"/>
      <c r="G217" s="187"/>
      <c r="H217" s="187"/>
      <c r="I217" s="188"/>
      <c r="K217" s="87"/>
      <c r="M217" s="89"/>
      <c r="N217" s="89"/>
      <c r="O217" s="89"/>
      <c r="P217" s="89"/>
      <c r="Q217" s="89"/>
      <c r="S217" s="74"/>
      <c r="U217" s="186"/>
      <c r="V217" s="181"/>
      <c r="W217" s="301"/>
      <c r="AA217" s="301"/>
    </row>
    <row r="218" spans="1:27" ht="15.75">
      <c r="A218" s="80"/>
      <c r="C218" s="24" t="s">
        <v>105</v>
      </c>
      <c r="G218" s="25"/>
      <c r="I218" s="188"/>
      <c r="K218" s="87"/>
      <c r="M218" s="46"/>
      <c r="N218" s="46"/>
      <c r="O218" s="46"/>
      <c r="P218" s="46"/>
      <c r="Q218" s="46"/>
      <c r="S218" s="49"/>
      <c r="U218" s="176"/>
      <c r="V218" s="23"/>
      <c r="W218" s="302"/>
      <c r="AA218" s="302"/>
    </row>
    <row r="219" spans="1:27" ht="15.75">
      <c r="A219" s="80"/>
      <c r="C219" s="48"/>
      <c r="G219" s="25"/>
      <c r="I219" s="188"/>
      <c r="K219" s="87"/>
      <c r="M219" s="46"/>
      <c r="N219" s="46"/>
      <c r="O219" s="46"/>
      <c r="P219" s="46"/>
      <c r="Q219" s="46"/>
      <c r="S219" s="49"/>
      <c r="U219" s="176"/>
      <c r="V219" s="23"/>
      <c r="W219" s="302"/>
      <c r="AA219" s="302"/>
    </row>
    <row r="220" spans="1:27">
      <c r="A220" s="80">
        <v>353</v>
      </c>
      <c r="C220" s="18" t="s">
        <v>106</v>
      </c>
      <c r="E220" s="182"/>
      <c r="G220" s="183" t="s">
        <v>194</v>
      </c>
      <c r="H220" s="183" t="s">
        <v>178</v>
      </c>
      <c r="I220" s="184">
        <v>-25</v>
      </c>
      <c r="J220" s="65"/>
      <c r="K220" s="71">
        <v>269766938.30000001</v>
      </c>
      <c r="L220" s="185"/>
      <c r="M220" s="73">
        <v>66231238.189999998</v>
      </c>
      <c r="N220" s="73"/>
      <c r="O220" s="198">
        <f t="shared" ref="O220:O225" si="50">ROUND((K220+(K220*-(I220/100)))-M220,0)</f>
        <v>270977435</v>
      </c>
      <c r="P220" s="73"/>
      <c r="Q220" s="57">
        <f t="shared" ref="Q220:Q225" si="51">O220/U220</f>
        <v>5872454</v>
      </c>
      <c r="R220" s="19"/>
      <c r="S220" s="74">
        <f t="shared" ref="S220:S225" si="52">Q220/K220*100</f>
        <v>2.1768620117078297</v>
      </c>
      <c r="T220" s="19"/>
      <c r="U220" s="172">
        <f t="shared" ref="U220:U225" si="53">AA220</f>
        <v>46.143815685912564</v>
      </c>
      <c r="V220" s="23"/>
      <c r="W220" s="301">
        <v>46.143815685912564</v>
      </c>
      <c r="Y220" s="303"/>
      <c r="AA220" s="301">
        <f t="shared" ref="AA220:AA225" si="54">W220+Y220</f>
        <v>46.143815685912564</v>
      </c>
    </row>
    <row r="221" spans="1:27">
      <c r="A221" s="80">
        <v>353.1</v>
      </c>
      <c r="C221" s="19" t="s">
        <v>195</v>
      </c>
      <c r="E221" s="182"/>
      <c r="G221" s="183" t="s">
        <v>196</v>
      </c>
      <c r="H221" s="183" t="s">
        <v>178</v>
      </c>
      <c r="I221" s="184">
        <v>-10</v>
      </c>
      <c r="J221" s="65"/>
      <c r="K221" s="71">
        <v>9476611.1600000001</v>
      </c>
      <c r="L221" s="185"/>
      <c r="M221" s="73">
        <v>6039041</v>
      </c>
      <c r="N221" s="73"/>
      <c r="O221" s="198">
        <f t="shared" si="50"/>
        <v>4385231</v>
      </c>
      <c r="P221" s="73"/>
      <c r="Q221" s="57">
        <f t="shared" si="51"/>
        <v>598296</v>
      </c>
      <c r="R221" s="19"/>
      <c r="S221" s="74">
        <f t="shared" si="52"/>
        <v>6.3133961064621751</v>
      </c>
      <c r="T221" s="19"/>
      <c r="U221" s="172">
        <f t="shared" si="53"/>
        <v>7.3295342104911283</v>
      </c>
      <c r="V221" s="23"/>
      <c r="W221" s="301">
        <v>7.3295342104911283</v>
      </c>
      <c r="Y221" s="303"/>
      <c r="AA221" s="301">
        <f t="shared" si="54"/>
        <v>7.3295342104911283</v>
      </c>
    </row>
    <row r="222" spans="1:27">
      <c r="A222" s="80">
        <v>354</v>
      </c>
      <c r="C222" s="18" t="s">
        <v>108</v>
      </c>
      <c r="E222" s="182"/>
      <c r="G222" s="183" t="s">
        <v>197</v>
      </c>
      <c r="H222" s="183" t="s">
        <v>178</v>
      </c>
      <c r="I222" s="184">
        <v>0</v>
      </c>
      <c r="J222" s="65"/>
      <c r="K222" s="71">
        <v>3853520.91</v>
      </c>
      <c r="L222" s="185"/>
      <c r="M222" s="73">
        <v>1918285</v>
      </c>
      <c r="N222" s="73"/>
      <c r="O222" s="198">
        <f t="shared" si="50"/>
        <v>1935236</v>
      </c>
      <c r="P222" s="73"/>
      <c r="Q222" s="57">
        <f t="shared" si="51"/>
        <v>63799</v>
      </c>
      <c r="R222" s="19"/>
      <c r="S222" s="74">
        <f t="shared" si="52"/>
        <v>1.6556027978060199</v>
      </c>
      <c r="T222" s="19"/>
      <c r="U222" s="172">
        <f t="shared" si="53"/>
        <v>30.333328108591044</v>
      </c>
      <c r="V222" s="23"/>
      <c r="W222" s="301">
        <v>30.333328108591044</v>
      </c>
      <c r="Y222" s="303"/>
      <c r="AA222" s="301">
        <f t="shared" si="54"/>
        <v>30.333328108591044</v>
      </c>
    </row>
    <row r="223" spans="1:27">
      <c r="A223" s="80">
        <v>355</v>
      </c>
      <c r="C223" s="18" t="s">
        <v>109</v>
      </c>
      <c r="E223" s="182"/>
      <c r="G223" s="183" t="s">
        <v>198</v>
      </c>
      <c r="H223" s="183" t="s">
        <v>178</v>
      </c>
      <c r="I223" s="184">
        <v>-60</v>
      </c>
      <c r="J223" s="65"/>
      <c r="K223" s="71">
        <v>166166560.00999999</v>
      </c>
      <c r="L223" s="185"/>
      <c r="M223" s="73">
        <v>59294869</v>
      </c>
      <c r="N223" s="73"/>
      <c r="O223" s="198">
        <f t="shared" si="50"/>
        <v>206571627</v>
      </c>
      <c r="P223" s="73"/>
      <c r="Q223" s="57">
        <f t="shared" si="51"/>
        <v>4693496</v>
      </c>
      <c r="R223" s="19"/>
      <c r="S223" s="74">
        <f t="shared" si="52"/>
        <v>2.8245731269381418</v>
      </c>
      <c r="T223" s="19"/>
      <c r="U223" s="172">
        <f t="shared" si="53"/>
        <v>44.012315553267754</v>
      </c>
      <c r="V223" s="23"/>
      <c r="W223" s="301">
        <v>44.012315553267754</v>
      </c>
      <c r="Y223" s="303"/>
      <c r="AA223" s="301">
        <f t="shared" si="54"/>
        <v>44.012315553267754</v>
      </c>
    </row>
    <row r="224" spans="1:27">
      <c r="A224" s="80">
        <v>356</v>
      </c>
      <c r="C224" s="18" t="s">
        <v>110</v>
      </c>
      <c r="E224" s="182"/>
      <c r="G224" s="183" t="s">
        <v>185</v>
      </c>
      <c r="H224" s="183" t="s">
        <v>178</v>
      </c>
      <c r="I224" s="184">
        <v>-60</v>
      </c>
      <c r="J224" s="65"/>
      <c r="K224" s="71">
        <v>139611652.81999999</v>
      </c>
      <c r="L224" s="185"/>
      <c r="M224" s="73">
        <v>63120142</v>
      </c>
      <c r="N224" s="73"/>
      <c r="O224" s="198">
        <f t="shared" si="50"/>
        <v>160258503</v>
      </c>
      <c r="P224" s="73"/>
      <c r="Q224" s="57">
        <f t="shared" si="51"/>
        <v>4043353.0000000005</v>
      </c>
      <c r="R224" s="19"/>
      <c r="S224" s="74">
        <f t="shared" si="52"/>
        <v>2.8961429209731206</v>
      </c>
      <c r="T224" s="19"/>
      <c r="U224" s="172">
        <f t="shared" si="53"/>
        <v>39.635051156799811</v>
      </c>
      <c r="V224" s="23"/>
      <c r="W224" s="301">
        <v>39.635051156799811</v>
      </c>
      <c r="Y224" s="303"/>
      <c r="AA224" s="301">
        <f t="shared" si="54"/>
        <v>39.635051156799811</v>
      </c>
    </row>
    <row r="225" spans="1:27">
      <c r="A225" s="80">
        <v>359</v>
      </c>
      <c r="C225" s="18" t="s">
        <v>111</v>
      </c>
      <c r="G225" s="183" t="s">
        <v>197</v>
      </c>
      <c r="H225" s="183" t="s">
        <v>178</v>
      </c>
      <c r="I225" s="184">
        <v>0</v>
      </c>
      <c r="J225" s="65"/>
      <c r="K225" s="71">
        <v>23287.65</v>
      </c>
      <c r="L225" s="185"/>
      <c r="M225" s="73">
        <v>15186</v>
      </c>
      <c r="N225" s="73"/>
      <c r="O225" s="198">
        <f t="shared" si="50"/>
        <v>8102</v>
      </c>
      <c r="P225" s="73"/>
      <c r="Q225" s="57">
        <f t="shared" si="51"/>
        <v>446</v>
      </c>
      <c r="R225" s="19"/>
      <c r="S225" s="74">
        <f t="shared" si="52"/>
        <v>1.9151782167801386</v>
      </c>
      <c r="T225" s="19"/>
      <c r="U225" s="172">
        <f t="shared" si="53"/>
        <v>18.165919282511211</v>
      </c>
      <c r="V225" s="23"/>
      <c r="W225" s="301">
        <v>18.165919282511211</v>
      </c>
      <c r="Y225" s="303"/>
      <c r="AA225" s="301">
        <f t="shared" si="54"/>
        <v>18.165919282511211</v>
      </c>
    </row>
    <row r="226" spans="1:27">
      <c r="A226" s="80"/>
      <c r="G226" s="25"/>
      <c r="I226" s="188"/>
      <c r="K226" s="90"/>
      <c r="M226" s="91"/>
      <c r="N226" s="46"/>
      <c r="O226" s="91"/>
      <c r="P226" s="46"/>
      <c r="Q226" s="91"/>
      <c r="S226" s="49"/>
      <c r="U226" s="176"/>
      <c r="V226" s="23"/>
      <c r="W226" s="302"/>
      <c r="AA226" s="302"/>
    </row>
    <row r="227" spans="1:27" ht="15.75">
      <c r="A227" s="80"/>
      <c r="C227" s="81" t="s">
        <v>112</v>
      </c>
      <c r="G227" s="28"/>
      <c r="H227" s="93"/>
      <c r="I227" s="158"/>
      <c r="J227" s="93"/>
      <c r="K227" s="118">
        <f>SUBTOTAL(9,K220:K226)</f>
        <v>588898570.85000002</v>
      </c>
      <c r="L227" s="93"/>
      <c r="M227" s="120">
        <f>SUBTOTAL(9,M220:M226)</f>
        <v>196618761.19</v>
      </c>
      <c r="N227" s="120"/>
      <c r="O227" s="120">
        <f>SUBTOTAL(9,O220:O226)</f>
        <v>644136134</v>
      </c>
      <c r="P227" s="120"/>
      <c r="Q227" s="120">
        <f>SUBTOTAL(9,Q220:Q226)</f>
        <v>15271844</v>
      </c>
      <c r="S227" s="84">
        <f>+ROUND(Q227/K227*100,2)</f>
        <v>2.59</v>
      </c>
      <c r="T227" s="93"/>
      <c r="U227" s="189"/>
      <c r="V227" s="23"/>
      <c r="W227" s="302"/>
      <c r="AA227" s="302"/>
    </row>
    <row r="228" spans="1:27">
      <c r="A228" s="80"/>
      <c r="G228" s="25"/>
      <c r="I228" s="188"/>
      <c r="K228" s="87"/>
      <c r="M228" s="46"/>
      <c r="N228" s="46"/>
      <c r="O228" s="46"/>
      <c r="P228" s="46"/>
      <c r="Q228" s="46"/>
      <c r="S228" s="49"/>
      <c r="U228" s="176"/>
      <c r="V228" s="23"/>
      <c r="W228" s="302"/>
      <c r="AA228" s="302"/>
    </row>
    <row r="229" spans="1:27" ht="15.75">
      <c r="A229" s="80"/>
      <c r="B229" s="23"/>
      <c r="C229" s="24" t="s">
        <v>113</v>
      </c>
      <c r="D229" s="23"/>
      <c r="E229" s="23"/>
      <c r="F229" s="23"/>
      <c r="G229" s="25"/>
      <c r="H229" s="23"/>
      <c r="I229" s="188"/>
      <c r="J229" s="23"/>
      <c r="K229" s="87"/>
      <c r="L229" s="23"/>
      <c r="M229" s="46"/>
      <c r="N229" s="46"/>
      <c r="O229" s="46"/>
      <c r="P229" s="46"/>
      <c r="Q229" s="46"/>
      <c r="R229" s="23"/>
      <c r="S229" s="49"/>
      <c r="T229" s="23"/>
      <c r="U229" s="176"/>
      <c r="V229" s="23"/>
      <c r="W229" s="302"/>
      <c r="AA229" s="302"/>
    </row>
    <row r="230" spans="1:27" ht="15.75">
      <c r="A230" s="80"/>
      <c r="C230" s="48"/>
      <c r="G230" s="25"/>
      <c r="I230" s="188"/>
      <c r="K230" s="87"/>
      <c r="M230" s="46"/>
      <c r="N230" s="46"/>
      <c r="O230" s="46"/>
      <c r="P230" s="46"/>
      <c r="Q230" s="46"/>
      <c r="S230" s="49"/>
      <c r="U230" s="176"/>
      <c r="V230" s="23"/>
      <c r="W230" s="302"/>
      <c r="AA230" s="302"/>
    </row>
    <row r="231" spans="1:27">
      <c r="A231" s="80">
        <v>362</v>
      </c>
      <c r="C231" s="18" t="s">
        <v>106</v>
      </c>
      <c r="G231" s="183" t="s">
        <v>199</v>
      </c>
      <c r="H231" s="183" t="s">
        <v>178</v>
      </c>
      <c r="I231" s="184">
        <v>-10</v>
      </c>
      <c r="J231" s="65"/>
      <c r="K231" s="71">
        <v>228725585.62</v>
      </c>
      <c r="L231" s="185"/>
      <c r="M231" s="73">
        <v>85293813.819999993</v>
      </c>
      <c r="N231" s="73"/>
      <c r="O231" s="198">
        <f>ROUND((K231+(K231*-(I231/100)))-M231,0)</f>
        <v>166304330</v>
      </c>
      <c r="P231" s="73"/>
      <c r="Q231" s="211">
        <f>O231/U231</f>
        <v>5817664</v>
      </c>
      <c r="R231" s="19"/>
      <c r="S231" s="344">
        <f>Q231/K231*100</f>
        <v>2.543512560796477</v>
      </c>
      <c r="T231" s="19"/>
      <c r="U231" s="172">
        <f>AA231</f>
        <v>28.586100881728473</v>
      </c>
      <c r="V231" s="23"/>
      <c r="W231" s="301">
        <v>28.586100881728473</v>
      </c>
      <c r="Y231" s="303"/>
      <c r="AA231" s="301">
        <f>W231+Y231</f>
        <v>28.586100881728473</v>
      </c>
    </row>
    <row r="232" spans="1:27">
      <c r="A232" s="80">
        <v>362.1</v>
      </c>
      <c r="C232" s="18" t="s">
        <v>114</v>
      </c>
      <c r="G232" s="183" t="s">
        <v>200</v>
      </c>
      <c r="H232" s="183" t="s">
        <v>178</v>
      </c>
      <c r="I232" s="184">
        <v>0</v>
      </c>
      <c r="J232" s="65"/>
      <c r="K232" s="71">
        <v>7252060.3200000003</v>
      </c>
      <c r="L232" s="185"/>
      <c r="M232" s="73">
        <v>3734264</v>
      </c>
      <c r="N232" s="73"/>
      <c r="O232" s="198">
        <f>ROUND((K232+(K232*-(I232/100)))-M232,0)</f>
        <v>3517796</v>
      </c>
      <c r="P232" s="73"/>
      <c r="Q232" s="211">
        <f>O232/U232</f>
        <v>138662</v>
      </c>
      <c r="R232" s="19"/>
      <c r="S232" s="344">
        <f>Q232/K232*100</f>
        <v>1.9120359440143211</v>
      </c>
      <c r="T232" s="19"/>
      <c r="U232" s="172">
        <f>AA232</f>
        <v>25.369574937618093</v>
      </c>
      <c r="V232" s="23"/>
      <c r="W232" s="301">
        <v>25.369574937618093</v>
      </c>
      <c r="Y232" s="303"/>
      <c r="AA232" s="301">
        <f>W232+Y232</f>
        <v>25.369574937618093</v>
      </c>
    </row>
    <row r="233" spans="1:27">
      <c r="A233" s="80">
        <v>368</v>
      </c>
      <c r="C233" s="18" t="s">
        <v>115</v>
      </c>
      <c r="G233" s="183" t="s">
        <v>191</v>
      </c>
      <c r="H233" s="183" t="s">
        <v>178</v>
      </c>
      <c r="I233" s="184">
        <v>0</v>
      </c>
      <c r="J233" s="65"/>
      <c r="K233" s="71">
        <v>2413995.98</v>
      </c>
      <c r="L233" s="185"/>
      <c r="M233" s="73">
        <v>1281788</v>
      </c>
      <c r="N233" s="73"/>
      <c r="O233" s="198">
        <f>ROUND((K233+(K233*-(I233/100)))-M233,0)</f>
        <v>1132208</v>
      </c>
      <c r="P233" s="73"/>
      <c r="Q233" s="62">
        <f>O233/U233</f>
        <v>26958</v>
      </c>
      <c r="R233" s="19"/>
      <c r="S233" s="344">
        <f>Q233/K233*100</f>
        <v>1.116737568055105</v>
      </c>
      <c r="T233" s="19"/>
      <c r="U233" s="172">
        <f>AA233</f>
        <v>41.998961347280954</v>
      </c>
      <c r="V233" s="23"/>
      <c r="W233" s="301">
        <v>41.998961347280954</v>
      </c>
      <c r="Y233" s="303"/>
      <c r="AA233" s="301">
        <f>W233+Y233</f>
        <v>41.998961347280954</v>
      </c>
    </row>
    <row r="234" spans="1:27">
      <c r="A234" s="80"/>
      <c r="G234" s="25"/>
      <c r="I234" s="188"/>
      <c r="K234" s="90"/>
      <c r="M234" s="91"/>
      <c r="N234" s="46"/>
      <c r="O234" s="91"/>
      <c r="P234" s="46"/>
      <c r="Q234" s="210"/>
      <c r="S234" s="49"/>
      <c r="U234" s="176"/>
      <c r="V234" s="23"/>
      <c r="W234" s="23"/>
      <c r="AA234" s="23"/>
    </row>
    <row r="235" spans="1:27" ht="15.75">
      <c r="A235" s="80"/>
      <c r="C235" s="81" t="s">
        <v>116</v>
      </c>
      <c r="G235" s="28"/>
      <c r="H235" s="93"/>
      <c r="I235" s="158"/>
      <c r="J235" s="93"/>
      <c r="K235" s="118">
        <f>SUBTOTAL(9,K231:K234)</f>
        <v>238391641.91999999</v>
      </c>
      <c r="L235" s="93"/>
      <c r="M235" s="120">
        <f>SUBTOTAL(9,M231:M234)</f>
        <v>90309865.819999993</v>
      </c>
      <c r="N235" s="120"/>
      <c r="O235" s="120">
        <f>SUBTOTAL(9,O231:O234)</f>
        <v>170954334</v>
      </c>
      <c r="P235" s="120"/>
      <c r="Q235" s="120">
        <f>SUBTOTAL(9,Q231:Q234)</f>
        <v>5983284</v>
      </c>
      <c r="R235" s="93"/>
      <c r="S235" s="84">
        <f>+ROUND(Q235/K235*100,2)</f>
        <v>2.5099999999999998</v>
      </c>
      <c r="T235" s="93"/>
      <c r="U235" s="189"/>
      <c r="V235" s="23"/>
      <c r="W235" s="23"/>
      <c r="AA235" s="23"/>
    </row>
    <row r="236" spans="1:27">
      <c r="A236" s="80"/>
      <c r="G236" s="25"/>
      <c r="I236" s="188"/>
      <c r="K236" s="87"/>
      <c r="M236" s="46"/>
      <c r="N236" s="46"/>
      <c r="O236" s="46"/>
      <c r="P236" s="46"/>
      <c r="Q236" s="46"/>
      <c r="S236" s="49"/>
      <c r="U236" s="176"/>
      <c r="V236" s="23"/>
      <c r="W236" s="23"/>
      <c r="AA236" s="23"/>
    </row>
    <row r="237" spans="1:27" ht="15.75">
      <c r="A237" s="80"/>
      <c r="C237" s="24" t="s">
        <v>117</v>
      </c>
      <c r="G237" s="25"/>
      <c r="I237" s="188"/>
      <c r="K237" s="87"/>
      <c r="M237" s="46"/>
      <c r="N237" s="46"/>
      <c r="O237" s="46"/>
      <c r="P237" s="46"/>
      <c r="Q237" s="46"/>
      <c r="S237" s="49"/>
      <c r="U237" s="176"/>
      <c r="V237" s="23"/>
      <c r="W237" s="23"/>
      <c r="AA237" s="23"/>
    </row>
    <row r="238" spans="1:27" ht="15.75">
      <c r="A238" s="80"/>
      <c r="C238" s="48"/>
      <c r="G238" s="25"/>
      <c r="I238" s="188"/>
      <c r="K238" s="87"/>
      <c r="M238" s="46"/>
      <c r="N238" s="46"/>
      <c r="O238" s="46"/>
      <c r="P238" s="46"/>
      <c r="Q238" s="46"/>
      <c r="S238" s="49"/>
      <c r="U238" s="176"/>
      <c r="V238" s="23"/>
      <c r="W238" s="23"/>
      <c r="AA238" s="23"/>
    </row>
    <row r="239" spans="1:27">
      <c r="A239" s="80">
        <v>390</v>
      </c>
      <c r="C239" s="86" t="s">
        <v>53</v>
      </c>
      <c r="G239" s="183" t="s">
        <v>201</v>
      </c>
      <c r="H239" s="183" t="s">
        <v>178</v>
      </c>
      <c r="I239" s="184">
        <v>0</v>
      </c>
      <c r="J239" s="65"/>
      <c r="K239" s="71">
        <v>17176820.18</v>
      </c>
      <c r="L239" s="185"/>
      <c r="M239" s="73">
        <v>9684841</v>
      </c>
      <c r="N239" s="73"/>
      <c r="O239" s="73">
        <v>7491979</v>
      </c>
      <c r="P239" s="73"/>
      <c r="Q239" s="73">
        <v>170358</v>
      </c>
      <c r="R239" s="19"/>
      <c r="S239" s="74">
        <v>0.99</v>
      </c>
      <c r="T239" s="19"/>
      <c r="U239" s="186">
        <v>44</v>
      </c>
      <c r="V239" s="23"/>
      <c r="W239" s="23"/>
      <c r="AA239" s="23"/>
    </row>
    <row r="240" spans="1:27">
      <c r="A240" s="80"/>
      <c r="C240" s="86"/>
      <c r="G240" s="183"/>
      <c r="H240" s="183"/>
      <c r="I240" s="184"/>
      <c r="J240" s="65"/>
      <c r="K240" s="71"/>
      <c r="L240" s="185"/>
      <c r="M240" s="73"/>
      <c r="N240" s="73"/>
      <c r="O240" s="73"/>
      <c r="P240" s="73"/>
      <c r="Q240" s="73"/>
      <c r="R240" s="19"/>
      <c r="S240" s="74"/>
      <c r="T240" s="19"/>
      <c r="U240" s="186"/>
      <c r="V240" s="23"/>
      <c r="W240" s="23"/>
      <c r="AA240" s="23"/>
    </row>
    <row r="241" spans="1:27">
      <c r="A241" s="80">
        <v>391</v>
      </c>
      <c r="C241" s="94" t="s">
        <v>119</v>
      </c>
      <c r="G241" s="183"/>
      <c r="H241" s="183"/>
      <c r="I241" s="184"/>
      <c r="J241" s="65"/>
      <c r="K241" s="71"/>
      <c r="L241" s="185"/>
      <c r="M241" s="73"/>
      <c r="N241" s="73"/>
      <c r="O241" s="73"/>
      <c r="P241" s="73"/>
      <c r="Q241" s="73"/>
      <c r="R241" s="19"/>
      <c r="S241" s="74"/>
      <c r="T241" s="19"/>
      <c r="U241" s="186"/>
      <c r="V241" s="23"/>
      <c r="W241" s="23"/>
      <c r="AA241" s="23"/>
    </row>
    <row r="242" spans="1:27">
      <c r="A242" s="80"/>
      <c r="C242" s="95" t="s">
        <v>120</v>
      </c>
      <c r="D242" s="37"/>
      <c r="E242" s="37"/>
      <c r="F242" s="37"/>
      <c r="G242" s="169"/>
      <c r="H242" s="169"/>
      <c r="I242" s="170"/>
      <c r="J242" s="50"/>
      <c r="K242" s="55">
        <v>2016677.53</v>
      </c>
      <c r="L242" s="171"/>
      <c r="M242" s="57">
        <v>2016678</v>
      </c>
      <c r="N242" s="57"/>
      <c r="O242" s="57">
        <v>0</v>
      </c>
      <c r="P242" s="57"/>
      <c r="Q242" s="57">
        <v>0</v>
      </c>
      <c r="R242" s="50"/>
      <c r="S242" s="74">
        <v>0</v>
      </c>
      <c r="T242" s="50"/>
      <c r="U242" s="172">
        <v>0</v>
      </c>
      <c r="V242" s="23"/>
      <c r="W242" s="23"/>
      <c r="AA242" s="23"/>
    </row>
    <row r="243" spans="1:27">
      <c r="A243" s="80"/>
      <c r="C243" s="95" t="s">
        <v>121</v>
      </c>
      <c r="D243" s="37"/>
      <c r="E243" s="37"/>
      <c r="F243" s="37"/>
      <c r="G243" s="169" t="s">
        <v>202</v>
      </c>
      <c r="H243" s="169" t="s">
        <v>178</v>
      </c>
      <c r="I243" s="170">
        <v>0</v>
      </c>
      <c r="J243" s="50"/>
      <c r="K243" s="60">
        <v>9301032.1600000001</v>
      </c>
      <c r="L243" s="171"/>
      <c r="M243" s="62">
        <v>2720987</v>
      </c>
      <c r="N243" s="57"/>
      <c r="O243" s="62">
        <v>6580045</v>
      </c>
      <c r="P243" s="57"/>
      <c r="Q243" s="62">
        <v>465074</v>
      </c>
      <c r="R243" s="50"/>
      <c r="S243" s="74">
        <v>5</v>
      </c>
      <c r="T243" s="50"/>
      <c r="U243" s="172">
        <v>14.1</v>
      </c>
      <c r="V243" s="23"/>
      <c r="W243" s="23"/>
      <c r="AA243" s="23"/>
    </row>
    <row r="244" spans="1:27">
      <c r="A244" s="80"/>
      <c r="C244" s="37"/>
      <c r="D244" s="37"/>
      <c r="E244" s="37"/>
      <c r="F244" s="37"/>
      <c r="G244" s="169"/>
      <c r="H244" s="169"/>
      <c r="I244" s="170"/>
      <c r="J244" s="50"/>
      <c r="K244" s="55"/>
      <c r="L244" s="171"/>
      <c r="M244" s="57"/>
      <c r="N244" s="57"/>
      <c r="O244" s="57"/>
      <c r="P244" s="57"/>
      <c r="Q244" s="57"/>
      <c r="R244" s="50"/>
      <c r="S244" s="74"/>
      <c r="T244" s="50"/>
      <c r="U244" s="172"/>
      <c r="V244" s="23"/>
      <c r="W244" s="23"/>
      <c r="AA244" s="23"/>
    </row>
    <row r="245" spans="1:27">
      <c r="A245" s="80"/>
      <c r="C245" s="37" t="s">
        <v>122</v>
      </c>
      <c r="D245" s="37"/>
      <c r="E245" s="37"/>
      <c r="F245" s="37"/>
      <c r="G245" s="169"/>
      <c r="H245" s="169"/>
      <c r="I245" s="170"/>
      <c r="J245" s="50"/>
      <c r="K245" s="55">
        <f>SUBTOTAL(9,K242:K244)</f>
        <v>11317709.689999999</v>
      </c>
      <c r="L245" s="171"/>
      <c r="M245" s="57">
        <f>SUBTOTAL(9,M242:M244)</f>
        <v>4737665</v>
      </c>
      <c r="N245" s="57"/>
      <c r="O245" s="57">
        <f>SUBTOTAL(9,O242:O244)</f>
        <v>6580045</v>
      </c>
      <c r="P245" s="57"/>
      <c r="Q245" s="57">
        <f>SUBTOTAL(9,Q242:Q244)</f>
        <v>465074</v>
      </c>
      <c r="R245" s="50"/>
      <c r="S245" s="74">
        <f>+ROUND(Q245/K245*100,2)</f>
        <v>4.1100000000000003</v>
      </c>
      <c r="T245" s="50"/>
      <c r="U245" s="172"/>
      <c r="V245" s="23"/>
      <c r="W245" s="23"/>
      <c r="AA245" s="23"/>
    </row>
    <row r="246" spans="1:27">
      <c r="A246" s="80"/>
      <c r="C246" s="94"/>
      <c r="G246" s="183"/>
      <c r="H246" s="183"/>
      <c r="I246" s="184"/>
      <c r="J246" s="65"/>
      <c r="K246" s="71"/>
      <c r="L246" s="185"/>
      <c r="M246" s="73"/>
      <c r="N246" s="73"/>
      <c r="O246" s="73"/>
      <c r="P246" s="73"/>
      <c r="Q246" s="73"/>
      <c r="R246" s="19"/>
      <c r="S246" s="74"/>
      <c r="T246" s="19"/>
      <c r="U246" s="186"/>
      <c r="V246" s="23"/>
      <c r="W246" s="23"/>
      <c r="AA246" s="23"/>
    </row>
    <row r="247" spans="1:27">
      <c r="A247" s="80">
        <v>391.1</v>
      </c>
      <c r="C247" s="94" t="s">
        <v>123</v>
      </c>
      <c r="G247" s="183"/>
      <c r="H247" s="183"/>
      <c r="I247" s="184"/>
      <c r="J247" s="65"/>
      <c r="K247" s="71"/>
      <c r="L247" s="185"/>
      <c r="M247" s="73"/>
      <c r="N247" s="73"/>
      <c r="O247" s="73"/>
      <c r="P247" s="73"/>
      <c r="Q247" s="73"/>
      <c r="R247" s="19"/>
      <c r="S247" s="74"/>
      <c r="T247" s="19"/>
      <c r="U247" s="186"/>
      <c r="V247" s="23"/>
      <c r="W247" s="23"/>
      <c r="AA247" s="23"/>
    </row>
    <row r="248" spans="1:27">
      <c r="A248" s="80"/>
      <c r="C248" s="95" t="s">
        <v>120</v>
      </c>
      <c r="G248" s="169"/>
      <c r="H248" s="169"/>
      <c r="I248" s="170"/>
      <c r="J248" s="50"/>
      <c r="K248" s="55">
        <v>2771805.14</v>
      </c>
      <c r="L248" s="171"/>
      <c r="M248" s="57">
        <v>2771805</v>
      </c>
      <c r="N248" s="57"/>
      <c r="O248" s="57">
        <v>0</v>
      </c>
      <c r="P248" s="57"/>
      <c r="Q248" s="57">
        <v>0</v>
      </c>
      <c r="R248" s="50"/>
      <c r="S248" s="74">
        <v>0</v>
      </c>
      <c r="T248" s="50"/>
      <c r="U248" s="172">
        <v>0</v>
      </c>
      <c r="V248" s="23"/>
      <c r="W248" s="23"/>
      <c r="AA248" s="23"/>
    </row>
    <row r="249" spans="1:27">
      <c r="A249" s="80"/>
      <c r="C249" s="95" t="s">
        <v>121</v>
      </c>
      <c r="G249" s="169" t="s">
        <v>203</v>
      </c>
      <c r="H249" s="169" t="s">
        <v>178</v>
      </c>
      <c r="I249" s="170">
        <v>0</v>
      </c>
      <c r="J249" s="50"/>
      <c r="K249" s="60">
        <v>14526688.529999999</v>
      </c>
      <c r="L249" s="171"/>
      <c r="M249" s="62">
        <v>7449052</v>
      </c>
      <c r="N249" s="57"/>
      <c r="O249" s="62">
        <v>7077637</v>
      </c>
      <c r="P249" s="57"/>
      <c r="Q249" s="62">
        <v>968596</v>
      </c>
      <c r="R249" s="50"/>
      <c r="S249" s="74">
        <v>6.67</v>
      </c>
      <c r="T249" s="50"/>
      <c r="U249" s="172">
        <v>7.3</v>
      </c>
      <c r="V249" s="23"/>
      <c r="W249" s="23"/>
      <c r="AA249" s="23"/>
    </row>
    <row r="250" spans="1:27">
      <c r="A250" s="80"/>
      <c r="C250" s="37"/>
      <c r="G250" s="183"/>
      <c r="H250" s="183"/>
      <c r="I250" s="184"/>
      <c r="J250" s="65"/>
      <c r="K250" s="71"/>
      <c r="L250" s="185"/>
      <c r="M250" s="73"/>
      <c r="N250" s="73"/>
      <c r="O250" s="73"/>
      <c r="P250" s="73"/>
      <c r="Q250" s="73"/>
      <c r="R250" s="19"/>
      <c r="S250" s="74"/>
      <c r="T250" s="19"/>
      <c r="U250" s="186"/>
      <c r="V250" s="23"/>
      <c r="W250" s="23"/>
      <c r="AA250" s="23"/>
    </row>
    <row r="251" spans="1:27">
      <c r="A251" s="80"/>
      <c r="C251" s="37" t="s">
        <v>124</v>
      </c>
      <c r="G251" s="183"/>
      <c r="H251" s="183"/>
      <c r="I251" s="184"/>
      <c r="J251" s="65"/>
      <c r="K251" s="55">
        <f>SUBTOTAL(9,K248:K250)</f>
        <v>17298493.669999998</v>
      </c>
      <c r="L251" s="171"/>
      <c r="M251" s="57">
        <f>SUBTOTAL(9,M248:M250)</f>
        <v>10220857</v>
      </c>
      <c r="N251" s="57"/>
      <c r="O251" s="57">
        <f>SUBTOTAL(9,O248:O250)</f>
        <v>7077637</v>
      </c>
      <c r="P251" s="57"/>
      <c r="Q251" s="57">
        <f>SUBTOTAL(9,Q248:Q250)</f>
        <v>968596</v>
      </c>
      <c r="R251" s="50"/>
      <c r="S251" s="74">
        <f>+ROUND(Q251/K251*100,2)</f>
        <v>5.6</v>
      </c>
      <c r="T251" s="19"/>
      <c r="U251" s="186"/>
      <c r="V251" s="23"/>
      <c r="W251" s="23"/>
      <c r="AA251" s="23"/>
    </row>
    <row r="252" spans="1:27">
      <c r="A252" s="80"/>
      <c r="C252" s="94"/>
      <c r="G252" s="183"/>
      <c r="H252" s="183"/>
      <c r="I252" s="184"/>
      <c r="J252" s="65"/>
      <c r="K252" s="71"/>
      <c r="L252" s="185"/>
      <c r="M252" s="73"/>
      <c r="N252" s="73"/>
      <c r="O252" s="73"/>
      <c r="P252" s="73"/>
      <c r="Q252" s="73"/>
      <c r="R252" s="19"/>
      <c r="S252" s="74"/>
      <c r="T252" s="19"/>
      <c r="U252" s="186"/>
      <c r="V252" s="23"/>
      <c r="W252" s="23"/>
      <c r="AA252" s="23"/>
    </row>
    <row r="253" spans="1:27">
      <c r="A253" s="80">
        <v>392</v>
      </c>
      <c r="C253" s="94" t="s">
        <v>125</v>
      </c>
      <c r="G253" s="183" t="s">
        <v>204</v>
      </c>
      <c r="H253" s="183" t="s">
        <v>178</v>
      </c>
      <c r="I253" s="184">
        <v>0</v>
      </c>
      <c r="J253" s="65"/>
      <c r="K253" s="71">
        <v>17294828.559999999</v>
      </c>
      <c r="L253" s="185"/>
      <c r="M253" s="73">
        <v>9084603</v>
      </c>
      <c r="N253" s="73"/>
      <c r="O253" s="73">
        <v>8210226</v>
      </c>
      <c r="P253" s="73"/>
      <c r="Q253" s="73">
        <v>1010178</v>
      </c>
      <c r="R253" s="19"/>
      <c r="S253" s="74">
        <v>5.84</v>
      </c>
      <c r="T253" s="19"/>
      <c r="U253" s="186">
        <v>8.1</v>
      </c>
      <c r="V253" s="23"/>
      <c r="W253" s="23"/>
      <c r="AA253" s="23"/>
    </row>
    <row r="254" spans="1:27">
      <c r="A254" s="80">
        <v>393</v>
      </c>
      <c r="C254" s="86" t="s">
        <v>126</v>
      </c>
      <c r="G254" s="183" t="s">
        <v>205</v>
      </c>
      <c r="H254" s="183" t="s">
        <v>178</v>
      </c>
      <c r="I254" s="184">
        <v>0</v>
      </c>
      <c r="J254" s="65"/>
      <c r="K254" s="71">
        <v>132973.46</v>
      </c>
      <c r="L254" s="185"/>
      <c r="M254" s="73">
        <v>99601</v>
      </c>
      <c r="N254" s="73"/>
      <c r="O254" s="73">
        <v>33372</v>
      </c>
      <c r="P254" s="73"/>
      <c r="Q254" s="73">
        <v>5318</v>
      </c>
      <c r="R254" s="19"/>
      <c r="S254" s="74">
        <v>4</v>
      </c>
      <c r="T254" s="19"/>
      <c r="U254" s="186">
        <v>6.3</v>
      </c>
      <c r="V254" s="23"/>
      <c r="W254" s="23"/>
      <c r="AA254" s="23"/>
    </row>
    <row r="255" spans="1:27">
      <c r="A255" s="80"/>
      <c r="C255" s="86"/>
      <c r="G255" s="183"/>
      <c r="H255" s="183"/>
      <c r="I255" s="184"/>
      <c r="J255" s="65"/>
      <c r="K255" s="71"/>
      <c r="L255" s="185"/>
      <c r="M255" s="73"/>
      <c r="N255" s="73"/>
      <c r="O255" s="73"/>
      <c r="P255" s="73"/>
      <c r="Q255" s="73"/>
      <c r="R255" s="19"/>
      <c r="S255" s="74"/>
      <c r="T255" s="19"/>
      <c r="U255" s="186"/>
      <c r="V255" s="23"/>
      <c r="W255" s="23"/>
      <c r="AA255" s="23"/>
    </row>
    <row r="256" spans="1:27">
      <c r="A256" s="80">
        <v>394</v>
      </c>
      <c r="C256" s="96" t="s">
        <v>206</v>
      </c>
      <c r="G256" s="183"/>
      <c r="H256" s="183"/>
      <c r="I256" s="184"/>
      <c r="J256" s="65"/>
      <c r="K256" s="71"/>
      <c r="L256" s="185"/>
      <c r="M256" s="73"/>
      <c r="N256" s="73"/>
      <c r="O256" s="73"/>
      <c r="P256" s="73"/>
      <c r="Q256" s="73"/>
      <c r="R256" s="19"/>
      <c r="S256" s="74"/>
      <c r="T256" s="19"/>
      <c r="U256" s="186"/>
      <c r="V256" s="23"/>
      <c r="W256" s="23"/>
      <c r="AA256" s="23"/>
    </row>
    <row r="257" spans="1:27">
      <c r="A257" s="80"/>
      <c r="C257" s="95" t="s">
        <v>120</v>
      </c>
      <c r="G257" s="169"/>
      <c r="H257" s="169"/>
      <c r="I257" s="170"/>
      <c r="J257" s="50"/>
      <c r="K257" s="55">
        <v>772161.33</v>
      </c>
      <c r="L257" s="171"/>
      <c r="M257" s="57">
        <v>772161</v>
      </c>
      <c r="N257" s="57"/>
      <c r="O257" s="57">
        <v>0</v>
      </c>
      <c r="P257" s="57"/>
      <c r="Q257" s="57">
        <v>0</v>
      </c>
      <c r="R257" s="50"/>
      <c r="S257" s="74">
        <v>0</v>
      </c>
      <c r="T257" s="50"/>
      <c r="U257" s="172">
        <v>0</v>
      </c>
      <c r="V257" s="23"/>
      <c r="W257" s="23"/>
      <c r="AA257" s="23"/>
    </row>
    <row r="258" spans="1:27">
      <c r="A258" s="80"/>
      <c r="C258" s="95" t="s">
        <v>121</v>
      </c>
      <c r="G258" s="169" t="s">
        <v>202</v>
      </c>
      <c r="H258" s="169" t="s">
        <v>178</v>
      </c>
      <c r="I258" s="170">
        <v>0</v>
      </c>
      <c r="J258" s="50"/>
      <c r="K258" s="60">
        <v>1540988.46</v>
      </c>
      <c r="L258" s="171"/>
      <c r="M258" s="62">
        <v>602512</v>
      </c>
      <c r="N258" s="57"/>
      <c r="O258" s="62">
        <v>938476</v>
      </c>
      <c r="P258" s="57"/>
      <c r="Q258" s="62">
        <v>77077</v>
      </c>
      <c r="R258" s="50"/>
      <c r="S258" s="74">
        <v>5</v>
      </c>
      <c r="T258" s="50"/>
      <c r="U258" s="172">
        <v>12.2</v>
      </c>
      <c r="V258" s="23"/>
      <c r="W258" s="23"/>
      <c r="AA258" s="23"/>
    </row>
    <row r="259" spans="1:27">
      <c r="A259" s="80"/>
      <c r="C259" s="37"/>
      <c r="G259" s="183"/>
      <c r="H259" s="183"/>
      <c r="I259" s="184"/>
      <c r="J259" s="65"/>
      <c r="K259" s="71"/>
      <c r="L259" s="185"/>
      <c r="M259" s="73"/>
      <c r="N259" s="73"/>
      <c r="O259" s="73"/>
      <c r="P259" s="73"/>
      <c r="Q259" s="73"/>
      <c r="R259" s="19"/>
      <c r="S259" s="74"/>
      <c r="T259" s="19"/>
      <c r="U259" s="186"/>
      <c r="V259" s="23"/>
      <c r="W259" s="23"/>
      <c r="AA259" s="23"/>
    </row>
    <row r="260" spans="1:27">
      <c r="A260" s="80"/>
      <c r="C260" s="37" t="s">
        <v>128</v>
      </c>
      <c r="G260" s="183"/>
      <c r="H260" s="183"/>
      <c r="I260" s="184"/>
      <c r="J260" s="65"/>
      <c r="K260" s="55">
        <f>SUBTOTAL(9,K257:K259)</f>
        <v>2313149.79</v>
      </c>
      <c r="L260" s="171"/>
      <c r="M260" s="57">
        <f>SUBTOTAL(9,M257:M259)</f>
        <v>1374673</v>
      </c>
      <c r="N260" s="57"/>
      <c r="O260" s="57">
        <f>SUBTOTAL(9,O257:O259)</f>
        <v>938476</v>
      </c>
      <c r="P260" s="57"/>
      <c r="Q260" s="57">
        <f>SUBTOTAL(9,Q257:Q259)</f>
        <v>77077</v>
      </c>
      <c r="R260" s="50"/>
      <c r="S260" s="74">
        <f>+ROUND(Q260/K260*100,2)</f>
        <v>3.33</v>
      </c>
      <c r="T260" s="50"/>
      <c r="U260" s="186"/>
      <c r="V260" s="23"/>
      <c r="W260" s="23"/>
      <c r="AA260" s="23"/>
    </row>
    <row r="261" spans="1:27">
      <c r="A261" s="80"/>
      <c r="C261" s="96"/>
      <c r="G261" s="183"/>
      <c r="H261" s="183"/>
      <c r="I261" s="184"/>
      <c r="J261" s="65"/>
      <c r="K261" s="71"/>
      <c r="L261" s="185"/>
      <c r="M261" s="73"/>
      <c r="N261" s="73"/>
      <c r="O261" s="73"/>
      <c r="P261" s="73"/>
      <c r="Q261" s="73"/>
      <c r="R261" s="19"/>
      <c r="S261" s="74"/>
      <c r="T261" s="19"/>
      <c r="U261" s="186"/>
      <c r="V261" s="23"/>
      <c r="W261" s="23"/>
      <c r="AA261" s="23"/>
    </row>
    <row r="262" spans="1:27">
      <c r="A262" s="80">
        <v>395</v>
      </c>
      <c r="C262" s="86" t="s">
        <v>129</v>
      </c>
      <c r="G262" s="169"/>
      <c r="H262" s="169"/>
      <c r="I262" s="170"/>
      <c r="J262" s="50"/>
      <c r="K262" s="55"/>
      <c r="L262" s="171"/>
      <c r="M262" s="57"/>
      <c r="N262" s="57"/>
      <c r="O262" s="57"/>
      <c r="P262" s="57"/>
      <c r="Q262" s="57"/>
      <c r="R262" s="50"/>
      <c r="S262" s="74"/>
      <c r="T262" s="50"/>
      <c r="U262" s="172"/>
      <c r="V262" s="23"/>
      <c r="W262" s="23"/>
      <c r="AA262" s="23"/>
    </row>
    <row r="263" spans="1:27">
      <c r="A263" s="80"/>
      <c r="C263" s="95" t="s">
        <v>120</v>
      </c>
      <c r="G263" s="169"/>
      <c r="H263" s="169"/>
      <c r="I263" s="170"/>
      <c r="J263" s="50"/>
      <c r="K263" s="55">
        <v>1251278.95</v>
      </c>
      <c r="L263" s="171"/>
      <c r="M263" s="57">
        <v>1251279</v>
      </c>
      <c r="N263" s="57"/>
      <c r="O263" s="57">
        <v>0</v>
      </c>
      <c r="P263" s="57"/>
      <c r="Q263" s="57">
        <v>0</v>
      </c>
      <c r="R263" s="50"/>
      <c r="S263" s="74">
        <v>0</v>
      </c>
      <c r="T263" s="50"/>
      <c r="U263" s="172">
        <v>0</v>
      </c>
      <c r="V263" s="23"/>
      <c r="W263" s="23"/>
      <c r="AA263" s="23"/>
    </row>
    <row r="264" spans="1:27">
      <c r="A264" s="80"/>
      <c r="C264" s="95" t="s">
        <v>121</v>
      </c>
      <c r="G264" s="169" t="s">
        <v>202</v>
      </c>
      <c r="H264" s="169" t="s">
        <v>178</v>
      </c>
      <c r="I264" s="170">
        <v>0</v>
      </c>
      <c r="J264" s="50"/>
      <c r="K264" s="60">
        <v>4059896.75</v>
      </c>
      <c r="L264" s="171"/>
      <c r="M264" s="62">
        <v>1563859</v>
      </c>
      <c r="N264" s="57"/>
      <c r="O264" s="62">
        <v>2496038</v>
      </c>
      <c r="P264" s="57"/>
      <c r="Q264" s="62">
        <v>203000</v>
      </c>
      <c r="R264" s="50"/>
      <c r="S264" s="74">
        <v>5</v>
      </c>
      <c r="T264" s="50"/>
      <c r="U264" s="172">
        <v>12.3</v>
      </c>
      <c r="V264" s="23"/>
      <c r="W264" s="23"/>
      <c r="AA264" s="23"/>
    </row>
    <row r="265" spans="1:27">
      <c r="A265" s="80"/>
      <c r="C265" s="37"/>
      <c r="G265" s="183"/>
      <c r="H265" s="183"/>
      <c r="I265" s="184"/>
      <c r="J265" s="65"/>
      <c r="K265" s="71"/>
      <c r="L265" s="185"/>
      <c r="M265" s="73"/>
      <c r="N265" s="73"/>
      <c r="O265" s="73"/>
      <c r="P265" s="73"/>
      <c r="Q265" s="73"/>
      <c r="R265" s="19"/>
      <c r="S265" s="74"/>
      <c r="T265" s="19"/>
      <c r="U265" s="186"/>
      <c r="V265" s="23"/>
      <c r="W265" s="23"/>
      <c r="AA265" s="23"/>
    </row>
    <row r="266" spans="1:27">
      <c r="A266" s="80"/>
      <c r="C266" s="37" t="s">
        <v>130</v>
      </c>
      <c r="G266" s="183"/>
      <c r="H266" s="183"/>
      <c r="I266" s="184"/>
      <c r="J266" s="65"/>
      <c r="K266" s="55">
        <f>SUBTOTAL(9,K263:K265)</f>
        <v>5311175.7</v>
      </c>
      <c r="L266" s="171"/>
      <c r="M266" s="57">
        <f>SUBTOTAL(9,M263:M265)</f>
        <v>2815138</v>
      </c>
      <c r="N266" s="57"/>
      <c r="O266" s="57">
        <f>SUBTOTAL(9,O263:O265)</f>
        <v>2496038</v>
      </c>
      <c r="P266" s="57"/>
      <c r="Q266" s="57">
        <f>SUBTOTAL(9,Q263:Q265)</f>
        <v>203000</v>
      </c>
      <c r="R266" s="50"/>
      <c r="S266" s="74">
        <f>+ROUND(Q266/K266*100,2)</f>
        <v>3.82</v>
      </c>
      <c r="T266" s="19"/>
      <c r="U266" s="186"/>
      <c r="V266" s="23"/>
      <c r="W266" s="23"/>
      <c r="AA266" s="23"/>
    </row>
    <row r="267" spans="1:27">
      <c r="A267" s="80"/>
      <c r="C267" s="86"/>
      <c r="G267" s="183"/>
      <c r="H267" s="183"/>
      <c r="I267" s="184"/>
      <c r="J267" s="65"/>
      <c r="K267" s="71"/>
      <c r="L267" s="185"/>
      <c r="M267" s="73"/>
      <c r="N267" s="73"/>
      <c r="O267" s="73"/>
      <c r="P267" s="73"/>
      <c r="Q267" s="73"/>
      <c r="R267" s="19"/>
      <c r="S267" s="74"/>
      <c r="T267" s="19"/>
      <c r="U267" s="186"/>
      <c r="V267" s="23"/>
      <c r="W267" s="23"/>
      <c r="AA267" s="23"/>
    </row>
    <row r="268" spans="1:27">
      <c r="A268" s="80">
        <v>396</v>
      </c>
      <c r="C268" s="19" t="s">
        <v>131</v>
      </c>
      <c r="G268" s="183" t="s">
        <v>207</v>
      </c>
      <c r="H268" s="183" t="s">
        <v>178</v>
      </c>
      <c r="I268" s="184">
        <v>0</v>
      </c>
      <c r="J268" s="65"/>
      <c r="K268" s="71">
        <v>20685598.48</v>
      </c>
      <c r="L268" s="185"/>
      <c r="M268" s="73">
        <v>13562128.119999999</v>
      </c>
      <c r="N268" s="73"/>
      <c r="O268" s="73">
        <v>7123470</v>
      </c>
      <c r="P268" s="73"/>
      <c r="Q268" s="73">
        <v>416907</v>
      </c>
      <c r="R268" s="19"/>
      <c r="S268" s="74">
        <v>2.02</v>
      </c>
      <c r="T268" s="19"/>
      <c r="U268" s="186">
        <v>17.100000000000001</v>
      </c>
      <c r="V268" s="23"/>
      <c r="W268" s="23"/>
      <c r="AA268" s="23"/>
    </row>
    <row r="269" spans="1:27">
      <c r="A269" s="80"/>
      <c r="C269" s="19"/>
      <c r="G269" s="183"/>
      <c r="H269" s="183"/>
      <c r="I269" s="184"/>
      <c r="J269" s="65"/>
      <c r="K269" s="71"/>
      <c r="L269" s="185"/>
      <c r="M269" s="73"/>
      <c r="N269" s="73"/>
      <c r="O269" s="73"/>
      <c r="P269" s="73"/>
      <c r="Q269" s="73"/>
      <c r="R269" s="19"/>
      <c r="S269" s="74"/>
      <c r="T269" s="19"/>
      <c r="U269" s="186"/>
      <c r="V269" s="23"/>
      <c r="W269" s="23"/>
      <c r="AA269" s="23"/>
    </row>
    <row r="270" spans="1:27">
      <c r="A270" s="80">
        <v>397</v>
      </c>
      <c r="C270" s="19" t="s">
        <v>132</v>
      </c>
      <c r="G270" s="183"/>
      <c r="H270" s="183"/>
      <c r="I270" s="184"/>
      <c r="J270" s="65"/>
      <c r="K270" s="71"/>
      <c r="L270" s="185"/>
      <c r="M270" s="73"/>
      <c r="N270" s="73"/>
      <c r="O270" s="73"/>
      <c r="P270" s="73"/>
      <c r="Q270" s="73"/>
      <c r="R270" s="19"/>
      <c r="S270" s="74"/>
      <c r="T270" s="19"/>
      <c r="U270" s="186"/>
      <c r="V270" s="23"/>
      <c r="W270" s="23"/>
      <c r="AA270" s="23"/>
    </row>
    <row r="271" spans="1:27">
      <c r="A271" s="80"/>
      <c r="C271" s="95" t="s">
        <v>120</v>
      </c>
      <c r="G271" s="169"/>
      <c r="H271" s="169"/>
      <c r="I271" s="170"/>
      <c r="J271" s="50"/>
      <c r="K271" s="55">
        <v>23276736.879999999</v>
      </c>
      <c r="L271" s="171"/>
      <c r="M271" s="57">
        <v>23276737</v>
      </c>
      <c r="N271" s="57"/>
      <c r="O271" s="57">
        <v>0</v>
      </c>
      <c r="P271" s="57"/>
      <c r="Q271" s="57">
        <v>0</v>
      </c>
      <c r="R271" s="50"/>
      <c r="S271" s="74">
        <v>0</v>
      </c>
      <c r="T271" s="50"/>
      <c r="U271" s="172">
        <v>0</v>
      </c>
      <c r="V271" s="23"/>
      <c r="W271" s="23"/>
      <c r="AA271" s="23"/>
    </row>
    <row r="272" spans="1:27">
      <c r="A272" s="80"/>
      <c r="C272" s="95" t="s">
        <v>121</v>
      </c>
      <c r="G272" s="169" t="s">
        <v>203</v>
      </c>
      <c r="H272" s="169" t="s">
        <v>178</v>
      </c>
      <c r="I272" s="170">
        <v>0</v>
      </c>
      <c r="J272" s="50"/>
      <c r="K272" s="60">
        <v>23514697.870000001</v>
      </c>
      <c r="L272" s="171"/>
      <c r="M272" s="62">
        <v>8667518</v>
      </c>
      <c r="N272" s="57"/>
      <c r="O272" s="62">
        <v>14847180</v>
      </c>
      <c r="P272" s="57"/>
      <c r="Q272" s="62">
        <v>1569449</v>
      </c>
      <c r="R272" s="50"/>
      <c r="S272" s="74">
        <v>6.67</v>
      </c>
      <c r="T272" s="50"/>
      <c r="U272" s="172">
        <v>9.5</v>
      </c>
      <c r="V272" s="23"/>
      <c r="W272" s="23"/>
      <c r="AA272" s="23"/>
    </row>
    <row r="273" spans="1:27">
      <c r="A273" s="80"/>
      <c r="C273" s="37"/>
      <c r="G273" s="183"/>
      <c r="H273" s="183"/>
      <c r="I273" s="184"/>
      <c r="J273" s="65"/>
      <c r="K273" s="71"/>
      <c r="L273" s="185"/>
      <c r="M273" s="73"/>
      <c r="N273" s="73"/>
      <c r="O273" s="73"/>
      <c r="P273" s="73"/>
      <c r="Q273" s="73"/>
      <c r="R273" s="19"/>
      <c r="S273" s="74"/>
      <c r="T273" s="19"/>
      <c r="U273" s="186"/>
      <c r="V273" s="23"/>
      <c r="W273" s="23"/>
      <c r="AA273" s="23"/>
    </row>
    <row r="274" spans="1:27">
      <c r="A274" s="80"/>
      <c r="C274" s="37" t="s">
        <v>133</v>
      </c>
      <c r="G274" s="183"/>
      <c r="H274" s="183"/>
      <c r="I274" s="184"/>
      <c r="J274" s="65"/>
      <c r="K274" s="55">
        <f>SUBTOTAL(9,K271:K273)</f>
        <v>46791434.75</v>
      </c>
      <c r="L274" s="171"/>
      <c r="M274" s="57">
        <f>SUBTOTAL(9,M271:M273)</f>
        <v>31944255</v>
      </c>
      <c r="N274" s="57"/>
      <c r="O274" s="57">
        <f>SUBTOTAL(9,O271:O273)</f>
        <v>14847180</v>
      </c>
      <c r="P274" s="57"/>
      <c r="Q274" s="57">
        <f>SUBTOTAL(9,Q271:Q273)</f>
        <v>1569449</v>
      </c>
      <c r="R274" s="50"/>
      <c r="S274" s="74">
        <f>+ROUND(Q274/K274*100,2)</f>
        <v>3.35</v>
      </c>
      <c r="T274" s="19"/>
      <c r="U274" s="186"/>
      <c r="V274" s="23"/>
      <c r="W274" s="23"/>
      <c r="AA274" s="23"/>
    </row>
    <row r="275" spans="1:27">
      <c r="A275" s="80"/>
      <c r="C275" s="19"/>
      <c r="G275" s="183"/>
      <c r="H275" s="183"/>
      <c r="I275" s="184"/>
      <c r="J275" s="65"/>
      <c r="K275" s="71"/>
      <c r="L275" s="185"/>
      <c r="M275" s="73"/>
      <c r="N275" s="73"/>
      <c r="O275" s="73"/>
      <c r="P275" s="73"/>
      <c r="Q275" s="73"/>
      <c r="R275" s="19"/>
      <c r="S275" s="74"/>
      <c r="T275" s="19"/>
      <c r="U275" s="186"/>
      <c r="V275" s="23"/>
      <c r="W275" s="23"/>
      <c r="AA275" s="23"/>
    </row>
    <row r="276" spans="1:27">
      <c r="A276" s="80">
        <v>397.1</v>
      </c>
      <c r="C276" s="19" t="s">
        <v>208</v>
      </c>
      <c r="G276" s="190" t="s">
        <v>120</v>
      </c>
      <c r="H276" s="190"/>
      <c r="I276" s="191"/>
      <c r="J276" s="65"/>
      <c r="K276" s="71">
        <v>642538.48</v>
      </c>
      <c r="L276" s="185"/>
      <c r="M276" s="73">
        <v>642538</v>
      </c>
      <c r="N276" s="73"/>
      <c r="O276" s="73">
        <v>0</v>
      </c>
      <c r="P276" s="73"/>
      <c r="Q276" s="73">
        <v>0</v>
      </c>
      <c r="R276" s="19"/>
      <c r="S276" s="74">
        <v>0</v>
      </c>
      <c r="T276" s="25" t="s">
        <v>209</v>
      </c>
      <c r="U276" s="186">
        <v>0</v>
      </c>
      <c r="V276" s="23"/>
      <c r="W276" s="23"/>
      <c r="AA276" s="23"/>
    </row>
    <row r="277" spans="1:27">
      <c r="A277" s="80"/>
      <c r="C277" s="19"/>
      <c r="G277" s="190"/>
      <c r="H277" s="190"/>
      <c r="I277" s="191"/>
      <c r="J277" s="65"/>
      <c r="K277" s="71"/>
      <c r="L277" s="185"/>
      <c r="M277" s="73"/>
      <c r="N277" s="73"/>
      <c r="O277" s="73"/>
      <c r="P277" s="73"/>
      <c r="Q277" s="73"/>
      <c r="R277" s="19"/>
      <c r="S277" s="74"/>
      <c r="T277" s="19"/>
      <c r="U277" s="186"/>
      <c r="V277" s="23"/>
      <c r="W277" s="23"/>
      <c r="AA277" s="23"/>
    </row>
    <row r="278" spans="1:27">
      <c r="A278" s="80">
        <v>398</v>
      </c>
      <c r="C278" s="19" t="s">
        <v>135</v>
      </c>
      <c r="G278" s="183"/>
      <c r="H278" s="183"/>
      <c r="I278" s="184"/>
      <c r="J278" s="65"/>
      <c r="K278" s="71"/>
      <c r="L278" s="185"/>
      <c r="M278" s="73"/>
      <c r="N278" s="73"/>
      <c r="O278" s="73"/>
      <c r="P278" s="73"/>
      <c r="Q278" s="73"/>
      <c r="R278" s="19"/>
      <c r="S278" s="74"/>
      <c r="T278" s="19"/>
      <c r="U278" s="186"/>
      <c r="V278" s="23"/>
      <c r="W278" s="23"/>
      <c r="AA278" s="23"/>
    </row>
    <row r="279" spans="1:27">
      <c r="A279" s="80"/>
      <c r="C279" s="95" t="s">
        <v>120</v>
      </c>
      <c r="G279" s="169"/>
      <c r="H279" s="169"/>
      <c r="I279" s="170"/>
      <c r="J279" s="50"/>
      <c r="K279" s="55">
        <v>413882.29</v>
      </c>
      <c r="L279" s="171"/>
      <c r="M279" s="57">
        <v>413882</v>
      </c>
      <c r="N279" s="57"/>
      <c r="O279" s="57">
        <v>0</v>
      </c>
      <c r="P279" s="57"/>
      <c r="Q279" s="57">
        <v>0</v>
      </c>
      <c r="R279" s="50"/>
      <c r="S279" s="74">
        <v>0</v>
      </c>
      <c r="T279" s="50"/>
      <c r="U279" s="172">
        <v>0</v>
      </c>
      <c r="V279" s="23"/>
      <c r="W279" s="23"/>
      <c r="AA279" s="23"/>
    </row>
    <row r="280" spans="1:27">
      <c r="A280" s="80"/>
      <c r="C280" s="95" t="s">
        <v>121</v>
      </c>
      <c r="G280" s="169" t="s">
        <v>202</v>
      </c>
      <c r="H280" s="169" t="s">
        <v>178</v>
      </c>
      <c r="I280" s="170">
        <v>0</v>
      </c>
      <c r="J280" s="50"/>
      <c r="K280" s="60">
        <v>2014590.63</v>
      </c>
      <c r="L280" s="171"/>
      <c r="M280" s="62">
        <v>918854</v>
      </c>
      <c r="N280" s="57"/>
      <c r="O280" s="62">
        <v>1095737</v>
      </c>
      <c r="P280" s="57"/>
      <c r="Q280" s="62">
        <v>100721</v>
      </c>
      <c r="R280" s="50"/>
      <c r="S280" s="74">
        <v>5</v>
      </c>
      <c r="T280" s="50"/>
      <c r="U280" s="172">
        <v>10.9</v>
      </c>
      <c r="V280" s="23"/>
      <c r="W280" s="23"/>
      <c r="AA280" s="23"/>
    </row>
    <row r="281" spans="1:27">
      <c r="A281" s="80"/>
      <c r="C281" s="37"/>
      <c r="G281" s="183"/>
      <c r="H281" s="183"/>
      <c r="I281" s="184"/>
      <c r="J281" s="65"/>
      <c r="K281" s="71"/>
      <c r="L281" s="185"/>
      <c r="M281" s="73"/>
      <c r="N281" s="73"/>
      <c r="O281" s="73"/>
      <c r="P281" s="73"/>
      <c r="Q281" s="73"/>
      <c r="R281" s="19"/>
      <c r="S281" s="74"/>
      <c r="T281" s="19"/>
      <c r="U281" s="186"/>
      <c r="V281" s="23"/>
      <c r="W281" s="23"/>
      <c r="AA281" s="23"/>
    </row>
    <row r="282" spans="1:27">
      <c r="A282" s="80"/>
      <c r="C282" s="50" t="s">
        <v>136</v>
      </c>
      <c r="G282" s="183"/>
      <c r="H282" s="183"/>
      <c r="I282" s="184"/>
      <c r="J282" s="65"/>
      <c r="K282" s="60">
        <f>SUBTOTAL(9,K279:K281)</f>
        <v>2428472.92</v>
      </c>
      <c r="L282" s="171"/>
      <c r="M282" s="62">
        <f>SUBTOTAL(9,M279:M281)</f>
        <v>1332736</v>
      </c>
      <c r="N282" s="57"/>
      <c r="O282" s="62">
        <f>SUBTOTAL(9,O279:O281)</f>
        <v>1095737</v>
      </c>
      <c r="P282" s="57"/>
      <c r="Q282" s="62">
        <f>SUBTOTAL(9,Q279:Q281)</f>
        <v>100721</v>
      </c>
      <c r="R282" s="50"/>
      <c r="S282" s="74">
        <f>+ROUND(Q282/K282*100,2)</f>
        <v>4.1500000000000004</v>
      </c>
      <c r="T282" s="19"/>
      <c r="U282" s="186"/>
      <c r="V282" s="23"/>
      <c r="W282" s="23"/>
      <c r="AA282" s="23"/>
    </row>
    <row r="283" spans="1:27">
      <c r="A283" s="80"/>
      <c r="C283" s="19"/>
      <c r="G283" s="183"/>
      <c r="H283" s="183"/>
      <c r="I283" s="184"/>
      <c r="J283" s="65"/>
      <c r="K283" s="71"/>
      <c r="L283" s="185"/>
      <c r="M283" s="73"/>
      <c r="N283" s="73"/>
      <c r="O283" s="73"/>
      <c r="P283" s="73"/>
      <c r="Q283" s="73"/>
      <c r="R283" s="19"/>
      <c r="S283" s="74"/>
      <c r="T283" s="19"/>
      <c r="U283" s="186"/>
      <c r="V283" s="23"/>
      <c r="W283" s="23"/>
      <c r="AA283" s="23"/>
    </row>
    <row r="284" spans="1:27" ht="15.75">
      <c r="A284" s="23"/>
      <c r="C284" s="81" t="s">
        <v>137</v>
      </c>
      <c r="G284" s="25"/>
      <c r="I284" s="188"/>
      <c r="K284" s="97">
        <f>SUBTOTAL(9,K239:K283)</f>
        <v>141393195.67999998</v>
      </c>
      <c r="L284" s="192"/>
      <c r="M284" s="104">
        <f>SUBTOTAL(9,M239:M283)</f>
        <v>85499035.120000005</v>
      </c>
      <c r="N284" s="104"/>
      <c r="O284" s="104">
        <f>SUBTOTAL(9,O239:O283)</f>
        <v>55894160</v>
      </c>
      <c r="P284" s="104"/>
      <c r="Q284" s="104">
        <f>SUBTOTAL(9,Q239:Q283)</f>
        <v>4986678</v>
      </c>
      <c r="R284" s="93"/>
      <c r="S284" s="84">
        <f>+ROUND(Q284/K284*100,2)</f>
        <v>3.53</v>
      </c>
      <c r="T284" s="93"/>
      <c r="U284" s="189"/>
      <c r="V284" s="23"/>
      <c r="W284" s="23"/>
      <c r="AA284" s="23"/>
    </row>
    <row r="285" spans="1:27" ht="15.75">
      <c r="A285" s="23"/>
      <c r="C285" s="81"/>
      <c r="G285" s="25"/>
      <c r="I285" s="188"/>
      <c r="K285" s="97"/>
      <c r="L285" s="192"/>
      <c r="M285" s="104"/>
      <c r="N285" s="104"/>
      <c r="O285" s="104"/>
      <c r="P285" s="104"/>
      <c r="Q285" s="104"/>
      <c r="R285" s="93"/>
      <c r="S285" s="84"/>
      <c r="T285" s="93"/>
      <c r="U285" s="189"/>
      <c r="V285" s="23"/>
      <c r="W285" s="23"/>
    </row>
    <row r="286" spans="1:27" ht="15.75">
      <c r="A286" s="37"/>
      <c r="B286" s="37"/>
      <c r="C286" s="38" t="s">
        <v>210</v>
      </c>
      <c r="D286" s="37"/>
      <c r="E286" s="37"/>
      <c r="F286" s="37"/>
      <c r="G286" s="169"/>
      <c r="H286" s="37"/>
      <c r="I286" s="170"/>
      <c r="J286" s="37"/>
      <c r="K286" s="105"/>
      <c r="L286" s="42"/>
      <c r="M286" s="107"/>
      <c r="N286" s="107"/>
      <c r="O286" s="107"/>
      <c r="P286" s="107"/>
      <c r="Q286" s="107"/>
      <c r="R286" s="93"/>
      <c r="S286" s="84"/>
      <c r="T286" s="93"/>
      <c r="U286" s="189"/>
      <c r="V286" s="23"/>
      <c r="W286" s="23"/>
    </row>
    <row r="287" spans="1:27" ht="15.75">
      <c r="A287" s="37"/>
      <c r="B287" s="37"/>
      <c r="C287" s="108"/>
      <c r="D287" s="37"/>
      <c r="E287" s="37"/>
      <c r="F287" s="37"/>
      <c r="G287" s="169"/>
      <c r="H287" s="37"/>
      <c r="I287" s="170"/>
      <c r="J287" s="37"/>
      <c r="K287" s="105"/>
      <c r="L287" s="42"/>
      <c r="M287" s="107"/>
      <c r="N287" s="107"/>
      <c r="O287" s="107"/>
      <c r="P287" s="107"/>
      <c r="Q287" s="107"/>
      <c r="R287" s="93"/>
      <c r="S287" s="84"/>
      <c r="T287" s="93"/>
      <c r="U287" s="189"/>
      <c r="V287" s="23"/>
      <c r="W287" s="23"/>
    </row>
    <row r="288" spans="1:27" ht="15.75">
      <c r="A288" s="109">
        <v>391</v>
      </c>
      <c r="B288" s="37"/>
      <c r="C288" s="37" t="s">
        <v>119</v>
      </c>
      <c r="D288" s="37"/>
      <c r="E288" s="37"/>
      <c r="F288" s="37"/>
      <c r="G288" s="169"/>
      <c r="H288" s="37"/>
      <c r="I288" s="170"/>
      <c r="J288" s="37"/>
      <c r="K288" s="105"/>
      <c r="L288" s="42"/>
      <c r="M288" s="110">
        <v>1216907</v>
      </c>
      <c r="N288" s="107"/>
      <c r="O288" s="107"/>
      <c r="P288" s="107"/>
      <c r="Q288" s="110">
        <f t="shared" ref="Q288:Q294" si="55">-M288/10</f>
        <v>-121690.7</v>
      </c>
      <c r="R288" s="28" t="s">
        <v>211</v>
      </c>
      <c r="S288" s="84"/>
      <c r="T288" s="93"/>
      <c r="U288" s="189"/>
      <c r="V288" s="23"/>
      <c r="W288" s="23"/>
    </row>
    <row r="289" spans="1:23" ht="15.75">
      <c r="A289" s="109">
        <v>391.1</v>
      </c>
      <c r="B289" s="37"/>
      <c r="C289" s="37" t="s">
        <v>123</v>
      </c>
      <c r="D289" s="37"/>
      <c r="E289" s="37"/>
      <c r="F289" s="37"/>
      <c r="G289" s="169"/>
      <c r="H289" s="37"/>
      <c r="I289" s="170"/>
      <c r="J289" s="37"/>
      <c r="K289" s="105"/>
      <c r="L289" s="42"/>
      <c r="M289" s="110">
        <v>6179000</v>
      </c>
      <c r="N289" s="107"/>
      <c r="O289" s="107"/>
      <c r="P289" s="107"/>
      <c r="Q289" s="110">
        <f t="shared" si="55"/>
        <v>-617900</v>
      </c>
      <c r="R289" s="28" t="s">
        <v>211</v>
      </c>
      <c r="S289" s="84"/>
      <c r="T289" s="93"/>
      <c r="U289" s="189"/>
      <c r="V289" s="23"/>
      <c r="W289" s="23"/>
    </row>
    <row r="290" spans="1:23" ht="15.75">
      <c r="A290" s="109">
        <v>393</v>
      </c>
      <c r="B290" s="37"/>
      <c r="C290" s="112" t="s">
        <v>126</v>
      </c>
      <c r="D290" s="37"/>
      <c r="E290" s="37"/>
      <c r="F290" s="37"/>
      <c r="G290" s="169"/>
      <c r="H290" s="37"/>
      <c r="I290" s="170"/>
      <c r="J290" s="37"/>
      <c r="K290" s="105"/>
      <c r="L290" s="42"/>
      <c r="M290" s="110">
        <v>31577</v>
      </c>
      <c r="N290" s="107"/>
      <c r="O290" s="107"/>
      <c r="P290" s="107"/>
      <c r="Q290" s="110">
        <f t="shared" si="55"/>
        <v>-3157.7</v>
      </c>
      <c r="R290" s="28" t="s">
        <v>211</v>
      </c>
      <c r="S290" s="84"/>
      <c r="T290" s="93"/>
      <c r="U290" s="189"/>
      <c r="V290" s="23"/>
      <c r="W290" s="23"/>
    </row>
    <row r="291" spans="1:23" ht="15.75">
      <c r="A291" s="109">
        <v>394</v>
      </c>
      <c r="B291" s="37"/>
      <c r="C291" s="113" t="s">
        <v>127</v>
      </c>
      <c r="D291" s="37"/>
      <c r="E291" s="37"/>
      <c r="F291" s="37"/>
      <c r="G291" s="169"/>
      <c r="H291" s="37"/>
      <c r="I291" s="170"/>
      <c r="J291" s="37"/>
      <c r="K291" s="105"/>
      <c r="L291" s="42"/>
      <c r="M291" s="110">
        <v>424910</v>
      </c>
      <c r="N291" s="107"/>
      <c r="O291" s="107"/>
      <c r="P291" s="107"/>
      <c r="Q291" s="110">
        <f t="shared" si="55"/>
        <v>-42491</v>
      </c>
      <c r="R291" s="28" t="s">
        <v>211</v>
      </c>
      <c r="S291" s="84"/>
      <c r="T291" s="93"/>
      <c r="U291" s="189"/>
      <c r="V291" s="23"/>
      <c r="W291" s="23"/>
    </row>
    <row r="292" spans="1:23" ht="15.75">
      <c r="A292" s="109">
        <v>395</v>
      </c>
      <c r="B292" s="37"/>
      <c r="C292" s="112" t="s">
        <v>129</v>
      </c>
      <c r="D292" s="37"/>
      <c r="E292" s="37"/>
      <c r="F292" s="37"/>
      <c r="G292" s="169"/>
      <c r="H292" s="37"/>
      <c r="I292" s="170"/>
      <c r="J292" s="37"/>
      <c r="K292" s="105"/>
      <c r="L292" s="42"/>
      <c r="M292" s="110">
        <v>735653</v>
      </c>
      <c r="N292" s="107"/>
      <c r="O292" s="107"/>
      <c r="P292" s="107"/>
      <c r="Q292" s="110">
        <f t="shared" si="55"/>
        <v>-73565.3</v>
      </c>
      <c r="R292" s="28" t="s">
        <v>211</v>
      </c>
      <c r="S292" s="84"/>
      <c r="T292" s="93"/>
      <c r="U292" s="189"/>
      <c r="V292" s="23"/>
      <c r="W292" s="23"/>
    </row>
    <row r="293" spans="1:23" ht="15.75">
      <c r="A293" s="109">
        <v>397</v>
      </c>
      <c r="B293" s="37"/>
      <c r="C293" s="50" t="s">
        <v>132</v>
      </c>
      <c r="D293" s="37"/>
      <c r="E293" s="37"/>
      <c r="F293" s="37"/>
      <c r="G293" s="169"/>
      <c r="H293" s="37"/>
      <c r="I293" s="170"/>
      <c r="J293" s="37"/>
      <c r="K293" s="105"/>
      <c r="L293" s="42"/>
      <c r="M293" s="110">
        <v>9419253</v>
      </c>
      <c r="N293" s="107"/>
      <c r="O293" s="107"/>
      <c r="P293" s="107"/>
      <c r="Q293" s="110">
        <f t="shared" si="55"/>
        <v>-941925.3</v>
      </c>
      <c r="R293" s="28" t="s">
        <v>211</v>
      </c>
      <c r="S293" s="84"/>
      <c r="T293" s="93"/>
      <c r="U293" s="189"/>
      <c r="V293" s="23"/>
      <c r="W293" s="23"/>
    </row>
    <row r="294" spans="1:23" ht="15.75">
      <c r="A294" s="109">
        <v>398</v>
      </c>
      <c r="B294" s="37"/>
      <c r="C294" s="50" t="s">
        <v>135</v>
      </c>
      <c r="D294" s="37"/>
      <c r="E294" s="37"/>
      <c r="F294" s="37"/>
      <c r="G294" s="169"/>
      <c r="H294" s="37"/>
      <c r="I294" s="170"/>
      <c r="J294" s="37"/>
      <c r="K294" s="105"/>
      <c r="L294" s="42"/>
      <c r="M294" s="114">
        <v>1095737</v>
      </c>
      <c r="N294" s="107"/>
      <c r="O294" s="107"/>
      <c r="P294" s="107"/>
      <c r="Q294" s="114">
        <f t="shared" si="55"/>
        <v>-109573.7</v>
      </c>
      <c r="R294" s="28" t="s">
        <v>211</v>
      </c>
      <c r="S294" s="84"/>
      <c r="T294" s="93"/>
      <c r="U294" s="189"/>
      <c r="V294" s="23"/>
      <c r="W294" s="23"/>
    </row>
    <row r="295" spans="1:23" ht="15.75">
      <c r="A295" s="37"/>
      <c r="B295" s="37"/>
      <c r="C295" s="108"/>
      <c r="D295" s="37"/>
      <c r="E295" s="37"/>
      <c r="F295" s="37"/>
      <c r="G295" s="169"/>
      <c r="H295" s="37"/>
      <c r="I295" s="170"/>
      <c r="J295" s="37"/>
      <c r="K295" s="105"/>
      <c r="L295" s="42"/>
      <c r="M295" s="107"/>
      <c r="N295" s="107"/>
      <c r="O295" s="107"/>
      <c r="P295" s="107"/>
      <c r="Q295" s="107"/>
      <c r="R295" s="93"/>
      <c r="S295" s="84"/>
      <c r="T295" s="93"/>
      <c r="U295" s="189"/>
      <c r="V295" s="23"/>
      <c r="W295" s="23"/>
    </row>
    <row r="296" spans="1:23" ht="15.75">
      <c r="A296" s="37"/>
      <c r="B296" s="37"/>
      <c r="C296" s="108" t="s">
        <v>140</v>
      </c>
      <c r="D296" s="37"/>
      <c r="E296" s="37"/>
      <c r="F296" s="37"/>
      <c r="G296" s="169"/>
      <c r="H296" s="37"/>
      <c r="I296" s="170"/>
      <c r="J296" s="37"/>
      <c r="K296" s="105"/>
      <c r="L296" s="42"/>
      <c r="M296" s="117">
        <f>SUBTOTAL(9,M288:M295)</f>
        <v>19103037</v>
      </c>
      <c r="N296" s="107"/>
      <c r="O296" s="107"/>
      <c r="P296" s="107"/>
      <c r="Q296" s="117">
        <f>SUBTOTAL(9,Q288:Q295)</f>
        <v>-1910303.7</v>
      </c>
      <c r="R296" s="93"/>
      <c r="S296" s="84"/>
      <c r="T296" s="93"/>
      <c r="U296" s="189"/>
      <c r="V296" s="23"/>
      <c r="W296" s="23"/>
    </row>
    <row r="297" spans="1:23" ht="15.75">
      <c r="A297" s="23"/>
      <c r="C297" s="81"/>
      <c r="G297" s="25"/>
      <c r="I297" s="188"/>
      <c r="K297" s="118"/>
      <c r="L297" s="93"/>
      <c r="M297" s="120"/>
      <c r="N297" s="120"/>
      <c r="O297" s="120"/>
      <c r="P297" s="120"/>
      <c r="Q297" s="120"/>
      <c r="R297" s="93"/>
      <c r="S297" s="49"/>
      <c r="U297" s="193"/>
      <c r="V297" s="23"/>
      <c r="W297" s="23"/>
    </row>
    <row r="298" spans="1:23" ht="16.5" thickBot="1">
      <c r="A298" s="23"/>
      <c r="C298" s="81" t="s">
        <v>141</v>
      </c>
      <c r="G298" s="25"/>
      <c r="I298" s="188"/>
      <c r="K298" s="121">
        <f>SUBTOTAL(9,K15:K297)</f>
        <v>4037004423.8900018</v>
      </c>
      <c r="L298" s="93"/>
      <c r="M298" s="194">
        <f>SUBTOTAL(9,M15:M297)</f>
        <v>1539337386.8800001</v>
      </c>
      <c r="N298" s="120"/>
      <c r="O298" s="194">
        <f>SUBTOTAL(9,O15:O297)</f>
        <v>2791498957</v>
      </c>
      <c r="P298" s="120"/>
      <c r="Q298" s="194">
        <f>SUBTOTAL(9,Q15:Q297)</f>
        <v>108382030.08622558</v>
      </c>
      <c r="R298" s="93"/>
      <c r="S298" s="84">
        <f>+ROUND(Q298/K298*100,2)</f>
        <v>2.68</v>
      </c>
      <c r="T298" s="93"/>
      <c r="U298" s="189"/>
      <c r="V298" s="23"/>
      <c r="W298" s="23"/>
    </row>
    <row r="299" spans="1:23" ht="16.5" thickTop="1">
      <c r="A299" s="23"/>
      <c r="C299" s="93"/>
      <c r="G299" s="25"/>
      <c r="I299" s="188"/>
      <c r="K299" s="118"/>
      <c r="L299" s="93"/>
      <c r="M299" s="120"/>
      <c r="N299" s="120"/>
      <c r="O299" s="120"/>
      <c r="P299" s="120"/>
      <c r="Q299" s="120"/>
      <c r="R299" s="93"/>
      <c r="S299" s="49"/>
      <c r="U299" s="193"/>
      <c r="V299" s="23"/>
      <c r="W299" s="23"/>
    </row>
    <row r="300" spans="1:23" ht="15.75">
      <c r="A300" s="23"/>
      <c r="C300" s="124" t="s">
        <v>142</v>
      </c>
      <c r="G300" s="25"/>
      <c r="I300" s="188"/>
      <c r="K300" s="118"/>
      <c r="L300" s="93"/>
      <c r="M300" s="120"/>
      <c r="N300" s="120"/>
      <c r="O300" s="120"/>
      <c r="P300" s="120"/>
      <c r="Q300" s="120"/>
      <c r="R300" s="93"/>
      <c r="S300" s="49"/>
      <c r="U300" s="193"/>
      <c r="V300" s="23"/>
      <c r="W300" s="23"/>
    </row>
    <row r="301" spans="1:23" ht="15.75">
      <c r="A301" s="23"/>
      <c r="C301" s="93"/>
      <c r="G301" s="25"/>
      <c r="I301" s="188"/>
      <c r="K301" s="118"/>
      <c r="L301" s="93"/>
      <c r="M301" s="120"/>
      <c r="N301" s="120"/>
      <c r="O301" s="120"/>
      <c r="P301" s="120"/>
      <c r="Q301" s="120"/>
      <c r="R301" s="93"/>
      <c r="S301" s="49"/>
      <c r="U301" s="193"/>
      <c r="V301" s="23"/>
      <c r="W301" s="23"/>
    </row>
    <row r="302" spans="1:23" ht="15.75">
      <c r="A302" s="80">
        <v>301</v>
      </c>
      <c r="C302" s="19" t="s">
        <v>143</v>
      </c>
      <c r="G302" s="25"/>
      <c r="I302" s="188"/>
      <c r="K302" s="87">
        <v>5040.43</v>
      </c>
      <c r="L302" s="19"/>
      <c r="M302" s="89"/>
      <c r="N302" s="120"/>
      <c r="O302" s="120"/>
      <c r="P302" s="120"/>
      <c r="Q302" s="120"/>
      <c r="R302" s="93"/>
      <c r="S302" s="49"/>
      <c r="U302" s="193"/>
      <c r="V302" s="23"/>
      <c r="W302" s="23"/>
    </row>
    <row r="303" spans="1:23" ht="15.75">
      <c r="A303" s="109">
        <v>310</v>
      </c>
      <c r="B303" s="37"/>
      <c r="C303" s="50" t="s">
        <v>144</v>
      </c>
      <c r="D303" s="37"/>
      <c r="E303" s="37"/>
      <c r="F303" s="37"/>
      <c r="G303" s="169"/>
      <c r="H303" s="37"/>
      <c r="I303" s="170"/>
      <c r="J303" s="37"/>
      <c r="K303" s="55">
        <v>6916766.1399999997</v>
      </c>
      <c r="L303" s="19"/>
      <c r="M303" s="89"/>
      <c r="N303" s="120"/>
      <c r="O303" s="120"/>
      <c r="P303" s="120"/>
      <c r="Q303" s="120"/>
      <c r="R303" s="93"/>
      <c r="S303" s="49"/>
      <c r="U303" s="193"/>
      <c r="V303" s="23"/>
      <c r="W303" s="23"/>
    </row>
    <row r="304" spans="1:23" ht="15.75">
      <c r="A304" s="80">
        <v>340</v>
      </c>
      <c r="C304" s="19" t="s">
        <v>144</v>
      </c>
      <c r="G304" s="25"/>
      <c r="I304" s="188"/>
      <c r="K304" s="87">
        <v>5964035.6900000004</v>
      </c>
      <c r="L304" s="19"/>
      <c r="M304" s="89"/>
      <c r="N304" s="120"/>
      <c r="O304" s="120"/>
      <c r="P304" s="120"/>
      <c r="Q304" s="120"/>
      <c r="R304" s="93"/>
      <c r="S304" s="49"/>
      <c r="U304" s="193"/>
      <c r="V304" s="23"/>
      <c r="W304" s="23"/>
    </row>
    <row r="305" spans="1:23" ht="15.75">
      <c r="A305" s="80">
        <v>350</v>
      </c>
      <c r="C305" s="19" t="s">
        <v>144</v>
      </c>
      <c r="G305" s="25"/>
      <c r="I305" s="188"/>
      <c r="K305" s="87">
        <v>5771527.6600000001</v>
      </c>
      <c r="L305" s="19"/>
      <c r="M305" s="89"/>
      <c r="N305" s="120"/>
      <c r="O305" s="120"/>
      <c r="P305" s="120"/>
      <c r="Q305" s="120"/>
      <c r="R305" s="93"/>
      <c r="S305" s="49"/>
      <c r="U305" s="193"/>
      <c r="V305" s="23"/>
      <c r="W305" s="23"/>
    </row>
    <row r="306" spans="1:23" ht="15.75">
      <c r="A306" s="80">
        <v>350.1</v>
      </c>
      <c r="C306" s="19" t="s">
        <v>46</v>
      </c>
      <c r="G306" s="25"/>
      <c r="I306" s="188"/>
      <c r="K306" s="87">
        <v>55719148.420000002</v>
      </c>
      <c r="L306" s="19"/>
      <c r="M306" s="89"/>
      <c r="N306" s="120"/>
      <c r="O306" s="120"/>
      <c r="P306" s="120"/>
      <c r="Q306" s="120"/>
      <c r="R306" s="93"/>
      <c r="S306" s="49"/>
      <c r="U306" s="193"/>
      <c r="V306" s="23"/>
      <c r="W306" s="23"/>
    </row>
    <row r="307" spans="1:23" ht="15.75">
      <c r="A307" s="80">
        <v>360</v>
      </c>
      <c r="C307" s="19" t="s">
        <v>144</v>
      </c>
      <c r="G307" s="25"/>
      <c r="I307" s="188"/>
      <c r="K307" s="87">
        <v>10115251.35</v>
      </c>
      <c r="L307" s="19"/>
      <c r="M307" s="89"/>
      <c r="N307" s="120"/>
      <c r="O307" s="120"/>
      <c r="P307" s="120"/>
      <c r="Q307" s="120"/>
      <c r="R307" s="93"/>
      <c r="S307" s="49"/>
      <c r="U307" s="193"/>
      <c r="V307" s="23"/>
      <c r="W307" s="23"/>
    </row>
    <row r="308" spans="1:23" ht="15.75">
      <c r="A308" s="80">
        <v>389</v>
      </c>
      <c r="C308" s="19" t="s">
        <v>144</v>
      </c>
      <c r="G308" s="25"/>
      <c r="I308" s="188"/>
      <c r="K308" s="87">
        <v>1381311.62</v>
      </c>
      <c r="L308" s="19"/>
      <c r="M308" s="27"/>
      <c r="N308" s="120"/>
      <c r="O308" s="120"/>
      <c r="P308" s="120"/>
      <c r="Q308" s="120"/>
      <c r="R308" s="93"/>
      <c r="S308" s="49"/>
      <c r="U308" s="193"/>
      <c r="V308" s="23"/>
      <c r="W308" s="23"/>
    </row>
    <row r="309" spans="1:23" ht="15.75">
      <c r="A309" s="80">
        <v>389.1</v>
      </c>
      <c r="C309" s="19" t="s">
        <v>46</v>
      </c>
      <c r="G309" s="25"/>
      <c r="I309" s="188"/>
      <c r="K309" s="75">
        <v>454290.88</v>
      </c>
      <c r="L309" s="19"/>
      <c r="M309" s="27"/>
      <c r="N309" s="120"/>
      <c r="O309" s="120"/>
      <c r="P309" s="120"/>
      <c r="Q309" s="120"/>
      <c r="R309" s="93"/>
      <c r="S309" s="49"/>
      <c r="U309" s="193"/>
      <c r="V309" s="23"/>
      <c r="W309" s="23"/>
    </row>
    <row r="310" spans="1:23" ht="15.75">
      <c r="A310" s="23"/>
      <c r="C310" s="93"/>
      <c r="G310" s="25"/>
      <c r="I310" s="188"/>
      <c r="K310" s="118"/>
      <c r="L310" s="93"/>
      <c r="M310" s="104"/>
      <c r="N310" s="120"/>
      <c r="O310" s="104"/>
      <c r="P310" s="104"/>
      <c r="Q310" s="104"/>
      <c r="R310" s="93"/>
      <c r="S310" s="49"/>
      <c r="U310" s="193"/>
      <c r="V310" s="23"/>
      <c r="W310" s="23"/>
    </row>
    <row r="311" spans="1:23" ht="15.75">
      <c r="A311" s="23"/>
      <c r="C311" s="81" t="s">
        <v>145</v>
      </c>
      <c r="G311" s="25"/>
      <c r="I311" s="188"/>
      <c r="K311" s="82">
        <f>SUBTOTAL(9,K302:K310)</f>
        <v>86327372.189999998</v>
      </c>
      <c r="L311" s="93"/>
      <c r="M311" s="104"/>
      <c r="N311" s="120"/>
      <c r="O311" s="104"/>
      <c r="P311" s="104"/>
      <c r="Q311" s="104"/>
      <c r="R311" s="93"/>
      <c r="S311" s="49"/>
      <c r="U311" s="193"/>
      <c r="V311" s="23"/>
      <c r="W311" s="23"/>
    </row>
    <row r="312" spans="1:23" ht="15.75">
      <c r="A312" s="23"/>
      <c r="C312" s="93"/>
      <c r="G312" s="25"/>
      <c r="I312" s="188"/>
      <c r="K312" s="118"/>
      <c r="L312" s="93"/>
      <c r="M312" s="104"/>
      <c r="N312" s="120"/>
      <c r="O312" s="104"/>
      <c r="P312" s="104"/>
      <c r="Q312" s="104"/>
      <c r="R312" s="93"/>
      <c r="S312" s="49"/>
      <c r="U312" s="193"/>
      <c r="V312" s="23"/>
      <c r="W312" s="23"/>
    </row>
    <row r="313" spans="1:23" ht="16.5" thickBot="1">
      <c r="A313" s="23"/>
      <c r="C313" s="81" t="s">
        <v>146</v>
      </c>
      <c r="G313" s="25"/>
      <c r="I313" s="188"/>
      <c r="K313" s="121">
        <f>SUBTOTAL(9,K15:K312)</f>
        <v>4123331796.0800014</v>
      </c>
      <c r="L313" s="93"/>
      <c r="M313" s="104"/>
      <c r="N313" s="120"/>
      <c r="O313" s="104"/>
      <c r="P313" s="104"/>
      <c r="Q313" s="104"/>
      <c r="R313" s="93"/>
      <c r="S313" s="49"/>
      <c r="U313" s="193"/>
      <c r="V313" s="23"/>
      <c r="W313" s="23"/>
    </row>
    <row r="314" spans="1:23" ht="16.5" thickTop="1">
      <c r="A314" s="23"/>
      <c r="C314" s="81"/>
      <c r="G314" s="25"/>
      <c r="I314" s="188"/>
      <c r="K314" s="87"/>
      <c r="L314" s="93"/>
      <c r="M314" s="104"/>
      <c r="N314" s="120"/>
      <c r="O314" s="104"/>
      <c r="P314" s="104"/>
      <c r="Q314" s="104"/>
      <c r="R314" s="93"/>
      <c r="S314" s="49"/>
      <c r="U314" s="193"/>
      <c r="V314" s="23"/>
      <c r="W314" s="23"/>
    </row>
    <row r="315" spans="1:23">
      <c r="B315" s="195" t="s">
        <v>181</v>
      </c>
      <c r="C315" s="50" t="s">
        <v>212</v>
      </c>
      <c r="O315" s="196"/>
      <c r="P315" s="196"/>
      <c r="Q315" s="196"/>
    </row>
    <row r="316" spans="1:23">
      <c r="B316" s="195" t="s">
        <v>209</v>
      </c>
      <c r="C316" s="112" t="s">
        <v>213</v>
      </c>
    </row>
    <row r="317" spans="1:23">
      <c r="B317" s="197" t="s">
        <v>211</v>
      </c>
      <c r="C317" s="19" t="s">
        <v>214</v>
      </c>
    </row>
  </sheetData>
  <printOptions horizontalCentered="1"/>
  <pageMargins left="1" right="0.5" top="1" bottom="0.75" header="0.5" footer="0.5"/>
  <pageSetup scale="28" fitToHeight="0" orientation="landscape" r:id="rId1"/>
  <rowBreaks count="4" manualBreakCount="4">
    <brk id="67" max="20" man="1"/>
    <brk id="133" max="20" man="1"/>
    <brk id="204" max="20" man="1"/>
    <brk id="269"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7"/>
  <sheetViews>
    <sheetView zoomScale="64" zoomScaleNormal="64" workbookViewId="0">
      <pane xSplit="4" ySplit="9" topLeftCell="N178" activePane="bottomRight" state="frozen"/>
      <selection pane="topRight" activeCell="E1" sqref="E1"/>
      <selection pane="bottomLeft" activeCell="A10" sqref="A10"/>
      <selection pane="bottomRight" activeCell="S99" sqref="S99"/>
    </sheetView>
  </sheetViews>
  <sheetFormatPr defaultColWidth="12.5703125" defaultRowHeight="15"/>
  <cols>
    <col min="1" max="1" width="10" style="18" customWidth="1"/>
    <col min="2" max="2" width="3.7109375" style="18" customWidth="1"/>
    <col min="3" max="3" width="77.7109375" style="18" customWidth="1"/>
    <col min="4" max="4" width="3.5703125" style="18" customWidth="1"/>
    <col min="5" max="5" width="23.28515625" style="18" customWidth="1"/>
    <col min="6" max="6" width="3.5703125" style="18" customWidth="1"/>
    <col min="7" max="7" width="18.140625" style="18" customWidth="1"/>
    <col min="8" max="8" width="3.7109375" style="18" customWidth="1"/>
    <col min="9" max="9" width="19" style="175" customWidth="1"/>
    <col min="10" max="10" width="3.5703125" style="18" customWidth="1"/>
    <col min="11" max="11" width="29.7109375" style="18" customWidth="1"/>
    <col min="12" max="12" width="3.5703125" style="18" customWidth="1"/>
    <col min="13" max="13" width="29" style="20" customWidth="1"/>
    <col min="14" max="14" width="3.5703125" style="20" customWidth="1"/>
    <col min="15" max="15" width="30.5703125" style="20" customWidth="1"/>
    <col min="16" max="16" width="3.5703125" style="20" customWidth="1"/>
    <col min="17" max="17" width="27.28515625" style="20" customWidth="1"/>
    <col min="18" max="18" width="4.28515625" style="18" customWidth="1"/>
    <col min="19" max="19" width="20.7109375" style="18" customWidth="1"/>
    <col min="20" max="20" width="3.5703125" style="18" customWidth="1"/>
    <col min="21" max="21" width="19.5703125" style="18" customWidth="1"/>
    <col min="22" max="22" width="12.5703125" style="18"/>
    <col min="23" max="23" width="15.28515625" style="18" customWidth="1"/>
    <col min="24" max="24" width="12.5703125" style="18"/>
    <col min="25" max="25" width="15.42578125" style="18" customWidth="1"/>
    <col min="26" max="26" width="12.5703125" style="18"/>
    <col min="27" max="27" width="16.42578125" style="18" customWidth="1"/>
    <col min="28" max="16384" width="12.5703125" style="18"/>
  </cols>
  <sheetData>
    <row r="1" spans="1:27" ht="15.75">
      <c r="A1" s="153" t="s">
        <v>148</v>
      </c>
      <c r="B1" s="153"/>
      <c r="C1" s="153"/>
      <c r="D1" s="153"/>
      <c r="E1" s="153"/>
      <c r="F1" s="153"/>
      <c r="G1" s="153"/>
      <c r="H1" s="153"/>
      <c r="I1" s="154"/>
      <c r="J1" s="153"/>
      <c r="K1" s="153"/>
      <c r="L1" s="153"/>
      <c r="M1" s="153"/>
      <c r="N1" s="153"/>
      <c r="O1" s="153"/>
      <c r="P1" s="153"/>
      <c r="Q1" s="153"/>
      <c r="R1" s="153"/>
      <c r="S1" s="153"/>
      <c r="T1" s="153"/>
      <c r="U1" s="153"/>
      <c r="V1" s="23"/>
      <c r="W1" s="23"/>
    </row>
    <row r="2" spans="1:27" ht="15.75">
      <c r="A2" s="153"/>
      <c r="B2" s="153"/>
      <c r="C2" s="153"/>
      <c r="D2" s="153"/>
      <c r="E2" s="153"/>
      <c r="F2" s="153"/>
      <c r="G2" s="153"/>
      <c r="H2" s="153"/>
      <c r="I2" s="154"/>
      <c r="J2" s="153"/>
      <c r="K2" s="153"/>
      <c r="L2" s="153"/>
      <c r="M2" s="153"/>
      <c r="N2" s="153"/>
      <c r="O2" s="153"/>
      <c r="P2" s="153"/>
      <c r="Q2" s="153"/>
      <c r="R2" s="153"/>
      <c r="S2" s="153"/>
      <c r="T2" s="153"/>
      <c r="U2" s="153"/>
      <c r="V2" s="23"/>
      <c r="W2" s="23"/>
    </row>
    <row r="3" spans="1:27" ht="15.75">
      <c r="A3" s="153" t="s">
        <v>149</v>
      </c>
      <c r="B3" s="153"/>
      <c r="C3" s="153"/>
      <c r="D3" s="153"/>
      <c r="E3" s="153"/>
      <c r="F3" s="153"/>
      <c r="G3" s="153"/>
      <c r="H3" s="153"/>
      <c r="I3" s="154"/>
      <c r="J3" s="153"/>
      <c r="K3" s="153"/>
      <c r="L3" s="153"/>
      <c r="M3" s="153"/>
      <c r="N3" s="153"/>
      <c r="O3" s="153"/>
      <c r="P3" s="153"/>
      <c r="Q3" s="153"/>
      <c r="R3" s="153"/>
      <c r="S3" s="153"/>
      <c r="T3" s="153"/>
      <c r="U3" s="153"/>
      <c r="V3" s="23"/>
      <c r="W3" s="23"/>
    </row>
    <row r="4" spans="1:27" ht="15.75">
      <c r="A4" s="153" t="s">
        <v>150</v>
      </c>
      <c r="B4" s="153"/>
      <c r="C4" s="153"/>
      <c r="D4" s="153"/>
      <c r="E4" s="153"/>
      <c r="F4" s="153"/>
      <c r="G4" s="153"/>
      <c r="H4" s="153"/>
      <c r="I4" s="154"/>
      <c r="J4" s="153"/>
      <c r="K4" s="153"/>
      <c r="L4" s="153"/>
      <c r="M4" s="153"/>
      <c r="N4" s="153"/>
      <c r="O4" s="153"/>
      <c r="P4" s="153"/>
      <c r="Q4" s="153"/>
      <c r="R4" s="153"/>
      <c r="S4" s="153"/>
      <c r="T4" s="153"/>
      <c r="U4" s="153"/>
      <c r="V4" s="23"/>
      <c r="W4" s="23"/>
    </row>
    <row r="5" spans="1:27" ht="15.75">
      <c r="A5" s="21"/>
      <c r="B5" s="22"/>
      <c r="C5" s="22"/>
      <c r="D5" s="22"/>
      <c r="E5" s="22"/>
      <c r="F5" s="22"/>
      <c r="G5" s="22"/>
      <c r="H5" s="22"/>
      <c r="I5" s="155"/>
      <c r="J5" s="22"/>
      <c r="K5" s="22"/>
      <c r="L5" s="22"/>
      <c r="M5" s="156"/>
      <c r="N5" s="156"/>
      <c r="O5" s="156"/>
      <c r="P5" s="156"/>
      <c r="V5" s="23"/>
      <c r="W5" s="201" t="s">
        <v>746</v>
      </c>
      <c r="X5" s="207"/>
      <c r="Y5" s="201" t="s">
        <v>164</v>
      </c>
      <c r="Z5" s="207"/>
      <c r="AA5" s="201" t="s">
        <v>746</v>
      </c>
    </row>
    <row r="6" spans="1:27" ht="15.75">
      <c r="A6" s="23"/>
      <c r="B6" s="93"/>
      <c r="C6" s="24"/>
      <c r="D6" s="28"/>
      <c r="E6" s="157" t="s">
        <v>151</v>
      </c>
      <c r="F6" s="28"/>
      <c r="G6" s="28"/>
      <c r="H6" s="28"/>
      <c r="I6" s="158" t="s">
        <v>152</v>
      </c>
      <c r="J6" s="28"/>
      <c r="K6" s="28" t="s">
        <v>153</v>
      </c>
      <c r="L6" s="28"/>
      <c r="M6" s="36" t="s">
        <v>154</v>
      </c>
      <c r="N6" s="36"/>
      <c r="O6" s="36"/>
      <c r="P6" s="36"/>
      <c r="Q6" s="159" t="s">
        <v>155</v>
      </c>
      <c r="R6" s="160"/>
      <c r="S6" s="160"/>
      <c r="T6" s="25"/>
      <c r="U6" s="28"/>
      <c r="V6" s="23"/>
      <c r="W6" s="201" t="s">
        <v>747</v>
      </c>
      <c r="X6" s="207"/>
      <c r="Y6" s="201" t="s">
        <v>173</v>
      </c>
      <c r="Z6" s="207"/>
      <c r="AA6" s="201" t="s">
        <v>747</v>
      </c>
    </row>
    <row r="7" spans="1:27" ht="15.75">
      <c r="A7" s="23"/>
      <c r="B7" s="93"/>
      <c r="C7" s="28"/>
      <c r="D7" s="28"/>
      <c r="E7" s="157" t="s">
        <v>157</v>
      </c>
      <c r="F7" s="28"/>
      <c r="G7" s="28" t="s">
        <v>158</v>
      </c>
      <c r="H7" s="28"/>
      <c r="I7" s="158" t="s">
        <v>159</v>
      </c>
      <c r="J7" s="28"/>
      <c r="K7" s="28" t="s">
        <v>160</v>
      </c>
      <c r="L7" s="28"/>
      <c r="M7" s="36" t="s">
        <v>161</v>
      </c>
      <c r="N7" s="36"/>
      <c r="O7" s="36" t="s">
        <v>162</v>
      </c>
      <c r="P7" s="36"/>
      <c r="Q7" s="161" t="s">
        <v>163</v>
      </c>
      <c r="R7" s="162"/>
      <c r="S7" s="163"/>
      <c r="T7" s="25"/>
      <c r="U7" s="28" t="s">
        <v>164</v>
      </c>
      <c r="V7" s="23"/>
      <c r="W7" s="201" t="s">
        <v>164</v>
      </c>
      <c r="X7" s="207"/>
      <c r="Y7" s="201" t="s">
        <v>218</v>
      </c>
      <c r="Z7" s="207"/>
      <c r="AA7" s="201" t="s">
        <v>164</v>
      </c>
    </row>
    <row r="8" spans="1:27" ht="15.75">
      <c r="A8" s="23"/>
      <c r="B8" s="93"/>
      <c r="C8" s="28" t="s">
        <v>36</v>
      </c>
      <c r="D8" s="28"/>
      <c r="E8" s="164" t="s">
        <v>165</v>
      </c>
      <c r="F8" s="28"/>
      <c r="G8" s="28" t="s">
        <v>166</v>
      </c>
      <c r="H8" s="28"/>
      <c r="I8" s="158" t="s">
        <v>167</v>
      </c>
      <c r="J8" s="28"/>
      <c r="K8" s="165" t="s">
        <v>168</v>
      </c>
      <c r="L8" s="28"/>
      <c r="M8" s="36" t="s">
        <v>169</v>
      </c>
      <c r="N8" s="36"/>
      <c r="O8" s="36" t="s">
        <v>170</v>
      </c>
      <c r="P8" s="36"/>
      <c r="Q8" s="36" t="s">
        <v>171</v>
      </c>
      <c r="R8" s="28"/>
      <c r="S8" s="24" t="s">
        <v>172</v>
      </c>
      <c r="T8" s="25"/>
      <c r="U8" s="28" t="s">
        <v>173</v>
      </c>
      <c r="V8" s="23"/>
      <c r="W8" s="201" t="s">
        <v>173</v>
      </c>
      <c r="X8" s="207"/>
      <c r="Y8" s="201" t="s">
        <v>219</v>
      </c>
      <c r="Z8" s="207"/>
      <c r="AA8" s="201" t="s">
        <v>173</v>
      </c>
    </row>
    <row r="9" spans="1:27" ht="15.75">
      <c r="A9" s="23"/>
      <c r="B9" s="93"/>
      <c r="C9" s="166">
        <v>-1</v>
      </c>
      <c r="D9" s="35"/>
      <c r="E9" s="166">
        <v>-2</v>
      </c>
      <c r="F9" s="35"/>
      <c r="G9" s="167">
        <v>-3</v>
      </c>
      <c r="H9" s="35"/>
      <c r="I9" s="166">
        <v>-4</v>
      </c>
      <c r="J9" s="35"/>
      <c r="K9" s="166">
        <v>-5</v>
      </c>
      <c r="L9" s="36"/>
      <c r="M9" s="166">
        <v>-6</v>
      </c>
      <c r="N9" s="36"/>
      <c r="O9" s="166">
        <v>-7</v>
      </c>
      <c r="P9" s="36"/>
      <c r="Q9" s="166">
        <v>-8</v>
      </c>
      <c r="R9" s="35"/>
      <c r="S9" s="168" t="s">
        <v>174</v>
      </c>
      <c r="U9" s="168" t="s">
        <v>175</v>
      </c>
      <c r="V9" s="23"/>
      <c r="W9" s="201"/>
      <c r="X9" s="207"/>
      <c r="Y9" s="207"/>
      <c r="Z9" s="207"/>
      <c r="AA9" s="201"/>
    </row>
    <row r="10" spans="1:27" ht="15.75">
      <c r="A10" s="23"/>
      <c r="B10" s="93"/>
      <c r="C10" s="35"/>
      <c r="D10" s="35"/>
      <c r="E10" s="35"/>
      <c r="F10" s="35"/>
      <c r="G10" s="35"/>
      <c r="H10" s="35"/>
      <c r="I10" s="158"/>
      <c r="J10" s="35"/>
      <c r="K10" s="35"/>
      <c r="L10" s="35"/>
      <c r="M10" s="36"/>
      <c r="N10" s="36"/>
      <c r="O10" s="36"/>
      <c r="P10" s="36"/>
      <c r="Q10" s="36"/>
      <c r="R10" s="35"/>
      <c r="S10" s="35"/>
      <c r="U10" s="35"/>
      <c r="V10" s="23"/>
      <c r="W10" s="201"/>
      <c r="X10" s="207"/>
      <c r="Y10" s="207"/>
      <c r="Z10" s="207"/>
      <c r="AA10" s="201"/>
    </row>
    <row r="11" spans="1:27" ht="15.75">
      <c r="A11" s="23"/>
      <c r="B11" s="93"/>
      <c r="C11" s="34" t="s">
        <v>176</v>
      </c>
      <c r="D11" s="35"/>
      <c r="E11" s="35"/>
      <c r="F11" s="35"/>
      <c r="G11" s="35"/>
      <c r="H11" s="35"/>
      <c r="I11" s="158"/>
      <c r="J11" s="35"/>
      <c r="K11" s="35"/>
      <c r="L11" s="35"/>
      <c r="M11" s="36"/>
      <c r="N11" s="36"/>
      <c r="O11" s="36"/>
      <c r="P11" s="36"/>
      <c r="Q11" s="36"/>
      <c r="R11" s="35"/>
      <c r="S11" s="35"/>
      <c r="U11" s="35"/>
      <c r="V11" s="23"/>
      <c r="W11" s="202"/>
      <c r="X11" s="207"/>
      <c r="Y11" s="207"/>
      <c r="Z11" s="207"/>
      <c r="AA11" s="202"/>
    </row>
    <row r="12" spans="1:27" ht="15.75">
      <c r="A12" s="23"/>
      <c r="B12" s="93"/>
      <c r="C12" s="34"/>
      <c r="D12" s="35"/>
      <c r="E12" s="35"/>
      <c r="F12" s="35"/>
      <c r="G12" s="35"/>
      <c r="H12" s="35"/>
      <c r="I12" s="158"/>
      <c r="J12" s="35"/>
      <c r="K12" s="35"/>
      <c r="L12" s="35"/>
      <c r="M12" s="36"/>
      <c r="N12" s="36"/>
      <c r="O12" s="36"/>
      <c r="P12" s="36"/>
      <c r="Q12" s="36"/>
      <c r="R12" s="35"/>
      <c r="S12" s="35"/>
      <c r="U12" s="35"/>
      <c r="V12" s="23"/>
      <c r="W12" s="202"/>
      <c r="X12" s="207"/>
      <c r="Y12" s="207"/>
      <c r="Z12" s="207"/>
      <c r="AA12" s="202"/>
    </row>
    <row r="13" spans="1:27" ht="15.75">
      <c r="A13" s="37"/>
      <c r="B13" s="42"/>
      <c r="C13" s="38" t="s">
        <v>43</v>
      </c>
      <c r="D13" s="35"/>
      <c r="E13" s="35"/>
      <c r="F13" s="35"/>
      <c r="G13" s="35"/>
      <c r="H13" s="35"/>
      <c r="I13" s="158"/>
      <c r="J13" s="35"/>
      <c r="K13" s="35"/>
      <c r="L13" s="35"/>
      <c r="M13" s="36"/>
      <c r="N13" s="36"/>
      <c r="O13" s="36"/>
      <c r="P13" s="36"/>
      <c r="Q13" s="36"/>
      <c r="R13" s="35"/>
      <c r="S13" s="35"/>
      <c r="U13" s="35"/>
      <c r="V13" s="23"/>
      <c r="W13" s="202"/>
      <c r="X13" s="207"/>
      <c r="Y13" s="207"/>
      <c r="Z13" s="207"/>
      <c r="AA13" s="202"/>
    </row>
    <row r="14" spans="1:27" ht="15.75">
      <c r="A14" s="37"/>
      <c r="B14" s="42"/>
      <c r="C14" s="39"/>
      <c r="D14" s="35"/>
      <c r="E14" s="35"/>
      <c r="F14" s="35"/>
      <c r="G14" s="35"/>
      <c r="H14" s="35"/>
      <c r="I14" s="158"/>
      <c r="J14" s="35"/>
      <c r="K14" s="35"/>
      <c r="L14" s="35"/>
      <c r="M14" s="36"/>
      <c r="N14" s="36"/>
      <c r="O14" s="36"/>
      <c r="P14" s="36"/>
      <c r="Q14" s="36"/>
      <c r="R14" s="35"/>
      <c r="S14" s="35"/>
      <c r="U14" s="35"/>
      <c r="V14" s="23"/>
      <c r="W14" s="202"/>
      <c r="X14" s="207"/>
      <c r="Y14" s="207"/>
      <c r="Z14" s="207"/>
      <c r="AA14" s="202"/>
    </row>
    <row r="15" spans="1:27" ht="15.75">
      <c r="A15" s="41">
        <v>303</v>
      </c>
      <c r="B15" s="50"/>
      <c r="C15" s="50" t="s">
        <v>44</v>
      </c>
      <c r="D15" s="35"/>
      <c r="E15" s="35"/>
      <c r="F15" s="35"/>
      <c r="G15" s="169" t="s">
        <v>177</v>
      </c>
      <c r="H15" s="169" t="s">
        <v>178</v>
      </c>
      <c r="I15" s="170">
        <v>0</v>
      </c>
      <c r="J15" s="50"/>
      <c r="K15" s="60">
        <v>2333311.0499999998</v>
      </c>
      <c r="L15" s="171"/>
      <c r="M15" s="62">
        <v>1134520</v>
      </c>
      <c r="N15" s="57"/>
      <c r="O15" s="205">
        <f>ROUND((K15+(K15*-(I15/100)))-M15,0)</f>
        <v>1198791</v>
      </c>
      <c r="P15" s="57"/>
      <c r="Q15" s="62">
        <v>266398</v>
      </c>
      <c r="R15" s="50"/>
      <c r="S15" s="58">
        <v>11.42</v>
      </c>
      <c r="T15" s="50"/>
      <c r="U15" s="172">
        <v>4.5</v>
      </c>
      <c r="V15" s="23"/>
      <c r="W15" s="202"/>
      <c r="X15" s="207"/>
      <c r="Y15" s="207"/>
      <c r="Z15" s="207"/>
      <c r="AA15" s="202"/>
    </row>
    <row r="16" spans="1:27" ht="15.75">
      <c r="A16" s="37"/>
      <c r="B16" s="42"/>
      <c r="C16" s="39"/>
      <c r="D16" s="35"/>
      <c r="E16" s="35"/>
      <c r="F16" s="35"/>
      <c r="G16" s="35"/>
      <c r="H16" s="35"/>
      <c r="I16" s="158"/>
      <c r="J16" s="35"/>
      <c r="K16" s="35"/>
      <c r="L16" s="35"/>
      <c r="M16" s="36"/>
      <c r="N16" s="36"/>
      <c r="O16" s="36"/>
      <c r="P16" s="36"/>
      <c r="Q16" s="36"/>
      <c r="R16" s="35"/>
      <c r="S16" s="35"/>
      <c r="U16" s="35"/>
      <c r="V16" s="23"/>
      <c r="W16" s="202"/>
      <c r="X16" s="207"/>
      <c r="Y16" s="207"/>
      <c r="Z16" s="207"/>
      <c r="AA16" s="202"/>
    </row>
    <row r="17" spans="1:27" ht="15.75">
      <c r="A17" s="37"/>
      <c r="B17" s="42"/>
      <c r="C17" s="108" t="s">
        <v>179</v>
      </c>
      <c r="D17" s="35"/>
      <c r="E17" s="35"/>
      <c r="F17" s="35"/>
      <c r="G17" s="35"/>
      <c r="H17" s="35"/>
      <c r="I17" s="158"/>
      <c r="J17" s="35"/>
      <c r="K17" s="105">
        <f>SUBTOTAL(9,K15:K16)</f>
        <v>2333311.0499999998</v>
      </c>
      <c r="L17" s="173"/>
      <c r="M17" s="174">
        <f>SUBTOTAL(9,M15:M16)</f>
        <v>1134520</v>
      </c>
      <c r="N17" s="174"/>
      <c r="O17" s="174">
        <f>SUBTOTAL(9,O15:O16)</f>
        <v>1198791</v>
      </c>
      <c r="P17" s="174"/>
      <c r="Q17" s="174">
        <f>SUBTOTAL(9,Q15:Q16)</f>
        <v>266398</v>
      </c>
      <c r="R17" s="42"/>
      <c r="S17" s="43">
        <f>+ROUND(Q17/K17*100,2)</f>
        <v>11.42</v>
      </c>
      <c r="U17" s="35"/>
      <c r="V17" s="23"/>
      <c r="W17" s="202"/>
      <c r="X17" s="207"/>
      <c r="Y17" s="207"/>
      <c r="Z17" s="207"/>
      <c r="AA17" s="202"/>
    </row>
    <row r="18" spans="1:27" ht="15.75">
      <c r="A18" s="23"/>
      <c r="B18" s="93"/>
      <c r="C18" s="35"/>
      <c r="D18" s="35"/>
      <c r="E18" s="35"/>
      <c r="F18" s="35"/>
      <c r="G18" s="35"/>
      <c r="H18" s="35"/>
      <c r="I18" s="158"/>
      <c r="J18" s="35"/>
      <c r="K18" s="35"/>
      <c r="L18" s="35"/>
      <c r="M18" s="36"/>
      <c r="N18" s="36"/>
      <c r="O18" s="36"/>
      <c r="P18" s="36"/>
      <c r="Q18" s="36"/>
      <c r="R18" s="35"/>
      <c r="S18" s="35"/>
      <c r="U18" s="35"/>
      <c r="V18" s="23"/>
      <c r="W18" s="202"/>
      <c r="X18" s="207"/>
      <c r="Y18" s="207"/>
      <c r="Z18" s="207"/>
      <c r="AA18" s="202"/>
    </row>
    <row r="19" spans="1:27" ht="15.75">
      <c r="A19" s="23"/>
      <c r="C19" s="24" t="s">
        <v>45</v>
      </c>
      <c r="M19" s="46"/>
      <c r="N19" s="46"/>
      <c r="O19" s="46"/>
      <c r="P19" s="46"/>
      <c r="Q19" s="46"/>
      <c r="S19" s="47"/>
      <c r="U19" s="80"/>
      <c r="V19" s="23"/>
      <c r="W19" s="202"/>
      <c r="X19" s="207"/>
      <c r="Y19" s="207"/>
      <c r="Z19" s="207"/>
      <c r="AA19" s="202"/>
    </row>
    <row r="20" spans="1:27" ht="15.75">
      <c r="A20" s="23"/>
      <c r="C20" s="48"/>
      <c r="M20" s="46"/>
      <c r="N20" s="46"/>
      <c r="O20" s="46"/>
      <c r="P20" s="46"/>
      <c r="Q20" s="46"/>
      <c r="S20" s="49"/>
      <c r="U20" s="176"/>
      <c r="V20" s="23"/>
      <c r="W20" s="202"/>
      <c r="X20" s="207"/>
      <c r="Y20" s="207"/>
      <c r="Z20" s="207"/>
      <c r="AA20" s="202"/>
    </row>
    <row r="21" spans="1:27">
      <c r="A21" s="41">
        <v>310.10000000000002</v>
      </c>
      <c r="B21" s="50"/>
      <c r="C21" s="50" t="s">
        <v>46</v>
      </c>
      <c r="D21" s="37"/>
      <c r="E21" s="37"/>
      <c r="F21" s="37"/>
      <c r="G21" s="37"/>
      <c r="H21" s="37"/>
      <c r="I21" s="177"/>
      <c r="J21" s="37"/>
      <c r="K21" s="37"/>
      <c r="L21" s="37"/>
      <c r="M21" s="52"/>
      <c r="N21" s="52"/>
      <c r="O21" s="52"/>
      <c r="P21" s="52"/>
      <c r="Q21" s="52"/>
      <c r="R21" s="37"/>
      <c r="S21" s="53"/>
      <c r="T21" s="37"/>
      <c r="U21" s="178"/>
      <c r="V21" s="23"/>
      <c r="W21" s="202"/>
      <c r="X21" s="207"/>
      <c r="Y21" s="207"/>
      <c r="Z21" s="207"/>
      <c r="AA21" s="202"/>
    </row>
    <row r="22" spans="1:27">
      <c r="A22" s="37"/>
      <c r="B22" s="37"/>
      <c r="C22" s="54" t="s">
        <v>47</v>
      </c>
      <c r="D22" s="50"/>
      <c r="E22" s="169">
        <v>2030</v>
      </c>
      <c r="F22" s="50"/>
      <c r="G22" s="169" t="s">
        <v>180</v>
      </c>
      <c r="H22" s="169" t="s">
        <v>181</v>
      </c>
      <c r="I22" s="170">
        <v>0</v>
      </c>
      <c r="J22" s="50"/>
      <c r="K22" s="55">
        <v>5325571.5599999996</v>
      </c>
      <c r="L22" s="171"/>
      <c r="M22" s="57">
        <v>0</v>
      </c>
      <c r="N22" s="57"/>
      <c r="O22" s="198">
        <f>ROUND((K22+(K22*-(I22/100)))-M22,0)</f>
        <v>5325572</v>
      </c>
      <c r="P22" s="57"/>
      <c r="Q22" s="57">
        <f>O22/U22</f>
        <v>484142.90909090912</v>
      </c>
      <c r="R22" s="50"/>
      <c r="S22" s="58">
        <f>Q22/K22*100</f>
        <v>9.0909098420021817</v>
      </c>
      <c r="T22" s="50"/>
      <c r="U22" s="172">
        <f>AA22</f>
        <v>11</v>
      </c>
      <c r="V22" s="23"/>
      <c r="W22" s="345">
        <f>'Adjust Depr Table 1'!U22</f>
        <v>11</v>
      </c>
      <c r="X22" s="207"/>
      <c r="Y22" s="209"/>
      <c r="Z22" s="207"/>
      <c r="AA22" s="203">
        <f>W22+Y22</f>
        <v>11</v>
      </c>
    </row>
    <row r="23" spans="1:27">
      <c r="A23" s="37"/>
      <c r="B23" s="37"/>
      <c r="C23" s="54" t="s">
        <v>48</v>
      </c>
      <c r="D23" s="50"/>
      <c r="E23" s="169">
        <v>2030</v>
      </c>
      <c r="F23" s="50"/>
      <c r="G23" s="169" t="s">
        <v>180</v>
      </c>
      <c r="H23" s="169" t="s">
        <v>181</v>
      </c>
      <c r="I23" s="170">
        <v>0</v>
      </c>
      <c r="J23" s="50"/>
      <c r="K23" s="55">
        <v>480134.08</v>
      </c>
      <c r="L23" s="171"/>
      <c r="M23" s="57">
        <v>0</v>
      </c>
      <c r="N23" s="57"/>
      <c r="O23" s="198">
        <f>ROUND((K23+(K23*-(I23/100)))-M23,0)</f>
        <v>480134</v>
      </c>
      <c r="P23" s="57"/>
      <c r="Q23" s="57">
        <f>O23/U23</f>
        <v>43648.545454545456</v>
      </c>
      <c r="R23" s="50"/>
      <c r="S23" s="58">
        <f>Q23/K23*100</f>
        <v>9.0909075761806903</v>
      </c>
      <c r="T23" s="50"/>
      <c r="U23" s="172">
        <f>AA23</f>
        <v>11</v>
      </c>
      <c r="V23" s="23"/>
      <c r="W23" s="345">
        <f>'Adjust Depr Table 1'!U23</f>
        <v>11</v>
      </c>
      <c r="X23" s="207"/>
      <c r="Y23" s="209"/>
      <c r="Z23" s="207"/>
      <c r="AA23" s="203">
        <f>W23+Y23</f>
        <v>11</v>
      </c>
    </row>
    <row r="24" spans="1:27">
      <c r="A24" s="37"/>
      <c r="B24" s="37"/>
      <c r="C24" s="54" t="s">
        <v>49</v>
      </c>
      <c r="D24" s="50"/>
      <c r="E24" s="169">
        <v>2049</v>
      </c>
      <c r="F24" s="50"/>
      <c r="G24" s="169" t="s">
        <v>180</v>
      </c>
      <c r="H24" s="169" t="s">
        <v>181</v>
      </c>
      <c r="I24" s="170">
        <v>0</v>
      </c>
      <c r="J24" s="50"/>
      <c r="K24" s="55">
        <v>20170029.309999999</v>
      </c>
      <c r="L24" s="171"/>
      <c r="M24" s="57">
        <v>0</v>
      </c>
      <c r="N24" s="57"/>
      <c r="O24" s="198">
        <f>ROUND((K24+(K24*-(I24/100)))-M24,0)</f>
        <v>20170029</v>
      </c>
      <c r="P24" s="57"/>
      <c r="Q24" s="57">
        <f>O24/U24</f>
        <v>672334.3</v>
      </c>
      <c r="R24" s="50"/>
      <c r="S24" s="74">
        <f>Q24/K24*100</f>
        <v>3.333333282102207</v>
      </c>
      <c r="T24" s="50"/>
      <c r="U24" s="172">
        <f>AA24</f>
        <v>30</v>
      </c>
      <c r="V24" s="23"/>
      <c r="W24" s="345">
        <f>'Adjust Depr Table 1'!U24</f>
        <v>30</v>
      </c>
      <c r="X24" s="207"/>
      <c r="Y24" s="209"/>
      <c r="Z24" s="207"/>
      <c r="AA24" s="203">
        <f>W24+Y24</f>
        <v>30</v>
      </c>
    </row>
    <row r="25" spans="1:27">
      <c r="A25" s="37"/>
      <c r="B25" s="37"/>
      <c r="C25" s="54" t="s">
        <v>50</v>
      </c>
      <c r="D25" s="50"/>
      <c r="E25" s="169">
        <v>2049</v>
      </c>
      <c r="F25" s="50"/>
      <c r="G25" s="169" t="s">
        <v>180</v>
      </c>
      <c r="H25" s="169" t="s">
        <v>181</v>
      </c>
      <c r="I25" s="170">
        <v>0</v>
      </c>
      <c r="J25" s="50"/>
      <c r="K25" s="55">
        <v>1050779.8600000001</v>
      </c>
      <c r="L25" s="171"/>
      <c r="M25" s="57">
        <v>0</v>
      </c>
      <c r="N25" s="57"/>
      <c r="O25" s="198">
        <f>ROUND((K25+(K25*-(I25/100)))-M25,0)</f>
        <v>1050780</v>
      </c>
      <c r="P25" s="57"/>
      <c r="Q25" s="57">
        <f>O25/U25</f>
        <v>35026</v>
      </c>
      <c r="R25" s="50"/>
      <c r="S25" s="74">
        <f>Q25/K25*100</f>
        <v>3.333333777447923</v>
      </c>
      <c r="T25" s="50"/>
      <c r="U25" s="172">
        <f>AA25</f>
        <v>30</v>
      </c>
      <c r="V25" s="23"/>
      <c r="W25" s="345">
        <f>'Adjust Depr Table 1'!U25</f>
        <v>30</v>
      </c>
      <c r="X25" s="207"/>
      <c r="Y25" s="209"/>
      <c r="Z25" s="207"/>
      <c r="AA25" s="203">
        <f>W25+Y25</f>
        <v>30</v>
      </c>
    </row>
    <row r="26" spans="1:27">
      <c r="A26" s="37"/>
      <c r="B26" s="37"/>
      <c r="C26" s="54" t="s">
        <v>51</v>
      </c>
      <c r="D26" s="50"/>
      <c r="E26" s="169">
        <v>2026</v>
      </c>
      <c r="F26" s="50"/>
      <c r="G26" s="169" t="s">
        <v>180</v>
      </c>
      <c r="H26" s="169" t="s">
        <v>181</v>
      </c>
      <c r="I26" s="170">
        <v>0</v>
      </c>
      <c r="J26" s="50"/>
      <c r="K26" s="60">
        <v>6050424.8700000001</v>
      </c>
      <c r="L26" s="171"/>
      <c r="M26" s="62">
        <v>1462186</v>
      </c>
      <c r="N26" s="57"/>
      <c r="O26" s="205">
        <f>ROUND((K26+(K26*-(I26/100)))-M26,0)</f>
        <v>4588239</v>
      </c>
      <c r="P26" s="57"/>
      <c r="Q26" s="62">
        <f>O26/U26</f>
        <v>655462.71428571432</v>
      </c>
      <c r="R26" s="50"/>
      <c r="S26" s="74">
        <f>Q26/K26*100</f>
        <v>10.833333664478911</v>
      </c>
      <c r="T26" s="50"/>
      <c r="U26" s="172">
        <f>AA26</f>
        <v>7</v>
      </c>
      <c r="V26" s="23"/>
      <c r="W26" s="345">
        <f>'Adjust Depr Table 1'!U26</f>
        <v>7</v>
      </c>
      <c r="X26" s="207"/>
      <c r="Y26" s="209"/>
      <c r="Z26" s="207"/>
      <c r="AA26" s="203">
        <f>W26+Y26</f>
        <v>7</v>
      </c>
    </row>
    <row r="27" spans="1:27" ht="15.75">
      <c r="A27" s="23"/>
      <c r="C27" s="79"/>
      <c r="M27" s="46"/>
      <c r="N27" s="46"/>
      <c r="O27" s="46"/>
      <c r="P27" s="46"/>
      <c r="Q27" s="46"/>
      <c r="S27" s="49"/>
      <c r="U27" s="176"/>
      <c r="V27" s="23"/>
      <c r="W27" s="346"/>
      <c r="X27" s="207"/>
      <c r="Y27" s="207"/>
      <c r="Z27" s="207"/>
      <c r="AA27" s="204"/>
    </row>
    <row r="28" spans="1:27">
      <c r="A28" s="23"/>
      <c r="C28" s="50" t="s">
        <v>52</v>
      </c>
      <c r="K28" s="55">
        <f>SUBTOTAL(9,K22:K27)</f>
        <v>33076939.68</v>
      </c>
      <c r="L28" s="171"/>
      <c r="M28" s="57">
        <f>SUBTOTAL(9,M22:M27)</f>
        <v>1462186</v>
      </c>
      <c r="N28" s="57"/>
      <c r="O28" s="57">
        <f>SUBTOTAL(9,O22:O27)</f>
        <v>31614754</v>
      </c>
      <c r="P28" s="57"/>
      <c r="Q28" s="57">
        <f>SUBTOTAL(9,Q22:Q27)</f>
        <v>1890614.468831169</v>
      </c>
      <c r="R28" s="50"/>
      <c r="S28" s="74">
        <f>+ROUND(Q28/K28*100,2)</f>
        <v>5.72</v>
      </c>
      <c r="U28" s="176"/>
      <c r="V28" s="23"/>
      <c r="W28" s="346"/>
      <c r="X28" s="207"/>
      <c r="Y28" s="207"/>
      <c r="Z28" s="207"/>
      <c r="AA28" s="204"/>
    </row>
    <row r="29" spans="1:27" ht="15.75">
      <c r="A29" s="23"/>
      <c r="C29" s="79"/>
      <c r="M29" s="46"/>
      <c r="N29" s="46"/>
      <c r="O29" s="46"/>
      <c r="P29" s="46"/>
      <c r="Q29" s="46"/>
      <c r="S29" s="49"/>
      <c r="U29" s="176"/>
      <c r="V29" s="23"/>
      <c r="W29" s="346"/>
      <c r="X29" s="207"/>
      <c r="Y29" s="207"/>
      <c r="Z29" s="207"/>
      <c r="AA29" s="204"/>
    </row>
    <row r="30" spans="1:27" s="19" customFormat="1">
      <c r="A30" s="64">
        <v>311</v>
      </c>
      <c r="B30" s="65"/>
      <c r="C30" s="65" t="s">
        <v>53</v>
      </c>
      <c r="D30" s="65"/>
      <c r="E30" s="65"/>
      <c r="F30" s="65"/>
      <c r="G30" s="65"/>
      <c r="H30" s="65"/>
      <c r="I30" s="179"/>
      <c r="J30" s="65"/>
      <c r="K30" s="65"/>
      <c r="L30" s="65"/>
      <c r="M30" s="67"/>
      <c r="N30" s="67"/>
      <c r="O30" s="67"/>
      <c r="P30" s="67"/>
      <c r="Q30" s="67"/>
      <c r="S30" s="68"/>
      <c r="U30" s="180"/>
      <c r="V30" s="181"/>
      <c r="W30" s="347"/>
      <c r="X30" s="208"/>
      <c r="Y30" s="208"/>
      <c r="Z30" s="208"/>
      <c r="AA30" s="203"/>
    </row>
    <row r="31" spans="1:27" s="19" customFormat="1">
      <c r="A31" s="64"/>
      <c r="B31" s="65"/>
      <c r="C31" s="70" t="s">
        <v>54</v>
      </c>
      <c r="D31" s="65"/>
      <c r="E31" s="182">
        <v>2030</v>
      </c>
      <c r="F31" s="65"/>
      <c r="G31" s="183" t="s">
        <v>182</v>
      </c>
      <c r="H31" s="183" t="s">
        <v>181</v>
      </c>
      <c r="I31" s="184">
        <v>0</v>
      </c>
      <c r="J31" s="65"/>
      <c r="K31" s="71">
        <v>619445.56000000006</v>
      </c>
      <c r="L31" s="185"/>
      <c r="M31" s="73">
        <v>501279</v>
      </c>
      <c r="N31" s="73"/>
      <c r="O31" s="198">
        <f>ROUND((K31+(K31*-(I31/100)))-M31,0)</f>
        <v>118167</v>
      </c>
      <c r="P31" s="73"/>
      <c r="Q31" s="57">
        <f t="shared" ref="Q31:Q40" si="0">O31/U31</f>
        <v>10742.454545454546</v>
      </c>
      <c r="S31" s="74">
        <f t="shared" ref="S31:S40" si="1">Q31/K31*100</f>
        <v>1.7342047855592901</v>
      </c>
      <c r="U31" s="172">
        <f t="shared" ref="U31:U40" si="2">AA31</f>
        <v>11</v>
      </c>
      <c r="V31" s="181"/>
      <c r="W31" s="345">
        <f>'Adjust Depr Table 1'!U31</f>
        <v>11</v>
      </c>
      <c r="X31" s="208"/>
      <c r="Y31" s="209"/>
      <c r="Z31" s="208"/>
      <c r="AA31" s="203">
        <f t="shared" ref="AA31:AA40" si="3">W31+Y31</f>
        <v>11</v>
      </c>
    </row>
    <row r="32" spans="1:27" s="19" customFormat="1">
      <c r="A32" s="64"/>
      <c r="B32" s="65"/>
      <c r="C32" s="70" t="s">
        <v>55</v>
      </c>
      <c r="D32" s="65"/>
      <c r="E32" s="182">
        <v>2030</v>
      </c>
      <c r="F32" s="65"/>
      <c r="G32" s="183" t="s">
        <v>182</v>
      </c>
      <c r="H32" s="183" t="s">
        <v>181</v>
      </c>
      <c r="I32" s="184">
        <v>0</v>
      </c>
      <c r="J32" s="65"/>
      <c r="K32" s="71">
        <v>11599889.130000001</v>
      </c>
      <c r="L32" s="185"/>
      <c r="M32" s="73">
        <v>8333766</v>
      </c>
      <c r="N32" s="73"/>
      <c r="O32" s="199">
        <f>ROUND((K32+(K32*-(I32/100)))-M32,0)</f>
        <v>3266123</v>
      </c>
      <c r="P32" s="73"/>
      <c r="Q32" s="57">
        <f t="shared" si="0"/>
        <v>296920.27272727271</v>
      </c>
      <c r="S32" s="74">
        <f t="shared" si="1"/>
        <v>2.5596819883335615</v>
      </c>
      <c r="U32" s="172">
        <f t="shared" si="2"/>
        <v>11</v>
      </c>
      <c r="V32" s="181"/>
      <c r="W32" s="345">
        <f>'Adjust Depr Table 1'!U32</f>
        <v>11</v>
      </c>
      <c r="X32" s="208"/>
      <c r="Y32" s="209"/>
      <c r="Z32" s="208"/>
      <c r="AA32" s="203">
        <f t="shared" si="3"/>
        <v>11</v>
      </c>
    </row>
    <row r="33" spans="1:27" s="19" customFormat="1">
      <c r="A33" s="64"/>
      <c r="B33" s="65"/>
      <c r="C33" s="70" t="s">
        <v>56</v>
      </c>
      <c r="D33" s="65"/>
      <c r="E33" s="182">
        <v>2030</v>
      </c>
      <c r="F33" s="65"/>
      <c r="G33" s="183" t="s">
        <v>182</v>
      </c>
      <c r="H33" s="183" t="s">
        <v>181</v>
      </c>
      <c r="I33" s="184">
        <v>0</v>
      </c>
      <c r="J33" s="65"/>
      <c r="K33" s="71">
        <v>16839214.859999999</v>
      </c>
      <c r="L33" s="185"/>
      <c r="M33" s="73">
        <v>7532370</v>
      </c>
      <c r="N33" s="73"/>
      <c r="O33" s="198">
        <f t="shared" ref="O33:O40" si="4">ROUND((K33+(K33*-(I33/100)))-M33,0)</f>
        <v>9306845</v>
      </c>
      <c r="P33" s="73"/>
      <c r="Q33" s="57">
        <f t="shared" si="0"/>
        <v>846076.81818181823</v>
      </c>
      <c r="S33" s="74">
        <f t="shared" si="1"/>
        <v>5.0244433913103377</v>
      </c>
      <c r="U33" s="172">
        <f t="shared" si="2"/>
        <v>11</v>
      </c>
      <c r="V33" s="181"/>
      <c r="W33" s="345">
        <f>'Adjust Depr Table 1'!U33</f>
        <v>11</v>
      </c>
      <c r="X33" s="208"/>
      <c r="Y33" s="209"/>
      <c r="Z33" s="208"/>
      <c r="AA33" s="203">
        <f t="shared" si="3"/>
        <v>11</v>
      </c>
    </row>
    <row r="34" spans="1:27" s="19" customFormat="1">
      <c r="A34" s="64"/>
      <c r="B34" s="65"/>
      <c r="C34" s="70" t="s">
        <v>57</v>
      </c>
      <c r="D34" s="65"/>
      <c r="E34" s="182">
        <v>2049</v>
      </c>
      <c r="F34" s="65"/>
      <c r="G34" s="183" t="s">
        <v>182</v>
      </c>
      <c r="H34" s="183" t="s">
        <v>181</v>
      </c>
      <c r="I34" s="184">
        <v>0</v>
      </c>
      <c r="J34" s="65"/>
      <c r="K34" s="71">
        <v>29901164.98</v>
      </c>
      <c r="L34" s="185"/>
      <c r="M34" s="73">
        <v>4504371</v>
      </c>
      <c r="N34" s="73"/>
      <c r="O34" s="198">
        <f t="shared" si="4"/>
        <v>25396794</v>
      </c>
      <c r="P34" s="73"/>
      <c r="Q34" s="57">
        <f t="shared" si="0"/>
        <v>846559.8</v>
      </c>
      <c r="S34" s="74">
        <f t="shared" si="1"/>
        <v>2.8311933684397874</v>
      </c>
      <c r="U34" s="172">
        <f t="shared" si="2"/>
        <v>30</v>
      </c>
      <c r="V34" s="181"/>
      <c r="W34" s="345">
        <f>'Adjust Depr Table 1'!U34</f>
        <v>30</v>
      </c>
      <c r="X34" s="208"/>
      <c r="Y34" s="209"/>
      <c r="Z34" s="208"/>
      <c r="AA34" s="203">
        <f t="shared" si="3"/>
        <v>30</v>
      </c>
    </row>
    <row r="35" spans="1:27" s="19" customFormat="1">
      <c r="A35" s="64"/>
      <c r="B35" s="65"/>
      <c r="C35" s="70" t="s">
        <v>58</v>
      </c>
      <c r="D35" s="65"/>
      <c r="E35" s="182">
        <v>2040</v>
      </c>
      <c r="F35" s="65"/>
      <c r="G35" s="183" t="s">
        <v>182</v>
      </c>
      <c r="H35" s="183" t="s">
        <v>181</v>
      </c>
      <c r="I35" s="184">
        <v>0</v>
      </c>
      <c r="J35" s="65"/>
      <c r="K35" s="71">
        <v>27841989</v>
      </c>
      <c r="L35" s="185"/>
      <c r="M35" s="73">
        <v>17909967</v>
      </c>
      <c r="N35" s="73"/>
      <c r="O35" s="198">
        <f t="shared" si="4"/>
        <v>9932022</v>
      </c>
      <c r="P35" s="73"/>
      <c r="Q35" s="57">
        <f t="shared" si="0"/>
        <v>472953.42857142858</v>
      </c>
      <c r="S35" s="74">
        <f t="shared" si="1"/>
        <v>1.6987056081784551</v>
      </c>
      <c r="U35" s="172">
        <f t="shared" si="2"/>
        <v>21</v>
      </c>
      <c r="V35" s="181"/>
      <c r="W35" s="345">
        <f>'Adjust Depr Table 1'!U35</f>
        <v>21</v>
      </c>
      <c r="X35" s="208"/>
      <c r="Y35" s="209"/>
      <c r="Z35" s="208"/>
      <c r="AA35" s="203">
        <f t="shared" si="3"/>
        <v>21</v>
      </c>
    </row>
    <row r="36" spans="1:27" s="19" customFormat="1">
      <c r="A36" s="64"/>
      <c r="B36" s="65"/>
      <c r="C36" s="70" t="s">
        <v>59</v>
      </c>
      <c r="D36" s="65"/>
      <c r="E36" s="182">
        <v>2042</v>
      </c>
      <c r="F36" s="65"/>
      <c r="G36" s="183" t="s">
        <v>182</v>
      </c>
      <c r="H36" s="183" t="s">
        <v>181</v>
      </c>
      <c r="I36" s="184">
        <v>0</v>
      </c>
      <c r="J36" s="65"/>
      <c r="K36" s="71">
        <v>34657321.799999997</v>
      </c>
      <c r="L36" s="185"/>
      <c r="M36" s="73">
        <v>23943936</v>
      </c>
      <c r="N36" s="73"/>
      <c r="O36" s="198">
        <f t="shared" si="4"/>
        <v>10713386</v>
      </c>
      <c r="P36" s="73"/>
      <c r="Q36" s="57">
        <f t="shared" si="0"/>
        <v>465799.39130434784</v>
      </c>
      <c r="S36" s="74">
        <f t="shared" si="1"/>
        <v>1.3440143874716477</v>
      </c>
      <c r="U36" s="172">
        <f t="shared" si="2"/>
        <v>23</v>
      </c>
      <c r="V36" s="181"/>
      <c r="W36" s="345">
        <f>'Adjust Depr Table 1'!U36</f>
        <v>23</v>
      </c>
      <c r="X36" s="208"/>
      <c r="Y36" s="209"/>
      <c r="Z36" s="208"/>
      <c r="AA36" s="203">
        <f t="shared" si="3"/>
        <v>23</v>
      </c>
    </row>
    <row r="37" spans="1:27" s="19" customFormat="1">
      <c r="A37" s="64"/>
      <c r="B37" s="65"/>
      <c r="C37" s="70" t="s">
        <v>60</v>
      </c>
      <c r="D37" s="65"/>
      <c r="E37" s="182">
        <v>2045</v>
      </c>
      <c r="F37" s="65"/>
      <c r="G37" s="183" t="s">
        <v>182</v>
      </c>
      <c r="H37" s="183" t="s">
        <v>181</v>
      </c>
      <c r="I37" s="184">
        <v>0</v>
      </c>
      <c r="J37" s="65"/>
      <c r="K37" s="71">
        <v>135424737.28999999</v>
      </c>
      <c r="L37" s="185"/>
      <c r="M37" s="73">
        <v>43162292</v>
      </c>
      <c r="N37" s="73"/>
      <c r="O37" s="198">
        <f t="shared" si="4"/>
        <v>92262445</v>
      </c>
      <c r="P37" s="73"/>
      <c r="Q37" s="57">
        <f t="shared" si="0"/>
        <v>3548555.576923077</v>
      </c>
      <c r="S37" s="74">
        <f t="shared" si="1"/>
        <v>2.6203156439020163</v>
      </c>
      <c r="U37" s="172">
        <f t="shared" si="2"/>
        <v>26</v>
      </c>
      <c r="V37" s="181"/>
      <c r="W37" s="345">
        <f>'Adjust Depr Table 1'!U37</f>
        <v>26</v>
      </c>
      <c r="X37" s="208"/>
      <c r="Y37" s="209"/>
      <c r="Z37" s="208"/>
      <c r="AA37" s="203">
        <f t="shared" si="3"/>
        <v>26</v>
      </c>
    </row>
    <row r="38" spans="1:27" s="19" customFormat="1">
      <c r="A38" s="64"/>
      <c r="B38" s="65"/>
      <c r="C38" s="70" t="s">
        <v>61</v>
      </c>
      <c r="D38" s="65"/>
      <c r="E38" s="182">
        <v>2049</v>
      </c>
      <c r="F38" s="65"/>
      <c r="G38" s="183" t="s">
        <v>182</v>
      </c>
      <c r="H38" s="183" t="s">
        <v>181</v>
      </c>
      <c r="I38" s="184">
        <v>0</v>
      </c>
      <c r="J38" s="65"/>
      <c r="K38" s="71">
        <v>91915875.079999998</v>
      </c>
      <c r="L38" s="185"/>
      <c r="M38" s="73">
        <v>9800259</v>
      </c>
      <c r="N38" s="73"/>
      <c r="O38" s="198">
        <f t="shared" si="4"/>
        <v>82115616</v>
      </c>
      <c r="P38" s="73"/>
      <c r="Q38" s="57">
        <f t="shared" si="0"/>
        <v>2737187.2</v>
      </c>
      <c r="S38" s="74">
        <f t="shared" si="1"/>
        <v>2.9779264981350164</v>
      </c>
      <c r="U38" s="172">
        <f t="shared" si="2"/>
        <v>30</v>
      </c>
      <c r="V38" s="181"/>
      <c r="W38" s="345">
        <f>'Adjust Depr Table 1'!U38</f>
        <v>30</v>
      </c>
      <c r="X38" s="208"/>
      <c r="Y38" s="209"/>
      <c r="Z38" s="208"/>
      <c r="AA38" s="203">
        <f t="shared" si="3"/>
        <v>30</v>
      </c>
    </row>
    <row r="39" spans="1:27" s="19" customFormat="1">
      <c r="A39" s="64"/>
      <c r="B39" s="65"/>
      <c r="C39" s="70" t="s">
        <v>62</v>
      </c>
      <c r="D39" s="65"/>
      <c r="E39" s="182">
        <v>2040</v>
      </c>
      <c r="F39" s="65"/>
      <c r="G39" s="183" t="s">
        <v>182</v>
      </c>
      <c r="H39" s="183" t="s">
        <v>181</v>
      </c>
      <c r="I39" s="184">
        <v>0</v>
      </c>
      <c r="J39" s="65"/>
      <c r="K39" s="71">
        <v>25289573.359999999</v>
      </c>
      <c r="L39" s="185"/>
      <c r="M39" s="73">
        <v>9007550</v>
      </c>
      <c r="N39" s="73"/>
      <c r="O39" s="198">
        <f t="shared" si="4"/>
        <v>16282023</v>
      </c>
      <c r="P39" s="73"/>
      <c r="Q39" s="57">
        <f t="shared" si="0"/>
        <v>775334.42857142852</v>
      </c>
      <c r="S39" s="74">
        <f t="shared" si="1"/>
        <v>3.0658264476606756</v>
      </c>
      <c r="U39" s="172">
        <f t="shared" si="2"/>
        <v>21</v>
      </c>
      <c r="V39" s="181"/>
      <c r="W39" s="345">
        <f>'Adjust Depr Table 1'!U39</f>
        <v>21</v>
      </c>
      <c r="X39" s="208"/>
      <c r="Y39" s="209"/>
      <c r="Z39" s="208"/>
      <c r="AA39" s="203">
        <f t="shared" si="3"/>
        <v>21</v>
      </c>
    </row>
    <row r="40" spans="1:27" s="19" customFormat="1">
      <c r="A40" s="64"/>
      <c r="B40" s="65"/>
      <c r="C40" s="70" t="s">
        <v>63</v>
      </c>
      <c r="D40" s="65"/>
      <c r="E40" s="182">
        <v>2042</v>
      </c>
      <c r="F40" s="65"/>
      <c r="G40" s="183" t="s">
        <v>182</v>
      </c>
      <c r="H40" s="183" t="s">
        <v>181</v>
      </c>
      <c r="I40" s="184">
        <v>0</v>
      </c>
      <c r="J40" s="65"/>
      <c r="K40" s="75">
        <v>22341947.210000001</v>
      </c>
      <c r="L40" s="185"/>
      <c r="M40" s="77">
        <v>8045353</v>
      </c>
      <c r="N40" s="73"/>
      <c r="O40" s="205">
        <f t="shared" si="4"/>
        <v>14296594</v>
      </c>
      <c r="P40" s="73"/>
      <c r="Q40" s="62">
        <f t="shared" si="0"/>
        <v>621591.04347826086</v>
      </c>
      <c r="S40" s="74">
        <f t="shared" si="1"/>
        <v>2.7821704063468728</v>
      </c>
      <c r="U40" s="172">
        <f t="shared" si="2"/>
        <v>23</v>
      </c>
      <c r="V40" s="181"/>
      <c r="W40" s="345">
        <f>'Adjust Depr Table 1'!U40</f>
        <v>23</v>
      </c>
      <c r="X40" s="208"/>
      <c r="Y40" s="209"/>
      <c r="Z40" s="208"/>
      <c r="AA40" s="203">
        <f t="shared" si="3"/>
        <v>23</v>
      </c>
    </row>
    <row r="41" spans="1:27" s="19" customFormat="1">
      <c r="A41" s="64"/>
      <c r="B41" s="65"/>
      <c r="C41" s="78"/>
      <c r="D41" s="65"/>
      <c r="E41" s="65"/>
      <c r="F41" s="65"/>
      <c r="G41" s="183"/>
      <c r="H41" s="183"/>
      <c r="I41" s="184"/>
      <c r="J41" s="65"/>
      <c r="K41" s="71"/>
      <c r="L41" s="185"/>
      <c r="M41" s="73"/>
      <c r="N41" s="73"/>
      <c r="O41" s="73"/>
      <c r="P41" s="73"/>
      <c r="Q41" s="73"/>
      <c r="S41" s="74"/>
      <c r="U41" s="186"/>
      <c r="V41" s="181"/>
      <c r="W41" s="345"/>
      <c r="X41" s="208"/>
      <c r="Y41" s="208"/>
      <c r="Z41" s="208"/>
      <c r="AA41" s="203"/>
    </row>
    <row r="42" spans="1:27" s="19" customFormat="1">
      <c r="A42" s="64"/>
      <c r="B42" s="65"/>
      <c r="C42" s="78" t="s">
        <v>64</v>
      </c>
      <c r="D42" s="65"/>
      <c r="E42" s="65"/>
      <c r="F42" s="65"/>
      <c r="G42" s="183"/>
      <c r="H42" s="183"/>
      <c r="I42" s="184"/>
      <c r="J42" s="65"/>
      <c r="K42" s="71">
        <f>SUBTOTAL(9,K31:K41)</f>
        <v>396431158.26999998</v>
      </c>
      <c r="L42" s="185"/>
      <c r="M42" s="73">
        <f>SUBTOTAL(9,M31:M41)</f>
        <v>132741143</v>
      </c>
      <c r="N42" s="73"/>
      <c r="O42" s="73">
        <f>SUBTOTAL(9,O31:O41)</f>
        <v>263690015</v>
      </c>
      <c r="P42" s="73"/>
      <c r="Q42" s="73">
        <f>SUBTOTAL(9,Q31:Q41)</f>
        <v>10621720.41430309</v>
      </c>
      <c r="S42" s="74">
        <f>+ROUND(Q42/K42*100,2)</f>
        <v>2.68</v>
      </c>
      <c r="U42" s="186"/>
      <c r="V42" s="181"/>
      <c r="W42" s="345"/>
      <c r="X42" s="208"/>
      <c r="Y42" s="208"/>
      <c r="Z42" s="208"/>
      <c r="AA42" s="203"/>
    </row>
    <row r="43" spans="1:27" s="19" customFormat="1">
      <c r="A43" s="64"/>
      <c r="B43" s="65"/>
      <c r="C43" s="78"/>
      <c r="D43" s="65"/>
      <c r="E43" s="65"/>
      <c r="F43" s="65"/>
      <c r="G43" s="183"/>
      <c r="H43" s="183"/>
      <c r="I43" s="184"/>
      <c r="J43" s="65"/>
      <c r="K43" s="71"/>
      <c r="L43" s="185"/>
      <c r="M43" s="73"/>
      <c r="N43" s="73"/>
      <c r="O43" s="73"/>
      <c r="P43" s="73"/>
      <c r="Q43" s="73"/>
      <c r="S43" s="74"/>
      <c r="U43" s="186"/>
      <c r="V43" s="181"/>
      <c r="W43" s="345"/>
      <c r="X43" s="208"/>
      <c r="Y43" s="208"/>
      <c r="Z43" s="208"/>
      <c r="AA43" s="203"/>
    </row>
    <row r="44" spans="1:27" s="19" customFormat="1">
      <c r="A44" s="64">
        <v>312</v>
      </c>
      <c r="B44" s="65"/>
      <c r="C44" s="78" t="s">
        <v>65</v>
      </c>
      <c r="D44" s="65"/>
      <c r="E44" s="65"/>
      <c r="F44" s="65"/>
      <c r="G44" s="183"/>
      <c r="H44" s="183"/>
      <c r="I44" s="184"/>
      <c r="J44" s="65"/>
      <c r="K44" s="71"/>
      <c r="L44" s="185"/>
      <c r="M44" s="73"/>
      <c r="N44" s="73"/>
      <c r="O44" s="73"/>
      <c r="P44" s="73"/>
      <c r="Q44" s="73"/>
      <c r="S44" s="74"/>
      <c r="U44" s="186"/>
      <c r="V44" s="181"/>
      <c r="W44" s="345"/>
      <c r="X44" s="208"/>
      <c r="Y44" s="208"/>
      <c r="Z44" s="208"/>
      <c r="AA44" s="203"/>
    </row>
    <row r="45" spans="1:27" s="19" customFormat="1">
      <c r="A45" s="64"/>
      <c r="B45" s="65"/>
      <c r="C45" s="70" t="s">
        <v>55</v>
      </c>
      <c r="D45" s="65"/>
      <c r="E45" s="182">
        <v>2030</v>
      </c>
      <c r="F45" s="65"/>
      <c r="G45" s="183" t="s">
        <v>183</v>
      </c>
      <c r="H45" s="183" t="s">
        <v>181</v>
      </c>
      <c r="I45" s="184">
        <v>0</v>
      </c>
      <c r="J45" s="65"/>
      <c r="K45" s="71">
        <v>102794003.59</v>
      </c>
      <c r="L45" s="185"/>
      <c r="M45" s="73">
        <v>66700151</v>
      </c>
      <c r="N45" s="73"/>
      <c r="O45" s="198">
        <f t="shared" ref="O45:O55" si="5">ROUND((K45+(K45*-(I45/100)))-M45,0)</f>
        <v>36093853</v>
      </c>
      <c r="P45" s="73"/>
      <c r="Q45" s="57">
        <f t="shared" ref="Q45:Q55" si="6">O45/U45</f>
        <v>3281259.3636363638</v>
      </c>
      <c r="S45" s="74">
        <f t="shared" ref="S45:S55" si="7">Q45/K45*100</f>
        <v>3.192072736775446</v>
      </c>
      <c r="U45" s="172">
        <f t="shared" ref="U45:U55" si="8">AA45</f>
        <v>11</v>
      </c>
      <c r="V45" s="181"/>
      <c r="W45" s="345">
        <f>'Adjust Depr Table 1'!U45</f>
        <v>11</v>
      </c>
      <c r="X45" s="208"/>
      <c r="Y45" s="209"/>
      <c r="Z45" s="208"/>
      <c r="AA45" s="203">
        <f t="shared" ref="AA45:AA55" si="9">W45+Y45</f>
        <v>11</v>
      </c>
    </row>
    <row r="46" spans="1:27" s="19" customFormat="1">
      <c r="A46" s="64"/>
      <c r="B46" s="65"/>
      <c r="C46" s="70" t="s">
        <v>66</v>
      </c>
      <c r="D46" s="65"/>
      <c r="E46" s="182">
        <v>2030</v>
      </c>
      <c r="F46" s="65"/>
      <c r="G46" s="183" t="s">
        <v>183</v>
      </c>
      <c r="H46" s="183" t="s">
        <v>181</v>
      </c>
      <c r="I46" s="184">
        <v>0</v>
      </c>
      <c r="J46" s="65"/>
      <c r="K46" s="71">
        <v>14959125.039999999</v>
      </c>
      <c r="L46" s="185"/>
      <c r="M46" s="73">
        <v>4819574</v>
      </c>
      <c r="N46" s="73"/>
      <c r="O46" s="198">
        <f t="shared" si="5"/>
        <v>10139551</v>
      </c>
      <c r="P46" s="73"/>
      <c r="Q46" s="57">
        <f t="shared" si="6"/>
        <v>921777.36363636365</v>
      </c>
      <c r="S46" s="74">
        <f t="shared" si="7"/>
        <v>6.1619737863783755</v>
      </c>
      <c r="U46" s="172">
        <f t="shared" si="8"/>
        <v>11</v>
      </c>
      <c r="V46" s="181"/>
      <c r="W46" s="345">
        <f>'Adjust Depr Table 1'!U46</f>
        <v>11</v>
      </c>
      <c r="X46" s="208"/>
      <c r="Y46" s="209"/>
      <c r="Z46" s="208"/>
      <c r="AA46" s="203">
        <f t="shared" si="9"/>
        <v>11</v>
      </c>
    </row>
    <row r="47" spans="1:27" s="19" customFormat="1">
      <c r="A47" s="64"/>
      <c r="B47" s="65"/>
      <c r="C47" s="70" t="s">
        <v>67</v>
      </c>
      <c r="D47" s="65"/>
      <c r="E47" s="182">
        <v>2030</v>
      </c>
      <c r="F47" s="65"/>
      <c r="G47" s="183" t="s">
        <v>183</v>
      </c>
      <c r="H47" s="183" t="s">
        <v>181</v>
      </c>
      <c r="I47" s="184">
        <v>0</v>
      </c>
      <c r="J47" s="65"/>
      <c r="K47" s="71">
        <v>1476057.99</v>
      </c>
      <c r="L47" s="185"/>
      <c r="M47" s="73">
        <v>320975</v>
      </c>
      <c r="N47" s="73"/>
      <c r="O47" s="198">
        <f t="shared" si="5"/>
        <v>1155083</v>
      </c>
      <c r="P47" s="73"/>
      <c r="Q47" s="57">
        <f t="shared" si="6"/>
        <v>105007.54545454546</v>
      </c>
      <c r="S47" s="74">
        <f t="shared" si="7"/>
        <v>7.1140528465650217</v>
      </c>
      <c r="U47" s="172">
        <f t="shared" si="8"/>
        <v>11</v>
      </c>
      <c r="V47" s="181"/>
      <c r="W47" s="345">
        <f>'Adjust Depr Table 1'!U47</f>
        <v>11</v>
      </c>
      <c r="X47" s="208"/>
      <c r="Y47" s="209"/>
      <c r="Z47" s="208"/>
      <c r="AA47" s="203">
        <f t="shared" si="9"/>
        <v>11</v>
      </c>
    </row>
    <row r="48" spans="1:27" s="19" customFormat="1">
      <c r="A48" s="64"/>
      <c r="B48" s="65"/>
      <c r="C48" s="70" t="s">
        <v>56</v>
      </c>
      <c r="D48" s="65"/>
      <c r="E48" s="182">
        <v>2030</v>
      </c>
      <c r="F48" s="65"/>
      <c r="G48" s="183" t="s">
        <v>183</v>
      </c>
      <c r="H48" s="183" t="s">
        <v>181</v>
      </c>
      <c r="I48" s="184">
        <v>0</v>
      </c>
      <c r="J48" s="65"/>
      <c r="K48" s="71">
        <v>194151378.75</v>
      </c>
      <c r="L48" s="185"/>
      <c r="M48" s="73">
        <v>86850256.75</v>
      </c>
      <c r="N48" s="73"/>
      <c r="O48" s="198">
        <f t="shared" si="5"/>
        <v>107301122</v>
      </c>
      <c r="P48" s="73"/>
      <c r="Q48" s="57">
        <f t="shared" si="6"/>
        <v>9754647.4545454551</v>
      </c>
      <c r="S48" s="74">
        <f t="shared" si="7"/>
        <v>5.0242483557668045</v>
      </c>
      <c r="U48" s="172">
        <f t="shared" si="8"/>
        <v>11</v>
      </c>
      <c r="V48" s="181"/>
      <c r="W48" s="345">
        <f>'Adjust Depr Table 1'!U48</f>
        <v>11</v>
      </c>
      <c r="X48" s="208"/>
      <c r="Y48" s="209"/>
      <c r="Z48" s="208"/>
      <c r="AA48" s="203">
        <f t="shared" si="9"/>
        <v>11</v>
      </c>
    </row>
    <row r="49" spans="1:27" s="19" customFormat="1">
      <c r="A49" s="64"/>
      <c r="B49" s="65"/>
      <c r="C49" s="70" t="s">
        <v>57</v>
      </c>
      <c r="D49" s="65"/>
      <c r="E49" s="182">
        <v>2049</v>
      </c>
      <c r="F49" s="65"/>
      <c r="G49" s="183" t="s">
        <v>183</v>
      </c>
      <c r="H49" s="183" t="s">
        <v>181</v>
      </c>
      <c r="I49" s="184">
        <v>0</v>
      </c>
      <c r="J49" s="65"/>
      <c r="K49" s="71">
        <v>47303061.5</v>
      </c>
      <c r="L49" s="185"/>
      <c r="M49" s="73">
        <v>11032731.539999999</v>
      </c>
      <c r="N49" s="73"/>
      <c r="O49" s="198">
        <f t="shared" si="5"/>
        <v>36270330</v>
      </c>
      <c r="P49" s="73"/>
      <c r="Q49" s="57">
        <f t="shared" si="6"/>
        <v>1209011</v>
      </c>
      <c r="S49" s="74">
        <f t="shared" si="7"/>
        <v>2.5558831958476937</v>
      </c>
      <c r="U49" s="172">
        <f t="shared" si="8"/>
        <v>30</v>
      </c>
      <c r="V49" s="181"/>
      <c r="W49" s="345">
        <f>'Adjust Depr Table 1'!U49</f>
        <v>30</v>
      </c>
      <c r="X49" s="208"/>
      <c r="Y49" s="209"/>
      <c r="Z49" s="208"/>
      <c r="AA49" s="203">
        <f t="shared" si="9"/>
        <v>30</v>
      </c>
    </row>
    <row r="50" spans="1:27" s="19" customFormat="1">
      <c r="A50" s="64"/>
      <c r="B50" s="65"/>
      <c r="C50" s="70" t="s">
        <v>58</v>
      </c>
      <c r="D50" s="65"/>
      <c r="E50" s="182">
        <v>2040</v>
      </c>
      <c r="F50" s="65"/>
      <c r="G50" s="183" t="s">
        <v>183</v>
      </c>
      <c r="H50" s="183" t="s">
        <v>181</v>
      </c>
      <c r="I50" s="184">
        <v>0</v>
      </c>
      <c r="J50" s="65"/>
      <c r="K50" s="71">
        <v>207072332.59</v>
      </c>
      <c r="L50" s="185"/>
      <c r="M50" s="73">
        <v>100727355.12</v>
      </c>
      <c r="N50" s="73"/>
      <c r="O50" s="198">
        <f t="shared" si="5"/>
        <v>106344977</v>
      </c>
      <c r="P50" s="73"/>
      <c r="Q50" s="57">
        <f t="shared" si="6"/>
        <v>5064046.5238095243</v>
      </c>
      <c r="S50" s="74">
        <f t="shared" si="7"/>
        <v>2.4455447333160905</v>
      </c>
      <c r="U50" s="172">
        <f t="shared" si="8"/>
        <v>21</v>
      </c>
      <c r="V50" s="181"/>
      <c r="W50" s="345">
        <f>'Adjust Depr Table 1'!U50</f>
        <v>21</v>
      </c>
      <c r="X50" s="208"/>
      <c r="Y50" s="209"/>
      <c r="Z50" s="208"/>
      <c r="AA50" s="203">
        <f t="shared" si="9"/>
        <v>21</v>
      </c>
    </row>
    <row r="51" spans="1:27" s="19" customFormat="1">
      <c r="A51" s="64"/>
      <c r="B51" s="65"/>
      <c r="C51" s="70" t="s">
        <v>59</v>
      </c>
      <c r="D51" s="65"/>
      <c r="E51" s="182">
        <v>2042</v>
      </c>
      <c r="F51" s="65"/>
      <c r="G51" s="183" t="s">
        <v>183</v>
      </c>
      <c r="H51" s="183" t="s">
        <v>181</v>
      </c>
      <c r="I51" s="184">
        <v>0</v>
      </c>
      <c r="J51" s="65"/>
      <c r="K51" s="71">
        <v>264954492.52000001</v>
      </c>
      <c r="L51" s="185"/>
      <c r="M51" s="73">
        <v>148127711.71000001</v>
      </c>
      <c r="N51" s="73"/>
      <c r="O51" s="198">
        <f t="shared" si="5"/>
        <v>116826781</v>
      </c>
      <c r="P51" s="73"/>
      <c r="Q51" s="57">
        <f t="shared" si="6"/>
        <v>5079425.2608695654</v>
      </c>
      <c r="S51" s="74">
        <f t="shared" si="7"/>
        <v>1.917093464828171</v>
      </c>
      <c r="U51" s="172">
        <f t="shared" si="8"/>
        <v>23</v>
      </c>
      <c r="V51" s="181"/>
      <c r="W51" s="345">
        <f>'Adjust Depr Table 1'!U51</f>
        <v>23</v>
      </c>
      <c r="X51" s="208"/>
      <c r="Y51" s="209"/>
      <c r="Z51" s="208"/>
      <c r="AA51" s="203">
        <f t="shared" si="9"/>
        <v>23</v>
      </c>
    </row>
    <row r="52" spans="1:27" s="19" customFormat="1">
      <c r="A52" s="64"/>
      <c r="B52" s="65"/>
      <c r="C52" s="70" t="s">
        <v>60</v>
      </c>
      <c r="D52" s="65"/>
      <c r="E52" s="182">
        <v>2045</v>
      </c>
      <c r="F52" s="65"/>
      <c r="G52" s="183" t="s">
        <v>183</v>
      </c>
      <c r="H52" s="183" t="s">
        <v>181</v>
      </c>
      <c r="I52" s="184">
        <v>0</v>
      </c>
      <c r="J52" s="65"/>
      <c r="K52" s="71">
        <v>182163077.56</v>
      </c>
      <c r="L52" s="185"/>
      <c r="M52" s="73">
        <v>55645311.229999997</v>
      </c>
      <c r="N52" s="73"/>
      <c r="O52" s="198">
        <f t="shared" si="5"/>
        <v>126517766</v>
      </c>
      <c r="P52" s="73"/>
      <c r="Q52" s="57">
        <f t="shared" si="6"/>
        <v>4866067.923076923</v>
      </c>
      <c r="S52" s="74">
        <f t="shared" si="7"/>
        <v>2.6712701543341906</v>
      </c>
      <c r="U52" s="172">
        <f t="shared" si="8"/>
        <v>26</v>
      </c>
      <c r="V52" s="181"/>
      <c r="W52" s="345">
        <f>'Adjust Depr Table 1'!U52</f>
        <v>26</v>
      </c>
      <c r="X52" s="208"/>
      <c r="Y52" s="209"/>
      <c r="Z52" s="208"/>
      <c r="AA52" s="203">
        <f t="shared" si="9"/>
        <v>26</v>
      </c>
    </row>
    <row r="53" spans="1:27" s="19" customFormat="1">
      <c r="A53" s="64"/>
      <c r="B53" s="65"/>
      <c r="C53" s="70" t="s">
        <v>61</v>
      </c>
      <c r="D53" s="65"/>
      <c r="E53" s="182">
        <v>2049</v>
      </c>
      <c r="F53" s="65"/>
      <c r="G53" s="183" t="s">
        <v>183</v>
      </c>
      <c r="H53" s="183" t="s">
        <v>181</v>
      </c>
      <c r="I53" s="184">
        <v>0</v>
      </c>
      <c r="J53" s="65"/>
      <c r="K53" s="71">
        <v>310905410.86000001</v>
      </c>
      <c r="L53" s="185"/>
      <c r="M53" s="73">
        <v>33139433.84</v>
      </c>
      <c r="N53" s="73"/>
      <c r="O53" s="198">
        <f t="shared" si="5"/>
        <v>277765977</v>
      </c>
      <c r="P53" s="73"/>
      <c r="Q53" s="57">
        <f t="shared" si="6"/>
        <v>9258865.9000000004</v>
      </c>
      <c r="S53" s="74">
        <f t="shared" si="7"/>
        <v>2.9780330533292796</v>
      </c>
      <c r="U53" s="172">
        <f t="shared" si="8"/>
        <v>30</v>
      </c>
      <c r="V53" s="181"/>
      <c r="W53" s="345">
        <f>'Adjust Depr Table 1'!U53</f>
        <v>30</v>
      </c>
      <c r="X53" s="208"/>
      <c r="Y53" s="209"/>
      <c r="Z53" s="208"/>
      <c r="AA53" s="203">
        <f t="shared" si="9"/>
        <v>30</v>
      </c>
    </row>
    <row r="54" spans="1:27" s="19" customFormat="1">
      <c r="A54" s="64"/>
      <c r="B54" s="65"/>
      <c r="C54" s="70" t="s">
        <v>62</v>
      </c>
      <c r="D54" s="65"/>
      <c r="E54" s="182">
        <v>2040</v>
      </c>
      <c r="F54" s="65"/>
      <c r="G54" s="183" t="s">
        <v>183</v>
      </c>
      <c r="H54" s="183" t="s">
        <v>181</v>
      </c>
      <c r="I54" s="184">
        <v>0</v>
      </c>
      <c r="J54" s="65"/>
      <c r="K54" s="71">
        <v>102930250.29000001</v>
      </c>
      <c r="L54" s="185"/>
      <c r="M54" s="73">
        <v>36988548</v>
      </c>
      <c r="N54" s="73"/>
      <c r="O54" s="198">
        <f t="shared" si="5"/>
        <v>65941702</v>
      </c>
      <c r="P54" s="73"/>
      <c r="Q54" s="57">
        <f t="shared" si="6"/>
        <v>3140081.0476190476</v>
      </c>
      <c r="S54" s="74">
        <f t="shared" si="7"/>
        <v>3.0506882464310068</v>
      </c>
      <c r="U54" s="172">
        <f t="shared" si="8"/>
        <v>21</v>
      </c>
      <c r="V54" s="181"/>
      <c r="W54" s="345">
        <f>'Adjust Depr Table 1'!U54</f>
        <v>21</v>
      </c>
      <c r="X54" s="208"/>
      <c r="Y54" s="209"/>
      <c r="Z54" s="208"/>
      <c r="AA54" s="203">
        <f t="shared" si="9"/>
        <v>21</v>
      </c>
    </row>
    <row r="55" spans="1:27" s="19" customFormat="1">
      <c r="A55" s="64"/>
      <c r="B55" s="65"/>
      <c r="C55" s="70" t="s">
        <v>63</v>
      </c>
      <c r="D55" s="65"/>
      <c r="E55" s="182">
        <v>2042</v>
      </c>
      <c r="F55" s="65"/>
      <c r="G55" s="183" t="s">
        <v>183</v>
      </c>
      <c r="H55" s="183" t="s">
        <v>181</v>
      </c>
      <c r="I55" s="184">
        <v>0</v>
      </c>
      <c r="J55" s="65"/>
      <c r="K55" s="75">
        <v>157598866.33000001</v>
      </c>
      <c r="L55" s="185"/>
      <c r="M55" s="77">
        <v>57451408</v>
      </c>
      <c r="N55" s="73"/>
      <c r="O55" s="205">
        <f t="shared" si="5"/>
        <v>100147458</v>
      </c>
      <c r="P55" s="73"/>
      <c r="Q55" s="62">
        <f t="shared" si="6"/>
        <v>4354237.3043478262</v>
      </c>
      <c r="S55" s="74">
        <f t="shared" si="7"/>
        <v>2.7628608033451112</v>
      </c>
      <c r="U55" s="172">
        <f t="shared" si="8"/>
        <v>23</v>
      </c>
      <c r="V55" s="181"/>
      <c r="W55" s="345">
        <f>'Adjust Depr Table 1'!U55</f>
        <v>23</v>
      </c>
      <c r="X55" s="208"/>
      <c r="Y55" s="209"/>
      <c r="Z55" s="208"/>
      <c r="AA55" s="203">
        <f t="shared" si="9"/>
        <v>23</v>
      </c>
    </row>
    <row r="56" spans="1:27" s="19" customFormat="1">
      <c r="A56" s="64"/>
      <c r="B56" s="65"/>
      <c r="C56" s="78"/>
      <c r="D56" s="65"/>
      <c r="E56" s="182"/>
      <c r="F56" s="65"/>
      <c r="G56" s="183"/>
      <c r="H56" s="183"/>
      <c r="I56" s="184"/>
      <c r="J56" s="65"/>
      <c r="K56" s="71"/>
      <c r="L56" s="185"/>
      <c r="M56" s="73"/>
      <c r="N56" s="73"/>
      <c r="O56" s="73"/>
      <c r="P56" s="73"/>
      <c r="Q56" s="73"/>
      <c r="S56" s="74"/>
      <c r="U56" s="186"/>
      <c r="V56" s="181"/>
      <c r="W56" s="345"/>
      <c r="X56" s="208"/>
      <c r="Y56" s="208"/>
      <c r="Z56" s="208"/>
      <c r="AA56" s="203"/>
    </row>
    <row r="57" spans="1:27" s="19" customFormat="1">
      <c r="A57" s="64"/>
      <c r="B57" s="65"/>
      <c r="C57" s="78" t="s">
        <v>68</v>
      </c>
      <c r="D57" s="65"/>
      <c r="E57" s="65"/>
      <c r="F57" s="65"/>
      <c r="G57" s="183"/>
      <c r="H57" s="183"/>
      <c r="I57" s="184"/>
      <c r="J57" s="65"/>
      <c r="K57" s="71">
        <f>SUBTOTAL(9,K45:K56)</f>
        <v>1586308057.02</v>
      </c>
      <c r="L57" s="185"/>
      <c r="M57" s="73">
        <f>SUBTOTAL(9,M45:M56)</f>
        <v>601803456.19000006</v>
      </c>
      <c r="N57" s="73"/>
      <c r="O57" s="73">
        <f>SUBTOTAL(9,O45:O56)</f>
        <v>984504600</v>
      </c>
      <c r="P57" s="73"/>
      <c r="Q57" s="73">
        <f>SUBTOTAL(9,Q45:Q56)</f>
        <v>47034426.686995618</v>
      </c>
      <c r="S57" s="74">
        <f>+ROUND(Q57/K57*100,2)</f>
        <v>2.97</v>
      </c>
      <c r="U57" s="186"/>
      <c r="V57" s="181"/>
      <c r="W57" s="345"/>
      <c r="X57" s="208"/>
      <c r="Y57" s="208"/>
      <c r="Z57" s="208"/>
      <c r="AA57" s="203"/>
    </row>
    <row r="58" spans="1:27" s="19" customFormat="1">
      <c r="A58" s="64"/>
      <c r="B58" s="65"/>
      <c r="C58" s="78"/>
      <c r="D58" s="65"/>
      <c r="E58" s="65"/>
      <c r="F58" s="65"/>
      <c r="G58" s="183"/>
      <c r="H58" s="183"/>
      <c r="I58" s="184"/>
      <c r="J58" s="65"/>
      <c r="K58" s="71"/>
      <c r="L58" s="185"/>
      <c r="M58" s="73"/>
      <c r="N58" s="73"/>
      <c r="O58" s="73"/>
      <c r="P58" s="73"/>
      <c r="Q58" s="73"/>
      <c r="S58" s="74"/>
      <c r="U58" s="186"/>
      <c r="V58" s="181"/>
      <c r="W58" s="345"/>
      <c r="X58" s="208"/>
      <c r="Y58" s="208"/>
      <c r="Z58" s="208"/>
      <c r="AA58" s="203"/>
    </row>
    <row r="59" spans="1:27" s="19" customFormat="1">
      <c r="A59" s="64">
        <v>314</v>
      </c>
      <c r="B59" s="65"/>
      <c r="C59" s="78" t="s">
        <v>69</v>
      </c>
      <c r="D59" s="65"/>
      <c r="E59" s="65"/>
      <c r="F59" s="65"/>
      <c r="G59" s="183"/>
      <c r="H59" s="183"/>
      <c r="I59" s="184"/>
      <c r="J59" s="65"/>
      <c r="K59" s="71"/>
      <c r="L59" s="185"/>
      <c r="M59" s="73"/>
      <c r="N59" s="73"/>
      <c r="O59" s="73"/>
      <c r="P59" s="73"/>
      <c r="Q59" s="73"/>
      <c r="S59" s="74"/>
      <c r="U59" s="186"/>
      <c r="V59" s="181"/>
      <c r="W59" s="345"/>
      <c r="X59" s="208"/>
      <c r="Y59" s="208"/>
      <c r="Z59" s="208"/>
      <c r="AA59" s="203"/>
    </row>
    <row r="60" spans="1:27" s="19" customFormat="1">
      <c r="A60" s="64"/>
      <c r="B60" s="65"/>
      <c r="C60" s="70" t="s">
        <v>55</v>
      </c>
      <c r="D60" s="65"/>
      <c r="E60" s="182">
        <v>2030</v>
      </c>
      <c r="F60" s="65"/>
      <c r="G60" s="183" t="s">
        <v>184</v>
      </c>
      <c r="H60" s="183" t="s">
        <v>181</v>
      </c>
      <c r="I60" s="184">
        <v>0</v>
      </c>
      <c r="J60" s="65"/>
      <c r="K60" s="71">
        <v>23714956.780000001</v>
      </c>
      <c r="L60" s="185"/>
      <c r="M60" s="73">
        <v>17101082</v>
      </c>
      <c r="N60" s="73"/>
      <c r="O60" s="198">
        <f>ROUND((K60+(K60*-(I60/100)))-M60,0)</f>
        <v>6613875</v>
      </c>
      <c r="P60" s="73"/>
      <c r="Q60" s="57">
        <f>O60/U60</f>
        <v>601261.36363636365</v>
      </c>
      <c r="S60" s="74">
        <f>Q60/K60*100</f>
        <v>2.5353677394994758</v>
      </c>
      <c r="U60" s="172">
        <f>AA60</f>
        <v>11</v>
      </c>
      <c r="V60" s="181"/>
      <c r="W60" s="345">
        <f>'Adjust Depr Table 1'!U60</f>
        <v>11</v>
      </c>
      <c r="X60" s="208"/>
      <c r="Y60" s="209"/>
      <c r="Z60" s="208"/>
      <c r="AA60" s="203">
        <f>W60+Y60</f>
        <v>11</v>
      </c>
    </row>
    <row r="61" spans="1:27" s="19" customFormat="1">
      <c r="A61" s="64"/>
      <c r="B61" s="65"/>
      <c r="C61" s="70" t="s">
        <v>58</v>
      </c>
      <c r="D61" s="65"/>
      <c r="E61" s="182">
        <v>2040</v>
      </c>
      <c r="F61" s="65"/>
      <c r="G61" s="183" t="s">
        <v>184</v>
      </c>
      <c r="H61" s="183" t="s">
        <v>181</v>
      </c>
      <c r="I61" s="184">
        <v>0</v>
      </c>
      <c r="J61" s="65"/>
      <c r="K61" s="71">
        <v>33699815.289999999</v>
      </c>
      <c r="L61" s="185"/>
      <c r="M61" s="73">
        <v>21499392</v>
      </c>
      <c r="N61" s="73"/>
      <c r="O61" s="198">
        <f>ROUND((K61+(K61*-(I61/100)))-M61,0)</f>
        <v>12200423</v>
      </c>
      <c r="P61" s="73"/>
      <c r="Q61" s="57">
        <f>O61/U61</f>
        <v>580972.52380952379</v>
      </c>
      <c r="S61" s="74">
        <f>Q61/K61*100</f>
        <v>1.723963525645555</v>
      </c>
      <c r="U61" s="172">
        <f>AA61</f>
        <v>21</v>
      </c>
      <c r="V61" s="181"/>
      <c r="W61" s="345">
        <f>'Adjust Depr Table 1'!U61</f>
        <v>21</v>
      </c>
      <c r="X61" s="208"/>
      <c r="Y61" s="209"/>
      <c r="Z61" s="208"/>
      <c r="AA61" s="203">
        <f>W61+Y61</f>
        <v>21</v>
      </c>
    </row>
    <row r="62" spans="1:27" s="19" customFormat="1">
      <c r="A62" s="64"/>
      <c r="B62" s="65"/>
      <c r="C62" s="70" t="s">
        <v>59</v>
      </c>
      <c r="D62" s="65"/>
      <c r="E62" s="182">
        <v>2042</v>
      </c>
      <c r="F62" s="65"/>
      <c r="G62" s="183" t="s">
        <v>184</v>
      </c>
      <c r="H62" s="183" t="s">
        <v>181</v>
      </c>
      <c r="I62" s="184">
        <v>0</v>
      </c>
      <c r="J62" s="65"/>
      <c r="K62" s="71">
        <v>60137136.600000001</v>
      </c>
      <c r="L62" s="185"/>
      <c r="M62" s="73">
        <v>34021115</v>
      </c>
      <c r="N62" s="73"/>
      <c r="O62" s="198">
        <f>ROUND((K62+(K62*-(I62/100)))-M62,0)</f>
        <v>26116022</v>
      </c>
      <c r="P62" s="73"/>
      <c r="Q62" s="57">
        <f>O62/U62</f>
        <v>1135479.2173913044</v>
      </c>
      <c r="S62" s="74">
        <f>Q62/K62*100</f>
        <v>1.8881497882812472</v>
      </c>
      <c r="U62" s="172">
        <f>AA62</f>
        <v>23</v>
      </c>
      <c r="V62" s="181"/>
      <c r="W62" s="345">
        <f>'Adjust Depr Table 1'!U62</f>
        <v>23</v>
      </c>
      <c r="X62" s="208"/>
      <c r="Y62" s="209"/>
      <c r="Z62" s="208"/>
      <c r="AA62" s="203">
        <f>W62+Y62</f>
        <v>23</v>
      </c>
    </row>
    <row r="63" spans="1:27" s="19" customFormat="1">
      <c r="A63" s="64"/>
      <c r="B63" s="65"/>
      <c r="C63" s="70" t="s">
        <v>60</v>
      </c>
      <c r="D63" s="65"/>
      <c r="E63" s="182">
        <v>2045</v>
      </c>
      <c r="F63" s="65"/>
      <c r="G63" s="183" t="s">
        <v>184</v>
      </c>
      <c r="H63" s="183" t="s">
        <v>181</v>
      </c>
      <c r="I63" s="184">
        <v>0</v>
      </c>
      <c r="J63" s="65"/>
      <c r="K63" s="71">
        <v>80408959.549999997</v>
      </c>
      <c r="L63" s="185"/>
      <c r="M63" s="73">
        <v>25108153</v>
      </c>
      <c r="N63" s="73"/>
      <c r="O63" s="198">
        <f>ROUND((K63+(K63*-(I63/100)))-M63,0)</f>
        <v>55300807</v>
      </c>
      <c r="P63" s="73"/>
      <c r="Q63" s="57">
        <f>O63/U63</f>
        <v>2126954.1153846155</v>
      </c>
      <c r="S63" s="74">
        <f>Q63/K63*100</f>
        <v>2.645170547272198</v>
      </c>
      <c r="U63" s="172">
        <f>AA63</f>
        <v>26</v>
      </c>
      <c r="V63" s="181"/>
      <c r="W63" s="345">
        <f>'Adjust Depr Table 1'!U63</f>
        <v>26</v>
      </c>
      <c r="X63" s="208"/>
      <c r="Y63" s="209"/>
      <c r="Z63" s="208"/>
      <c r="AA63" s="203">
        <f>W63+Y63</f>
        <v>26</v>
      </c>
    </row>
    <row r="64" spans="1:27" s="19" customFormat="1">
      <c r="A64" s="64"/>
      <c r="B64" s="65"/>
      <c r="C64" s="70" t="s">
        <v>61</v>
      </c>
      <c r="D64" s="65"/>
      <c r="E64" s="182">
        <v>2049</v>
      </c>
      <c r="F64" s="65"/>
      <c r="G64" s="183" t="s">
        <v>184</v>
      </c>
      <c r="H64" s="183" t="s">
        <v>181</v>
      </c>
      <c r="I64" s="184">
        <v>0</v>
      </c>
      <c r="J64" s="65"/>
      <c r="K64" s="75">
        <v>80239064.25</v>
      </c>
      <c r="L64" s="185"/>
      <c r="M64" s="77">
        <v>6017115</v>
      </c>
      <c r="N64" s="73"/>
      <c r="O64" s="205">
        <f>ROUND((K64+(K64*-(I64/100)))-M64,0)</f>
        <v>74221949</v>
      </c>
      <c r="P64" s="73"/>
      <c r="Q64" s="62">
        <f>O64/U64</f>
        <v>2474064.9666666668</v>
      </c>
      <c r="S64" s="74">
        <f>Q64/K64*100</f>
        <v>3.0833671725760023</v>
      </c>
      <c r="U64" s="172">
        <f>AA64</f>
        <v>30</v>
      </c>
      <c r="V64" s="181"/>
      <c r="W64" s="345">
        <f>'Adjust Depr Table 1'!U64</f>
        <v>30</v>
      </c>
      <c r="X64" s="208"/>
      <c r="Y64" s="209"/>
      <c r="Z64" s="208"/>
      <c r="AA64" s="203">
        <f>W64+Y64</f>
        <v>30</v>
      </c>
    </row>
    <row r="65" spans="1:27" s="19" customFormat="1">
      <c r="A65" s="64"/>
      <c r="B65" s="65"/>
      <c r="C65" s="78"/>
      <c r="D65" s="65"/>
      <c r="E65" s="182"/>
      <c r="F65" s="65"/>
      <c r="G65" s="183"/>
      <c r="H65" s="183"/>
      <c r="I65" s="184"/>
      <c r="J65" s="65"/>
      <c r="K65" s="71"/>
      <c r="L65" s="185"/>
      <c r="M65" s="73"/>
      <c r="N65" s="73"/>
      <c r="O65" s="73"/>
      <c r="P65" s="73"/>
      <c r="Q65" s="73"/>
      <c r="S65" s="74"/>
      <c r="U65" s="186"/>
      <c r="V65" s="181"/>
      <c r="W65" s="345"/>
      <c r="X65" s="208"/>
      <c r="Y65" s="208"/>
      <c r="Z65" s="208"/>
      <c r="AA65" s="203"/>
    </row>
    <row r="66" spans="1:27" s="19" customFormat="1">
      <c r="A66" s="64"/>
      <c r="B66" s="65"/>
      <c r="C66" s="78" t="s">
        <v>70</v>
      </c>
      <c r="D66" s="65"/>
      <c r="E66" s="182"/>
      <c r="F66" s="65"/>
      <c r="G66" s="183"/>
      <c r="H66" s="183"/>
      <c r="I66" s="184"/>
      <c r="J66" s="65"/>
      <c r="K66" s="71">
        <f>SUBTOTAL(9,K60:K65)</f>
        <v>278199932.47000003</v>
      </c>
      <c r="L66" s="185"/>
      <c r="M66" s="73">
        <f>SUBTOTAL(9,M60:M65)</f>
        <v>103746857</v>
      </c>
      <c r="N66" s="73"/>
      <c r="O66" s="73">
        <f>SUBTOTAL(9,O60:O65)</f>
        <v>174453076</v>
      </c>
      <c r="P66" s="73"/>
      <c r="Q66" s="73">
        <f>SUBTOTAL(9,Q60:Q65)</f>
        <v>6918732.186888475</v>
      </c>
      <c r="S66" s="74">
        <f>+ROUND(Q66/K66*100,2)</f>
        <v>2.4900000000000002</v>
      </c>
      <c r="U66" s="186"/>
      <c r="V66" s="181"/>
      <c r="W66" s="345"/>
      <c r="X66" s="208"/>
      <c r="Y66" s="208"/>
      <c r="Z66" s="208"/>
      <c r="AA66" s="203"/>
    </row>
    <row r="67" spans="1:27" s="19" customFormat="1">
      <c r="A67" s="64"/>
      <c r="B67" s="65"/>
      <c r="C67" s="78"/>
      <c r="D67" s="65"/>
      <c r="E67" s="182"/>
      <c r="F67" s="65"/>
      <c r="G67" s="183"/>
      <c r="H67" s="183"/>
      <c r="I67" s="184"/>
      <c r="J67" s="65"/>
      <c r="K67" s="71"/>
      <c r="L67" s="185"/>
      <c r="M67" s="73"/>
      <c r="N67" s="73"/>
      <c r="O67" s="73"/>
      <c r="P67" s="73"/>
      <c r="Q67" s="73"/>
      <c r="S67" s="74"/>
      <c r="U67" s="186"/>
      <c r="V67" s="181"/>
      <c r="W67" s="345"/>
      <c r="X67" s="208"/>
      <c r="Y67" s="208"/>
      <c r="Z67" s="208"/>
      <c r="AA67" s="203"/>
    </row>
    <row r="68" spans="1:27" s="19" customFormat="1">
      <c r="A68" s="64">
        <v>315</v>
      </c>
      <c r="B68" s="65"/>
      <c r="C68" s="78" t="s">
        <v>71</v>
      </c>
      <c r="D68" s="65"/>
      <c r="E68" s="182"/>
      <c r="F68" s="65"/>
      <c r="G68" s="183"/>
      <c r="H68" s="183"/>
      <c r="I68" s="184"/>
      <c r="J68" s="65"/>
      <c r="K68" s="71"/>
      <c r="L68" s="185"/>
      <c r="M68" s="73"/>
      <c r="N68" s="73"/>
      <c r="O68" s="73"/>
      <c r="P68" s="73"/>
      <c r="Q68" s="73"/>
      <c r="S68" s="74"/>
      <c r="U68" s="186"/>
      <c r="V68" s="181"/>
      <c r="W68" s="345"/>
      <c r="X68" s="208"/>
      <c r="Y68" s="208"/>
      <c r="Z68" s="208"/>
      <c r="AA68" s="203"/>
    </row>
    <row r="69" spans="1:27" s="19" customFormat="1">
      <c r="A69" s="64"/>
      <c r="B69" s="65"/>
      <c r="C69" s="70" t="s">
        <v>55</v>
      </c>
      <c r="D69" s="65"/>
      <c r="E69" s="182">
        <v>2030</v>
      </c>
      <c r="F69" s="65"/>
      <c r="G69" s="183" t="s">
        <v>185</v>
      </c>
      <c r="H69" s="183" t="s">
        <v>181</v>
      </c>
      <c r="I69" s="184">
        <v>0</v>
      </c>
      <c r="J69" s="65"/>
      <c r="K69" s="71">
        <v>3362383.45</v>
      </c>
      <c r="L69" s="185"/>
      <c r="M69" s="73">
        <v>2657793</v>
      </c>
      <c r="N69" s="73"/>
      <c r="O69" s="198">
        <f t="shared" ref="O69:O79" si="10">ROUND((K69+(K69*-(I69/100)))-M69,0)</f>
        <v>704590</v>
      </c>
      <c r="P69" s="73"/>
      <c r="Q69" s="57">
        <f t="shared" ref="Q69:Q79" si="11">O69/U69</f>
        <v>64053.63636363636</v>
      </c>
      <c r="S69" s="74">
        <f t="shared" ref="S69:S79" si="12">Q69/K69*100</f>
        <v>1.9050068891945195</v>
      </c>
      <c r="U69" s="172">
        <f t="shared" ref="U69:U79" si="13">AA69</f>
        <v>11</v>
      </c>
      <c r="V69" s="181"/>
      <c r="W69" s="345">
        <f>'Adjust Depr Table 1'!U69</f>
        <v>11</v>
      </c>
      <c r="X69" s="208"/>
      <c r="Y69" s="209"/>
      <c r="Z69" s="208"/>
      <c r="AA69" s="203">
        <f t="shared" ref="AA69:AA79" si="14">W69+Y69</f>
        <v>11</v>
      </c>
    </row>
    <row r="70" spans="1:27" s="19" customFormat="1">
      <c r="A70" s="64"/>
      <c r="B70" s="65"/>
      <c r="C70" s="70" t="s">
        <v>66</v>
      </c>
      <c r="D70" s="65"/>
      <c r="E70" s="182">
        <v>2030</v>
      </c>
      <c r="F70" s="65"/>
      <c r="G70" s="183" t="s">
        <v>185</v>
      </c>
      <c r="H70" s="183" t="s">
        <v>181</v>
      </c>
      <c r="I70" s="184">
        <v>0</v>
      </c>
      <c r="J70" s="65"/>
      <c r="K70" s="71">
        <v>108139.1</v>
      </c>
      <c r="L70" s="185"/>
      <c r="M70" s="73">
        <v>17587</v>
      </c>
      <c r="N70" s="73"/>
      <c r="O70" s="198">
        <f t="shared" si="10"/>
        <v>90552</v>
      </c>
      <c r="P70" s="73"/>
      <c r="Q70" s="57">
        <f t="shared" si="11"/>
        <v>8232</v>
      </c>
      <c r="S70" s="74">
        <f t="shared" si="12"/>
        <v>7.6124177101529416</v>
      </c>
      <c r="U70" s="172">
        <f t="shared" si="13"/>
        <v>11</v>
      </c>
      <c r="V70" s="181"/>
      <c r="W70" s="345">
        <f>'Adjust Depr Table 1'!U70</f>
        <v>11</v>
      </c>
      <c r="X70" s="208"/>
      <c r="Y70" s="209"/>
      <c r="Z70" s="208"/>
      <c r="AA70" s="203">
        <f t="shared" si="14"/>
        <v>11</v>
      </c>
    </row>
    <row r="71" spans="1:27" s="19" customFormat="1">
      <c r="A71" s="64"/>
      <c r="B71" s="65"/>
      <c r="C71" s="70" t="s">
        <v>67</v>
      </c>
      <c r="D71" s="65"/>
      <c r="E71" s="182">
        <v>2030</v>
      </c>
      <c r="F71" s="65"/>
      <c r="G71" s="183" t="s">
        <v>185</v>
      </c>
      <c r="H71" s="183" t="s">
        <v>181</v>
      </c>
      <c r="I71" s="184">
        <v>0</v>
      </c>
      <c r="J71" s="65"/>
      <c r="K71" s="71">
        <v>108269.09</v>
      </c>
      <c r="L71" s="185"/>
      <c r="M71" s="73">
        <v>17606</v>
      </c>
      <c r="N71" s="73"/>
      <c r="O71" s="198">
        <f t="shared" si="10"/>
        <v>90663</v>
      </c>
      <c r="P71" s="73"/>
      <c r="Q71" s="57">
        <f t="shared" si="11"/>
        <v>8242.0909090909099</v>
      </c>
      <c r="S71" s="74">
        <f t="shared" si="12"/>
        <v>7.6125983039950826</v>
      </c>
      <c r="U71" s="172">
        <f t="shared" si="13"/>
        <v>11</v>
      </c>
      <c r="V71" s="181"/>
      <c r="W71" s="345">
        <f>'Adjust Depr Table 1'!U71</f>
        <v>11</v>
      </c>
      <c r="X71" s="208"/>
      <c r="Y71" s="209"/>
      <c r="Z71" s="208"/>
      <c r="AA71" s="203">
        <f t="shared" si="14"/>
        <v>11</v>
      </c>
    </row>
    <row r="72" spans="1:27" s="19" customFormat="1">
      <c r="A72" s="64"/>
      <c r="B72" s="65"/>
      <c r="C72" s="70" t="s">
        <v>56</v>
      </c>
      <c r="D72" s="65"/>
      <c r="E72" s="182">
        <v>2030</v>
      </c>
      <c r="F72" s="65"/>
      <c r="G72" s="183" t="s">
        <v>185</v>
      </c>
      <c r="H72" s="183" t="s">
        <v>181</v>
      </c>
      <c r="I72" s="184">
        <v>0</v>
      </c>
      <c r="J72" s="65"/>
      <c r="K72" s="71">
        <v>12060627.85</v>
      </c>
      <c r="L72" s="185"/>
      <c r="M72" s="73">
        <v>5388909</v>
      </c>
      <c r="N72" s="73"/>
      <c r="O72" s="198">
        <f t="shared" si="10"/>
        <v>6671719</v>
      </c>
      <c r="P72" s="73"/>
      <c r="Q72" s="57">
        <f t="shared" si="11"/>
        <v>606519.90909090906</v>
      </c>
      <c r="S72" s="74">
        <f t="shared" si="12"/>
        <v>5.0289248340492412</v>
      </c>
      <c r="U72" s="172">
        <f t="shared" si="13"/>
        <v>11</v>
      </c>
      <c r="V72" s="181"/>
      <c r="W72" s="345">
        <f>'Adjust Depr Table 1'!U72</f>
        <v>11</v>
      </c>
      <c r="X72" s="208"/>
      <c r="Y72" s="209"/>
      <c r="Z72" s="208"/>
      <c r="AA72" s="203">
        <f t="shared" si="14"/>
        <v>11</v>
      </c>
    </row>
    <row r="73" spans="1:27" s="19" customFormat="1">
      <c r="A73" s="64"/>
      <c r="B73" s="65"/>
      <c r="C73" s="70" t="s">
        <v>57</v>
      </c>
      <c r="D73" s="65"/>
      <c r="E73" s="182">
        <v>2049</v>
      </c>
      <c r="F73" s="65"/>
      <c r="G73" s="183" t="s">
        <v>185</v>
      </c>
      <c r="H73" s="183" t="s">
        <v>181</v>
      </c>
      <c r="I73" s="184">
        <v>0</v>
      </c>
      <c r="J73" s="65"/>
      <c r="K73" s="71">
        <v>657912.36</v>
      </c>
      <c r="L73" s="185"/>
      <c r="M73" s="73">
        <v>7870</v>
      </c>
      <c r="N73" s="73"/>
      <c r="O73" s="198">
        <f t="shared" si="10"/>
        <v>650042</v>
      </c>
      <c r="P73" s="73"/>
      <c r="Q73" s="57">
        <f t="shared" si="11"/>
        <v>21668.066666666666</v>
      </c>
      <c r="S73" s="74">
        <f t="shared" si="12"/>
        <v>3.293457910817585</v>
      </c>
      <c r="U73" s="172">
        <f t="shared" si="13"/>
        <v>30</v>
      </c>
      <c r="V73" s="181"/>
      <c r="W73" s="345">
        <f>'Adjust Depr Table 1'!U73</f>
        <v>30</v>
      </c>
      <c r="X73" s="208"/>
      <c r="Y73" s="209"/>
      <c r="Z73" s="208"/>
      <c r="AA73" s="203">
        <f t="shared" si="14"/>
        <v>30</v>
      </c>
    </row>
    <row r="74" spans="1:27" s="19" customFormat="1">
      <c r="A74" s="64"/>
      <c r="B74" s="65"/>
      <c r="C74" s="70" t="s">
        <v>58</v>
      </c>
      <c r="D74" s="65"/>
      <c r="E74" s="182">
        <v>2040</v>
      </c>
      <c r="F74" s="65"/>
      <c r="G74" s="183" t="s">
        <v>185</v>
      </c>
      <c r="H74" s="183" t="s">
        <v>181</v>
      </c>
      <c r="I74" s="184">
        <v>0</v>
      </c>
      <c r="J74" s="65"/>
      <c r="K74" s="71">
        <v>10670855.65</v>
      </c>
      <c r="L74" s="185"/>
      <c r="M74" s="73">
        <v>6663401</v>
      </c>
      <c r="N74" s="73"/>
      <c r="O74" s="198">
        <f t="shared" si="10"/>
        <v>4007455</v>
      </c>
      <c r="P74" s="73"/>
      <c r="Q74" s="57">
        <f t="shared" si="11"/>
        <v>190831.19047619047</v>
      </c>
      <c r="S74" s="74">
        <f t="shared" si="12"/>
        <v>1.7883400988203835</v>
      </c>
      <c r="U74" s="172">
        <f t="shared" si="13"/>
        <v>21</v>
      </c>
      <c r="V74" s="181"/>
      <c r="W74" s="345">
        <f>'Adjust Depr Table 1'!U74</f>
        <v>21</v>
      </c>
      <c r="X74" s="208"/>
      <c r="Y74" s="209"/>
      <c r="Z74" s="208"/>
      <c r="AA74" s="203">
        <f t="shared" si="14"/>
        <v>21</v>
      </c>
    </row>
    <row r="75" spans="1:27" s="19" customFormat="1">
      <c r="A75" s="64"/>
      <c r="B75" s="65"/>
      <c r="C75" s="70" t="s">
        <v>59</v>
      </c>
      <c r="D75" s="65"/>
      <c r="E75" s="182">
        <v>2042</v>
      </c>
      <c r="F75" s="65"/>
      <c r="G75" s="183" t="s">
        <v>185</v>
      </c>
      <c r="H75" s="183" t="s">
        <v>181</v>
      </c>
      <c r="I75" s="184">
        <v>0</v>
      </c>
      <c r="J75" s="65"/>
      <c r="K75" s="71">
        <v>21783326.510000002</v>
      </c>
      <c r="L75" s="185"/>
      <c r="M75" s="73">
        <v>15081564</v>
      </c>
      <c r="N75" s="73"/>
      <c r="O75" s="198">
        <f t="shared" si="10"/>
        <v>6701763</v>
      </c>
      <c r="P75" s="73"/>
      <c r="Q75" s="57">
        <f t="shared" si="11"/>
        <v>291381</v>
      </c>
      <c r="S75" s="74">
        <f t="shared" si="12"/>
        <v>1.3376331657437017</v>
      </c>
      <c r="U75" s="172">
        <f t="shared" si="13"/>
        <v>23</v>
      </c>
      <c r="V75" s="181"/>
      <c r="W75" s="345">
        <f>'Adjust Depr Table 1'!U75</f>
        <v>23</v>
      </c>
      <c r="X75" s="208"/>
      <c r="Y75" s="209"/>
      <c r="Z75" s="208"/>
      <c r="AA75" s="203">
        <f t="shared" si="14"/>
        <v>23</v>
      </c>
    </row>
    <row r="76" spans="1:27" s="19" customFormat="1">
      <c r="A76" s="64"/>
      <c r="B76" s="65"/>
      <c r="C76" s="70" t="s">
        <v>60</v>
      </c>
      <c r="D76" s="65"/>
      <c r="E76" s="182">
        <v>2045</v>
      </c>
      <c r="F76" s="65"/>
      <c r="G76" s="183" t="s">
        <v>185</v>
      </c>
      <c r="H76" s="183" t="s">
        <v>181</v>
      </c>
      <c r="I76" s="184">
        <v>0</v>
      </c>
      <c r="J76" s="65"/>
      <c r="K76" s="71">
        <v>23764302.84</v>
      </c>
      <c r="L76" s="185"/>
      <c r="M76" s="73">
        <v>7521598</v>
      </c>
      <c r="N76" s="73"/>
      <c r="O76" s="198">
        <f t="shared" si="10"/>
        <v>16242705</v>
      </c>
      <c r="P76" s="73"/>
      <c r="Q76" s="57">
        <f t="shared" si="11"/>
        <v>624719.42307692312</v>
      </c>
      <c r="S76" s="74">
        <f t="shared" si="12"/>
        <v>2.6288144334930683</v>
      </c>
      <c r="U76" s="172">
        <f t="shared" si="13"/>
        <v>26</v>
      </c>
      <c r="V76" s="181"/>
      <c r="W76" s="345">
        <f>'Adjust Depr Table 1'!U76</f>
        <v>26</v>
      </c>
      <c r="X76" s="208"/>
      <c r="Y76" s="209"/>
      <c r="Z76" s="208"/>
      <c r="AA76" s="203">
        <f t="shared" si="14"/>
        <v>26</v>
      </c>
    </row>
    <row r="77" spans="1:27" s="19" customFormat="1">
      <c r="A77" s="64"/>
      <c r="B77" s="65"/>
      <c r="C77" s="70" t="s">
        <v>61</v>
      </c>
      <c r="D77" s="65"/>
      <c r="E77" s="182">
        <v>2049</v>
      </c>
      <c r="F77" s="65"/>
      <c r="G77" s="183" t="s">
        <v>185</v>
      </c>
      <c r="H77" s="183" t="s">
        <v>181</v>
      </c>
      <c r="I77" s="184">
        <v>0</v>
      </c>
      <c r="J77" s="65"/>
      <c r="K77" s="71">
        <v>12751242.41</v>
      </c>
      <c r="L77" s="185"/>
      <c r="M77" s="73">
        <v>1382162</v>
      </c>
      <c r="N77" s="73"/>
      <c r="O77" s="198">
        <f t="shared" si="10"/>
        <v>11369080</v>
      </c>
      <c r="P77" s="73"/>
      <c r="Q77" s="57">
        <f t="shared" si="11"/>
        <v>378969.33333333331</v>
      </c>
      <c r="S77" s="74">
        <f t="shared" si="12"/>
        <v>2.9720188915562566</v>
      </c>
      <c r="U77" s="172">
        <f t="shared" si="13"/>
        <v>30</v>
      </c>
      <c r="V77" s="181"/>
      <c r="W77" s="345">
        <f>'Adjust Depr Table 1'!U77</f>
        <v>30</v>
      </c>
      <c r="X77" s="208"/>
      <c r="Y77" s="209"/>
      <c r="Z77" s="208"/>
      <c r="AA77" s="203">
        <f t="shared" si="14"/>
        <v>30</v>
      </c>
    </row>
    <row r="78" spans="1:27" s="19" customFormat="1">
      <c r="A78" s="64"/>
      <c r="B78" s="65"/>
      <c r="C78" s="70" t="s">
        <v>62</v>
      </c>
      <c r="D78" s="65"/>
      <c r="E78" s="182">
        <v>2040</v>
      </c>
      <c r="F78" s="65"/>
      <c r="G78" s="183" t="s">
        <v>185</v>
      </c>
      <c r="H78" s="183" t="s">
        <v>181</v>
      </c>
      <c r="I78" s="184">
        <v>0</v>
      </c>
      <c r="J78" s="65"/>
      <c r="K78" s="71">
        <v>12520715.15</v>
      </c>
      <c r="L78" s="185"/>
      <c r="M78" s="73">
        <v>4450680</v>
      </c>
      <c r="N78" s="73"/>
      <c r="O78" s="198">
        <f t="shared" si="10"/>
        <v>8070035</v>
      </c>
      <c r="P78" s="73"/>
      <c r="Q78" s="57">
        <f t="shared" si="11"/>
        <v>384287.38095238095</v>
      </c>
      <c r="S78" s="74">
        <f t="shared" si="12"/>
        <v>3.0692127114830252</v>
      </c>
      <c r="U78" s="172">
        <f t="shared" si="13"/>
        <v>21</v>
      </c>
      <c r="V78" s="181"/>
      <c r="W78" s="345">
        <f>'Adjust Depr Table 1'!U78</f>
        <v>21</v>
      </c>
      <c r="X78" s="208"/>
      <c r="Y78" s="209"/>
      <c r="Z78" s="208"/>
      <c r="AA78" s="203">
        <f t="shared" si="14"/>
        <v>21</v>
      </c>
    </row>
    <row r="79" spans="1:27" s="19" customFormat="1">
      <c r="A79" s="64"/>
      <c r="B79" s="65"/>
      <c r="C79" s="70" t="s">
        <v>63</v>
      </c>
      <c r="D79" s="65"/>
      <c r="E79" s="182">
        <v>2042</v>
      </c>
      <c r="F79" s="65"/>
      <c r="G79" s="183" t="s">
        <v>185</v>
      </c>
      <c r="H79" s="183" t="s">
        <v>181</v>
      </c>
      <c r="I79" s="184">
        <v>0</v>
      </c>
      <c r="J79" s="65"/>
      <c r="K79" s="75">
        <v>17731988.489999998</v>
      </c>
      <c r="L79" s="185"/>
      <c r="M79" s="77">
        <v>6374337</v>
      </c>
      <c r="N79" s="73"/>
      <c r="O79" s="205">
        <f t="shared" si="10"/>
        <v>11357651</v>
      </c>
      <c r="P79" s="73"/>
      <c r="Q79" s="62">
        <f t="shared" si="11"/>
        <v>493810.91304347827</v>
      </c>
      <c r="S79" s="74">
        <f t="shared" si="12"/>
        <v>2.7848592013352831</v>
      </c>
      <c r="U79" s="172">
        <f t="shared" si="13"/>
        <v>23</v>
      </c>
      <c r="V79" s="181"/>
      <c r="W79" s="345">
        <f>'Adjust Depr Table 1'!U79</f>
        <v>23</v>
      </c>
      <c r="X79" s="208"/>
      <c r="Y79" s="209"/>
      <c r="Z79" s="208"/>
      <c r="AA79" s="203">
        <f t="shared" si="14"/>
        <v>23</v>
      </c>
    </row>
    <row r="80" spans="1:27" s="19" customFormat="1">
      <c r="A80" s="64"/>
      <c r="B80" s="65"/>
      <c r="C80" s="78"/>
      <c r="D80" s="65"/>
      <c r="E80" s="65"/>
      <c r="F80" s="65"/>
      <c r="G80" s="183"/>
      <c r="H80" s="183"/>
      <c r="I80" s="184"/>
      <c r="J80" s="65"/>
      <c r="K80" s="71"/>
      <c r="L80" s="185"/>
      <c r="M80" s="73"/>
      <c r="N80" s="73"/>
      <c r="O80" s="73"/>
      <c r="P80" s="73"/>
      <c r="Q80" s="73"/>
      <c r="S80" s="74"/>
      <c r="U80" s="186"/>
      <c r="V80" s="181"/>
      <c r="W80" s="345"/>
      <c r="X80" s="208"/>
      <c r="Y80" s="208"/>
      <c r="Z80" s="208"/>
      <c r="AA80" s="203"/>
    </row>
    <row r="81" spans="1:27" s="19" customFormat="1">
      <c r="A81" s="64"/>
      <c r="B81" s="65"/>
      <c r="C81" s="78" t="s">
        <v>72</v>
      </c>
      <c r="D81" s="65"/>
      <c r="E81" s="65"/>
      <c r="F81" s="65"/>
      <c r="G81" s="183"/>
      <c r="H81" s="183"/>
      <c r="I81" s="184"/>
      <c r="J81" s="65"/>
      <c r="K81" s="71">
        <f>SUBTOTAL(9,K69:K80)</f>
        <v>115519762.90000001</v>
      </c>
      <c r="L81" s="185"/>
      <c r="M81" s="73">
        <f>SUBTOTAL(9,M69:M80)</f>
        <v>49563507</v>
      </c>
      <c r="N81" s="73"/>
      <c r="O81" s="73">
        <f>SUBTOTAL(9,O69:O80)</f>
        <v>65956255</v>
      </c>
      <c r="P81" s="73"/>
      <c r="Q81" s="73">
        <f>SUBTOTAL(9,Q69:Q80)</f>
        <v>3072714.9439126095</v>
      </c>
      <c r="S81" s="74">
        <f>+ROUND(Q81/K81*100,2)</f>
        <v>2.66</v>
      </c>
      <c r="U81" s="186"/>
      <c r="V81" s="181"/>
      <c r="W81" s="345"/>
      <c r="X81" s="208"/>
      <c r="Y81" s="208"/>
      <c r="Z81" s="208"/>
      <c r="AA81" s="203"/>
    </row>
    <row r="82" spans="1:27" s="19" customFormat="1">
      <c r="A82" s="64"/>
      <c r="B82" s="65"/>
      <c r="C82" s="78"/>
      <c r="D82" s="65"/>
      <c r="E82" s="65"/>
      <c r="F82" s="65"/>
      <c r="G82" s="183"/>
      <c r="H82" s="183"/>
      <c r="I82" s="184"/>
      <c r="J82" s="65"/>
      <c r="K82" s="71"/>
      <c r="L82" s="185"/>
      <c r="M82" s="73"/>
      <c r="N82" s="73"/>
      <c r="O82" s="73"/>
      <c r="P82" s="73"/>
      <c r="Q82" s="73"/>
      <c r="S82" s="74"/>
      <c r="U82" s="186"/>
      <c r="V82" s="181"/>
      <c r="W82" s="345"/>
      <c r="X82" s="208"/>
      <c r="Y82" s="208"/>
      <c r="Z82" s="208"/>
      <c r="AA82" s="203"/>
    </row>
    <row r="83" spans="1:27" s="19" customFormat="1">
      <c r="A83" s="64">
        <v>316</v>
      </c>
      <c r="B83" s="65"/>
      <c r="C83" s="78" t="s">
        <v>73</v>
      </c>
      <c r="D83" s="65"/>
      <c r="E83" s="65"/>
      <c r="F83" s="65"/>
      <c r="G83" s="183"/>
      <c r="H83" s="183"/>
      <c r="I83" s="184"/>
      <c r="J83" s="65"/>
      <c r="K83" s="71"/>
      <c r="L83" s="65"/>
      <c r="M83" s="67"/>
      <c r="N83" s="67"/>
      <c r="O83" s="67"/>
      <c r="P83" s="67"/>
      <c r="Q83" s="67"/>
      <c r="S83" s="74"/>
      <c r="U83" s="186"/>
      <c r="V83" s="181"/>
      <c r="W83" s="345"/>
      <c r="X83" s="208"/>
      <c r="Y83" s="208"/>
      <c r="Z83" s="208"/>
      <c r="AA83" s="203"/>
    </row>
    <row r="84" spans="1:27" s="19" customFormat="1">
      <c r="A84" s="64"/>
      <c r="B84" s="65"/>
      <c r="C84" s="70" t="s">
        <v>54</v>
      </c>
      <c r="D84" s="65"/>
      <c r="E84" s="182">
        <v>2030</v>
      </c>
      <c r="F84" s="65"/>
      <c r="G84" s="183" t="s">
        <v>186</v>
      </c>
      <c r="H84" s="183" t="s">
        <v>181</v>
      </c>
      <c r="I84" s="184">
        <v>0</v>
      </c>
      <c r="J84" s="65"/>
      <c r="K84" s="71">
        <v>1111554.28</v>
      </c>
      <c r="L84" s="185"/>
      <c r="M84" s="73">
        <v>695769.46</v>
      </c>
      <c r="N84" s="73"/>
      <c r="O84" s="198">
        <f t="shared" ref="O84:O90" si="15">ROUND((K84+(K84*-(I84/100)))-M84,0)</f>
        <v>415785</v>
      </c>
      <c r="P84" s="73"/>
      <c r="Q84" s="57">
        <f t="shared" ref="Q84:Q90" si="16">O84/U84</f>
        <v>37798.63636363636</v>
      </c>
      <c r="S84" s="74">
        <f t="shared" ref="S84:S90" si="17">Q84/K84*100</f>
        <v>3.4005209681380886</v>
      </c>
      <c r="U84" s="172">
        <f t="shared" ref="U84:U90" si="18">AA84</f>
        <v>11</v>
      </c>
      <c r="V84" s="181"/>
      <c r="W84" s="345">
        <f>'Adjust Depr Table 1'!U84</f>
        <v>11</v>
      </c>
      <c r="X84" s="208"/>
      <c r="Y84" s="209"/>
      <c r="Z84" s="208"/>
      <c r="AA84" s="203">
        <f t="shared" ref="AA84:AA90" si="19">W84+Y84</f>
        <v>11</v>
      </c>
    </row>
    <row r="85" spans="1:27" s="19" customFormat="1">
      <c r="A85" s="64"/>
      <c r="B85" s="65"/>
      <c r="C85" s="70" t="s">
        <v>55</v>
      </c>
      <c r="D85" s="65"/>
      <c r="E85" s="182">
        <v>2030</v>
      </c>
      <c r="F85" s="65"/>
      <c r="G85" s="183" t="s">
        <v>186</v>
      </c>
      <c r="H85" s="183" t="s">
        <v>181</v>
      </c>
      <c r="I85" s="184">
        <v>0</v>
      </c>
      <c r="J85" s="65"/>
      <c r="K85" s="71">
        <v>2706566.34</v>
      </c>
      <c r="L85" s="185"/>
      <c r="M85" s="73">
        <v>1294786</v>
      </c>
      <c r="N85" s="73"/>
      <c r="O85" s="198">
        <f t="shared" si="15"/>
        <v>1411780</v>
      </c>
      <c r="P85" s="73"/>
      <c r="Q85" s="57">
        <f t="shared" si="16"/>
        <v>128343.63636363637</v>
      </c>
      <c r="S85" s="74">
        <f t="shared" si="17"/>
        <v>4.7419357311462154</v>
      </c>
      <c r="U85" s="172">
        <f t="shared" si="18"/>
        <v>11</v>
      </c>
      <c r="V85" s="181"/>
      <c r="W85" s="345">
        <f>'Adjust Depr Table 1'!U85</f>
        <v>11</v>
      </c>
      <c r="X85" s="208"/>
      <c r="Y85" s="209"/>
      <c r="Z85" s="208"/>
      <c r="AA85" s="203">
        <f t="shared" si="19"/>
        <v>11</v>
      </c>
    </row>
    <row r="86" spans="1:27" s="19" customFormat="1">
      <c r="A86" s="64"/>
      <c r="B86" s="65"/>
      <c r="C86" s="70" t="s">
        <v>56</v>
      </c>
      <c r="D86" s="65"/>
      <c r="E86" s="182">
        <v>2030</v>
      </c>
      <c r="F86" s="65"/>
      <c r="G86" s="183" t="s">
        <v>186</v>
      </c>
      <c r="H86" s="183" t="s">
        <v>181</v>
      </c>
      <c r="I86" s="184">
        <v>0</v>
      </c>
      <c r="J86" s="65"/>
      <c r="K86" s="71">
        <v>2139985.1800000002</v>
      </c>
      <c r="L86" s="185"/>
      <c r="M86" s="73">
        <v>969395</v>
      </c>
      <c r="N86" s="73"/>
      <c r="O86" s="198">
        <f t="shared" si="15"/>
        <v>1170590</v>
      </c>
      <c r="P86" s="73"/>
      <c r="Q86" s="57">
        <f t="shared" si="16"/>
        <v>106417.27272727272</v>
      </c>
      <c r="S86" s="74">
        <f t="shared" si="17"/>
        <v>4.97280419144177</v>
      </c>
      <c r="U86" s="172">
        <f t="shared" si="18"/>
        <v>11</v>
      </c>
      <c r="V86" s="181"/>
      <c r="W86" s="345">
        <f>'Adjust Depr Table 1'!U86</f>
        <v>11</v>
      </c>
      <c r="X86" s="208"/>
      <c r="Y86" s="209"/>
      <c r="Z86" s="208"/>
      <c r="AA86" s="203">
        <f t="shared" si="19"/>
        <v>11</v>
      </c>
    </row>
    <row r="87" spans="1:27" s="19" customFormat="1">
      <c r="A87" s="64"/>
      <c r="B87" s="65"/>
      <c r="C87" s="70" t="s">
        <v>57</v>
      </c>
      <c r="D87" s="65"/>
      <c r="E87" s="182">
        <v>2049</v>
      </c>
      <c r="F87" s="65"/>
      <c r="G87" s="183" t="s">
        <v>186</v>
      </c>
      <c r="H87" s="183" t="s">
        <v>181</v>
      </c>
      <c r="I87" s="184">
        <v>0</v>
      </c>
      <c r="J87" s="65"/>
      <c r="K87" s="71">
        <v>4774642.05</v>
      </c>
      <c r="L87" s="185"/>
      <c r="M87" s="73">
        <v>1942513</v>
      </c>
      <c r="N87" s="73"/>
      <c r="O87" s="198">
        <f t="shared" si="15"/>
        <v>2832129</v>
      </c>
      <c r="P87" s="73"/>
      <c r="Q87" s="57">
        <f t="shared" si="16"/>
        <v>94404.3</v>
      </c>
      <c r="S87" s="74">
        <f t="shared" si="17"/>
        <v>1.9772016208000347</v>
      </c>
      <c r="U87" s="172">
        <f t="shared" si="18"/>
        <v>30</v>
      </c>
      <c r="V87" s="181"/>
      <c r="W87" s="345">
        <f>'Adjust Depr Table 1'!U87</f>
        <v>30</v>
      </c>
      <c r="X87" s="208"/>
      <c r="Y87" s="209"/>
      <c r="Z87" s="208"/>
      <c r="AA87" s="203">
        <f t="shared" si="19"/>
        <v>30</v>
      </c>
    </row>
    <row r="88" spans="1:27" s="19" customFormat="1">
      <c r="A88" s="64"/>
      <c r="B88" s="65"/>
      <c r="C88" s="70" t="s">
        <v>58</v>
      </c>
      <c r="D88" s="65"/>
      <c r="E88" s="182">
        <v>2040</v>
      </c>
      <c r="F88" s="65"/>
      <c r="G88" s="183" t="s">
        <v>186</v>
      </c>
      <c r="H88" s="183" t="s">
        <v>181</v>
      </c>
      <c r="I88" s="184">
        <v>0</v>
      </c>
      <c r="J88" s="65"/>
      <c r="K88" s="71">
        <v>182562.7</v>
      </c>
      <c r="L88" s="185"/>
      <c r="M88" s="73">
        <v>127731</v>
      </c>
      <c r="N88" s="73"/>
      <c r="O88" s="198">
        <f t="shared" si="15"/>
        <v>54832</v>
      </c>
      <c r="P88" s="73"/>
      <c r="Q88" s="57">
        <f t="shared" si="16"/>
        <v>2611.0476190476193</v>
      </c>
      <c r="S88" s="74">
        <f t="shared" si="17"/>
        <v>1.4302196555197852</v>
      </c>
      <c r="U88" s="172">
        <f t="shared" si="18"/>
        <v>21</v>
      </c>
      <c r="V88" s="181"/>
      <c r="W88" s="345">
        <f>'Adjust Depr Table 1'!U88</f>
        <v>21</v>
      </c>
      <c r="X88" s="208"/>
      <c r="Y88" s="209"/>
      <c r="Z88" s="208"/>
      <c r="AA88" s="203">
        <f t="shared" si="19"/>
        <v>21</v>
      </c>
    </row>
    <row r="89" spans="1:27" s="19" customFormat="1">
      <c r="A89" s="64"/>
      <c r="B89" s="65"/>
      <c r="C89" s="70" t="s">
        <v>60</v>
      </c>
      <c r="D89" s="65"/>
      <c r="E89" s="182">
        <v>2045</v>
      </c>
      <c r="F89" s="65"/>
      <c r="G89" s="183" t="s">
        <v>186</v>
      </c>
      <c r="H89" s="183" t="s">
        <v>181</v>
      </c>
      <c r="I89" s="184">
        <v>0</v>
      </c>
      <c r="J89" s="65"/>
      <c r="K89" s="71">
        <v>2192469.65</v>
      </c>
      <c r="L89" s="185"/>
      <c r="M89" s="73">
        <v>248026</v>
      </c>
      <c r="N89" s="73"/>
      <c r="O89" s="198">
        <f t="shared" si="15"/>
        <v>1944444</v>
      </c>
      <c r="P89" s="73"/>
      <c r="Q89" s="57">
        <f t="shared" si="16"/>
        <v>74786.307692307688</v>
      </c>
      <c r="S89" s="74">
        <f t="shared" si="17"/>
        <v>3.41105327010149</v>
      </c>
      <c r="U89" s="172">
        <f t="shared" si="18"/>
        <v>26</v>
      </c>
      <c r="V89" s="181"/>
      <c r="W89" s="345">
        <f>'Adjust Depr Table 1'!U89</f>
        <v>26</v>
      </c>
      <c r="X89" s="208"/>
      <c r="Y89" s="209"/>
      <c r="Z89" s="208"/>
      <c r="AA89" s="203">
        <f t="shared" si="19"/>
        <v>26</v>
      </c>
    </row>
    <row r="90" spans="1:27" s="19" customFormat="1">
      <c r="A90" s="64"/>
      <c r="B90" s="65"/>
      <c r="C90" s="70" t="s">
        <v>61</v>
      </c>
      <c r="D90" s="65"/>
      <c r="E90" s="182">
        <v>2049</v>
      </c>
      <c r="F90" s="65"/>
      <c r="G90" s="183" t="s">
        <v>186</v>
      </c>
      <c r="H90" s="183" t="s">
        <v>181</v>
      </c>
      <c r="I90" s="184">
        <v>0</v>
      </c>
      <c r="J90" s="65"/>
      <c r="K90" s="75">
        <v>3964220.82</v>
      </c>
      <c r="L90" s="185"/>
      <c r="M90" s="77">
        <v>272786</v>
      </c>
      <c r="N90" s="73"/>
      <c r="O90" s="205">
        <f t="shared" si="15"/>
        <v>3691435</v>
      </c>
      <c r="P90" s="73"/>
      <c r="Q90" s="62">
        <f t="shared" si="16"/>
        <v>123047.83333333333</v>
      </c>
      <c r="S90" s="74">
        <f t="shared" si="17"/>
        <v>3.1039601202975704</v>
      </c>
      <c r="U90" s="172">
        <f t="shared" si="18"/>
        <v>30</v>
      </c>
      <c r="V90" s="181"/>
      <c r="W90" s="345">
        <f>'Adjust Depr Table 1'!U90</f>
        <v>30</v>
      </c>
      <c r="X90" s="208"/>
      <c r="Y90" s="209"/>
      <c r="Z90" s="208"/>
      <c r="AA90" s="203">
        <f t="shared" si="19"/>
        <v>30</v>
      </c>
    </row>
    <row r="91" spans="1:27" s="19" customFormat="1">
      <c r="A91" s="64"/>
      <c r="B91" s="65"/>
      <c r="C91" s="78"/>
      <c r="D91" s="65"/>
      <c r="E91" s="65"/>
      <c r="F91" s="65"/>
      <c r="G91" s="183"/>
      <c r="H91" s="183"/>
      <c r="I91" s="184"/>
      <c r="J91" s="65"/>
      <c r="K91" s="71"/>
      <c r="L91" s="185"/>
      <c r="M91" s="73"/>
      <c r="N91" s="73"/>
      <c r="O91" s="73"/>
      <c r="P91" s="73"/>
      <c r="Q91" s="73"/>
      <c r="S91" s="74"/>
      <c r="U91" s="186"/>
      <c r="V91" s="181"/>
      <c r="W91" s="345"/>
      <c r="X91" s="208"/>
      <c r="Y91" s="208"/>
      <c r="Z91" s="208"/>
      <c r="AA91" s="203"/>
    </row>
    <row r="92" spans="1:27" s="19" customFormat="1">
      <c r="A92" s="64"/>
      <c r="B92" s="65"/>
      <c r="C92" s="78" t="s">
        <v>74</v>
      </c>
      <c r="D92" s="65"/>
      <c r="E92" s="65"/>
      <c r="F92" s="65"/>
      <c r="G92" s="183"/>
      <c r="H92" s="183"/>
      <c r="I92" s="184"/>
      <c r="J92" s="65"/>
      <c r="K92" s="75">
        <f>SUBTOTAL(9,K84:K91)</f>
        <v>17072001.02</v>
      </c>
      <c r="L92" s="185"/>
      <c r="M92" s="77">
        <f>SUBTOTAL(9,M84:M91)</f>
        <v>5551006.46</v>
      </c>
      <c r="N92" s="73"/>
      <c r="O92" s="77">
        <f>SUBTOTAL(9,O84:O91)</f>
        <v>11520995</v>
      </c>
      <c r="P92" s="73"/>
      <c r="Q92" s="77">
        <f>SUBTOTAL(9,Q84:Q91)</f>
        <v>567409.03409923415</v>
      </c>
      <c r="S92" s="74">
        <f>+ROUND(Q92/K92*100,2)</f>
        <v>3.32</v>
      </c>
      <c r="U92" s="186"/>
      <c r="V92" s="181"/>
      <c r="W92" s="345"/>
      <c r="X92" s="208"/>
      <c r="Y92" s="208"/>
      <c r="Z92" s="208"/>
      <c r="AA92" s="203"/>
    </row>
    <row r="93" spans="1:27" ht="15.75">
      <c r="A93" s="23"/>
      <c r="C93" s="79"/>
      <c r="K93" s="71"/>
      <c r="L93" s="185"/>
      <c r="M93" s="73"/>
      <c r="N93" s="73"/>
      <c r="O93" s="73"/>
      <c r="P93" s="73"/>
      <c r="Q93" s="73"/>
      <c r="S93" s="49"/>
      <c r="U93" s="176"/>
      <c r="V93" s="23"/>
      <c r="W93" s="346"/>
      <c r="X93" s="207"/>
      <c r="Y93" s="207"/>
      <c r="Z93" s="207"/>
      <c r="AA93" s="204"/>
    </row>
    <row r="94" spans="1:27" ht="15.75">
      <c r="A94" s="80"/>
      <c r="C94" s="81" t="s">
        <v>75</v>
      </c>
      <c r="G94" s="187"/>
      <c r="H94" s="187"/>
      <c r="I94" s="188"/>
      <c r="K94" s="118">
        <f>SUBTOTAL(9,K22:K93)</f>
        <v>2426607851.3600001</v>
      </c>
      <c r="L94" s="93"/>
      <c r="M94" s="120">
        <f>SUBTOTAL(9,M22:M93)</f>
        <v>894868155.6500001</v>
      </c>
      <c r="N94" s="120"/>
      <c r="O94" s="120">
        <f>SUBTOTAL(9,O22:O93)</f>
        <v>1531739695</v>
      </c>
      <c r="P94" s="120"/>
      <c r="Q94" s="120">
        <f>SUBTOTAL(9,Q22:Q93)</f>
        <v>70105617.735030189</v>
      </c>
      <c r="S94" s="84">
        <f>+ROUND(Q94/K94*100,2)</f>
        <v>2.89</v>
      </c>
      <c r="T94" s="93"/>
      <c r="U94" s="189"/>
      <c r="V94" s="23"/>
      <c r="W94" s="348"/>
      <c r="X94" s="207"/>
      <c r="Y94" s="207"/>
      <c r="Z94" s="207"/>
      <c r="AA94" s="204"/>
    </row>
    <row r="95" spans="1:27" s="19" customFormat="1">
      <c r="A95" s="85"/>
      <c r="C95" s="86"/>
      <c r="G95" s="187"/>
      <c r="H95" s="187"/>
      <c r="I95" s="188"/>
      <c r="K95" s="87"/>
      <c r="M95" s="89"/>
      <c r="N95" s="89"/>
      <c r="O95" s="89"/>
      <c r="P95" s="89"/>
      <c r="Q95" s="89"/>
      <c r="S95" s="74"/>
      <c r="U95" s="186"/>
      <c r="V95" s="181"/>
      <c r="W95" s="345"/>
      <c r="X95" s="208"/>
      <c r="Y95" s="208"/>
      <c r="Z95" s="208"/>
      <c r="AA95" s="203"/>
    </row>
    <row r="96" spans="1:27" ht="15.75">
      <c r="A96" s="23"/>
      <c r="C96" s="24" t="s">
        <v>76</v>
      </c>
      <c r="M96" s="46"/>
      <c r="N96" s="46"/>
      <c r="O96" s="46"/>
      <c r="P96" s="46"/>
      <c r="Q96" s="46"/>
      <c r="S96" s="49"/>
      <c r="U96" s="176"/>
      <c r="V96" s="23"/>
      <c r="W96" s="346"/>
      <c r="X96" s="207"/>
      <c r="Y96" s="207"/>
      <c r="Z96" s="207"/>
      <c r="AA96" s="204"/>
    </row>
    <row r="97" spans="1:27" ht="15.75">
      <c r="A97" s="23"/>
      <c r="C97" s="48"/>
      <c r="M97" s="46"/>
      <c r="N97" s="46"/>
      <c r="O97" s="46"/>
      <c r="P97" s="46"/>
      <c r="Q97" s="46"/>
      <c r="S97" s="49"/>
      <c r="U97" s="176"/>
      <c r="V97" s="23"/>
      <c r="W97" s="346"/>
      <c r="X97" s="207"/>
      <c r="Y97" s="207"/>
      <c r="Z97" s="207"/>
      <c r="AA97" s="204"/>
    </row>
    <row r="98" spans="1:27" s="19" customFormat="1">
      <c r="A98" s="64">
        <v>341</v>
      </c>
      <c r="B98" s="65"/>
      <c r="C98" s="65" t="s">
        <v>53</v>
      </c>
      <c r="D98" s="65"/>
      <c r="E98" s="65"/>
      <c r="F98" s="65"/>
      <c r="G98" s="65"/>
      <c r="H98" s="65"/>
      <c r="I98" s="179"/>
      <c r="J98" s="65"/>
      <c r="K98" s="65"/>
      <c r="L98" s="65"/>
      <c r="M98" s="67"/>
      <c r="N98" s="67"/>
      <c r="O98" s="67"/>
      <c r="P98" s="67"/>
      <c r="Q98" s="67"/>
      <c r="S98" s="68"/>
      <c r="U98" s="180"/>
      <c r="V98" s="181"/>
      <c r="W98" s="347"/>
      <c r="X98" s="208"/>
      <c r="Y98" s="208"/>
      <c r="Z98" s="208"/>
      <c r="AA98" s="203"/>
    </row>
    <row r="99" spans="1:27" s="19" customFormat="1">
      <c r="A99" s="64"/>
      <c r="B99" s="65"/>
      <c r="C99" s="70" t="s">
        <v>77</v>
      </c>
      <c r="D99" s="65"/>
      <c r="E99" s="182">
        <v>2050</v>
      </c>
      <c r="F99" s="65"/>
      <c r="G99" s="183" t="s">
        <v>187</v>
      </c>
      <c r="H99" s="183" t="s">
        <v>181</v>
      </c>
      <c r="I99" s="184">
        <v>0</v>
      </c>
      <c r="J99" s="65"/>
      <c r="K99" s="71">
        <v>19534021.23</v>
      </c>
      <c r="L99" s="185"/>
      <c r="M99" s="73">
        <v>8079954</v>
      </c>
      <c r="N99" s="73"/>
      <c r="O99" s="198">
        <f t="shared" ref="O99:O118" si="20">ROUND((K99+(K99*-(I99/100)))-M99,0)</f>
        <v>11454067</v>
      </c>
      <c r="P99" s="73"/>
      <c r="Q99" s="57">
        <f t="shared" ref="Q99:Q118" si="21">O99/U99</f>
        <v>318168.52777777775</v>
      </c>
      <c r="S99" s="74">
        <f t="shared" ref="S99:S118" si="22">Q99/K99*100</f>
        <v>1.6287917578851618</v>
      </c>
      <c r="U99" s="172">
        <f t="shared" ref="U99:U118" si="23">AA99</f>
        <v>36</v>
      </c>
      <c r="V99" s="181"/>
      <c r="W99" s="345">
        <f>'Adjust Depr Table 1'!U99</f>
        <v>31</v>
      </c>
      <c r="X99" s="208"/>
      <c r="Y99" s="209">
        <v>5</v>
      </c>
      <c r="Z99" s="208"/>
      <c r="AA99" s="203">
        <f t="shared" ref="AA99:AA118" si="24">W99+Y99</f>
        <v>36</v>
      </c>
    </row>
    <row r="100" spans="1:27" s="19" customFormat="1">
      <c r="A100" s="64"/>
      <c r="B100" s="65"/>
      <c r="C100" s="70" t="s">
        <v>78</v>
      </c>
      <c r="D100" s="65"/>
      <c r="E100" s="182">
        <v>2034</v>
      </c>
      <c r="F100" s="65"/>
      <c r="G100" s="183" t="s">
        <v>187</v>
      </c>
      <c r="H100" s="183" t="s">
        <v>181</v>
      </c>
      <c r="I100" s="184">
        <v>0</v>
      </c>
      <c r="J100" s="65"/>
      <c r="K100" s="71">
        <v>2666719.81</v>
      </c>
      <c r="L100" s="185"/>
      <c r="M100" s="73">
        <v>1526577</v>
      </c>
      <c r="N100" s="73"/>
      <c r="O100" s="198">
        <f t="shared" si="20"/>
        <v>1140143</v>
      </c>
      <c r="P100" s="73"/>
      <c r="Q100" s="57">
        <f t="shared" si="21"/>
        <v>45605.72</v>
      </c>
      <c r="S100" s="74">
        <f t="shared" si="22"/>
        <v>1.71018041824199</v>
      </c>
      <c r="U100" s="172">
        <f t="shared" si="23"/>
        <v>25</v>
      </c>
      <c r="V100" s="181"/>
      <c r="W100" s="345">
        <f>'Adjust Depr Table 1'!U100</f>
        <v>15</v>
      </c>
      <c r="X100" s="208"/>
      <c r="Y100" s="209">
        <v>10</v>
      </c>
      <c r="Z100" s="208"/>
      <c r="AA100" s="203">
        <f t="shared" si="24"/>
        <v>25</v>
      </c>
    </row>
    <row r="101" spans="1:27" s="19" customFormat="1">
      <c r="A101" s="64"/>
      <c r="B101" s="65"/>
      <c r="C101" s="70" t="s">
        <v>79</v>
      </c>
      <c r="D101" s="65"/>
      <c r="E101" s="182">
        <v>2034</v>
      </c>
      <c r="F101" s="65"/>
      <c r="G101" s="183" t="s">
        <v>187</v>
      </c>
      <c r="H101" s="183" t="s">
        <v>181</v>
      </c>
      <c r="I101" s="184">
        <v>0</v>
      </c>
      <c r="J101" s="65"/>
      <c r="K101" s="71">
        <v>2666719.81</v>
      </c>
      <c r="L101" s="185"/>
      <c r="M101" s="73">
        <v>1547030</v>
      </c>
      <c r="N101" s="73"/>
      <c r="O101" s="198">
        <f t="shared" si="20"/>
        <v>1119690</v>
      </c>
      <c r="P101" s="73"/>
      <c r="Q101" s="57">
        <f t="shared" si="21"/>
        <v>44787.6</v>
      </c>
      <c r="S101" s="74">
        <f t="shared" si="22"/>
        <v>1.6795015296338911</v>
      </c>
      <c r="U101" s="172">
        <f t="shared" si="23"/>
        <v>25</v>
      </c>
      <c r="V101" s="181"/>
      <c r="W101" s="345">
        <f>'Adjust Depr Table 1'!U101</f>
        <v>15</v>
      </c>
      <c r="X101" s="208"/>
      <c r="Y101" s="209">
        <v>10</v>
      </c>
      <c r="Z101" s="208"/>
      <c r="AA101" s="203">
        <f t="shared" si="24"/>
        <v>25</v>
      </c>
    </row>
    <row r="102" spans="1:27" s="19" customFormat="1">
      <c r="A102" s="64"/>
      <c r="B102" s="65"/>
      <c r="C102" s="70" t="s">
        <v>80</v>
      </c>
      <c r="D102" s="65"/>
      <c r="E102" s="182">
        <v>2034</v>
      </c>
      <c r="F102" s="65"/>
      <c r="G102" s="183" t="s">
        <v>187</v>
      </c>
      <c r="H102" s="183" t="s">
        <v>181</v>
      </c>
      <c r="I102" s="184">
        <v>0</v>
      </c>
      <c r="J102" s="65"/>
      <c r="K102" s="71">
        <v>2666719.81</v>
      </c>
      <c r="L102" s="185"/>
      <c r="M102" s="73">
        <v>1537134</v>
      </c>
      <c r="N102" s="73"/>
      <c r="O102" s="198">
        <f t="shared" si="20"/>
        <v>1129586</v>
      </c>
      <c r="P102" s="73"/>
      <c r="Q102" s="57">
        <f t="shared" si="21"/>
        <v>45183.44</v>
      </c>
      <c r="S102" s="74">
        <f t="shared" si="22"/>
        <v>1.6943452338174216</v>
      </c>
      <c r="U102" s="172">
        <f t="shared" si="23"/>
        <v>25</v>
      </c>
      <c r="V102" s="181"/>
      <c r="W102" s="345">
        <f>'Adjust Depr Table 1'!U102</f>
        <v>15</v>
      </c>
      <c r="X102" s="208"/>
      <c r="Y102" s="209">
        <v>10</v>
      </c>
      <c r="Z102" s="208"/>
      <c r="AA102" s="203">
        <f t="shared" si="24"/>
        <v>25</v>
      </c>
    </row>
    <row r="103" spans="1:27" s="19" customFormat="1">
      <c r="A103" s="64"/>
      <c r="B103" s="65"/>
      <c r="C103" s="70" t="s">
        <v>81</v>
      </c>
      <c r="D103" s="65"/>
      <c r="E103" s="182">
        <v>2041</v>
      </c>
      <c r="F103" s="65"/>
      <c r="G103" s="183" t="s">
        <v>187</v>
      </c>
      <c r="H103" s="183" t="s">
        <v>181</v>
      </c>
      <c r="I103" s="184">
        <v>0</v>
      </c>
      <c r="J103" s="65"/>
      <c r="K103" s="71">
        <v>1937757.41</v>
      </c>
      <c r="L103" s="185"/>
      <c r="M103" s="73">
        <v>910073</v>
      </c>
      <c r="N103" s="73"/>
      <c r="O103" s="198">
        <f t="shared" si="20"/>
        <v>1027684</v>
      </c>
      <c r="P103" s="73"/>
      <c r="Q103" s="57">
        <f t="shared" si="21"/>
        <v>38062.370370370372</v>
      </c>
      <c r="S103" s="74">
        <f t="shared" si="22"/>
        <v>1.9642484747546585</v>
      </c>
      <c r="U103" s="172">
        <f t="shared" si="23"/>
        <v>27</v>
      </c>
      <c r="V103" s="181"/>
      <c r="W103" s="345">
        <f>'Adjust Depr Table 1'!U103</f>
        <v>22</v>
      </c>
      <c r="X103" s="208"/>
      <c r="Y103" s="209">
        <v>5</v>
      </c>
      <c r="Z103" s="208"/>
      <c r="AA103" s="203">
        <f t="shared" si="24"/>
        <v>27</v>
      </c>
    </row>
    <row r="104" spans="1:27" s="19" customFormat="1">
      <c r="A104" s="64"/>
      <c r="B104" s="65"/>
      <c r="C104" s="70" t="s">
        <v>82</v>
      </c>
      <c r="D104" s="65"/>
      <c r="E104" s="182">
        <v>2041</v>
      </c>
      <c r="F104" s="65"/>
      <c r="G104" s="183" t="s">
        <v>187</v>
      </c>
      <c r="H104" s="183" t="s">
        <v>181</v>
      </c>
      <c r="I104" s="184">
        <v>0</v>
      </c>
      <c r="J104" s="65"/>
      <c r="K104" s="71">
        <v>1599135.43</v>
      </c>
      <c r="L104" s="185"/>
      <c r="M104" s="73">
        <v>744544</v>
      </c>
      <c r="N104" s="73"/>
      <c r="O104" s="198">
        <f t="shared" si="20"/>
        <v>854591</v>
      </c>
      <c r="P104" s="73"/>
      <c r="Q104" s="57">
        <f t="shared" si="21"/>
        <v>31651.518518518518</v>
      </c>
      <c r="S104" s="74">
        <f t="shared" si="22"/>
        <v>1.9792894288208296</v>
      </c>
      <c r="U104" s="172">
        <f t="shared" si="23"/>
        <v>27</v>
      </c>
      <c r="V104" s="181"/>
      <c r="W104" s="345">
        <f>'Adjust Depr Table 1'!U104</f>
        <v>22</v>
      </c>
      <c r="X104" s="208"/>
      <c r="Y104" s="209">
        <v>5</v>
      </c>
      <c r="Z104" s="208"/>
      <c r="AA104" s="203">
        <f t="shared" si="24"/>
        <v>27</v>
      </c>
    </row>
    <row r="105" spans="1:27" s="19" customFormat="1">
      <c r="A105" s="64"/>
      <c r="B105" s="65"/>
      <c r="C105" s="70" t="s">
        <v>83</v>
      </c>
      <c r="D105" s="65"/>
      <c r="E105" s="182">
        <v>2045</v>
      </c>
      <c r="F105" s="65"/>
      <c r="G105" s="183" t="s">
        <v>187</v>
      </c>
      <c r="H105" s="183" t="s">
        <v>181</v>
      </c>
      <c r="I105" s="184">
        <v>0</v>
      </c>
      <c r="J105" s="65"/>
      <c r="K105" s="71">
        <v>303524.78000000003</v>
      </c>
      <c r="L105" s="185"/>
      <c r="M105" s="73">
        <v>111370</v>
      </c>
      <c r="N105" s="73"/>
      <c r="O105" s="198">
        <f t="shared" si="20"/>
        <v>192155</v>
      </c>
      <c r="P105" s="73"/>
      <c r="Q105" s="57">
        <f t="shared" si="21"/>
        <v>6198.5483870967746</v>
      </c>
      <c r="S105" s="74">
        <f t="shared" si="22"/>
        <v>2.0421885775180444</v>
      </c>
      <c r="U105" s="172">
        <f t="shared" si="23"/>
        <v>31</v>
      </c>
      <c r="V105" s="181"/>
      <c r="W105" s="345">
        <f>'Adjust Depr Table 1'!U105</f>
        <v>26</v>
      </c>
      <c r="X105" s="208"/>
      <c r="Y105" s="209">
        <v>5</v>
      </c>
      <c r="Z105" s="208"/>
      <c r="AA105" s="203">
        <f t="shared" si="24"/>
        <v>31</v>
      </c>
    </row>
    <row r="106" spans="1:27" s="19" customFormat="1">
      <c r="A106" s="64"/>
      <c r="B106" s="65"/>
      <c r="C106" s="70" t="s">
        <v>84</v>
      </c>
      <c r="D106" s="65"/>
      <c r="E106" s="182">
        <v>2045</v>
      </c>
      <c r="F106" s="65"/>
      <c r="G106" s="183" t="s">
        <v>187</v>
      </c>
      <c r="H106" s="183" t="s">
        <v>181</v>
      </c>
      <c r="I106" s="184">
        <v>0</v>
      </c>
      <c r="J106" s="65"/>
      <c r="K106" s="71">
        <v>303524.78000000003</v>
      </c>
      <c r="L106" s="185"/>
      <c r="M106" s="73">
        <v>111368</v>
      </c>
      <c r="N106" s="73"/>
      <c r="O106" s="198">
        <f t="shared" si="20"/>
        <v>192157</v>
      </c>
      <c r="P106" s="73"/>
      <c r="Q106" s="57">
        <f t="shared" si="21"/>
        <v>6198.6129032258068</v>
      </c>
      <c r="S106" s="74">
        <f t="shared" si="22"/>
        <v>2.0422098331562273</v>
      </c>
      <c r="U106" s="172">
        <f t="shared" si="23"/>
        <v>31</v>
      </c>
      <c r="V106" s="181"/>
      <c r="W106" s="345">
        <f>'Adjust Depr Table 1'!U106</f>
        <v>26</v>
      </c>
      <c r="X106" s="208"/>
      <c r="Y106" s="209">
        <v>5</v>
      </c>
      <c r="Z106" s="208"/>
      <c r="AA106" s="203">
        <f t="shared" si="24"/>
        <v>31</v>
      </c>
    </row>
    <row r="107" spans="1:27" s="19" customFormat="1">
      <c r="A107" s="64"/>
      <c r="B107" s="65"/>
      <c r="C107" s="70" t="s">
        <v>85</v>
      </c>
      <c r="D107" s="65"/>
      <c r="E107" s="182">
        <v>2050</v>
      </c>
      <c r="F107" s="65"/>
      <c r="G107" s="183" t="s">
        <v>187</v>
      </c>
      <c r="H107" s="183" t="s">
        <v>181</v>
      </c>
      <c r="I107" s="184">
        <v>0</v>
      </c>
      <c r="J107" s="65"/>
      <c r="K107" s="71">
        <v>4500637.37</v>
      </c>
      <c r="L107" s="185"/>
      <c r="M107" s="73">
        <v>883169</v>
      </c>
      <c r="N107" s="73"/>
      <c r="O107" s="198">
        <f t="shared" si="20"/>
        <v>3617468</v>
      </c>
      <c r="P107" s="73"/>
      <c r="Q107" s="57">
        <f t="shared" si="21"/>
        <v>100485.22222222222</v>
      </c>
      <c r="S107" s="74">
        <f t="shared" si="22"/>
        <v>2.23268870520493</v>
      </c>
      <c r="U107" s="172">
        <f t="shared" si="23"/>
        <v>36</v>
      </c>
      <c r="V107" s="181"/>
      <c r="W107" s="345">
        <f>'Adjust Depr Table 1'!U107</f>
        <v>31</v>
      </c>
      <c r="X107" s="208"/>
      <c r="Y107" s="209">
        <v>5</v>
      </c>
      <c r="Z107" s="208"/>
      <c r="AA107" s="203">
        <f t="shared" si="24"/>
        <v>36</v>
      </c>
    </row>
    <row r="108" spans="1:27" s="19" customFormat="1">
      <c r="A108" s="64"/>
      <c r="B108" s="65"/>
      <c r="C108" s="70" t="s">
        <v>86</v>
      </c>
      <c r="D108" s="65"/>
      <c r="E108" s="182">
        <v>2050</v>
      </c>
      <c r="F108" s="65"/>
      <c r="G108" s="183" t="s">
        <v>187</v>
      </c>
      <c r="H108" s="183" t="s">
        <v>181</v>
      </c>
      <c r="I108" s="184">
        <v>0</v>
      </c>
      <c r="J108" s="65"/>
      <c r="K108" s="71">
        <v>88846.57</v>
      </c>
      <c r="L108" s="185"/>
      <c r="M108" s="73">
        <v>22007</v>
      </c>
      <c r="N108" s="73"/>
      <c r="O108" s="198">
        <f t="shared" si="20"/>
        <v>66840</v>
      </c>
      <c r="P108" s="73"/>
      <c r="Q108" s="57">
        <f t="shared" si="21"/>
        <v>1856.6666666666667</v>
      </c>
      <c r="S108" s="74">
        <f t="shared" si="22"/>
        <v>2.0897449014257576</v>
      </c>
      <c r="U108" s="172">
        <f t="shared" si="23"/>
        <v>36</v>
      </c>
      <c r="V108" s="181"/>
      <c r="W108" s="345">
        <f>'Adjust Depr Table 1'!U108</f>
        <v>31</v>
      </c>
      <c r="X108" s="208"/>
      <c r="Y108" s="209">
        <v>5</v>
      </c>
      <c r="Z108" s="208"/>
      <c r="AA108" s="203">
        <f t="shared" si="24"/>
        <v>36</v>
      </c>
    </row>
    <row r="109" spans="1:27" s="19" customFormat="1">
      <c r="A109" s="64"/>
      <c r="B109" s="65"/>
      <c r="C109" s="70" t="s">
        <v>87</v>
      </c>
      <c r="D109" s="65"/>
      <c r="E109" s="182">
        <v>2038</v>
      </c>
      <c r="F109" s="65"/>
      <c r="G109" s="183" t="s">
        <v>187</v>
      </c>
      <c r="H109" s="183" t="s">
        <v>181</v>
      </c>
      <c r="I109" s="184">
        <v>0</v>
      </c>
      <c r="J109" s="65"/>
      <c r="K109" s="71">
        <v>1119860.8</v>
      </c>
      <c r="L109" s="185"/>
      <c r="M109" s="73">
        <v>495454</v>
      </c>
      <c r="N109" s="73"/>
      <c r="O109" s="198">
        <f t="shared" si="20"/>
        <v>624407</v>
      </c>
      <c r="P109" s="73"/>
      <c r="Q109" s="57">
        <f t="shared" si="21"/>
        <v>32863.526315789473</v>
      </c>
      <c r="S109" s="74">
        <f t="shared" si="22"/>
        <v>2.9346081509228177</v>
      </c>
      <c r="U109" s="172">
        <f t="shared" si="23"/>
        <v>19</v>
      </c>
      <c r="V109" s="181"/>
      <c r="W109" s="345">
        <f>'Adjust Depr Table 1'!U109</f>
        <v>19</v>
      </c>
      <c r="X109" s="208"/>
      <c r="Y109" s="209"/>
      <c r="Z109" s="208"/>
      <c r="AA109" s="203">
        <f t="shared" si="24"/>
        <v>19</v>
      </c>
    </row>
    <row r="110" spans="1:27" s="19" customFormat="1">
      <c r="A110" s="64"/>
      <c r="B110" s="65"/>
      <c r="C110" s="70" t="s">
        <v>88</v>
      </c>
      <c r="D110" s="65"/>
      <c r="E110" s="182">
        <v>2038</v>
      </c>
      <c r="F110" s="65"/>
      <c r="G110" s="183" t="s">
        <v>187</v>
      </c>
      <c r="H110" s="183" t="s">
        <v>181</v>
      </c>
      <c r="I110" s="184">
        <v>0</v>
      </c>
      <c r="J110" s="65"/>
      <c r="K110" s="71">
        <v>1200486.53</v>
      </c>
      <c r="L110" s="185"/>
      <c r="M110" s="73">
        <v>531124</v>
      </c>
      <c r="N110" s="73"/>
      <c r="O110" s="198">
        <f t="shared" si="20"/>
        <v>669363</v>
      </c>
      <c r="P110" s="73"/>
      <c r="Q110" s="57">
        <f t="shared" si="21"/>
        <v>35229.631578947367</v>
      </c>
      <c r="S110" s="74">
        <f t="shared" si="22"/>
        <v>2.934612817267293</v>
      </c>
      <c r="U110" s="172">
        <f t="shared" si="23"/>
        <v>19</v>
      </c>
      <c r="V110" s="181"/>
      <c r="W110" s="345">
        <f>'Adjust Depr Table 1'!U110</f>
        <v>19</v>
      </c>
      <c r="X110" s="208"/>
      <c r="Y110" s="209"/>
      <c r="Z110" s="208"/>
      <c r="AA110" s="203">
        <f t="shared" si="24"/>
        <v>19</v>
      </c>
    </row>
    <row r="111" spans="1:27" s="19" customFormat="1">
      <c r="A111" s="64"/>
      <c r="B111" s="65"/>
      <c r="C111" s="70" t="s">
        <v>89</v>
      </c>
      <c r="D111" s="65"/>
      <c r="E111" s="182">
        <v>2038</v>
      </c>
      <c r="F111" s="65"/>
      <c r="G111" s="183" t="s">
        <v>187</v>
      </c>
      <c r="H111" s="183" t="s">
        <v>181</v>
      </c>
      <c r="I111" s="184">
        <v>0</v>
      </c>
      <c r="J111" s="65"/>
      <c r="K111" s="71">
        <v>1135966.24</v>
      </c>
      <c r="L111" s="185"/>
      <c r="M111" s="73">
        <v>502579</v>
      </c>
      <c r="N111" s="73"/>
      <c r="O111" s="198">
        <f t="shared" si="20"/>
        <v>633387</v>
      </c>
      <c r="P111" s="73"/>
      <c r="Q111" s="57">
        <f t="shared" si="21"/>
        <v>33336.15789473684</v>
      </c>
      <c r="S111" s="74">
        <f t="shared" si="22"/>
        <v>2.9346081530325092</v>
      </c>
      <c r="U111" s="172">
        <f t="shared" si="23"/>
        <v>19</v>
      </c>
      <c r="V111" s="181"/>
      <c r="W111" s="345">
        <f>'Adjust Depr Table 1'!U111</f>
        <v>19</v>
      </c>
      <c r="X111" s="208"/>
      <c r="Y111" s="209"/>
      <c r="Z111" s="208"/>
      <c r="AA111" s="203">
        <f t="shared" si="24"/>
        <v>19</v>
      </c>
    </row>
    <row r="112" spans="1:27" s="19" customFormat="1">
      <c r="A112" s="64"/>
      <c r="B112" s="65"/>
      <c r="C112" s="70" t="s">
        <v>90</v>
      </c>
      <c r="D112" s="65"/>
      <c r="E112" s="182">
        <v>2041</v>
      </c>
      <c r="F112" s="65"/>
      <c r="G112" s="183" t="s">
        <v>187</v>
      </c>
      <c r="H112" s="183" t="s">
        <v>181</v>
      </c>
      <c r="I112" s="184">
        <v>0</v>
      </c>
      <c r="J112" s="65"/>
      <c r="K112" s="71">
        <v>1465228.09</v>
      </c>
      <c r="L112" s="185"/>
      <c r="M112" s="73">
        <v>534890</v>
      </c>
      <c r="N112" s="73"/>
      <c r="O112" s="198">
        <f t="shared" si="20"/>
        <v>930338</v>
      </c>
      <c r="P112" s="73"/>
      <c r="Q112" s="57">
        <f t="shared" si="21"/>
        <v>42288.090909090912</v>
      </c>
      <c r="S112" s="74">
        <f t="shared" si="22"/>
        <v>2.8861097598184124</v>
      </c>
      <c r="U112" s="172">
        <f t="shared" si="23"/>
        <v>22</v>
      </c>
      <c r="V112" s="181"/>
      <c r="W112" s="345">
        <f>'Adjust Depr Table 1'!U112</f>
        <v>22</v>
      </c>
      <c r="X112" s="208"/>
      <c r="Y112" s="209"/>
      <c r="Z112" s="208"/>
      <c r="AA112" s="203">
        <f t="shared" si="24"/>
        <v>22</v>
      </c>
    </row>
    <row r="113" spans="1:27" s="19" customFormat="1">
      <c r="A113" s="64"/>
      <c r="B113" s="65"/>
      <c r="C113" s="70" t="s">
        <v>91</v>
      </c>
      <c r="D113" s="65"/>
      <c r="E113" s="182">
        <v>2042</v>
      </c>
      <c r="F113" s="65"/>
      <c r="G113" s="183" t="s">
        <v>187</v>
      </c>
      <c r="H113" s="183" t="s">
        <v>181</v>
      </c>
      <c r="I113" s="184">
        <v>0</v>
      </c>
      <c r="J113" s="65"/>
      <c r="K113" s="71">
        <v>2033652.36</v>
      </c>
      <c r="L113" s="185"/>
      <c r="M113" s="73">
        <v>141041</v>
      </c>
      <c r="N113" s="73"/>
      <c r="O113" s="198">
        <f t="shared" si="20"/>
        <v>1892611</v>
      </c>
      <c r="P113" s="73"/>
      <c r="Q113" s="57">
        <f t="shared" si="21"/>
        <v>82287.434782608689</v>
      </c>
      <c r="S113" s="74">
        <f t="shared" si="22"/>
        <v>4.046288166115505</v>
      </c>
      <c r="U113" s="172">
        <f t="shared" si="23"/>
        <v>23</v>
      </c>
      <c r="V113" s="181"/>
      <c r="W113" s="345">
        <f>'Adjust Depr Table 1'!U113</f>
        <v>23</v>
      </c>
      <c r="X113" s="208"/>
      <c r="Y113" s="209"/>
      <c r="Z113" s="208"/>
      <c r="AA113" s="203">
        <f t="shared" si="24"/>
        <v>23</v>
      </c>
    </row>
    <row r="114" spans="1:27" s="19" customFormat="1">
      <c r="A114" s="64"/>
      <c r="B114" s="65"/>
      <c r="C114" s="70" t="s">
        <v>92</v>
      </c>
      <c r="D114" s="65"/>
      <c r="E114" s="182">
        <v>2042</v>
      </c>
      <c r="F114" s="65"/>
      <c r="G114" s="183" t="s">
        <v>187</v>
      </c>
      <c r="H114" s="183" t="s">
        <v>181</v>
      </c>
      <c r="I114" s="184">
        <v>0</v>
      </c>
      <c r="J114" s="65"/>
      <c r="K114" s="71">
        <v>7229721.6399999997</v>
      </c>
      <c r="L114" s="185"/>
      <c r="M114" s="73">
        <v>3246261.9</v>
      </c>
      <c r="N114" s="73"/>
      <c r="O114" s="198">
        <f t="shared" si="20"/>
        <v>3983460</v>
      </c>
      <c r="P114" s="73"/>
      <c r="Q114" s="57">
        <f t="shared" si="21"/>
        <v>142266.42857142858</v>
      </c>
      <c r="S114" s="74">
        <f t="shared" si="22"/>
        <v>1.9677995316487533</v>
      </c>
      <c r="U114" s="172">
        <f t="shared" si="23"/>
        <v>28</v>
      </c>
      <c r="V114" s="181"/>
      <c r="W114" s="345">
        <f>'Adjust Depr Table 1'!U114</f>
        <v>23</v>
      </c>
      <c r="X114" s="208"/>
      <c r="Y114" s="209">
        <v>5</v>
      </c>
      <c r="Z114" s="208"/>
      <c r="AA114" s="203">
        <f t="shared" si="24"/>
        <v>28</v>
      </c>
    </row>
    <row r="115" spans="1:27" s="19" customFormat="1">
      <c r="A115" s="64"/>
      <c r="B115" s="65"/>
      <c r="C115" s="70" t="s">
        <v>93</v>
      </c>
      <c r="D115" s="65"/>
      <c r="E115" s="182">
        <v>2042</v>
      </c>
      <c r="F115" s="65"/>
      <c r="G115" s="183" t="s">
        <v>187</v>
      </c>
      <c r="H115" s="183" t="s">
        <v>181</v>
      </c>
      <c r="I115" s="184">
        <v>0</v>
      </c>
      <c r="J115" s="65"/>
      <c r="K115" s="71">
        <v>933680.4</v>
      </c>
      <c r="L115" s="185"/>
      <c r="M115" s="73">
        <v>448838</v>
      </c>
      <c r="N115" s="73"/>
      <c r="O115" s="198">
        <f t="shared" si="20"/>
        <v>484842</v>
      </c>
      <c r="P115" s="73"/>
      <c r="Q115" s="57">
        <f t="shared" si="21"/>
        <v>17315.785714285714</v>
      </c>
      <c r="S115" s="74">
        <f t="shared" si="22"/>
        <v>1.854573118840849</v>
      </c>
      <c r="U115" s="172">
        <f t="shared" si="23"/>
        <v>28</v>
      </c>
      <c r="V115" s="181"/>
      <c r="W115" s="345">
        <f>'Adjust Depr Table 1'!U115</f>
        <v>23</v>
      </c>
      <c r="X115" s="208"/>
      <c r="Y115" s="209">
        <v>5</v>
      </c>
      <c r="Z115" s="208"/>
      <c r="AA115" s="203">
        <f t="shared" si="24"/>
        <v>28</v>
      </c>
    </row>
    <row r="116" spans="1:27" s="19" customFormat="1">
      <c r="A116" s="64"/>
      <c r="B116" s="65"/>
      <c r="C116" s="70" t="s">
        <v>94</v>
      </c>
      <c r="D116" s="65"/>
      <c r="E116" s="182">
        <v>2042</v>
      </c>
      <c r="F116" s="65"/>
      <c r="G116" s="183" t="s">
        <v>187</v>
      </c>
      <c r="H116" s="183" t="s">
        <v>181</v>
      </c>
      <c r="I116" s="184">
        <v>0</v>
      </c>
      <c r="J116" s="65"/>
      <c r="K116" s="71">
        <v>933680.4</v>
      </c>
      <c r="L116" s="185"/>
      <c r="M116" s="73">
        <v>444133</v>
      </c>
      <c r="N116" s="73"/>
      <c r="O116" s="198">
        <f t="shared" si="20"/>
        <v>489547</v>
      </c>
      <c r="P116" s="73"/>
      <c r="Q116" s="57">
        <f t="shared" si="21"/>
        <v>17483.821428571428</v>
      </c>
      <c r="S116" s="74">
        <f t="shared" si="22"/>
        <v>1.8725702530085697</v>
      </c>
      <c r="U116" s="172">
        <f t="shared" si="23"/>
        <v>28</v>
      </c>
      <c r="V116" s="181"/>
      <c r="W116" s="345">
        <f>'Adjust Depr Table 1'!U116</f>
        <v>23</v>
      </c>
      <c r="X116" s="208"/>
      <c r="Y116" s="209">
        <v>5</v>
      </c>
      <c r="Z116" s="208"/>
      <c r="AA116" s="203">
        <f t="shared" si="24"/>
        <v>28</v>
      </c>
    </row>
    <row r="117" spans="1:27" s="19" customFormat="1">
      <c r="A117" s="64"/>
      <c r="B117" s="65"/>
      <c r="C117" s="70" t="s">
        <v>95</v>
      </c>
      <c r="D117" s="65"/>
      <c r="E117" s="182">
        <v>2042</v>
      </c>
      <c r="F117" s="65"/>
      <c r="G117" s="183" t="s">
        <v>187</v>
      </c>
      <c r="H117" s="183" t="s">
        <v>181</v>
      </c>
      <c r="I117" s="184">
        <v>0</v>
      </c>
      <c r="J117" s="65"/>
      <c r="K117" s="71">
        <v>933680.4</v>
      </c>
      <c r="L117" s="185"/>
      <c r="M117" s="73">
        <v>448802</v>
      </c>
      <c r="N117" s="73"/>
      <c r="O117" s="198">
        <f t="shared" si="20"/>
        <v>484878</v>
      </c>
      <c r="P117" s="73"/>
      <c r="Q117" s="57">
        <f t="shared" si="21"/>
        <v>17317.071428571428</v>
      </c>
      <c r="S117" s="74">
        <f t="shared" si="22"/>
        <v>1.8547108227367124</v>
      </c>
      <c r="U117" s="172">
        <f t="shared" si="23"/>
        <v>28</v>
      </c>
      <c r="V117" s="181"/>
      <c r="W117" s="345">
        <f>'Adjust Depr Table 1'!U117</f>
        <v>23</v>
      </c>
      <c r="X117" s="208"/>
      <c r="Y117" s="209">
        <v>5</v>
      </c>
      <c r="Z117" s="208"/>
      <c r="AA117" s="203">
        <f t="shared" si="24"/>
        <v>28</v>
      </c>
    </row>
    <row r="118" spans="1:27" s="19" customFormat="1">
      <c r="A118" s="64"/>
      <c r="B118" s="65"/>
      <c r="C118" s="70" t="s">
        <v>96</v>
      </c>
      <c r="D118" s="65"/>
      <c r="E118" s="182">
        <v>2042</v>
      </c>
      <c r="F118" s="65"/>
      <c r="G118" s="183" t="s">
        <v>187</v>
      </c>
      <c r="H118" s="183" t="s">
        <v>181</v>
      </c>
      <c r="I118" s="184">
        <v>0</v>
      </c>
      <c r="J118" s="65"/>
      <c r="K118" s="75">
        <v>625882</v>
      </c>
      <c r="L118" s="185"/>
      <c r="M118" s="77">
        <v>55403</v>
      </c>
      <c r="N118" s="73"/>
      <c r="O118" s="205">
        <f t="shared" si="20"/>
        <v>570479</v>
      </c>
      <c r="P118" s="73"/>
      <c r="Q118" s="62">
        <f t="shared" si="21"/>
        <v>24803.434782608696</v>
      </c>
      <c r="S118" s="74">
        <f t="shared" si="22"/>
        <v>3.9629570402422014</v>
      </c>
      <c r="U118" s="172">
        <f t="shared" si="23"/>
        <v>23</v>
      </c>
      <c r="V118" s="181"/>
      <c r="W118" s="345">
        <f>'Adjust Depr Table 1'!U118</f>
        <v>23</v>
      </c>
      <c r="X118" s="208"/>
      <c r="Y118" s="209"/>
      <c r="Z118" s="208"/>
      <c r="AA118" s="203">
        <f t="shared" si="24"/>
        <v>23</v>
      </c>
    </row>
    <row r="119" spans="1:27" s="19" customFormat="1">
      <c r="A119" s="64"/>
      <c r="B119" s="65"/>
      <c r="C119" s="78"/>
      <c r="D119" s="65"/>
      <c r="E119" s="65"/>
      <c r="F119" s="65"/>
      <c r="G119" s="183"/>
      <c r="H119" s="183"/>
      <c r="I119" s="184"/>
      <c r="J119" s="65"/>
      <c r="K119" s="71"/>
      <c r="L119" s="185"/>
      <c r="M119" s="73"/>
      <c r="N119" s="73"/>
      <c r="O119" s="73"/>
      <c r="P119" s="73"/>
      <c r="Q119" s="73"/>
      <c r="S119" s="74"/>
      <c r="U119" s="186"/>
      <c r="V119" s="181"/>
      <c r="W119" s="345"/>
      <c r="X119" s="208"/>
      <c r="Y119" s="208"/>
      <c r="Z119" s="208"/>
      <c r="AA119" s="203"/>
    </row>
    <row r="120" spans="1:27" s="19" customFormat="1">
      <c r="A120" s="64"/>
      <c r="B120" s="65"/>
      <c r="C120" s="78" t="s">
        <v>64</v>
      </c>
      <c r="D120" s="65"/>
      <c r="E120" s="65"/>
      <c r="F120" s="65"/>
      <c r="G120" s="183"/>
      <c r="H120" s="183"/>
      <c r="I120" s="184"/>
      <c r="J120" s="65"/>
      <c r="K120" s="71">
        <f>SUBTOTAL(9,K99:K119)</f>
        <v>53879445.859999999</v>
      </c>
      <c r="L120" s="185"/>
      <c r="M120" s="73">
        <f>SUBTOTAL(9,M99:M119)</f>
        <v>22321751.899999999</v>
      </c>
      <c r="N120" s="73"/>
      <c r="O120" s="73">
        <f>SUBTOTAL(9,O99:O119)</f>
        <v>31557693</v>
      </c>
      <c r="P120" s="73"/>
      <c r="Q120" s="73">
        <f>SUBTOTAL(9,Q99:Q119)</f>
        <v>1083389.6102525173</v>
      </c>
      <c r="S120" s="74">
        <f>+ROUND(Q120/K120*100,2)</f>
        <v>2.0099999999999998</v>
      </c>
      <c r="U120" s="186"/>
      <c r="V120" s="181"/>
      <c r="W120" s="345"/>
      <c r="X120" s="208"/>
      <c r="Y120" s="208"/>
      <c r="Z120" s="208"/>
      <c r="AA120" s="203"/>
    </row>
    <row r="121" spans="1:27" s="19" customFormat="1">
      <c r="A121" s="64"/>
      <c r="B121" s="65"/>
      <c r="C121" s="78"/>
      <c r="D121" s="65"/>
      <c r="E121" s="65"/>
      <c r="F121" s="65"/>
      <c r="G121" s="183"/>
      <c r="H121" s="183"/>
      <c r="I121" s="184"/>
      <c r="J121" s="65"/>
      <c r="K121" s="71"/>
      <c r="L121" s="185"/>
      <c r="M121" s="73"/>
      <c r="N121" s="73"/>
      <c r="O121" s="73"/>
      <c r="P121" s="73"/>
      <c r="Q121" s="73"/>
      <c r="S121" s="74"/>
      <c r="U121" s="186"/>
      <c r="V121" s="181"/>
      <c r="W121" s="345"/>
      <c r="X121" s="208"/>
      <c r="Y121" s="208"/>
      <c r="Z121" s="208"/>
      <c r="AA121" s="203"/>
    </row>
    <row r="122" spans="1:27" s="19" customFormat="1">
      <c r="A122" s="64">
        <v>342</v>
      </c>
      <c r="B122" s="65"/>
      <c r="C122" s="65" t="s">
        <v>188</v>
      </c>
      <c r="D122" s="65"/>
      <c r="E122" s="65"/>
      <c r="F122" s="65"/>
      <c r="G122" s="65"/>
      <c r="H122" s="65"/>
      <c r="I122" s="179"/>
      <c r="J122" s="65"/>
      <c r="K122" s="65"/>
      <c r="L122" s="65"/>
      <c r="M122" s="67"/>
      <c r="N122" s="67"/>
      <c r="O122" s="67"/>
      <c r="P122" s="67"/>
      <c r="Q122" s="67"/>
      <c r="S122" s="68"/>
      <c r="U122" s="180"/>
      <c r="V122" s="181"/>
      <c r="W122" s="347"/>
      <c r="X122" s="208"/>
      <c r="Y122" s="208"/>
      <c r="Z122" s="208"/>
      <c r="AA122" s="203"/>
    </row>
    <row r="123" spans="1:27" s="19" customFormat="1">
      <c r="A123" s="64"/>
      <c r="B123" s="65"/>
      <c r="C123" s="70" t="s">
        <v>77</v>
      </c>
      <c r="D123" s="65"/>
      <c r="E123" s="182">
        <v>2050</v>
      </c>
      <c r="F123" s="65"/>
      <c r="G123" s="183" t="s">
        <v>189</v>
      </c>
      <c r="H123" s="183" t="s">
        <v>181</v>
      </c>
      <c r="I123" s="184">
        <v>0</v>
      </c>
      <c r="J123" s="65"/>
      <c r="K123" s="71">
        <v>13766120.51</v>
      </c>
      <c r="L123" s="185"/>
      <c r="M123" s="73">
        <v>6102433</v>
      </c>
      <c r="N123" s="73"/>
      <c r="O123" s="198">
        <f t="shared" ref="O123:O130" si="25">ROUND((K123+(K123*-(I123/100)))-M123,0)</f>
        <v>7663688</v>
      </c>
      <c r="P123" s="73"/>
      <c r="Q123" s="57">
        <f t="shared" ref="Q123:Q130" si="26">O123/U123</f>
        <v>212880.22222222222</v>
      </c>
      <c r="S123" s="74">
        <f t="shared" ref="S123:S130" si="27">Q123/K123*100</f>
        <v>1.5464067895350875</v>
      </c>
      <c r="U123" s="172">
        <f t="shared" ref="U123:U130" si="28">AA123</f>
        <v>36</v>
      </c>
      <c r="V123" s="181"/>
      <c r="W123" s="345">
        <f>'Adjust Depr Table 1'!U123</f>
        <v>31</v>
      </c>
      <c r="X123" s="208"/>
      <c r="Y123" s="209">
        <v>5</v>
      </c>
      <c r="Z123" s="208"/>
      <c r="AA123" s="203">
        <f t="shared" ref="AA123:AA130" si="29">W123+Y123</f>
        <v>36</v>
      </c>
    </row>
    <row r="124" spans="1:27" s="19" customFormat="1">
      <c r="A124" s="64"/>
      <c r="B124" s="65"/>
      <c r="C124" s="70" t="s">
        <v>83</v>
      </c>
      <c r="D124" s="65"/>
      <c r="E124" s="182">
        <v>2045</v>
      </c>
      <c r="F124" s="65"/>
      <c r="G124" s="183" t="s">
        <v>189</v>
      </c>
      <c r="H124" s="183" t="s">
        <v>181</v>
      </c>
      <c r="I124" s="184">
        <v>0</v>
      </c>
      <c r="J124" s="65"/>
      <c r="K124" s="71">
        <v>70051.649999999994</v>
      </c>
      <c r="L124" s="185"/>
      <c r="M124" s="73">
        <v>26328</v>
      </c>
      <c r="N124" s="73"/>
      <c r="O124" s="198">
        <f t="shared" si="25"/>
        <v>43724</v>
      </c>
      <c r="P124" s="73"/>
      <c r="Q124" s="57">
        <f t="shared" si="26"/>
        <v>1410.4516129032259</v>
      </c>
      <c r="S124" s="74">
        <f t="shared" si="27"/>
        <v>2.0134452406234913</v>
      </c>
      <c r="U124" s="172">
        <f t="shared" si="28"/>
        <v>31</v>
      </c>
      <c r="V124" s="181"/>
      <c r="W124" s="345">
        <f>'Adjust Depr Table 1'!U124</f>
        <v>26</v>
      </c>
      <c r="X124" s="208"/>
      <c r="Y124" s="209">
        <v>5</v>
      </c>
      <c r="Z124" s="208"/>
      <c r="AA124" s="203">
        <f t="shared" si="29"/>
        <v>31</v>
      </c>
    </row>
    <row r="125" spans="1:27" s="19" customFormat="1">
      <c r="A125" s="64"/>
      <c r="B125" s="65"/>
      <c r="C125" s="70" t="s">
        <v>84</v>
      </c>
      <c r="D125" s="65"/>
      <c r="E125" s="182">
        <v>2045</v>
      </c>
      <c r="F125" s="65"/>
      <c r="G125" s="183" t="s">
        <v>189</v>
      </c>
      <c r="H125" s="183" t="s">
        <v>181</v>
      </c>
      <c r="I125" s="184">
        <v>0</v>
      </c>
      <c r="J125" s="65"/>
      <c r="K125" s="71">
        <v>70051.649999999994</v>
      </c>
      <c r="L125" s="185"/>
      <c r="M125" s="73">
        <v>26327</v>
      </c>
      <c r="N125" s="73"/>
      <c r="O125" s="198">
        <f t="shared" si="25"/>
        <v>43725</v>
      </c>
      <c r="P125" s="73"/>
      <c r="Q125" s="57">
        <f t="shared" si="26"/>
        <v>1410.483870967742</v>
      </c>
      <c r="S125" s="74">
        <f t="shared" si="27"/>
        <v>2.0134912895952373</v>
      </c>
      <c r="U125" s="172">
        <f t="shared" si="28"/>
        <v>31</v>
      </c>
      <c r="V125" s="181"/>
      <c r="W125" s="345">
        <f>'Adjust Depr Table 1'!U125</f>
        <v>26</v>
      </c>
      <c r="X125" s="208"/>
      <c r="Y125" s="209">
        <v>5</v>
      </c>
      <c r="Z125" s="208"/>
      <c r="AA125" s="203">
        <f t="shared" si="29"/>
        <v>31</v>
      </c>
    </row>
    <row r="126" spans="1:27" s="19" customFormat="1">
      <c r="A126" s="64"/>
      <c r="B126" s="65"/>
      <c r="C126" s="70" t="s">
        <v>85</v>
      </c>
      <c r="D126" s="65"/>
      <c r="E126" s="182">
        <v>2050</v>
      </c>
      <c r="F126" s="65"/>
      <c r="G126" s="183" t="s">
        <v>189</v>
      </c>
      <c r="H126" s="183" t="s">
        <v>181</v>
      </c>
      <c r="I126" s="184">
        <v>0</v>
      </c>
      <c r="J126" s="65"/>
      <c r="K126" s="71">
        <v>2384532.85</v>
      </c>
      <c r="L126" s="185"/>
      <c r="M126" s="73">
        <v>464445</v>
      </c>
      <c r="N126" s="73"/>
      <c r="O126" s="198">
        <f t="shared" si="25"/>
        <v>1920088</v>
      </c>
      <c r="P126" s="73"/>
      <c r="Q126" s="57">
        <f t="shared" si="26"/>
        <v>53335.777777777781</v>
      </c>
      <c r="S126" s="74">
        <f t="shared" si="27"/>
        <v>2.2367390651706804</v>
      </c>
      <c r="U126" s="172">
        <f t="shared" si="28"/>
        <v>36</v>
      </c>
      <c r="V126" s="181"/>
      <c r="W126" s="345">
        <f>'Adjust Depr Table 1'!U126</f>
        <v>31</v>
      </c>
      <c r="X126" s="208"/>
      <c r="Y126" s="209">
        <v>5</v>
      </c>
      <c r="Z126" s="208"/>
      <c r="AA126" s="203">
        <f t="shared" si="29"/>
        <v>36</v>
      </c>
    </row>
    <row r="127" spans="1:27" s="19" customFormat="1">
      <c r="A127" s="64"/>
      <c r="B127" s="65"/>
      <c r="C127" s="70" t="s">
        <v>86</v>
      </c>
      <c r="D127" s="65"/>
      <c r="E127" s="182">
        <v>2050</v>
      </c>
      <c r="F127" s="65"/>
      <c r="G127" s="183" t="s">
        <v>189</v>
      </c>
      <c r="H127" s="183" t="s">
        <v>181</v>
      </c>
      <c r="I127" s="184">
        <v>0</v>
      </c>
      <c r="J127" s="65"/>
      <c r="K127" s="71">
        <v>2116650.59</v>
      </c>
      <c r="L127" s="185"/>
      <c r="M127" s="73">
        <v>551382</v>
      </c>
      <c r="N127" s="73"/>
      <c r="O127" s="198">
        <f t="shared" si="25"/>
        <v>1565269</v>
      </c>
      <c r="P127" s="73"/>
      <c r="Q127" s="57">
        <f t="shared" si="26"/>
        <v>43479.694444444445</v>
      </c>
      <c r="S127" s="74">
        <f t="shared" si="27"/>
        <v>2.0541743946715574</v>
      </c>
      <c r="U127" s="172">
        <f t="shared" si="28"/>
        <v>36</v>
      </c>
      <c r="V127" s="181"/>
      <c r="W127" s="345">
        <f>'Adjust Depr Table 1'!U127</f>
        <v>31</v>
      </c>
      <c r="X127" s="208"/>
      <c r="Y127" s="209">
        <v>5</v>
      </c>
      <c r="Z127" s="208"/>
      <c r="AA127" s="203">
        <f t="shared" si="29"/>
        <v>36</v>
      </c>
    </row>
    <row r="128" spans="1:27" s="19" customFormat="1">
      <c r="A128" s="64"/>
      <c r="B128" s="65"/>
      <c r="C128" s="70" t="s">
        <v>88</v>
      </c>
      <c r="D128" s="65"/>
      <c r="E128" s="182">
        <v>2038</v>
      </c>
      <c r="F128" s="65"/>
      <c r="G128" s="183" t="s">
        <v>189</v>
      </c>
      <c r="H128" s="183" t="s">
        <v>181</v>
      </c>
      <c r="I128" s="184">
        <v>0</v>
      </c>
      <c r="J128" s="65"/>
      <c r="K128" s="71">
        <v>106294.19</v>
      </c>
      <c r="L128" s="185"/>
      <c r="M128" s="73">
        <v>47199</v>
      </c>
      <c r="N128" s="73"/>
      <c r="O128" s="198">
        <f t="shared" si="25"/>
        <v>59095</v>
      </c>
      <c r="P128" s="73"/>
      <c r="Q128" s="57">
        <f t="shared" si="26"/>
        <v>3110.2631578947367</v>
      </c>
      <c r="S128" s="74">
        <f t="shared" si="27"/>
        <v>2.9260895237027884</v>
      </c>
      <c r="U128" s="172">
        <f t="shared" si="28"/>
        <v>19</v>
      </c>
      <c r="V128" s="181"/>
      <c r="W128" s="345">
        <f>'Adjust Depr Table 1'!U128</f>
        <v>19</v>
      </c>
      <c r="X128" s="208"/>
      <c r="Y128" s="209"/>
      <c r="Z128" s="208"/>
      <c r="AA128" s="203">
        <f t="shared" si="29"/>
        <v>19</v>
      </c>
    </row>
    <row r="129" spans="1:27" s="19" customFormat="1">
      <c r="A129" s="64"/>
      <c r="B129" s="65"/>
      <c r="C129" s="70" t="s">
        <v>89</v>
      </c>
      <c r="D129" s="65"/>
      <c r="E129" s="182">
        <v>2038</v>
      </c>
      <c r="F129" s="65"/>
      <c r="G129" s="183" t="s">
        <v>189</v>
      </c>
      <c r="H129" s="183" t="s">
        <v>181</v>
      </c>
      <c r="I129" s="184">
        <v>0</v>
      </c>
      <c r="J129" s="65"/>
      <c r="K129" s="71">
        <v>357670.24</v>
      </c>
      <c r="L129" s="185"/>
      <c r="M129" s="73">
        <v>158822</v>
      </c>
      <c r="N129" s="73"/>
      <c r="O129" s="198">
        <f t="shared" si="25"/>
        <v>198848</v>
      </c>
      <c r="P129" s="73"/>
      <c r="Q129" s="57">
        <f t="shared" si="26"/>
        <v>10465.684210526315</v>
      </c>
      <c r="S129" s="74">
        <f t="shared" si="27"/>
        <v>2.9260707322270689</v>
      </c>
      <c r="U129" s="172">
        <f t="shared" si="28"/>
        <v>19</v>
      </c>
      <c r="V129" s="181"/>
      <c r="W129" s="345">
        <f>'Adjust Depr Table 1'!U129</f>
        <v>19</v>
      </c>
      <c r="X129" s="208"/>
      <c r="Y129" s="209"/>
      <c r="Z129" s="208"/>
      <c r="AA129" s="203">
        <f t="shared" si="29"/>
        <v>19</v>
      </c>
    </row>
    <row r="130" spans="1:27" s="19" customFormat="1">
      <c r="A130" s="64"/>
      <c r="B130" s="65"/>
      <c r="C130" s="70" t="s">
        <v>92</v>
      </c>
      <c r="D130" s="65"/>
      <c r="E130" s="182">
        <v>2042</v>
      </c>
      <c r="F130" s="65"/>
      <c r="G130" s="183" t="s">
        <v>189</v>
      </c>
      <c r="H130" s="183" t="s">
        <v>181</v>
      </c>
      <c r="I130" s="184">
        <v>0</v>
      </c>
      <c r="J130" s="65"/>
      <c r="K130" s="75">
        <v>1162203.57</v>
      </c>
      <c r="L130" s="185"/>
      <c r="M130" s="77">
        <v>513184</v>
      </c>
      <c r="N130" s="73"/>
      <c r="O130" s="205">
        <f t="shared" si="25"/>
        <v>649020</v>
      </c>
      <c r="P130" s="73"/>
      <c r="Q130" s="62">
        <f t="shared" si="26"/>
        <v>23179.285714285714</v>
      </c>
      <c r="S130" s="74">
        <f t="shared" si="27"/>
        <v>1.9944256163561529</v>
      </c>
      <c r="U130" s="172">
        <f t="shared" si="28"/>
        <v>28</v>
      </c>
      <c r="V130" s="181"/>
      <c r="W130" s="345">
        <f>'Adjust Depr Table 1'!U130</f>
        <v>23</v>
      </c>
      <c r="X130" s="208"/>
      <c r="Y130" s="209">
        <v>5</v>
      </c>
      <c r="Z130" s="208"/>
      <c r="AA130" s="203">
        <f t="shared" si="29"/>
        <v>28</v>
      </c>
    </row>
    <row r="131" spans="1:27" s="19" customFormat="1">
      <c r="A131" s="64"/>
      <c r="B131" s="65"/>
      <c r="C131" s="78"/>
      <c r="D131" s="65"/>
      <c r="E131" s="65"/>
      <c r="F131" s="65"/>
      <c r="G131" s="183"/>
      <c r="H131" s="183"/>
      <c r="I131" s="184"/>
      <c r="J131" s="65"/>
      <c r="K131" s="71"/>
      <c r="L131" s="185"/>
      <c r="M131" s="73"/>
      <c r="N131" s="73"/>
      <c r="O131" s="73"/>
      <c r="P131" s="73"/>
      <c r="Q131" s="73"/>
      <c r="S131" s="74"/>
      <c r="U131" s="186"/>
      <c r="V131" s="181"/>
      <c r="W131" s="345"/>
      <c r="X131" s="208"/>
      <c r="Y131" s="208"/>
      <c r="Z131" s="208"/>
      <c r="AA131" s="203"/>
    </row>
    <row r="132" spans="1:27" s="19" customFormat="1">
      <c r="A132" s="64"/>
      <c r="B132" s="65"/>
      <c r="C132" s="78" t="s">
        <v>190</v>
      </c>
      <c r="D132" s="65"/>
      <c r="E132" s="65"/>
      <c r="F132" s="65"/>
      <c r="G132" s="183"/>
      <c r="H132" s="183"/>
      <c r="I132" s="184"/>
      <c r="J132" s="65"/>
      <c r="K132" s="71">
        <f>SUBTOTAL(9,K123:K131)</f>
        <v>20033575.25</v>
      </c>
      <c r="L132" s="185"/>
      <c r="M132" s="73">
        <f>SUBTOTAL(9,M123:M131)</f>
        <v>7890120</v>
      </c>
      <c r="N132" s="73"/>
      <c r="O132" s="73">
        <f>SUBTOTAL(9,O123:O131)</f>
        <v>12143457</v>
      </c>
      <c r="P132" s="73"/>
      <c r="Q132" s="73">
        <f>SUBTOTAL(9,Q123:Q131)</f>
        <v>349271.8630110221</v>
      </c>
      <c r="S132" s="74">
        <f>+ROUND(Q132/K132*100,2)</f>
        <v>1.74</v>
      </c>
      <c r="U132" s="186"/>
      <c r="V132" s="181"/>
      <c r="W132" s="345"/>
      <c r="X132" s="208"/>
      <c r="Y132" s="208"/>
      <c r="Z132" s="208"/>
      <c r="AA132" s="203"/>
    </row>
    <row r="133" spans="1:27" s="19" customFormat="1">
      <c r="A133" s="64"/>
      <c r="B133" s="65"/>
      <c r="C133" s="78"/>
      <c r="D133" s="65"/>
      <c r="E133" s="65"/>
      <c r="F133" s="65"/>
      <c r="G133" s="183"/>
      <c r="H133" s="183"/>
      <c r="I133" s="184"/>
      <c r="J133" s="65"/>
      <c r="K133" s="71"/>
      <c r="L133" s="185"/>
      <c r="M133" s="73"/>
      <c r="N133" s="73"/>
      <c r="O133" s="73"/>
      <c r="P133" s="73"/>
      <c r="Q133" s="73"/>
      <c r="S133" s="74"/>
      <c r="U133" s="186"/>
      <c r="V133" s="181"/>
      <c r="W133" s="345"/>
      <c r="X133" s="208"/>
      <c r="Y133" s="208"/>
      <c r="Z133" s="208"/>
      <c r="AA133" s="203"/>
    </row>
    <row r="134" spans="1:27" s="19" customFormat="1">
      <c r="A134" s="64">
        <v>343</v>
      </c>
      <c r="B134" s="65"/>
      <c r="C134" s="65" t="s">
        <v>99</v>
      </c>
      <c r="D134" s="65"/>
      <c r="E134" s="65"/>
      <c r="F134" s="65"/>
      <c r="G134" s="65"/>
      <c r="H134" s="65"/>
      <c r="I134" s="179"/>
      <c r="J134" s="65"/>
      <c r="K134" s="65"/>
      <c r="L134" s="65"/>
      <c r="M134" s="67"/>
      <c r="N134" s="67"/>
      <c r="O134" s="67"/>
      <c r="P134" s="67"/>
      <c r="Q134" s="67"/>
      <c r="S134" s="68"/>
      <c r="U134" s="180"/>
      <c r="V134" s="181"/>
      <c r="W134" s="347"/>
      <c r="X134" s="208"/>
      <c r="Y134" s="208"/>
      <c r="Z134" s="208"/>
      <c r="AA134" s="203"/>
    </row>
    <row r="135" spans="1:27" s="19" customFormat="1">
      <c r="A135" s="64"/>
      <c r="B135" s="65"/>
      <c r="C135" s="70" t="s">
        <v>77</v>
      </c>
      <c r="D135" s="65"/>
      <c r="E135" s="182">
        <v>2050</v>
      </c>
      <c r="F135" s="65"/>
      <c r="G135" s="183" t="s">
        <v>191</v>
      </c>
      <c r="H135" s="183" t="s">
        <v>181</v>
      </c>
      <c r="I135" s="184">
        <v>0</v>
      </c>
      <c r="J135" s="65"/>
      <c r="K135" s="71">
        <v>21662783.59</v>
      </c>
      <c r="L135" s="185"/>
      <c r="M135" s="73">
        <v>9422539.3200000003</v>
      </c>
      <c r="N135" s="73"/>
      <c r="O135" s="198">
        <f t="shared" ref="O135:O153" si="30">ROUND((K135+(K135*-(I135/100)))-M135,0)</f>
        <v>12240244</v>
      </c>
      <c r="P135" s="73"/>
      <c r="Q135" s="57">
        <f t="shared" ref="Q135:Q153" si="31">O135/U135</f>
        <v>340006.77777777775</v>
      </c>
      <c r="S135" s="74">
        <f t="shared" ref="S135:S153" si="32">Q135/K135*100</f>
        <v>1.569543343149733</v>
      </c>
      <c r="U135" s="172">
        <f t="shared" ref="U135:U153" si="33">AA135</f>
        <v>36</v>
      </c>
      <c r="V135" s="181"/>
      <c r="W135" s="345">
        <f>'Adjust Depr Table 1'!U135</f>
        <v>31</v>
      </c>
      <c r="X135" s="208"/>
      <c r="Y135" s="209">
        <v>5</v>
      </c>
      <c r="Z135" s="208"/>
      <c r="AA135" s="203">
        <f t="shared" ref="AA135:AA153" si="34">W135+Y135</f>
        <v>36</v>
      </c>
    </row>
    <row r="136" spans="1:27" s="19" customFormat="1">
      <c r="A136" s="64"/>
      <c r="B136" s="65"/>
      <c r="C136" s="70" t="s">
        <v>78</v>
      </c>
      <c r="D136" s="65"/>
      <c r="E136" s="182">
        <v>2034</v>
      </c>
      <c r="F136" s="65"/>
      <c r="G136" s="183" t="s">
        <v>191</v>
      </c>
      <c r="H136" s="183" t="s">
        <v>181</v>
      </c>
      <c r="I136" s="184">
        <v>0</v>
      </c>
      <c r="J136" s="65"/>
      <c r="K136" s="71">
        <v>18938769.399999999</v>
      </c>
      <c r="L136" s="185"/>
      <c r="M136" s="73">
        <v>10814893.970000001</v>
      </c>
      <c r="N136" s="73"/>
      <c r="O136" s="198">
        <f t="shared" si="30"/>
        <v>8123875</v>
      </c>
      <c r="P136" s="73"/>
      <c r="Q136" s="57">
        <f t="shared" si="31"/>
        <v>324955</v>
      </c>
      <c r="S136" s="74">
        <f t="shared" si="32"/>
        <v>1.7158189802976325</v>
      </c>
      <c r="U136" s="172">
        <f t="shared" si="33"/>
        <v>25</v>
      </c>
      <c r="V136" s="181"/>
      <c r="W136" s="345">
        <f>'Adjust Depr Table 1'!U136</f>
        <v>15</v>
      </c>
      <c r="X136" s="208"/>
      <c r="Y136" s="209">
        <v>10</v>
      </c>
      <c r="Z136" s="208"/>
      <c r="AA136" s="203">
        <f t="shared" si="34"/>
        <v>25</v>
      </c>
    </row>
    <row r="137" spans="1:27" s="19" customFormat="1">
      <c r="A137" s="64"/>
      <c r="B137" s="65"/>
      <c r="C137" s="70" t="s">
        <v>79</v>
      </c>
      <c r="D137" s="65"/>
      <c r="E137" s="182">
        <v>2034</v>
      </c>
      <c r="F137" s="65"/>
      <c r="G137" s="183" t="s">
        <v>191</v>
      </c>
      <c r="H137" s="183" t="s">
        <v>181</v>
      </c>
      <c r="I137" s="184">
        <v>0</v>
      </c>
      <c r="J137" s="65"/>
      <c r="K137" s="71">
        <v>17021561.969999999</v>
      </c>
      <c r="L137" s="185"/>
      <c r="M137" s="73">
        <v>10158430.17</v>
      </c>
      <c r="N137" s="73"/>
      <c r="O137" s="198">
        <f t="shared" si="30"/>
        <v>6863132</v>
      </c>
      <c r="P137" s="73"/>
      <c r="Q137" s="57">
        <f t="shared" si="31"/>
        <v>274525.28000000003</v>
      </c>
      <c r="S137" s="74">
        <f t="shared" si="32"/>
        <v>1.6128089800680028</v>
      </c>
      <c r="U137" s="172">
        <f t="shared" si="33"/>
        <v>25</v>
      </c>
      <c r="V137" s="181"/>
      <c r="W137" s="345">
        <f>'Adjust Depr Table 1'!U137</f>
        <v>15</v>
      </c>
      <c r="X137" s="208"/>
      <c r="Y137" s="209">
        <v>10</v>
      </c>
      <c r="Z137" s="208"/>
      <c r="AA137" s="203">
        <f t="shared" si="34"/>
        <v>25</v>
      </c>
    </row>
    <row r="138" spans="1:27" s="19" customFormat="1">
      <c r="A138" s="64"/>
      <c r="B138" s="65"/>
      <c r="C138" s="70" t="s">
        <v>80</v>
      </c>
      <c r="D138" s="65"/>
      <c r="E138" s="182">
        <v>2034</v>
      </c>
      <c r="F138" s="65"/>
      <c r="G138" s="183" t="s">
        <v>191</v>
      </c>
      <c r="H138" s="183" t="s">
        <v>181</v>
      </c>
      <c r="I138" s="184">
        <v>0</v>
      </c>
      <c r="J138" s="65"/>
      <c r="K138" s="71">
        <v>17950085.800000001</v>
      </c>
      <c r="L138" s="185"/>
      <c r="M138" s="73">
        <v>10645167.189999999</v>
      </c>
      <c r="N138" s="73"/>
      <c r="O138" s="198">
        <f t="shared" si="30"/>
        <v>7304919</v>
      </c>
      <c r="P138" s="73"/>
      <c r="Q138" s="57">
        <f t="shared" si="31"/>
        <v>292196.76</v>
      </c>
      <c r="S138" s="74">
        <f t="shared" si="32"/>
        <v>1.6278293221305937</v>
      </c>
      <c r="U138" s="172">
        <f t="shared" si="33"/>
        <v>25</v>
      </c>
      <c r="V138" s="181"/>
      <c r="W138" s="345">
        <f>'Adjust Depr Table 1'!U138</f>
        <v>15</v>
      </c>
      <c r="X138" s="208"/>
      <c r="Y138" s="209">
        <v>10</v>
      </c>
      <c r="Z138" s="208"/>
      <c r="AA138" s="203">
        <f t="shared" si="34"/>
        <v>25</v>
      </c>
    </row>
    <row r="139" spans="1:27" s="19" customFormat="1">
      <c r="A139" s="64"/>
      <c r="B139" s="65"/>
      <c r="C139" s="70" t="s">
        <v>81</v>
      </c>
      <c r="D139" s="65"/>
      <c r="E139" s="182">
        <v>2041</v>
      </c>
      <c r="F139" s="65"/>
      <c r="G139" s="183" t="s">
        <v>191</v>
      </c>
      <c r="H139" s="183" t="s">
        <v>181</v>
      </c>
      <c r="I139" s="184">
        <v>0</v>
      </c>
      <c r="J139" s="65"/>
      <c r="K139" s="71">
        <v>25858484.41</v>
      </c>
      <c r="L139" s="185"/>
      <c r="M139" s="73">
        <v>12138052.800000001</v>
      </c>
      <c r="N139" s="73"/>
      <c r="O139" s="198">
        <f t="shared" si="30"/>
        <v>13720432</v>
      </c>
      <c r="P139" s="73"/>
      <c r="Q139" s="57">
        <f t="shared" si="31"/>
        <v>508164.14814814815</v>
      </c>
      <c r="S139" s="74">
        <f t="shared" si="32"/>
        <v>1.9651737514501462</v>
      </c>
      <c r="U139" s="172">
        <f t="shared" si="33"/>
        <v>27</v>
      </c>
      <c r="V139" s="181"/>
      <c r="W139" s="345">
        <f>'Adjust Depr Table 1'!U139</f>
        <v>22</v>
      </c>
      <c r="X139" s="208"/>
      <c r="Y139" s="209">
        <v>5</v>
      </c>
      <c r="Z139" s="208"/>
      <c r="AA139" s="203">
        <f t="shared" si="34"/>
        <v>27</v>
      </c>
    </row>
    <row r="140" spans="1:27" s="19" customFormat="1">
      <c r="A140" s="64"/>
      <c r="B140" s="65"/>
      <c r="C140" s="70" t="s">
        <v>82</v>
      </c>
      <c r="D140" s="65"/>
      <c r="E140" s="182">
        <v>2041</v>
      </c>
      <c r="F140" s="65"/>
      <c r="G140" s="183" t="s">
        <v>191</v>
      </c>
      <c r="H140" s="183" t="s">
        <v>181</v>
      </c>
      <c r="I140" s="184">
        <v>0</v>
      </c>
      <c r="J140" s="65"/>
      <c r="K140" s="71">
        <v>21295538.73</v>
      </c>
      <c r="L140" s="185"/>
      <c r="M140" s="73">
        <v>10125651.369999999</v>
      </c>
      <c r="N140" s="73"/>
      <c r="O140" s="198">
        <f t="shared" si="30"/>
        <v>11169887</v>
      </c>
      <c r="P140" s="73"/>
      <c r="Q140" s="57">
        <f t="shared" si="31"/>
        <v>413699.51851851854</v>
      </c>
      <c r="S140" s="74">
        <f t="shared" si="32"/>
        <v>1.9426581490315671</v>
      </c>
      <c r="U140" s="172">
        <f t="shared" si="33"/>
        <v>27</v>
      </c>
      <c r="V140" s="181"/>
      <c r="W140" s="345">
        <f>'Adjust Depr Table 1'!U140</f>
        <v>22</v>
      </c>
      <c r="X140" s="208"/>
      <c r="Y140" s="209">
        <v>5</v>
      </c>
      <c r="Z140" s="208"/>
      <c r="AA140" s="203">
        <f t="shared" si="34"/>
        <v>27</v>
      </c>
    </row>
    <row r="141" spans="1:27" s="19" customFormat="1">
      <c r="A141" s="64"/>
      <c r="B141" s="65"/>
      <c r="C141" s="70" t="s">
        <v>83</v>
      </c>
      <c r="D141" s="65"/>
      <c r="E141" s="182">
        <v>2045</v>
      </c>
      <c r="F141" s="65"/>
      <c r="G141" s="183" t="s">
        <v>191</v>
      </c>
      <c r="H141" s="183" t="s">
        <v>181</v>
      </c>
      <c r="I141" s="184">
        <v>0</v>
      </c>
      <c r="J141" s="65"/>
      <c r="K141" s="71">
        <v>17001567.77</v>
      </c>
      <c r="L141" s="185"/>
      <c r="M141" s="73">
        <v>6146558.7400000002</v>
      </c>
      <c r="N141" s="73"/>
      <c r="O141" s="198">
        <f t="shared" si="30"/>
        <v>10855009</v>
      </c>
      <c r="P141" s="73"/>
      <c r="Q141" s="57">
        <f t="shared" si="31"/>
        <v>350161.58064516127</v>
      </c>
      <c r="S141" s="74">
        <f t="shared" si="32"/>
        <v>2.0595840653180026</v>
      </c>
      <c r="U141" s="172">
        <f t="shared" si="33"/>
        <v>31</v>
      </c>
      <c r="V141" s="181"/>
      <c r="W141" s="345">
        <f>'Adjust Depr Table 1'!U141</f>
        <v>26</v>
      </c>
      <c r="X141" s="208"/>
      <c r="Y141" s="209">
        <v>5</v>
      </c>
      <c r="Z141" s="208"/>
      <c r="AA141" s="203">
        <f t="shared" si="34"/>
        <v>31</v>
      </c>
    </row>
    <row r="142" spans="1:27" s="19" customFormat="1">
      <c r="A142" s="64"/>
      <c r="B142" s="65"/>
      <c r="C142" s="70" t="s">
        <v>84</v>
      </c>
      <c r="D142" s="65"/>
      <c r="E142" s="182">
        <v>2045</v>
      </c>
      <c r="F142" s="65"/>
      <c r="G142" s="183" t="s">
        <v>191</v>
      </c>
      <c r="H142" s="183" t="s">
        <v>181</v>
      </c>
      <c r="I142" s="184">
        <v>0</v>
      </c>
      <c r="J142" s="65"/>
      <c r="K142" s="71">
        <v>16754183.57</v>
      </c>
      <c r="L142" s="185"/>
      <c r="M142" s="73">
        <v>6064093.3200000003</v>
      </c>
      <c r="N142" s="73"/>
      <c r="O142" s="198">
        <f t="shared" si="30"/>
        <v>10690090</v>
      </c>
      <c r="P142" s="73"/>
      <c r="Q142" s="57">
        <f t="shared" si="31"/>
        <v>344841.61290322582</v>
      </c>
      <c r="S142" s="74">
        <f t="shared" si="32"/>
        <v>2.0582418203934352</v>
      </c>
      <c r="U142" s="172">
        <f t="shared" si="33"/>
        <v>31</v>
      </c>
      <c r="V142" s="181"/>
      <c r="W142" s="345">
        <f>'Adjust Depr Table 1'!U142</f>
        <v>26</v>
      </c>
      <c r="X142" s="208"/>
      <c r="Y142" s="209">
        <v>5</v>
      </c>
      <c r="Z142" s="208"/>
      <c r="AA142" s="203">
        <f t="shared" si="34"/>
        <v>31</v>
      </c>
    </row>
    <row r="143" spans="1:27" s="19" customFormat="1">
      <c r="A143" s="64"/>
      <c r="B143" s="65"/>
      <c r="C143" s="70" t="s">
        <v>85</v>
      </c>
      <c r="D143" s="65"/>
      <c r="E143" s="182">
        <v>2050</v>
      </c>
      <c r="F143" s="65"/>
      <c r="G143" s="183" t="s">
        <v>191</v>
      </c>
      <c r="H143" s="183" t="s">
        <v>181</v>
      </c>
      <c r="I143" s="184">
        <v>0</v>
      </c>
      <c r="J143" s="65"/>
      <c r="K143" s="71">
        <v>57736570.219999999</v>
      </c>
      <c r="L143" s="185"/>
      <c r="M143" s="73">
        <v>10973966.49</v>
      </c>
      <c r="N143" s="73"/>
      <c r="O143" s="198">
        <f t="shared" si="30"/>
        <v>46762604</v>
      </c>
      <c r="P143" s="73"/>
      <c r="Q143" s="57">
        <f t="shared" si="31"/>
        <v>1298961.2222222222</v>
      </c>
      <c r="S143" s="74">
        <f t="shared" si="32"/>
        <v>2.2498066949121633</v>
      </c>
      <c r="U143" s="172">
        <f t="shared" si="33"/>
        <v>36</v>
      </c>
      <c r="V143" s="181"/>
      <c r="W143" s="345">
        <f>'Adjust Depr Table 1'!U143</f>
        <v>31</v>
      </c>
      <c r="X143" s="208"/>
      <c r="Y143" s="209">
        <v>5</v>
      </c>
      <c r="Z143" s="208"/>
      <c r="AA143" s="203">
        <f t="shared" si="34"/>
        <v>36</v>
      </c>
    </row>
    <row r="144" spans="1:27" s="19" customFormat="1">
      <c r="A144" s="64"/>
      <c r="B144" s="65"/>
      <c r="C144" s="70" t="s">
        <v>86</v>
      </c>
      <c r="D144" s="65"/>
      <c r="E144" s="182">
        <v>2050</v>
      </c>
      <c r="F144" s="65"/>
      <c r="G144" s="183" t="s">
        <v>191</v>
      </c>
      <c r="H144" s="183" t="s">
        <v>181</v>
      </c>
      <c r="I144" s="184">
        <v>0</v>
      </c>
      <c r="J144" s="65"/>
      <c r="K144" s="71">
        <v>55010982.469999999</v>
      </c>
      <c r="L144" s="185"/>
      <c r="M144" s="73">
        <v>14018583.890000001</v>
      </c>
      <c r="N144" s="73"/>
      <c r="O144" s="198">
        <f t="shared" si="30"/>
        <v>40992399</v>
      </c>
      <c r="P144" s="73"/>
      <c r="Q144" s="57">
        <f t="shared" si="31"/>
        <v>1138677.75</v>
      </c>
      <c r="S144" s="74">
        <f t="shared" si="32"/>
        <v>2.0699098595829897</v>
      </c>
      <c r="U144" s="172">
        <f t="shared" si="33"/>
        <v>36</v>
      </c>
      <c r="V144" s="181"/>
      <c r="W144" s="345">
        <f>'Adjust Depr Table 1'!U144</f>
        <v>31</v>
      </c>
      <c r="X144" s="208"/>
      <c r="Y144" s="209">
        <v>5</v>
      </c>
      <c r="Z144" s="208"/>
      <c r="AA144" s="203">
        <f t="shared" si="34"/>
        <v>36</v>
      </c>
    </row>
    <row r="145" spans="1:27" s="19" customFormat="1">
      <c r="A145" s="64"/>
      <c r="B145" s="65"/>
      <c r="C145" s="70" t="s">
        <v>87</v>
      </c>
      <c r="D145" s="65"/>
      <c r="E145" s="182">
        <v>2038</v>
      </c>
      <c r="F145" s="65"/>
      <c r="G145" s="183" t="s">
        <v>191</v>
      </c>
      <c r="H145" s="183" t="s">
        <v>181</v>
      </c>
      <c r="I145" s="184">
        <v>0</v>
      </c>
      <c r="J145" s="65"/>
      <c r="K145" s="71">
        <v>354070.8</v>
      </c>
      <c r="L145" s="185"/>
      <c r="M145" s="73">
        <v>141911</v>
      </c>
      <c r="N145" s="73"/>
      <c r="O145" s="198">
        <f t="shared" si="30"/>
        <v>212160</v>
      </c>
      <c r="P145" s="73"/>
      <c r="Q145" s="57">
        <f t="shared" si="31"/>
        <v>11166.315789473685</v>
      </c>
      <c r="S145" s="74">
        <f t="shared" si="32"/>
        <v>3.1536957550505957</v>
      </c>
      <c r="U145" s="172">
        <f t="shared" si="33"/>
        <v>19</v>
      </c>
      <c r="V145" s="181"/>
      <c r="W145" s="345">
        <f>'Adjust Depr Table 1'!U145</f>
        <v>19</v>
      </c>
      <c r="X145" s="208"/>
      <c r="Y145" s="209"/>
      <c r="Z145" s="208"/>
      <c r="AA145" s="203">
        <f t="shared" si="34"/>
        <v>19</v>
      </c>
    </row>
    <row r="146" spans="1:27" s="19" customFormat="1">
      <c r="A146" s="64"/>
      <c r="B146" s="65"/>
      <c r="C146" s="70" t="s">
        <v>88</v>
      </c>
      <c r="D146" s="65"/>
      <c r="E146" s="182">
        <v>2038</v>
      </c>
      <c r="F146" s="65"/>
      <c r="G146" s="183" t="s">
        <v>191</v>
      </c>
      <c r="H146" s="183" t="s">
        <v>181</v>
      </c>
      <c r="I146" s="184">
        <v>0</v>
      </c>
      <c r="J146" s="65"/>
      <c r="K146" s="71">
        <v>300785.96999999997</v>
      </c>
      <c r="L146" s="185"/>
      <c r="M146" s="73">
        <v>132190</v>
      </c>
      <c r="N146" s="73"/>
      <c r="O146" s="198">
        <f t="shared" si="30"/>
        <v>168596</v>
      </c>
      <c r="P146" s="73"/>
      <c r="Q146" s="57">
        <f t="shared" si="31"/>
        <v>8873.4736842105267</v>
      </c>
      <c r="S146" s="74">
        <f t="shared" si="32"/>
        <v>2.950095605925545</v>
      </c>
      <c r="U146" s="172">
        <f t="shared" si="33"/>
        <v>19</v>
      </c>
      <c r="V146" s="181"/>
      <c r="W146" s="345">
        <f>'Adjust Depr Table 1'!U146</f>
        <v>19</v>
      </c>
      <c r="X146" s="208"/>
      <c r="Y146" s="209"/>
      <c r="Z146" s="208"/>
      <c r="AA146" s="203">
        <f t="shared" si="34"/>
        <v>19</v>
      </c>
    </row>
    <row r="147" spans="1:27" s="19" customFormat="1">
      <c r="A147" s="64"/>
      <c r="B147" s="65"/>
      <c r="C147" s="70" t="s">
        <v>89</v>
      </c>
      <c r="D147" s="65"/>
      <c r="E147" s="182">
        <v>2038</v>
      </c>
      <c r="F147" s="65"/>
      <c r="G147" s="183" t="s">
        <v>191</v>
      </c>
      <c r="H147" s="183" t="s">
        <v>181</v>
      </c>
      <c r="I147" s="184">
        <v>0</v>
      </c>
      <c r="J147" s="65"/>
      <c r="K147" s="71">
        <v>388128.81</v>
      </c>
      <c r="L147" s="185"/>
      <c r="M147" s="73">
        <v>150290</v>
      </c>
      <c r="N147" s="73"/>
      <c r="O147" s="198">
        <f t="shared" si="30"/>
        <v>237839</v>
      </c>
      <c r="P147" s="73"/>
      <c r="Q147" s="57">
        <f t="shared" si="31"/>
        <v>12517.842105263158</v>
      </c>
      <c r="S147" s="74">
        <f t="shared" si="32"/>
        <v>3.2251772562987937</v>
      </c>
      <c r="U147" s="172">
        <f t="shared" si="33"/>
        <v>19</v>
      </c>
      <c r="V147" s="181"/>
      <c r="W147" s="345">
        <f>'Adjust Depr Table 1'!U147</f>
        <v>19</v>
      </c>
      <c r="X147" s="208"/>
      <c r="Y147" s="209"/>
      <c r="Z147" s="208"/>
      <c r="AA147" s="203">
        <f t="shared" si="34"/>
        <v>19</v>
      </c>
    </row>
    <row r="148" spans="1:27" s="19" customFormat="1">
      <c r="A148" s="64"/>
      <c r="B148" s="65"/>
      <c r="C148" s="70" t="s">
        <v>90</v>
      </c>
      <c r="D148" s="65"/>
      <c r="E148" s="182">
        <v>2041</v>
      </c>
      <c r="F148" s="65"/>
      <c r="G148" s="183" t="s">
        <v>191</v>
      </c>
      <c r="H148" s="183" t="s">
        <v>181</v>
      </c>
      <c r="I148" s="184">
        <v>0</v>
      </c>
      <c r="J148" s="65"/>
      <c r="K148" s="71">
        <v>201654.6</v>
      </c>
      <c r="L148" s="185"/>
      <c r="M148" s="73">
        <v>72823</v>
      </c>
      <c r="N148" s="73"/>
      <c r="O148" s="198">
        <f t="shared" si="30"/>
        <v>128832</v>
      </c>
      <c r="P148" s="73"/>
      <c r="Q148" s="57">
        <f t="shared" si="31"/>
        <v>5856</v>
      </c>
      <c r="S148" s="74">
        <f t="shared" si="32"/>
        <v>2.9039754114213117</v>
      </c>
      <c r="U148" s="172">
        <f t="shared" si="33"/>
        <v>22</v>
      </c>
      <c r="V148" s="181"/>
      <c r="W148" s="345">
        <f>'Adjust Depr Table 1'!U148</f>
        <v>22</v>
      </c>
      <c r="X148" s="208"/>
      <c r="Y148" s="209"/>
      <c r="Z148" s="208"/>
      <c r="AA148" s="203">
        <f t="shared" si="34"/>
        <v>22</v>
      </c>
    </row>
    <row r="149" spans="1:27" s="19" customFormat="1">
      <c r="A149" s="64"/>
      <c r="B149" s="65"/>
      <c r="C149" s="70" t="s">
        <v>91</v>
      </c>
      <c r="D149" s="65"/>
      <c r="E149" s="182">
        <v>2042</v>
      </c>
      <c r="F149" s="65"/>
      <c r="G149" s="183" t="s">
        <v>191</v>
      </c>
      <c r="H149" s="183" t="s">
        <v>181</v>
      </c>
      <c r="I149" s="184">
        <v>0</v>
      </c>
      <c r="J149" s="65"/>
      <c r="K149" s="71">
        <v>275099.08</v>
      </c>
      <c r="L149" s="185"/>
      <c r="M149" s="73">
        <v>92033</v>
      </c>
      <c r="N149" s="73"/>
      <c r="O149" s="198">
        <f t="shared" si="30"/>
        <v>183066</v>
      </c>
      <c r="P149" s="73"/>
      <c r="Q149" s="57">
        <f t="shared" si="31"/>
        <v>7959.391304347826</v>
      </c>
      <c r="S149" s="74">
        <f t="shared" si="32"/>
        <v>2.8932816875824616</v>
      </c>
      <c r="U149" s="172">
        <f t="shared" si="33"/>
        <v>23</v>
      </c>
      <c r="V149" s="181"/>
      <c r="W149" s="345">
        <f>'Adjust Depr Table 1'!U149</f>
        <v>23</v>
      </c>
      <c r="X149" s="208"/>
      <c r="Y149" s="209"/>
      <c r="Z149" s="208"/>
      <c r="AA149" s="203">
        <f t="shared" si="34"/>
        <v>23</v>
      </c>
    </row>
    <row r="150" spans="1:27" s="19" customFormat="1">
      <c r="A150" s="64"/>
      <c r="B150" s="65"/>
      <c r="C150" s="70" t="s">
        <v>92</v>
      </c>
      <c r="D150" s="65"/>
      <c r="E150" s="182">
        <v>2042</v>
      </c>
      <c r="F150" s="65"/>
      <c r="G150" s="183" t="s">
        <v>191</v>
      </c>
      <c r="H150" s="183" t="s">
        <v>181</v>
      </c>
      <c r="I150" s="184">
        <v>0</v>
      </c>
      <c r="J150" s="65"/>
      <c r="K150" s="71">
        <v>2407952.29</v>
      </c>
      <c r="L150" s="185"/>
      <c r="M150" s="73">
        <v>582589</v>
      </c>
      <c r="N150" s="73"/>
      <c r="O150" s="198">
        <f t="shared" si="30"/>
        <v>1825363</v>
      </c>
      <c r="P150" s="73"/>
      <c r="Q150" s="57">
        <f t="shared" si="31"/>
        <v>65191.535714285717</v>
      </c>
      <c r="S150" s="74">
        <f t="shared" si="32"/>
        <v>2.7073433300576615</v>
      </c>
      <c r="U150" s="172">
        <f t="shared" si="33"/>
        <v>28</v>
      </c>
      <c r="V150" s="181"/>
      <c r="W150" s="345">
        <f>'Adjust Depr Table 1'!U150</f>
        <v>23</v>
      </c>
      <c r="X150" s="208"/>
      <c r="Y150" s="209">
        <v>5</v>
      </c>
      <c r="Z150" s="208"/>
      <c r="AA150" s="203">
        <f t="shared" si="34"/>
        <v>28</v>
      </c>
    </row>
    <row r="151" spans="1:27" s="19" customFormat="1">
      <c r="A151" s="64"/>
      <c r="B151" s="65"/>
      <c r="C151" s="70" t="s">
        <v>93</v>
      </c>
      <c r="D151" s="65"/>
      <c r="E151" s="182">
        <v>2042</v>
      </c>
      <c r="F151" s="65"/>
      <c r="G151" s="183" t="s">
        <v>191</v>
      </c>
      <c r="H151" s="183" t="s">
        <v>181</v>
      </c>
      <c r="I151" s="184">
        <v>0</v>
      </c>
      <c r="J151" s="65"/>
      <c r="K151" s="71">
        <v>46724956.780000001</v>
      </c>
      <c r="L151" s="185"/>
      <c r="M151" s="73">
        <v>22062972.190000001</v>
      </c>
      <c r="N151" s="73"/>
      <c r="O151" s="198">
        <f t="shared" si="30"/>
        <v>24661985</v>
      </c>
      <c r="P151" s="73"/>
      <c r="Q151" s="57">
        <f t="shared" si="31"/>
        <v>880785.17857142852</v>
      </c>
      <c r="S151" s="74">
        <f t="shared" si="32"/>
        <v>1.8850422542251273</v>
      </c>
      <c r="U151" s="172">
        <f t="shared" si="33"/>
        <v>28</v>
      </c>
      <c r="V151" s="181"/>
      <c r="W151" s="345">
        <f>'Adjust Depr Table 1'!U151</f>
        <v>23</v>
      </c>
      <c r="X151" s="208"/>
      <c r="Y151" s="209">
        <v>5</v>
      </c>
      <c r="Z151" s="208"/>
      <c r="AA151" s="203">
        <f t="shared" si="34"/>
        <v>28</v>
      </c>
    </row>
    <row r="152" spans="1:27" s="19" customFormat="1">
      <c r="A152" s="64"/>
      <c r="B152" s="65"/>
      <c r="C152" s="70" t="s">
        <v>94</v>
      </c>
      <c r="D152" s="65"/>
      <c r="E152" s="182">
        <v>2042</v>
      </c>
      <c r="F152" s="65"/>
      <c r="G152" s="183" t="s">
        <v>191</v>
      </c>
      <c r="H152" s="183" t="s">
        <v>181</v>
      </c>
      <c r="I152" s="184">
        <v>0</v>
      </c>
      <c r="J152" s="65"/>
      <c r="K152" s="71">
        <v>45508646.350000001</v>
      </c>
      <c r="L152" s="185"/>
      <c r="M152" s="73">
        <v>20986500.329999998</v>
      </c>
      <c r="N152" s="73"/>
      <c r="O152" s="198">
        <f t="shared" si="30"/>
        <v>24522146</v>
      </c>
      <c r="P152" s="73"/>
      <c r="Q152" s="57">
        <f t="shared" si="31"/>
        <v>875790.92857142852</v>
      </c>
      <c r="S152" s="74">
        <f t="shared" si="32"/>
        <v>1.9244495251206886</v>
      </c>
      <c r="U152" s="172">
        <f t="shared" si="33"/>
        <v>28</v>
      </c>
      <c r="V152" s="181"/>
      <c r="W152" s="345">
        <f>'Adjust Depr Table 1'!U152</f>
        <v>23</v>
      </c>
      <c r="X152" s="208"/>
      <c r="Y152" s="209">
        <v>5</v>
      </c>
      <c r="Z152" s="208"/>
      <c r="AA152" s="203">
        <f t="shared" si="34"/>
        <v>28</v>
      </c>
    </row>
    <row r="153" spans="1:27" s="19" customFormat="1">
      <c r="A153" s="64"/>
      <c r="B153" s="65"/>
      <c r="C153" s="70" t="s">
        <v>95</v>
      </c>
      <c r="D153" s="65"/>
      <c r="E153" s="182">
        <v>2042</v>
      </c>
      <c r="F153" s="65"/>
      <c r="G153" s="183" t="s">
        <v>191</v>
      </c>
      <c r="H153" s="183" t="s">
        <v>181</v>
      </c>
      <c r="I153" s="184">
        <v>0</v>
      </c>
      <c r="J153" s="65"/>
      <c r="K153" s="75">
        <v>41213903.719999999</v>
      </c>
      <c r="L153" s="185"/>
      <c r="M153" s="77">
        <v>19457814.420000002</v>
      </c>
      <c r="N153" s="73"/>
      <c r="O153" s="205">
        <f t="shared" si="30"/>
        <v>21756089</v>
      </c>
      <c r="P153" s="73"/>
      <c r="Q153" s="62">
        <f t="shared" si="31"/>
        <v>777003.17857142852</v>
      </c>
      <c r="S153" s="74">
        <f t="shared" si="32"/>
        <v>1.8852938169852853</v>
      </c>
      <c r="U153" s="172">
        <f t="shared" si="33"/>
        <v>28</v>
      </c>
      <c r="V153" s="181"/>
      <c r="W153" s="345">
        <f>'Adjust Depr Table 1'!U153</f>
        <v>23</v>
      </c>
      <c r="X153" s="208"/>
      <c r="Y153" s="209">
        <v>5</v>
      </c>
      <c r="Z153" s="208"/>
      <c r="AA153" s="203">
        <f t="shared" si="34"/>
        <v>28</v>
      </c>
    </row>
    <row r="154" spans="1:27" s="19" customFormat="1">
      <c r="A154" s="64"/>
      <c r="B154" s="65"/>
      <c r="C154" s="78"/>
      <c r="D154" s="65"/>
      <c r="E154" s="65"/>
      <c r="F154" s="65"/>
      <c r="G154" s="183"/>
      <c r="H154" s="183"/>
      <c r="I154" s="184"/>
      <c r="J154" s="65"/>
      <c r="K154" s="71"/>
      <c r="L154" s="185"/>
      <c r="M154" s="73"/>
      <c r="N154" s="73"/>
      <c r="O154" s="73"/>
      <c r="P154" s="73"/>
      <c r="Q154" s="73"/>
      <c r="S154" s="74"/>
      <c r="U154" s="186"/>
      <c r="V154" s="181"/>
      <c r="W154" s="345"/>
      <c r="X154" s="208"/>
      <c r="Y154" s="208"/>
      <c r="Z154" s="208"/>
      <c r="AA154" s="203"/>
    </row>
    <row r="155" spans="1:27" s="19" customFormat="1">
      <c r="A155" s="64"/>
      <c r="B155" s="65"/>
      <c r="C155" s="78" t="s">
        <v>100</v>
      </c>
      <c r="D155" s="65"/>
      <c r="E155" s="65"/>
      <c r="F155" s="65"/>
      <c r="G155" s="183"/>
      <c r="H155" s="183"/>
      <c r="I155" s="184"/>
      <c r="J155" s="65"/>
      <c r="K155" s="71">
        <f>SUBTOTAL(9,K135:K154)</f>
        <v>406605726.33000004</v>
      </c>
      <c r="L155" s="185"/>
      <c r="M155" s="73">
        <f>SUBTOTAL(9,M135:M154)</f>
        <v>164187060.19999999</v>
      </c>
      <c r="N155" s="73"/>
      <c r="O155" s="73">
        <f>SUBTOTAL(9,O135:O154)</f>
        <v>242418667</v>
      </c>
      <c r="P155" s="73"/>
      <c r="Q155" s="73">
        <f>SUBTOTAL(9,Q135:Q154)</f>
        <v>7931333.494526918</v>
      </c>
      <c r="S155" s="74">
        <f>+ROUND(Q155/K155*100,2)</f>
        <v>1.95</v>
      </c>
      <c r="U155" s="186"/>
      <c r="V155" s="181"/>
      <c r="W155" s="345"/>
      <c r="X155" s="208"/>
      <c r="Y155" s="208"/>
      <c r="Z155" s="208"/>
      <c r="AA155" s="203"/>
    </row>
    <row r="156" spans="1:27" s="19" customFormat="1">
      <c r="A156" s="64"/>
      <c r="B156" s="65"/>
      <c r="C156" s="78"/>
      <c r="D156" s="65"/>
      <c r="E156" s="65"/>
      <c r="F156" s="65"/>
      <c r="G156" s="183"/>
      <c r="H156" s="183"/>
      <c r="I156" s="184"/>
      <c r="J156" s="65"/>
      <c r="K156" s="71"/>
      <c r="L156" s="185"/>
      <c r="M156" s="73"/>
      <c r="N156" s="73"/>
      <c r="O156" s="73"/>
      <c r="P156" s="73"/>
      <c r="Q156" s="73"/>
      <c r="S156" s="74"/>
      <c r="U156" s="186"/>
      <c r="V156" s="181"/>
      <c r="W156" s="345"/>
      <c r="X156" s="208"/>
      <c r="Y156" s="208"/>
      <c r="Z156" s="208"/>
      <c r="AA156" s="203"/>
    </row>
    <row r="157" spans="1:27" s="19" customFormat="1">
      <c r="A157" s="64">
        <v>344</v>
      </c>
      <c r="B157" s="65"/>
      <c r="C157" s="65" t="s">
        <v>101</v>
      </c>
      <c r="D157" s="65"/>
      <c r="E157" s="65"/>
      <c r="F157" s="65"/>
      <c r="G157" s="65"/>
      <c r="H157" s="65"/>
      <c r="I157" s="179"/>
      <c r="J157" s="65"/>
      <c r="K157" s="65"/>
      <c r="L157" s="65"/>
      <c r="M157" s="67"/>
      <c r="N157" s="67"/>
      <c r="O157" s="67"/>
      <c r="P157" s="67"/>
      <c r="Q157" s="67"/>
      <c r="S157" s="68"/>
      <c r="U157" s="180"/>
      <c r="V157" s="181"/>
      <c r="W157" s="347"/>
      <c r="X157" s="208"/>
      <c r="Y157" s="208"/>
      <c r="Z157" s="208"/>
      <c r="AA157" s="203"/>
    </row>
    <row r="158" spans="1:27" s="19" customFormat="1">
      <c r="A158" s="64"/>
      <c r="B158" s="65"/>
      <c r="C158" s="70" t="s">
        <v>77</v>
      </c>
      <c r="D158" s="65"/>
      <c r="E158" s="182">
        <v>2050</v>
      </c>
      <c r="F158" s="65"/>
      <c r="G158" s="183" t="s">
        <v>192</v>
      </c>
      <c r="H158" s="183" t="s">
        <v>181</v>
      </c>
      <c r="I158" s="184">
        <v>0</v>
      </c>
      <c r="J158" s="65"/>
      <c r="K158" s="71">
        <v>385287.95</v>
      </c>
      <c r="L158" s="185"/>
      <c r="M158" s="73">
        <v>100840</v>
      </c>
      <c r="N158" s="73"/>
      <c r="O158" s="198">
        <f t="shared" ref="O158:O178" si="35">ROUND((K158+(K158*-(I158/100)))-M158,0)</f>
        <v>284448</v>
      </c>
      <c r="P158" s="73"/>
      <c r="Q158" s="57">
        <f t="shared" ref="Q158:Q178" si="36">O158/U158</f>
        <v>7901.333333333333</v>
      </c>
      <c r="S158" s="74">
        <f t="shared" ref="S158:S178" si="37">Q158/K158*100</f>
        <v>2.0507605631926284</v>
      </c>
      <c r="U158" s="172">
        <f t="shared" ref="U158:U178" si="38">AA158</f>
        <v>36</v>
      </c>
      <c r="V158" s="181"/>
      <c r="W158" s="345">
        <f>'Adjust Depr Table 1'!U158</f>
        <v>31</v>
      </c>
      <c r="X158" s="208"/>
      <c r="Y158" s="209">
        <v>5</v>
      </c>
      <c r="Z158" s="208"/>
      <c r="AA158" s="203">
        <f t="shared" ref="AA158:AA178" si="39">W158+Y158</f>
        <v>36</v>
      </c>
    </row>
    <row r="159" spans="1:27" s="19" customFormat="1">
      <c r="A159" s="64"/>
      <c r="B159" s="65"/>
      <c r="C159" s="70" t="s">
        <v>78</v>
      </c>
      <c r="D159" s="65"/>
      <c r="E159" s="182">
        <v>2034</v>
      </c>
      <c r="F159" s="65"/>
      <c r="G159" s="183" t="s">
        <v>192</v>
      </c>
      <c r="H159" s="183" t="s">
        <v>181</v>
      </c>
      <c r="I159" s="184">
        <v>0</v>
      </c>
      <c r="J159" s="65"/>
      <c r="K159" s="71">
        <v>5409806.3600000003</v>
      </c>
      <c r="L159" s="185"/>
      <c r="M159" s="73">
        <v>3149102</v>
      </c>
      <c r="N159" s="73"/>
      <c r="O159" s="198">
        <f t="shared" si="35"/>
        <v>2260704</v>
      </c>
      <c r="P159" s="73"/>
      <c r="Q159" s="57">
        <f t="shared" si="36"/>
        <v>90428.160000000003</v>
      </c>
      <c r="S159" s="74">
        <f t="shared" si="37"/>
        <v>1.6715600149503316</v>
      </c>
      <c r="U159" s="172">
        <f t="shared" si="38"/>
        <v>25</v>
      </c>
      <c r="V159" s="181"/>
      <c r="W159" s="345">
        <f>'Adjust Depr Table 1'!U159</f>
        <v>15</v>
      </c>
      <c r="X159" s="208"/>
      <c r="Y159" s="209">
        <v>10</v>
      </c>
      <c r="Z159" s="208"/>
      <c r="AA159" s="203">
        <f t="shared" si="39"/>
        <v>25</v>
      </c>
    </row>
    <row r="160" spans="1:27" s="19" customFormat="1">
      <c r="A160" s="64"/>
      <c r="B160" s="65"/>
      <c r="C160" s="70" t="s">
        <v>79</v>
      </c>
      <c r="D160" s="65"/>
      <c r="E160" s="182">
        <v>2034</v>
      </c>
      <c r="F160" s="65"/>
      <c r="G160" s="183" t="s">
        <v>192</v>
      </c>
      <c r="H160" s="183" t="s">
        <v>181</v>
      </c>
      <c r="I160" s="184">
        <v>0</v>
      </c>
      <c r="J160" s="65"/>
      <c r="K160" s="71">
        <v>5315973.93</v>
      </c>
      <c r="L160" s="185"/>
      <c r="M160" s="73">
        <v>3110623</v>
      </c>
      <c r="N160" s="73"/>
      <c r="O160" s="198">
        <f t="shared" si="35"/>
        <v>2205351</v>
      </c>
      <c r="P160" s="73"/>
      <c r="Q160" s="57">
        <f t="shared" si="36"/>
        <v>88214.04</v>
      </c>
      <c r="S160" s="74">
        <f t="shared" si="37"/>
        <v>1.6594144584151487</v>
      </c>
      <c r="U160" s="172">
        <f t="shared" si="38"/>
        <v>25</v>
      </c>
      <c r="V160" s="181"/>
      <c r="W160" s="345">
        <f>'Adjust Depr Table 1'!U160</f>
        <v>15</v>
      </c>
      <c r="X160" s="208"/>
      <c r="Y160" s="209">
        <v>10</v>
      </c>
      <c r="Z160" s="208"/>
      <c r="AA160" s="203">
        <f t="shared" si="39"/>
        <v>25</v>
      </c>
    </row>
    <row r="161" spans="1:27" s="19" customFormat="1">
      <c r="A161" s="64"/>
      <c r="B161" s="65"/>
      <c r="C161" s="70" t="s">
        <v>80</v>
      </c>
      <c r="D161" s="65"/>
      <c r="E161" s="182">
        <v>2034</v>
      </c>
      <c r="F161" s="65"/>
      <c r="G161" s="183" t="s">
        <v>192</v>
      </c>
      <c r="H161" s="183" t="s">
        <v>181</v>
      </c>
      <c r="I161" s="184">
        <v>0</v>
      </c>
      <c r="J161" s="65"/>
      <c r="K161" s="71">
        <v>5368828.4000000004</v>
      </c>
      <c r="L161" s="185"/>
      <c r="M161" s="73">
        <v>3095925</v>
      </c>
      <c r="N161" s="73"/>
      <c r="O161" s="198">
        <f t="shared" si="35"/>
        <v>2272903</v>
      </c>
      <c r="P161" s="73"/>
      <c r="Q161" s="57">
        <f t="shared" si="36"/>
        <v>90916.12</v>
      </c>
      <c r="S161" s="74">
        <f t="shared" si="37"/>
        <v>1.6934070755548825</v>
      </c>
      <c r="U161" s="172">
        <f t="shared" si="38"/>
        <v>25</v>
      </c>
      <c r="V161" s="181"/>
      <c r="W161" s="345">
        <f>'Adjust Depr Table 1'!U161</f>
        <v>15</v>
      </c>
      <c r="X161" s="208"/>
      <c r="Y161" s="209">
        <v>10</v>
      </c>
      <c r="Z161" s="208"/>
      <c r="AA161" s="203">
        <f t="shared" si="39"/>
        <v>25</v>
      </c>
    </row>
    <row r="162" spans="1:27" s="19" customFormat="1">
      <c r="A162" s="64"/>
      <c r="B162" s="65"/>
      <c r="C162" s="70" t="s">
        <v>81</v>
      </c>
      <c r="D162" s="65"/>
      <c r="E162" s="182">
        <v>2041</v>
      </c>
      <c r="F162" s="65"/>
      <c r="G162" s="183" t="s">
        <v>192</v>
      </c>
      <c r="H162" s="183" t="s">
        <v>181</v>
      </c>
      <c r="I162" s="184">
        <v>0</v>
      </c>
      <c r="J162" s="65"/>
      <c r="K162" s="71">
        <v>8212342.4100000001</v>
      </c>
      <c r="L162" s="185"/>
      <c r="M162" s="73">
        <v>3863206</v>
      </c>
      <c r="N162" s="73"/>
      <c r="O162" s="198">
        <f t="shared" si="35"/>
        <v>4349136</v>
      </c>
      <c r="P162" s="73"/>
      <c r="Q162" s="57">
        <f t="shared" si="36"/>
        <v>161079.11111111112</v>
      </c>
      <c r="S162" s="74">
        <f t="shared" si="37"/>
        <v>1.9614271187105934</v>
      </c>
      <c r="U162" s="172">
        <f t="shared" si="38"/>
        <v>27</v>
      </c>
      <c r="V162" s="181"/>
      <c r="W162" s="345">
        <f>'Adjust Depr Table 1'!U162</f>
        <v>22</v>
      </c>
      <c r="X162" s="208"/>
      <c r="Y162" s="209">
        <v>5</v>
      </c>
      <c r="Z162" s="208"/>
      <c r="AA162" s="203">
        <f t="shared" si="39"/>
        <v>27</v>
      </c>
    </row>
    <row r="163" spans="1:27" s="19" customFormat="1">
      <c r="A163" s="64"/>
      <c r="B163" s="65"/>
      <c r="C163" s="70" t="s">
        <v>82</v>
      </c>
      <c r="D163" s="65"/>
      <c r="E163" s="182">
        <v>2041</v>
      </c>
      <c r="F163" s="65"/>
      <c r="G163" s="183" t="s">
        <v>192</v>
      </c>
      <c r="H163" s="183" t="s">
        <v>181</v>
      </c>
      <c r="I163" s="184">
        <v>0</v>
      </c>
      <c r="J163" s="65"/>
      <c r="K163" s="71">
        <v>8155918.4000000004</v>
      </c>
      <c r="L163" s="185"/>
      <c r="M163" s="73">
        <v>3837752</v>
      </c>
      <c r="N163" s="73"/>
      <c r="O163" s="198">
        <f t="shared" si="35"/>
        <v>4318166</v>
      </c>
      <c r="P163" s="73"/>
      <c r="Q163" s="57">
        <f t="shared" si="36"/>
        <v>159932.07407407407</v>
      </c>
      <c r="S163" s="74">
        <f t="shared" si="37"/>
        <v>1.9609327390288023</v>
      </c>
      <c r="U163" s="172">
        <f t="shared" si="38"/>
        <v>27</v>
      </c>
      <c r="V163" s="181"/>
      <c r="W163" s="345">
        <f>'Adjust Depr Table 1'!U163</f>
        <v>22</v>
      </c>
      <c r="X163" s="208"/>
      <c r="Y163" s="209">
        <v>5</v>
      </c>
      <c r="Z163" s="208"/>
      <c r="AA163" s="203">
        <f t="shared" si="39"/>
        <v>27</v>
      </c>
    </row>
    <row r="164" spans="1:27" s="19" customFormat="1">
      <c r="A164" s="64"/>
      <c r="B164" s="65"/>
      <c r="C164" s="70" t="s">
        <v>83</v>
      </c>
      <c r="D164" s="65"/>
      <c r="E164" s="182">
        <v>2045</v>
      </c>
      <c r="F164" s="65"/>
      <c r="G164" s="183" t="s">
        <v>192</v>
      </c>
      <c r="H164" s="183" t="s">
        <v>181</v>
      </c>
      <c r="I164" s="184">
        <v>0</v>
      </c>
      <c r="J164" s="65"/>
      <c r="K164" s="71">
        <v>4831725.68</v>
      </c>
      <c r="L164" s="185"/>
      <c r="M164" s="73">
        <v>1839937</v>
      </c>
      <c r="N164" s="73"/>
      <c r="O164" s="198">
        <f t="shared" si="35"/>
        <v>2991789</v>
      </c>
      <c r="P164" s="73"/>
      <c r="Q164" s="57">
        <f t="shared" si="36"/>
        <v>96509.322580645166</v>
      </c>
      <c r="S164" s="74">
        <f t="shared" si="37"/>
        <v>1.9974089791588743</v>
      </c>
      <c r="U164" s="172">
        <f t="shared" si="38"/>
        <v>31</v>
      </c>
      <c r="V164" s="181"/>
      <c r="W164" s="345">
        <f>'Adjust Depr Table 1'!U164</f>
        <v>26</v>
      </c>
      <c r="X164" s="208"/>
      <c r="Y164" s="209">
        <v>5</v>
      </c>
      <c r="Z164" s="208"/>
      <c r="AA164" s="203">
        <f t="shared" si="39"/>
        <v>31</v>
      </c>
    </row>
    <row r="165" spans="1:27" s="19" customFormat="1">
      <c r="A165" s="64"/>
      <c r="B165" s="65"/>
      <c r="C165" s="70" t="s">
        <v>84</v>
      </c>
      <c r="D165" s="65"/>
      <c r="E165" s="182">
        <v>2045</v>
      </c>
      <c r="F165" s="65"/>
      <c r="G165" s="183" t="s">
        <v>192</v>
      </c>
      <c r="H165" s="183" t="s">
        <v>181</v>
      </c>
      <c r="I165" s="184">
        <v>0</v>
      </c>
      <c r="J165" s="65"/>
      <c r="K165" s="71">
        <v>4838938.32</v>
      </c>
      <c r="L165" s="185"/>
      <c r="M165" s="73">
        <v>1842648</v>
      </c>
      <c r="N165" s="73"/>
      <c r="O165" s="198">
        <f t="shared" si="35"/>
        <v>2996290</v>
      </c>
      <c r="P165" s="73"/>
      <c r="Q165" s="57">
        <f t="shared" si="36"/>
        <v>96654.516129032258</v>
      </c>
      <c r="S165" s="74">
        <f t="shared" si="37"/>
        <v>1.9974322823985129</v>
      </c>
      <c r="U165" s="172">
        <f t="shared" si="38"/>
        <v>31</v>
      </c>
      <c r="V165" s="181"/>
      <c r="W165" s="345">
        <f>'Adjust Depr Table 1'!U165</f>
        <v>26</v>
      </c>
      <c r="X165" s="208"/>
      <c r="Y165" s="209">
        <v>5</v>
      </c>
      <c r="Z165" s="208"/>
      <c r="AA165" s="203">
        <f t="shared" si="39"/>
        <v>31</v>
      </c>
    </row>
    <row r="166" spans="1:27" s="19" customFormat="1">
      <c r="A166" s="64"/>
      <c r="B166" s="65"/>
      <c r="C166" s="70" t="s">
        <v>85</v>
      </c>
      <c r="D166" s="65"/>
      <c r="E166" s="182">
        <v>2050</v>
      </c>
      <c r="F166" s="65"/>
      <c r="G166" s="183" t="s">
        <v>192</v>
      </c>
      <c r="H166" s="183" t="s">
        <v>181</v>
      </c>
      <c r="I166" s="184">
        <v>0</v>
      </c>
      <c r="J166" s="65"/>
      <c r="K166" s="71">
        <v>5428818.3700000001</v>
      </c>
      <c r="L166" s="185"/>
      <c r="M166" s="73">
        <v>879891</v>
      </c>
      <c r="N166" s="73"/>
      <c r="O166" s="198">
        <f t="shared" si="35"/>
        <v>4548927</v>
      </c>
      <c r="P166" s="73"/>
      <c r="Q166" s="57">
        <f t="shared" si="36"/>
        <v>126359.08333333333</v>
      </c>
      <c r="S166" s="74">
        <f t="shared" si="37"/>
        <v>2.3275614456287905</v>
      </c>
      <c r="U166" s="172">
        <f t="shared" si="38"/>
        <v>36</v>
      </c>
      <c r="V166" s="181"/>
      <c r="W166" s="345">
        <f>'Adjust Depr Table 1'!U166</f>
        <v>31</v>
      </c>
      <c r="X166" s="208"/>
      <c r="Y166" s="209">
        <v>5</v>
      </c>
      <c r="Z166" s="208"/>
      <c r="AA166" s="203">
        <f t="shared" si="39"/>
        <v>36</v>
      </c>
    </row>
    <row r="167" spans="1:27" s="19" customFormat="1">
      <c r="A167" s="64"/>
      <c r="B167" s="65"/>
      <c r="C167" s="70" t="s">
        <v>86</v>
      </c>
      <c r="D167" s="65"/>
      <c r="E167" s="182">
        <v>2050</v>
      </c>
      <c r="F167" s="65"/>
      <c r="G167" s="183" t="s">
        <v>192</v>
      </c>
      <c r="H167" s="183" t="s">
        <v>181</v>
      </c>
      <c r="I167" s="184">
        <v>0</v>
      </c>
      <c r="J167" s="65"/>
      <c r="K167" s="71">
        <v>4887853.5</v>
      </c>
      <c r="L167" s="185"/>
      <c r="M167" s="73">
        <v>1176798</v>
      </c>
      <c r="N167" s="73"/>
      <c r="O167" s="198">
        <f t="shared" si="35"/>
        <v>3711056</v>
      </c>
      <c r="P167" s="73"/>
      <c r="Q167" s="57">
        <f t="shared" si="36"/>
        <v>103084.88888888889</v>
      </c>
      <c r="S167" s="74">
        <f t="shared" si="37"/>
        <v>2.1090011983560655</v>
      </c>
      <c r="U167" s="172">
        <f t="shared" si="38"/>
        <v>36</v>
      </c>
      <c r="V167" s="181"/>
      <c r="W167" s="345">
        <f>'Adjust Depr Table 1'!U167</f>
        <v>31</v>
      </c>
      <c r="X167" s="208"/>
      <c r="Y167" s="209">
        <v>5</v>
      </c>
      <c r="Z167" s="208"/>
      <c r="AA167" s="203">
        <f t="shared" si="39"/>
        <v>36</v>
      </c>
    </row>
    <row r="168" spans="1:27" s="19" customFormat="1">
      <c r="A168" s="64"/>
      <c r="B168" s="65"/>
      <c r="C168" s="70" t="s">
        <v>87</v>
      </c>
      <c r="D168" s="65"/>
      <c r="E168" s="182">
        <v>2038</v>
      </c>
      <c r="F168" s="65"/>
      <c r="G168" s="183" t="s">
        <v>192</v>
      </c>
      <c r="H168" s="183" t="s">
        <v>181</v>
      </c>
      <c r="I168" s="184">
        <v>0</v>
      </c>
      <c r="J168" s="65"/>
      <c r="K168" s="71">
        <v>1098205.33</v>
      </c>
      <c r="L168" s="185"/>
      <c r="M168" s="73">
        <v>498493</v>
      </c>
      <c r="N168" s="73"/>
      <c r="O168" s="198">
        <f t="shared" si="35"/>
        <v>599712</v>
      </c>
      <c r="P168" s="73"/>
      <c r="Q168" s="57">
        <f t="shared" si="36"/>
        <v>31563.78947368421</v>
      </c>
      <c r="S168" s="74">
        <f t="shared" si="37"/>
        <v>2.8741245932292285</v>
      </c>
      <c r="U168" s="172">
        <f t="shared" si="38"/>
        <v>19</v>
      </c>
      <c r="V168" s="181"/>
      <c r="W168" s="345">
        <f>'Adjust Depr Table 1'!U168</f>
        <v>19</v>
      </c>
      <c r="X168" s="208"/>
      <c r="Y168" s="209"/>
      <c r="Z168" s="208"/>
      <c r="AA168" s="203">
        <f t="shared" si="39"/>
        <v>19</v>
      </c>
    </row>
    <row r="169" spans="1:27" s="19" customFormat="1">
      <c r="A169" s="64"/>
      <c r="B169" s="65"/>
      <c r="C169" s="70" t="s">
        <v>88</v>
      </c>
      <c r="D169" s="65"/>
      <c r="E169" s="182">
        <v>2038</v>
      </c>
      <c r="F169" s="65"/>
      <c r="G169" s="183" t="s">
        <v>192</v>
      </c>
      <c r="H169" s="183" t="s">
        <v>181</v>
      </c>
      <c r="I169" s="184">
        <v>0</v>
      </c>
      <c r="J169" s="65"/>
      <c r="K169" s="71">
        <v>1963510.74</v>
      </c>
      <c r="L169" s="185"/>
      <c r="M169" s="73">
        <v>867730</v>
      </c>
      <c r="N169" s="73"/>
      <c r="O169" s="198">
        <f t="shared" si="35"/>
        <v>1095781</v>
      </c>
      <c r="P169" s="73"/>
      <c r="Q169" s="57">
        <f t="shared" si="36"/>
        <v>57672.684210526313</v>
      </c>
      <c r="S169" s="74">
        <f t="shared" si="37"/>
        <v>2.9372227528801962</v>
      </c>
      <c r="U169" s="172">
        <f t="shared" si="38"/>
        <v>19</v>
      </c>
      <c r="V169" s="181"/>
      <c r="W169" s="345">
        <f>'Adjust Depr Table 1'!U169</f>
        <v>19</v>
      </c>
      <c r="X169" s="208"/>
      <c r="Y169" s="209"/>
      <c r="Z169" s="208"/>
      <c r="AA169" s="203">
        <f t="shared" si="39"/>
        <v>19</v>
      </c>
    </row>
    <row r="170" spans="1:27" s="19" customFormat="1">
      <c r="A170" s="64"/>
      <c r="B170" s="65"/>
      <c r="C170" s="70" t="s">
        <v>89</v>
      </c>
      <c r="D170" s="65"/>
      <c r="E170" s="182">
        <v>2038</v>
      </c>
      <c r="F170" s="65"/>
      <c r="G170" s="183" t="s">
        <v>192</v>
      </c>
      <c r="H170" s="183" t="s">
        <v>181</v>
      </c>
      <c r="I170" s="184">
        <v>0</v>
      </c>
      <c r="J170" s="65"/>
      <c r="K170" s="71">
        <v>4525028.84</v>
      </c>
      <c r="L170" s="185"/>
      <c r="M170" s="73">
        <v>1301455</v>
      </c>
      <c r="N170" s="73"/>
      <c r="O170" s="198">
        <f t="shared" si="35"/>
        <v>3223574</v>
      </c>
      <c r="P170" s="73"/>
      <c r="Q170" s="57">
        <f t="shared" si="36"/>
        <v>169661.78947368421</v>
      </c>
      <c r="S170" s="74">
        <f t="shared" si="37"/>
        <v>3.7494079147942894</v>
      </c>
      <c r="U170" s="172">
        <f t="shared" si="38"/>
        <v>19</v>
      </c>
      <c r="V170" s="181"/>
      <c r="W170" s="345">
        <f>'Adjust Depr Table 1'!U170</f>
        <v>19</v>
      </c>
      <c r="X170" s="208"/>
      <c r="Y170" s="209"/>
      <c r="Z170" s="208"/>
      <c r="AA170" s="203">
        <f t="shared" si="39"/>
        <v>19</v>
      </c>
    </row>
    <row r="171" spans="1:27" s="19" customFormat="1">
      <c r="A171" s="64"/>
      <c r="B171" s="65"/>
      <c r="C171" s="70" t="s">
        <v>90</v>
      </c>
      <c r="D171" s="65"/>
      <c r="E171" s="182">
        <v>2041</v>
      </c>
      <c r="F171" s="65"/>
      <c r="G171" s="183" t="s">
        <v>192</v>
      </c>
      <c r="H171" s="183" t="s">
        <v>181</v>
      </c>
      <c r="I171" s="184">
        <v>0</v>
      </c>
      <c r="J171" s="65"/>
      <c r="K171" s="71">
        <v>1285806.3799999999</v>
      </c>
      <c r="L171" s="185"/>
      <c r="M171" s="73">
        <v>479024</v>
      </c>
      <c r="N171" s="73"/>
      <c r="O171" s="198">
        <f t="shared" si="35"/>
        <v>806782</v>
      </c>
      <c r="P171" s="73"/>
      <c r="Q171" s="57">
        <f t="shared" si="36"/>
        <v>36671.909090909088</v>
      </c>
      <c r="S171" s="74">
        <f t="shared" si="37"/>
        <v>2.8520553064069483</v>
      </c>
      <c r="U171" s="172">
        <f t="shared" si="38"/>
        <v>22</v>
      </c>
      <c r="V171" s="181"/>
      <c r="W171" s="345">
        <f>'Adjust Depr Table 1'!U171</f>
        <v>22</v>
      </c>
      <c r="X171" s="208"/>
      <c r="Y171" s="209"/>
      <c r="Z171" s="208"/>
      <c r="AA171" s="203">
        <f t="shared" si="39"/>
        <v>22</v>
      </c>
    </row>
    <row r="172" spans="1:27" s="19" customFormat="1">
      <c r="A172" s="64"/>
      <c r="B172" s="65"/>
      <c r="C172" s="70" t="s">
        <v>91</v>
      </c>
      <c r="D172" s="65"/>
      <c r="E172" s="182">
        <v>2042</v>
      </c>
      <c r="F172" s="65"/>
      <c r="G172" s="183" t="s">
        <v>192</v>
      </c>
      <c r="H172" s="183" t="s">
        <v>181</v>
      </c>
      <c r="I172" s="184">
        <v>0</v>
      </c>
      <c r="J172" s="65"/>
      <c r="K172" s="71">
        <v>1680579.61</v>
      </c>
      <c r="L172" s="185"/>
      <c r="M172" s="73">
        <v>580668</v>
      </c>
      <c r="N172" s="73"/>
      <c r="O172" s="198">
        <f t="shared" si="35"/>
        <v>1099912</v>
      </c>
      <c r="P172" s="73"/>
      <c r="Q172" s="57">
        <f t="shared" si="36"/>
        <v>47822.260869565216</v>
      </c>
      <c r="S172" s="74">
        <f t="shared" si="37"/>
        <v>2.8455814044754009</v>
      </c>
      <c r="U172" s="172">
        <f t="shared" si="38"/>
        <v>23</v>
      </c>
      <c r="V172" s="181"/>
      <c r="W172" s="345">
        <f>'Adjust Depr Table 1'!U172</f>
        <v>23</v>
      </c>
      <c r="X172" s="208"/>
      <c r="Y172" s="209"/>
      <c r="Z172" s="208"/>
      <c r="AA172" s="203">
        <f t="shared" si="39"/>
        <v>23</v>
      </c>
    </row>
    <row r="173" spans="1:27" s="19" customFormat="1">
      <c r="A173" s="64"/>
      <c r="B173" s="65"/>
      <c r="C173" s="70" t="s">
        <v>102</v>
      </c>
      <c r="D173" s="65"/>
      <c r="E173" s="182">
        <v>2046</v>
      </c>
      <c r="F173" s="65"/>
      <c r="G173" s="183" t="s">
        <v>192</v>
      </c>
      <c r="H173" s="183" t="s">
        <v>181</v>
      </c>
      <c r="I173" s="184">
        <v>0</v>
      </c>
      <c r="J173" s="65"/>
      <c r="K173" s="71">
        <v>2993753.87</v>
      </c>
      <c r="L173" s="185"/>
      <c r="M173" s="73">
        <v>457130</v>
      </c>
      <c r="N173" s="73"/>
      <c r="O173" s="198">
        <f t="shared" si="35"/>
        <v>2536624</v>
      </c>
      <c r="P173" s="73"/>
      <c r="Q173" s="57">
        <f t="shared" si="36"/>
        <v>93949.037037037036</v>
      </c>
      <c r="S173" s="74">
        <f t="shared" si="37"/>
        <v>3.1381683704357779</v>
      </c>
      <c r="U173" s="172">
        <f t="shared" si="38"/>
        <v>27</v>
      </c>
      <c r="V173" s="181"/>
      <c r="W173" s="345">
        <f>'Adjust Depr Table 1'!U173</f>
        <v>27</v>
      </c>
      <c r="X173" s="208"/>
      <c r="Y173" s="209"/>
      <c r="Z173" s="208"/>
      <c r="AA173" s="203">
        <f t="shared" si="39"/>
        <v>27</v>
      </c>
    </row>
    <row r="174" spans="1:27" s="19" customFormat="1">
      <c r="A174" s="64"/>
      <c r="B174" s="65"/>
      <c r="C174" s="70" t="s">
        <v>92</v>
      </c>
      <c r="D174" s="65"/>
      <c r="E174" s="182">
        <v>2042</v>
      </c>
      <c r="F174" s="65"/>
      <c r="G174" s="183" t="s">
        <v>192</v>
      </c>
      <c r="H174" s="183" t="s">
        <v>181</v>
      </c>
      <c r="I174" s="184">
        <v>0</v>
      </c>
      <c r="J174" s="65"/>
      <c r="K174" s="71">
        <v>17086.14</v>
      </c>
      <c r="L174" s="185"/>
      <c r="M174" s="73">
        <v>6300</v>
      </c>
      <c r="N174" s="73"/>
      <c r="O174" s="198">
        <f t="shared" si="35"/>
        <v>10786</v>
      </c>
      <c r="P174" s="73"/>
      <c r="Q174" s="57">
        <f t="shared" si="36"/>
        <v>385.21428571428572</v>
      </c>
      <c r="S174" s="74">
        <f t="shared" si="37"/>
        <v>2.2545424871520758</v>
      </c>
      <c r="U174" s="172">
        <f t="shared" si="38"/>
        <v>28</v>
      </c>
      <c r="V174" s="181"/>
      <c r="W174" s="345">
        <f>'Adjust Depr Table 1'!U174</f>
        <v>23</v>
      </c>
      <c r="X174" s="208"/>
      <c r="Y174" s="209">
        <v>5</v>
      </c>
      <c r="Z174" s="208"/>
      <c r="AA174" s="203">
        <f t="shared" si="39"/>
        <v>28</v>
      </c>
    </row>
    <row r="175" spans="1:27" s="19" customFormat="1">
      <c r="A175" s="64"/>
      <c r="B175" s="65"/>
      <c r="C175" s="70" t="s">
        <v>93</v>
      </c>
      <c r="D175" s="65"/>
      <c r="E175" s="182">
        <v>2042</v>
      </c>
      <c r="F175" s="65"/>
      <c r="G175" s="183" t="s">
        <v>192</v>
      </c>
      <c r="H175" s="183" t="s">
        <v>181</v>
      </c>
      <c r="I175" s="184">
        <v>0</v>
      </c>
      <c r="J175" s="65"/>
      <c r="K175" s="71">
        <v>7457690.5700000003</v>
      </c>
      <c r="L175" s="185"/>
      <c r="M175" s="73">
        <v>3646045</v>
      </c>
      <c r="N175" s="73"/>
      <c r="O175" s="198">
        <f t="shared" si="35"/>
        <v>3811646</v>
      </c>
      <c r="P175" s="73"/>
      <c r="Q175" s="57">
        <f t="shared" si="36"/>
        <v>136130.21428571429</v>
      </c>
      <c r="S175" s="74">
        <f t="shared" si="37"/>
        <v>1.8253668881533427</v>
      </c>
      <c r="U175" s="172">
        <f t="shared" si="38"/>
        <v>28</v>
      </c>
      <c r="V175" s="181"/>
      <c r="W175" s="345">
        <f>'Adjust Depr Table 1'!U175</f>
        <v>23</v>
      </c>
      <c r="X175" s="208"/>
      <c r="Y175" s="209">
        <v>5</v>
      </c>
      <c r="Z175" s="208"/>
      <c r="AA175" s="203">
        <f t="shared" si="39"/>
        <v>28</v>
      </c>
    </row>
    <row r="176" spans="1:27" s="19" customFormat="1">
      <c r="A176" s="64"/>
      <c r="B176" s="65"/>
      <c r="C176" s="70" t="s">
        <v>94</v>
      </c>
      <c r="D176" s="65"/>
      <c r="E176" s="182">
        <v>2042</v>
      </c>
      <c r="F176" s="65"/>
      <c r="G176" s="183" t="s">
        <v>192</v>
      </c>
      <c r="H176" s="183" t="s">
        <v>181</v>
      </c>
      <c r="I176" s="184">
        <v>0</v>
      </c>
      <c r="J176" s="65"/>
      <c r="K176" s="71">
        <v>7457690.5700000003</v>
      </c>
      <c r="L176" s="185"/>
      <c r="M176" s="73">
        <v>3607830</v>
      </c>
      <c r="N176" s="73"/>
      <c r="O176" s="198">
        <f t="shared" si="35"/>
        <v>3849861</v>
      </c>
      <c r="P176" s="73"/>
      <c r="Q176" s="57">
        <f t="shared" si="36"/>
        <v>137495.03571428571</v>
      </c>
      <c r="S176" s="74">
        <f t="shared" si="37"/>
        <v>1.8436677470554492</v>
      </c>
      <c r="U176" s="172">
        <f t="shared" si="38"/>
        <v>28</v>
      </c>
      <c r="V176" s="181"/>
      <c r="W176" s="345">
        <f>'Adjust Depr Table 1'!U176</f>
        <v>23</v>
      </c>
      <c r="X176" s="208"/>
      <c r="Y176" s="209">
        <v>5</v>
      </c>
      <c r="Z176" s="208"/>
      <c r="AA176" s="203">
        <f t="shared" si="39"/>
        <v>28</v>
      </c>
    </row>
    <row r="177" spans="1:27" s="19" customFormat="1">
      <c r="A177" s="64"/>
      <c r="B177" s="65"/>
      <c r="C177" s="70" t="s">
        <v>95</v>
      </c>
      <c r="D177" s="65"/>
      <c r="E177" s="182">
        <v>2042</v>
      </c>
      <c r="F177" s="65"/>
      <c r="G177" s="183" t="s">
        <v>192</v>
      </c>
      <c r="H177" s="183" t="s">
        <v>181</v>
      </c>
      <c r="I177" s="184">
        <v>0</v>
      </c>
      <c r="J177" s="65"/>
      <c r="K177" s="71">
        <v>7457690.5700000003</v>
      </c>
      <c r="L177" s="185"/>
      <c r="M177" s="73">
        <v>3645751</v>
      </c>
      <c r="N177" s="73"/>
      <c r="O177" s="198">
        <f t="shared" si="35"/>
        <v>3811940</v>
      </c>
      <c r="P177" s="73"/>
      <c r="Q177" s="57">
        <f t="shared" si="36"/>
        <v>136140.71428571429</v>
      </c>
      <c r="S177" s="74">
        <f t="shared" si="37"/>
        <v>1.8255076824099756</v>
      </c>
      <c r="U177" s="172">
        <f t="shared" si="38"/>
        <v>28</v>
      </c>
      <c r="V177" s="181"/>
      <c r="W177" s="345">
        <f>'Adjust Depr Table 1'!U177</f>
        <v>23</v>
      </c>
      <c r="X177" s="208"/>
      <c r="Y177" s="209">
        <v>5</v>
      </c>
      <c r="Z177" s="208"/>
      <c r="AA177" s="203">
        <f t="shared" si="39"/>
        <v>28</v>
      </c>
    </row>
    <row r="178" spans="1:27" s="19" customFormat="1">
      <c r="A178" s="64"/>
      <c r="B178" s="65"/>
      <c r="C178" s="70" t="s">
        <v>96</v>
      </c>
      <c r="D178" s="65"/>
      <c r="E178" s="182">
        <v>2042</v>
      </c>
      <c r="F178" s="65"/>
      <c r="G178" s="183" t="s">
        <v>192</v>
      </c>
      <c r="H178" s="183" t="s">
        <v>181</v>
      </c>
      <c r="I178" s="184">
        <v>0</v>
      </c>
      <c r="J178" s="65"/>
      <c r="K178" s="75">
        <v>15810305.550000001</v>
      </c>
      <c r="L178" s="185"/>
      <c r="M178" s="77">
        <v>1428297</v>
      </c>
      <c r="N178" s="73"/>
      <c r="O178" s="205">
        <f t="shared" si="35"/>
        <v>14382009</v>
      </c>
      <c r="P178" s="73"/>
      <c r="Q178" s="62">
        <f t="shared" si="36"/>
        <v>625304.73913043481</v>
      </c>
      <c r="S178" s="74">
        <f t="shared" si="37"/>
        <v>3.9550452529390538</v>
      </c>
      <c r="U178" s="172">
        <f t="shared" si="38"/>
        <v>23</v>
      </c>
      <c r="V178" s="181"/>
      <c r="W178" s="345">
        <f>'Adjust Depr Table 1'!U178</f>
        <v>23</v>
      </c>
      <c r="X178" s="208"/>
      <c r="Y178" s="209"/>
      <c r="Z178" s="208"/>
      <c r="AA178" s="203">
        <f t="shared" si="39"/>
        <v>23</v>
      </c>
    </row>
    <row r="179" spans="1:27" s="19" customFormat="1">
      <c r="A179" s="64"/>
      <c r="B179" s="65"/>
      <c r="C179" s="78"/>
      <c r="D179" s="65"/>
      <c r="E179" s="65"/>
      <c r="F179" s="65"/>
      <c r="G179" s="183"/>
      <c r="H179" s="183"/>
      <c r="I179" s="184"/>
      <c r="J179" s="65"/>
      <c r="K179" s="71"/>
      <c r="L179" s="185"/>
      <c r="M179" s="73"/>
      <c r="N179" s="73"/>
      <c r="O179" s="73"/>
      <c r="P179" s="73"/>
      <c r="Q179" s="73"/>
      <c r="S179" s="74"/>
      <c r="U179" s="186"/>
      <c r="V179" s="181"/>
      <c r="W179" s="345"/>
      <c r="X179" s="208"/>
      <c r="Y179" s="208"/>
      <c r="Z179" s="208"/>
      <c r="AA179" s="203"/>
    </row>
    <row r="180" spans="1:27" s="19" customFormat="1">
      <c r="A180" s="64"/>
      <c r="B180" s="65"/>
      <c r="C180" s="78" t="s">
        <v>103</v>
      </c>
      <c r="D180" s="65"/>
      <c r="E180" s="65"/>
      <c r="F180" s="65"/>
      <c r="G180" s="183"/>
      <c r="H180" s="183"/>
      <c r="I180" s="184"/>
      <c r="J180" s="65"/>
      <c r="K180" s="71">
        <f>SUBTOTAL(9,K158:K179)</f>
        <v>104582841.48999999</v>
      </c>
      <c r="L180" s="185"/>
      <c r="M180" s="73">
        <f>SUBTOTAL(9,M158:M179)</f>
        <v>39415445</v>
      </c>
      <c r="N180" s="73"/>
      <c r="O180" s="73">
        <f>SUBTOTAL(9,O158:O179)</f>
        <v>65167397</v>
      </c>
      <c r="P180" s="73"/>
      <c r="Q180" s="73">
        <f>SUBTOTAL(9,Q158:Q179)</f>
        <v>2493876.037307688</v>
      </c>
      <c r="S180" s="74">
        <f>+ROUND(Q180/K180*100,2)</f>
        <v>2.38</v>
      </c>
      <c r="U180" s="186"/>
      <c r="V180" s="181"/>
      <c r="W180" s="345"/>
      <c r="X180" s="208"/>
      <c r="Y180" s="208"/>
      <c r="Z180" s="208"/>
      <c r="AA180" s="203"/>
    </row>
    <row r="181" spans="1:27" s="19" customFormat="1">
      <c r="A181" s="64"/>
      <c r="B181" s="65"/>
      <c r="C181" s="78"/>
      <c r="D181" s="65"/>
      <c r="E181" s="65"/>
      <c r="F181" s="65"/>
      <c r="G181" s="183"/>
      <c r="H181" s="183"/>
      <c r="I181" s="184"/>
      <c r="J181" s="65"/>
      <c r="K181" s="71"/>
      <c r="L181" s="185"/>
      <c r="M181" s="73"/>
      <c r="N181" s="73"/>
      <c r="O181" s="73"/>
      <c r="P181" s="73"/>
      <c r="Q181" s="73"/>
      <c r="S181" s="74"/>
      <c r="U181" s="186"/>
      <c r="V181" s="181"/>
      <c r="W181" s="345"/>
      <c r="X181" s="208"/>
      <c r="Y181" s="208"/>
      <c r="Z181" s="208"/>
      <c r="AA181" s="203"/>
    </row>
    <row r="182" spans="1:27" s="19" customFormat="1">
      <c r="A182" s="64">
        <v>345</v>
      </c>
      <c r="B182" s="65"/>
      <c r="C182" s="65" t="s">
        <v>71</v>
      </c>
      <c r="D182" s="65"/>
      <c r="E182" s="65"/>
      <c r="F182" s="65"/>
      <c r="G182" s="65"/>
      <c r="H182" s="65"/>
      <c r="I182" s="179"/>
      <c r="J182" s="65"/>
      <c r="K182" s="65"/>
      <c r="L182" s="65"/>
      <c r="M182" s="67"/>
      <c r="N182" s="67"/>
      <c r="O182" s="67"/>
      <c r="P182" s="67"/>
      <c r="Q182" s="67"/>
      <c r="S182" s="68"/>
      <c r="U182" s="180"/>
      <c r="V182" s="181"/>
      <c r="W182" s="347"/>
      <c r="X182" s="208"/>
      <c r="Y182" s="208"/>
      <c r="Z182" s="208"/>
      <c r="AA182" s="203"/>
    </row>
    <row r="183" spans="1:27" s="19" customFormat="1">
      <c r="A183" s="64"/>
      <c r="B183" s="65"/>
      <c r="C183" s="70" t="s">
        <v>77</v>
      </c>
      <c r="D183" s="65"/>
      <c r="E183" s="182">
        <v>2050</v>
      </c>
      <c r="F183" s="65"/>
      <c r="G183" s="183" t="s">
        <v>192</v>
      </c>
      <c r="H183" s="183" t="s">
        <v>181</v>
      </c>
      <c r="I183" s="184">
        <v>0</v>
      </c>
      <c r="J183" s="65"/>
      <c r="K183" s="71">
        <v>9876096.8200000003</v>
      </c>
      <c r="L183" s="185"/>
      <c r="M183" s="73">
        <v>4171972</v>
      </c>
      <c r="N183" s="73"/>
      <c r="O183" s="198">
        <f t="shared" ref="O183:O202" si="40">ROUND((K183+(K183*-(I183/100)))-M183,0)</f>
        <v>5704125</v>
      </c>
      <c r="P183" s="73"/>
      <c r="Q183" s="57">
        <f t="shared" ref="Q183:Q202" si="41">O183/U183</f>
        <v>158447.91666666666</v>
      </c>
      <c r="S183" s="74">
        <f t="shared" ref="S183:S202" si="42">Q183/K183*100</f>
        <v>1.6043576683634277</v>
      </c>
      <c r="U183" s="172">
        <f t="shared" ref="U183:U202" si="43">AA183</f>
        <v>36</v>
      </c>
      <c r="V183" s="181"/>
      <c r="W183" s="345">
        <f>'Adjust Depr Table 1'!U183</f>
        <v>31</v>
      </c>
      <c r="X183" s="208"/>
      <c r="Y183" s="209">
        <v>5</v>
      </c>
      <c r="Z183" s="208"/>
      <c r="AA183" s="203">
        <f t="shared" ref="AA183:AA202" si="44">W183+Y183</f>
        <v>36</v>
      </c>
    </row>
    <row r="184" spans="1:27" s="19" customFormat="1">
      <c r="A184" s="64"/>
      <c r="B184" s="65"/>
      <c r="C184" s="70" t="s">
        <v>78</v>
      </c>
      <c r="D184" s="65"/>
      <c r="E184" s="182">
        <v>2034</v>
      </c>
      <c r="F184" s="65"/>
      <c r="G184" s="183" t="s">
        <v>192</v>
      </c>
      <c r="H184" s="183" t="s">
        <v>181</v>
      </c>
      <c r="I184" s="184">
        <v>0</v>
      </c>
      <c r="J184" s="65"/>
      <c r="K184" s="71">
        <v>1039394.43</v>
      </c>
      <c r="L184" s="185"/>
      <c r="M184" s="73">
        <v>608799</v>
      </c>
      <c r="N184" s="73"/>
      <c r="O184" s="198">
        <f t="shared" si="40"/>
        <v>430595</v>
      </c>
      <c r="P184" s="73"/>
      <c r="Q184" s="57">
        <f t="shared" si="41"/>
        <v>17223.8</v>
      </c>
      <c r="S184" s="74">
        <f t="shared" si="42"/>
        <v>1.6570995093748961</v>
      </c>
      <c r="U184" s="172">
        <f t="shared" si="43"/>
        <v>25</v>
      </c>
      <c r="V184" s="181"/>
      <c r="W184" s="345">
        <f>'Adjust Depr Table 1'!U184</f>
        <v>15</v>
      </c>
      <c r="X184" s="208"/>
      <c r="Y184" s="209">
        <v>10</v>
      </c>
      <c r="Z184" s="208"/>
      <c r="AA184" s="203">
        <f t="shared" si="44"/>
        <v>25</v>
      </c>
    </row>
    <row r="185" spans="1:27" s="19" customFormat="1">
      <c r="A185" s="64"/>
      <c r="B185" s="65"/>
      <c r="C185" s="70" t="s">
        <v>79</v>
      </c>
      <c r="D185" s="65"/>
      <c r="E185" s="182">
        <v>2034</v>
      </c>
      <c r="F185" s="65"/>
      <c r="G185" s="183" t="s">
        <v>192</v>
      </c>
      <c r="H185" s="183" t="s">
        <v>181</v>
      </c>
      <c r="I185" s="184">
        <v>0</v>
      </c>
      <c r="J185" s="65"/>
      <c r="K185" s="71">
        <v>1039395.53</v>
      </c>
      <c r="L185" s="185"/>
      <c r="M185" s="73">
        <v>616956</v>
      </c>
      <c r="N185" s="73"/>
      <c r="O185" s="198">
        <f t="shared" si="40"/>
        <v>422440</v>
      </c>
      <c r="P185" s="73"/>
      <c r="Q185" s="57">
        <f t="shared" si="41"/>
        <v>16897.599999999999</v>
      </c>
      <c r="S185" s="74">
        <f t="shared" si="42"/>
        <v>1.6257141302118163</v>
      </c>
      <c r="U185" s="172">
        <f t="shared" si="43"/>
        <v>25</v>
      </c>
      <c r="V185" s="181"/>
      <c r="W185" s="345">
        <f>'Adjust Depr Table 1'!U185</f>
        <v>15</v>
      </c>
      <c r="X185" s="208"/>
      <c r="Y185" s="209">
        <v>10</v>
      </c>
      <c r="Z185" s="208"/>
      <c r="AA185" s="203">
        <f t="shared" si="44"/>
        <v>25</v>
      </c>
    </row>
    <row r="186" spans="1:27" s="19" customFormat="1">
      <c r="A186" s="64"/>
      <c r="B186" s="65"/>
      <c r="C186" s="70" t="s">
        <v>80</v>
      </c>
      <c r="D186" s="65"/>
      <c r="E186" s="182">
        <v>2034</v>
      </c>
      <c r="F186" s="65"/>
      <c r="G186" s="183" t="s">
        <v>192</v>
      </c>
      <c r="H186" s="183" t="s">
        <v>181</v>
      </c>
      <c r="I186" s="184">
        <v>0</v>
      </c>
      <c r="J186" s="65"/>
      <c r="K186" s="71">
        <v>1039395.53</v>
      </c>
      <c r="L186" s="185"/>
      <c r="M186" s="73">
        <v>613009</v>
      </c>
      <c r="N186" s="73"/>
      <c r="O186" s="198">
        <f t="shared" si="40"/>
        <v>426387</v>
      </c>
      <c r="P186" s="73"/>
      <c r="Q186" s="57">
        <f t="shared" si="41"/>
        <v>17055.48</v>
      </c>
      <c r="S186" s="74">
        <f t="shared" si="42"/>
        <v>1.640903727958114</v>
      </c>
      <c r="U186" s="172">
        <f t="shared" si="43"/>
        <v>25</v>
      </c>
      <c r="V186" s="181"/>
      <c r="W186" s="345">
        <f>'Adjust Depr Table 1'!U186</f>
        <v>15</v>
      </c>
      <c r="X186" s="208"/>
      <c r="Y186" s="209">
        <v>10</v>
      </c>
      <c r="Z186" s="208"/>
      <c r="AA186" s="203">
        <f t="shared" si="44"/>
        <v>25</v>
      </c>
    </row>
    <row r="187" spans="1:27" s="19" customFormat="1">
      <c r="A187" s="64"/>
      <c r="B187" s="65"/>
      <c r="C187" s="70" t="s">
        <v>81</v>
      </c>
      <c r="D187" s="65"/>
      <c r="E187" s="182">
        <v>2041</v>
      </c>
      <c r="F187" s="65"/>
      <c r="G187" s="183" t="s">
        <v>192</v>
      </c>
      <c r="H187" s="183" t="s">
        <v>181</v>
      </c>
      <c r="I187" s="184">
        <v>0</v>
      </c>
      <c r="J187" s="65"/>
      <c r="K187" s="71">
        <v>993996.86</v>
      </c>
      <c r="L187" s="185"/>
      <c r="M187" s="73">
        <v>470616</v>
      </c>
      <c r="N187" s="73"/>
      <c r="O187" s="198">
        <f t="shared" si="40"/>
        <v>523381</v>
      </c>
      <c r="P187" s="73"/>
      <c r="Q187" s="57">
        <f t="shared" si="41"/>
        <v>19384.481481481482</v>
      </c>
      <c r="S187" s="74">
        <f t="shared" si="42"/>
        <v>1.9501552028526006</v>
      </c>
      <c r="U187" s="172">
        <f t="shared" si="43"/>
        <v>27</v>
      </c>
      <c r="V187" s="181"/>
      <c r="W187" s="345">
        <f>'Adjust Depr Table 1'!U187</f>
        <v>22</v>
      </c>
      <c r="X187" s="208"/>
      <c r="Y187" s="209">
        <v>5</v>
      </c>
      <c r="Z187" s="208"/>
      <c r="AA187" s="203">
        <f t="shared" si="44"/>
        <v>27</v>
      </c>
    </row>
    <row r="188" spans="1:27" s="19" customFormat="1">
      <c r="A188" s="64"/>
      <c r="B188" s="65"/>
      <c r="C188" s="70" t="s">
        <v>82</v>
      </c>
      <c r="D188" s="65"/>
      <c r="E188" s="182">
        <v>2041</v>
      </c>
      <c r="F188" s="65"/>
      <c r="G188" s="183" t="s">
        <v>192</v>
      </c>
      <c r="H188" s="183" t="s">
        <v>181</v>
      </c>
      <c r="I188" s="184">
        <v>0</v>
      </c>
      <c r="J188" s="65"/>
      <c r="K188" s="71">
        <v>993996.86</v>
      </c>
      <c r="L188" s="185"/>
      <c r="M188" s="73">
        <v>468711</v>
      </c>
      <c r="N188" s="73"/>
      <c r="O188" s="198">
        <f t="shared" si="40"/>
        <v>525286</v>
      </c>
      <c r="P188" s="73"/>
      <c r="Q188" s="57">
        <f t="shared" si="41"/>
        <v>19455.037037037036</v>
      </c>
      <c r="S188" s="74">
        <f t="shared" si="42"/>
        <v>1.9572533696974692</v>
      </c>
      <c r="U188" s="172">
        <f t="shared" si="43"/>
        <v>27</v>
      </c>
      <c r="V188" s="181"/>
      <c r="W188" s="345">
        <f>'Adjust Depr Table 1'!U188</f>
        <v>22</v>
      </c>
      <c r="X188" s="208"/>
      <c r="Y188" s="209">
        <v>5</v>
      </c>
      <c r="Z188" s="208"/>
      <c r="AA188" s="203">
        <f t="shared" si="44"/>
        <v>27</v>
      </c>
    </row>
    <row r="189" spans="1:27" s="19" customFormat="1">
      <c r="A189" s="64"/>
      <c r="B189" s="65"/>
      <c r="C189" s="70" t="s">
        <v>83</v>
      </c>
      <c r="D189" s="65"/>
      <c r="E189" s="182">
        <v>2045</v>
      </c>
      <c r="F189" s="65"/>
      <c r="G189" s="183" t="s">
        <v>192</v>
      </c>
      <c r="H189" s="183" t="s">
        <v>181</v>
      </c>
      <c r="I189" s="184">
        <v>0</v>
      </c>
      <c r="J189" s="65"/>
      <c r="K189" s="71">
        <v>1251472.92</v>
      </c>
      <c r="L189" s="185"/>
      <c r="M189" s="73">
        <v>457774</v>
      </c>
      <c r="N189" s="73"/>
      <c r="O189" s="198">
        <f t="shared" si="40"/>
        <v>793699</v>
      </c>
      <c r="P189" s="73"/>
      <c r="Q189" s="57">
        <f t="shared" si="41"/>
        <v>25603.193548387098</v>
      </c>
      <c r="S189" s="74">
        <f t="shared" si="42"/>
        <v>2.0458447913029634</v>
      </c>
      <c r="U189" s="172">
        <f t="shared" si="43"/>
        <v>31</v>
      </c>
      <c r="V189" s="181"/>
      <c r="W189" s="345">
        <f>'Adjust Depr Table 1'!U189</f>
        <v>26</v>
      </c>
      <c r="X189" s="208"/>
      <c r="Y189" s="209">
        <v>5</v>
      </c>
      <c r="Z189" s="208"/>
      <c r="AA189" s="203">
        <f t="shared" si="44"/>
        <v>31</v>
      </c>
    </row>
    <row r="190" spans="1:27" s="19" customFormat="1">
      <c r="A190" s="64"/>
      <c r="B190" s="65"/>
      <c r="C190" s="70" t="s">
        <v>84</v>
      </c>
      <c r="D190" s="65"/>
      <c r="E190" s="182">
        <v>2045</v>
      </c>
      <c r="F190" s="65"/>
      <c r="G190" s="183" t="s">
        <v>192</v>
      </c>
      <c r="H190" s="183" t="s">
        <v>181</v>
      </c>
      <c r="I190" s="184">
        <v>0</v>
      </c>
      <c r="J190" s="65"/>
      <c r="K190" s="71">
        <v>1220275.5900000001</v>
      </c>
      <c r="L190" s="185"/>
      <c r="M190" s="73">
        <v>446353</v>
      </c>
      <c r="N190" s="73"/>
      <c r="O190" s="198">
        <f t="shared" si="40"/>
        <v>773923</v>
      </c>
      <c r="P190" s="73"/>
      <c r="Q190" s="57">
        <f t="shared" si="41"/>
        <v>24965.258064516129</v>
      </c>
      <c r="S190" s="74">
        <f t="shared" si="42"/>
        <v>2.045870479513249</v>
      </c>
      <c r="U190" s="172">
        <f t="shared" si="43"/>
        <v>31</v>
      </c>
      <c r="V190" s="181"/>
      <c r="W190" s="345">
        <f>'Adjust Depr Table 1'!U190</f>
        <v>26</v>
      </c>
      <c r="X190" s="208"/>
      <c r="Y190" s="209">
        <v>5</v>
      </c>
      <c r="Z190" s="208"/>
      <c r="AA190" s="203">
        <f t="shared" si="44"/>
        <v>31</v>
      </c>
    </row>
    <row r="191" spans="1:27" s="19" customFormat="1">
      <c r="A191" s="64"/>
      <c r="B191" s="65"/>
      <c r="C191" s="70" t="s">
        <v>85</v>
      </c>
      <c r="D191" s="65"/>
      <c r="E191" s="182">
        <v>2050</v>
      </c>
      <c r="F191" s="65"/>
      <c r="G191" s="183" t="s">
        <v>192</v>
      </c>
      <c r="H191" s="183" t="s">
        <v>181</v>
      </c>
      <c r="I191" s="184">
        <v>0</v>
      </c>
      <c r="J191" s="65"/>
      <c r="K191" s="71">
        <v>12040203.140000001</v>
      </c>
      <c r="L191" s="185"/>
      <c r="M191" s="73">
        <v>2290836</v>
      </c>
      <c r="N191" s="73"/>
      <c r="O191" s="198">
        <f t="shared" si="40"/>
        <v>9749367</v>
      </c>
      <c r="P191" s="73"/>
      <c r="Q191" s="57">
        <f t="shared" si="41"/>
        <v>270815.75</v>
      </c>
      <c r="S191" s="74">
        <f t="shared" si="42"/>
        <v>2.2492622994066855</v>
      </c>
      <c r="U191" s="172">
        <f t="shared" si="43"/>
        <v>36</v>
      </c>
      <c r="V191" s="181"/>
      <c r="W191" s="345">
        <f>'Adjust Depr Table 1'!U191</f>
        <v>31</v>
      </c>
      <c r="X191" s="208"/>
      <c r="Y191" s="209">
        <v>5</v>
      </c>
      <c r="Z191" s="208"/>
      <c r="AA191" s="203">
        <f t="shared" si="44"/>
        <v>36</v>
      </c>
    </row>
    <row r="192" spans="1:27" s="19" customFormat="1">
      <c r="A192" s="64"/>
      <c r="B192" s="65"/>
      <c r="C192" s="70" t="s">
        <v>86</v>
      </c>
      <c r="D192" s="65"/>
      <c r="E192" s="182">
        <v>2050</v>
      </c>
      <c r="F192" s="65"/>
      <c r="G192" s="183" t="s">
        <v>192</v>
      </c>
      <c r="H192" s="183" t="s">
        <v>181</v>
      </c>
      <c r="I192" s="184">
        <v>0</v>
      </c>
      <c r="J192" s="65"/>
      <c r="K192" s="71">
        <v>1879693.27</v>
      </c>
      <c r="L192" s="185"/>
      <c r="M192" s="73">
        <v>478322</v>
      </c>
      <c r="N192" s="73"/>
      <c r="O192" s="198">
        <f t="shared" si="40"/>
        <v>1401371</v>
      </c>
      <c r="P192" s="73"/>
      <c r="Q192" s="57">
        <f t="shared" si="41"/>
        <v>38926.972222222219</v>
      </c>
      <c r="S192" s="74">
        <f t="shared" si="42"/>
        <v>2.0709215084981509</v>
      </c>
      <c r="U192" s="172">
        <f t="shared" si="43"/>
        <v>36</v>
      </c>
      <c r="V192" s="181"/>
      <c r="W192" s="345">
        <f>'Adjust Depr Table 1'!U192</f>
        <v>31</v>
      </c>
      <c r="X192" s="208"/>
      <c r="Y192" s="209">
        <v>5</v>
      </c>
      <c r="Z192" s="208"/>
      <c r="AA192" s="203">
        <f t="shared" si="44"/>
        <v>36</v>
      </c>
    </row>
    <row r="193" spans="1:27" s="19" customFormat="1">
      <c r="A193" s="64"/>
      <c r="B193" s="65"/>
      <c r="C193" s="70" t="s">
        <v>87</v>
      </c>
      <c r="D193" s="65"/>
      <c r="E193" s="182">
        <v>2038</v>
      </c>
      <c r="F193" s="65"/>
      <c r="G193" s="183" t="s">
        <v>192</v>
      </c>
      <c r="H193" s="183" t="s">
        <v>181</v>
      </c>
      <c r="I193" s="184">
        <v>0</v>
      </c>
      <c r="J193" s="65"/>
      <c r="K193" s="71">
        <v>344891.29</v>
      </c>
      <c r="L193" s="185"/>
      <c r="M193" s="73">
        <v>150379</v>
      </c>
      <c r="N193" s="73"/>
      <c r="O193" s="198">
        <f t="shared" si="40"/>
        <v>194512</v>
      </c>
      <c r="P193" s="73"/>
      <c r="Q193" s="57">
        <f t="shared" si="41"/>
        <v>10237.473684210527</v>
      </c>
      <c r="S193" s="74">
        <f t="shared" si="42"/>
        <v>2.9683189982010063</v>
      </c>
      <c r="U193" s="172">
        <f t="shared" si="43"/>
        <v>19</v>
      </c>
      <c r="V193" s="181"/>
      <c r="W193" s="345">
        <f>'Adjust Depr Table 1'!U193</f>
        <v>19</v>
      </c>
      <c r="X193" s="208"/>
      <c r="Y193" s="209"/>
      <c r="Z193" s="208"/>
      <c r="AA193" s="203">
        <f t="shared" si="44"/>
        <v>19</v>
      </c>
    </row>
    <row r="194" spans="1:27" s="19" customFormat="1">
      <c r="A194" s="64"/>
      <c r="B194" s="65"/>
      <c r="C194" s="70" t="s">
        <v>88</v>
      </c>
      <c r="D194" s="65"/>
      <c r="E194" s="182">
        <v>2038</v>
      </c>
      <c r="F194" s="65"/>
      <c r="G194" s="183" t="s">
        <v>192</v>
      </c>
      <c r="H194" s="183" t="s">
        <v>181</v>
      </c>
      <c r="I194" s="184">
        <v>0</v>
      </c>
      <c r="J194" s="65"/>
      <c r="K194" s="71">
        <v>386164.65</v>
      </c>
      <c r="L194" s="185"/>
      <c r="M194" s="73">
        <v>168375</v>
      </c>
      <c r="N194" s="73"/>
      <c r="O194" s="198">
        <f t="shared" si="40"/>
        <v>217790</v>
      </c>
      <c r="P194" s="73"/>
      <c r="Q194" s="57">
        <f t="shared" si="41"/>
        <v>11462.631578947368</v>
      </c>
      <c r="S194" s="74">
        <f t="shared" si="42"/>
        <v>2.9683275201257722</v>
      </c>
      <c r="U194" s="172">
        <f t="shared" si="43"/>
        <v>19</v>
      </c>
      <c r="V194" s="181"/>
      <c r="W194" s="345">
        <f>'Adjust Depr Table 1'!U194</f>
        <v>19</v>
      </c>
      <c r="X194" s="208"/>
      <c r="Y194" s="209"/>
      <c r="Z194" s="208"/>
      <c r="AA194" s="203">
        <f t="shared" si="44"/>
        <v>19</v>
      </c>
    </row>
    <row r="195" spans="1:27" s="19" customFormat="1">
      <c r="A195" s="64"/>
      <c r="B195" s="65"/>
      <c r="C195" s="70" t="s">
        <v>89</v>
      </c>
      <c r="D195" s="65"/>
      <c r="E195" s="182">
        <v>2038</v>
      </c>
      <c r="F195" s="65"/>
      <c r="G195" s="183" t="s">
        <v>192</v>
      </c>
      <c r="H195" s="183" t="s">
        <v>181</v>
      </c>
      <c r="I195" s="184">
        <v>0</v>
      </c>
      <c r="J195" s="65"/>
      <c r="K195" s="71">
        <v>357452.26</v>
      </c>
      <c r="L195" s="185"/>
      <c r="M195" s="73">
        <v>155856</v>
      </c>
      <c r="N195" s="73"/>
      <c r="O195" s="198">
        <f t="shared" si="40"/>
        <v>201596</v>
      </c>
      <c r="P195" s="73"/>
      <c r="Q195" s="57">
        <f t="shared" si="41"/>
        <v>10610.315789473685</v>
      </c>
      <c r="S195" s="74">
        <f t="shared" si="42"/>
        <v>2.9683168850222641</v>
      </c>
      <c r="U195" s="172">
        <f t="shared" si="43"/>
        <v>19</v>
      </c>
      <c r="V195" s="181"/>
      <c r="W195" s="345">
        <f>'Adjust Depr Table 1'!U195</f>
        <v>19</v>
      </c>
      <c r="X195" s="208"/>
      <c r="Y195" s="209"/>
      <c r="Z195" s="208"/>
      <c r="AA195" s="203">
        <f t="shared" si="44"/>
        <v>19</v>
      </c>
    </row>
    <row r="196" spans="1:27" s="19" customFormat="1">
      <c r="A196" s="64"/>
      <c r="B196" s="65"/>
      <c r="C196" s="70" t="s">
        <v>90</v>
      </c>
      <c r="D196" s="65"/>
      <c r="E196" s="182">
        <v>2041</v>
      </c>
      <c r="F196" s="65"/>
      <c r="G196" s="183" t="s">
        <v>192</v>
      </c>
      <c r="H196" s="183" t="s">
        <v>181</v>
      </c>
      <c r="I196" s="184">
        <v>0</v>
      </c>
      <c r="J196" s="65"/>
      <c r="K196" s="71">
        <v>452676.95</v>
      </c>
      <c r="L196" s="185"/>
      <c r="M196" s="73">
        <v>161993</v>
      </c>
      <c r="N196" s="73"/>
      <c r="O196" s="198">
        <f t="shared" si="40"/>
        <v>290684</v>
      </c>
      <c r="P196" s="73"/>
      <c r="Q196" s="57">
        <f t="shared" si="41"/>
        <v>13212.90909090909</v>
      </c>
      <c r="S196" s="74">
        <f t="shared" si="42"/>
        <v>2.9188384986045985</v>
      </c>
      <c r="U196" s="172">
        <f t="shared" si="43"/>
        <v>22</v>
      </c>
      <c r="V196" s="181"/>
      <c r="W196" s="345">
        <f>'Adjust Depr Table 1'!U196</f>
        <v>22</v>
      </c>
      <c r="X196" s="208"/>
      <c r="Y196" s="209"/>
      <c r="Z196" s="208"/>
      <c r="AA196" s="203">
        <f t="shared" si="44"/>
        <v>22</v>
      </c>
    </row>
    <row r="197" spans="1:27" s="19" customFormat="1">
      <c r="A197" s="64"/>
      <c r="B197" s="65"/>
      <c r="C197" s="70" t="s">
        <v>91</v>
      </c>
      <c r="D197" s="65"/>
      <c r="E197" s="182">
        <v>2042</v>
      </c>
      <c r="F197" s="65"/>
      <c r="G197" s="183" t="s">
        <v>192</v>
      </c>
      <c r="H197" s="183" t="s">
        <v>181</v>
      </c>
      <c r="I197" s="184">
        <v>0</v>
      </c>
      <c r="J197" s="65"/>
      <c r="K197" s="71">
        <v>406784.25</v>
      </c>
      <c r="L197" s="185"/>
      <c r="M197" s="73">
        <v>135008</v>
      </c>
      <c r="N197" s="73"/>
      <c r="O197" s="198">
        <f t="shared" si="40"/>
        <v>271776</v>
      </c>
      <c r="P197" s="73"/>
      <c r="Q197" s="57">
        <f t="shared" si="41"/>
        <v>11816.347826086956</v>
      </c>
      <c r="S197" s="74">
        <f t="shared" si="42"/>
        <v>2.9048194039191428</v>
      </c>
      <c r="U197" s="172">
        <f t="shared" si="43"/>
        <v>23</v>
      </c>
      <c r="V197" s="181"/>
      <c r="W197" s="345">
        <f>'Adjust Depr Table 1'!U197</f>
        <v>23</v>
      </c>
      <c r="X197" s="208"/>
      <c r="Y197" s="209"/>
      <c r="Z197" s="208"/>
      <c r="AA197" s="203">
        <f t="shared" si="44"/>
        <v>23</v>
      </c>
    </row>
    <row r="198" spans="1:27" s="19" customFormat="1">
      <c r="A198" s="64"/>
      <c r="B198" s="65"/>
      <c r="C198" s="70" t="s">
        <v>92</v>
      </c>
      <c r="D198" s="65"/>
      <c r="E198" s="182">
        <v>2042</v>
      </c>
      <c r="F198" s="65"/>
      <c r="G198" s="183" t="s">
        <v>192</v>
      </c>
      <c r="H198" s="183" t="s">
        <v>181</v>
      </c>
      <c r="I198" s="184">
        <v>0</v>
      </c>
      <c r="J198" s="65"/>
      <c r="K198" s="71">
        <v>3028262.11</v>
      </c>
      <c r="L198" s="185"/>
      <c r="M198" s="73">
        <v>1323010</v>
      </c>
      <c r="N198" s="73"/>
      <c r="O198" s="198">
        <f t="shared" si="40"/>
        <v>1705252</v>
      </c>
      <c r="P198" s="73"/>
      <c r="Q198" s="57">
        <f t="shared" si="41"/>
        <v>60901.857142857145</v>
      </c>
      <c r="S198" s="74">
        <f t="shared" si="42"/>
        <v>2.011115779632997</v>
      </c>
      <c r="U198" s="172">
        <f t="shared" si="43"/>
        <v>28</v>
      </c>
      <c r="V198" s="181"/>
      <c r="W198" s="345">
        <f>'Adjust Depr Table 1'!U198</f>
        <v>23</v>
      </c>
      <c r="X198" s="208"/>
      <c r="Y198" s="209">
        <v>5</v>
      </c>
      <c r="Z198" s="208"/>
      <c r="AA198" s="203">
        <f t="shared" si="44"/>
        <v>28</v>
      </c>
    </row>
    <row r="199" spans="1:27" s="19" customFormat="1">
      <c r="A199" s="64"/>
      <c r="B199" s="65"/>
      <c r="C199" s="70" t="s">
        <v>93</v>
      </c>
      <c r="D199" s="65"/>
      <c r="E199" s="182">
        <v>2042</v>
      </c>
      <c r="F199" s="65"/>
      <c r="G199" s="183" t="s">
        <v>192</v>
      </c>
      <c r="H199" s="183" t="s">
        <v>181</v>
      </c>
      <c r="I199" s="184">
        <v>0</v>
      </c>
      <c r="J199" s="65"/>
      <c r="K199" s="71">
        <v>386034.41</v>
      </c>
      <c r="L199" s="185"/>
      <c r="M199" s="73">
        <v>181290</v>
      </c>
      <c r="N199" s="73"/>
      <c r="O199" s="198">
        <f t="shared" si="40"/>
        <v>204744</v>
      </c>
      <c r="P199" s="73"/>
      <c r="Q199" s="57">
        <f t="shared" si="41"/>
        <v>7312.2857142857147</v>
      </c>
      <c r="S199" s="74">
        <f t="shared" si="42"/>
        <v>1.8942056782673116</v>
      </c>
      <c r="U199" s="172">
        <f t="shared" si="43"/>
        <v>28</v>
      </c>
      <c r="V199" s="181"/>
      <c r="W199" s="345">
        <f>'Adjust Depr Table 1'!U199</f>
        <v>23</v>
      </c>
      <c r="X199" s="208"/>
      <c r="Y199" s="209">
        <v>5</v>
      </c>
      <c r="Z199" s="208"/>
      <c r="AA199" s="203">
        <f t="shared" si="44"/>
        <v>28</v>
      </c>
    </row>
    <row r="200" spans="1:27" s="19" customFormat="1">
      <c r="A200" s="64"/>
      <c r="B200" s="65"/>
      <c r="C200" s="70" t="s">
        <v>94</v>
      </c>
      <c r="D200" s="65"/>
      <c r="E200" s="182">
        <v>2042</v>
      </c>
      <c r="F200" s="65"/>
      <c r="G200" s="183" t="s">
        <v>192</v>
      </c>
      <c r="H200" s="183" t="s">
        <v>181</v>
      </c>
      <c r="I200" s="184">
        <v>0</v>
      </c>
      <c r="J200" s="65"/>
      <c r="K200" s="71">
        <v>386034.41</v>
      </c>
      <c r="L200" s="185"/>
      <c r="M200" s="73">
        <v>179389</v>
      </c>
      <c r="N200" s="73"/>
      <c r="O200" s="198">
        <f t="shared" si="40"/>
        <v>206645</v>
      </c>
      <c r="P200" s="73"/>
      <c r="Q200" s="57">
        <f t="shared" si="41"/>
        <v>7380.1785714285716</v>
      </c>
      <c r="S200" s="74">
        <f t="shared" si="42"/>
        <v>1.9117929335440775</v>
      </c>
      <c r="U200" s="172">
        <f t="shared" si="43"/>
        <v>28</v>
      </c>
      <c r="V200" s="181"/>
      <c r="W200" s="345">
        <f>'Adjust Depr Table 1'!U200</f>
        <v>23</v>
      </c>
      <c r="X200" s="208"/>
      <c r="Y200" s="209">
        <v>5</v>
      </c>
      <c r="Z200" s="208"/>
      <c r="AA200" s="203">
        <f t="shared" si="44"/>
        <v>28</v>
      </c>
    </row>
    <row r="201" spans="1:27" s="19" customFormat="1">
      <c r="A201" s="64"/>
      <c r="B201" s="65"/>
      <c r="C201" s="70" t="s">
        <v>95</v>
      </c>
      <c r="D201" s="65"/>
      <c r="E201" s="182">
        <v>2042</v>
      </c>
      <c r="F201" s="65"/>
      <c r="G201" s="183" t="s">
        <v>192</v>
      </c>
      <c r="H201" s="183" t="s">
        <v>181</v>
      </c>
      <c r="I201" s="184">
        <v>0</v>
      </c>
      <c r="J201" s="65"/>
      <c r="K201" s="71">
        <v>386034.41</v>
      </c>
      <c r="L201" s="185"/>
      <c r="M201" s="73">
        <v>181275</v>
      </c>
      <c r="N201" s="73"/>
      <c r="O201" s="198">
        <f t="shared" si="40"/>
        <v>204759</v>
      </c>
      <c r="P201" s="73"/>
      <c r="Q201" s="57">
        <f t="shared" si="41"/>
        <v>7312.8214285714284</v>
      </c>
      <c r="S201" s="74">
        <f t="shared" si="42"/>
        <v>1.8943444519807</v>
      </c>
      <c r="U201" s="172">
        <f t="shared" si="43"/>
        <v>28</v>
      </c>
      <c r="V201" s="181"/>
      <c r="W201" s="345">
        <f>'Adjust Depr Table 1'!U201</f>
        <v>23</v>
      </c>
      <c r="X201" s="208"/>
      <c r="Y201" s="209">
        <v>5</v>
      </c>
      <c r="Z201" s="208"/>
      <c r="AA201" s="203">
        <f t="shared" si="44"/>
        <v>28</v>
      </c>
    </row>
    <row r="202" spans="1:27" s="19" customFormat="1">
      <c r="A202" s="64"/>
      <c r="B202" s="65"/>
      <c r="C202" s="70" t="s">
        <v>96</v>
      </c>
      <c r="D202" s="65"/>
      <c r="E202" s="182">
        <v>2042</v>
      </c>
      <c r="F202" s="65"/>
      <c r="G202" s="183" t="s">
        <v>192</v>
      </c>
      <c r="H202" s="183" t="s">
        <v>181</v>
      </c>
      <c r="I202" s="184">
        <v>0</v>
      </c>
      <c r="J202" s="65"/>
      <c r="K202" s="75">
        <v>779800</v>
      </c>
      <c r="L202" s="185"/>
      <c r="M202" s="77">
        <v>67669</v>
      </c>
      <c r="N202" s="73"/>
      <c r="O202" s="205">
        <f t="shared" si="40"/>
        <v>712131</v>
      </c>
      <c r="P202" s="73"/>
      <c r="Q202" s="62">
        <f t="shared" si="41"/>
        <v>30962.217391304348</v>
      </c>
      <c r="S202" s="74">
        <f t="shared" si="42"/>
        <v>3.9705331355866056</v>
      </c>
      <c r="U202" s="172">
        <f t="shared" si="43"/>
        <v>23</v>
      </c>
      <c r="V202" s="181"/>
      <c r="W202" s="345">
        <f>'Adjust Depr Table 1'!U202</f>
        <v>23</v>
      </c>
      <c r="X202" s="208"/>
      <c r="Y202" s="209"/>
      <c r="Z202" s="208"/>
      <c r="AA202" s="203">
        <f t="shared" si="44"/>
        <v>23</v>
      </c>
    </row>
    <row r="203" spans="1:27" s="19" customFormat="1">
      <c r="A203" s="64"/>
      <c r="B203" s="65"/>
      <c r="C203" s="78"/>
      <c r="D203" s="65"/>
      <c r="E203" s="65"/>
      <c r="F203" s="65"/>
      <c r="G203" s="183"/>
      <c r="H203" s="183"/>
      <c r="I203" s="184"/>
      <c r="J203" s="65"/>
      <c r="K203" s="71"/>
      <c r="L203" s="185"/>
      <c r="M203" s="73"/>
      <c r="N203" s="73"/>
      <c r="O203" s="73"/>
      <c r="P203" s="73"/>
      <c r="Q203" s="73"/>
      <c r="S203" s="74"/>
      <c r="U203" s="186"/>
      <c r="V203" s="181"/>
      <c r="W203" s="345"/>
      <c r="X203" s="208"/>
      <c r="Y203" s="208"/>
      <c r="Z203" s="208"/>
      <c r="AA203" s="203"/>
    </row>
    <row r="204" spans="1:27" s="19" customFormat="1">
      <c r="A204" s="64"/>
      <c r="B204" s="65"/>
      <c r="C204" s="78" t="s">
        <v>72</v>
      </c>
      <c r="D204" s="65"/>
      <c r="E204" s="65"/>
      <c r="F204" s="65"/>
      <c r="G204" s="183"/>
      <c r="H204" s="183"/>
      <c r="I204" s="184"/>
      <c r="J204" s="65"/>
      <c r="K204" s="71">
        <f>SUBTOTAL(9,K183:K203)</f>
        <v>38288055.68999999</v>
      </c>
      <c r="L204" s="185"/>
      <c r="M204" s="73">
        <f>SUBTOTAL(9,M183:M203)</f>
        <v>13327592</v>
      </c>
      <c r="N204" s="73"/>
      <c r="O204" s="73">
        <f>SUBTOTAL(9,O183:O203)</f>
        <v>24960463</v>
      </c>
      <c r="P204" s="73"/>
      <c r="Q204" s="73">
        <f>SUBTOTAL(9,Q183:Q203)</f>
        <v>779984.5272383854</v>
      </c>
      <c r="S204" s="74">
        <f>+ROUND(Q204/K204*100,2)</f>
        <v>2.04</v>
      </c>
      <c r="U204" s="186"/>
      <c r="V204" s="181"/>
      <c r="W204" s="345"/>
      <c r="X204" s="208"/>
      <c r="Y204" s="208"/>
      <c r="Z204" s="208"/>
      <c r="AA204" s="203"/>
    </row>
    <row r="205" spans="1:27" s="19" customFormat="1">
      <c r="A205" s="64"/>
      <c r="B205" s="65"/>
      <c r="C205" s="78"/>
      <c r="D205" s="65"/>
      <c r="E205" s="65"/>
      <c r="F205" s="65"/>
      <c r="G205" s="183"/>
      <c r="H205" s="183"/>
      <c r="I205" s="184"/>
      <c r="J205" s="65"/>
      <c r="K205" s="71"/>
      <c r="L205" s="185"/>
      <c r="M205" s="73"/>
      <c r="N205" s="73"/>
      <c r="O205" s="73"/>
      <c r="P205" s="73"/>
      <c r="Q205" s="73"/>
      <c r="S205" s="74"/>
      <c r="U205" s="186"/>
      <c r="V205" s="181"/>
      <c r="W205" s="345"/>
      <c r="X205" s="208"/>
      <c r="Y205" s="208"/>
      <c r="Z205" s="208"/>
      <c r="AA205" s="203"/>
    </row>
    <row r="206" spans="1:27" s="19" customFormat="1">
      <c r="A206" s="64">
        <v>346</v>
      </c>
      <c r="B206" s="65"/>
      <c r="C206" s="65" t="s">
        <v>73</v>
      </c>
      <c r="D206" s="65"/>
      <c r="E206" s="65"/>
      <c r="F206" s="65"/>
      <c r="G206" s="65"/>
      <c r="H206" s="65"/>
      <c r="I206" s="179"/>
      <c r="J206" s="65"/>
      <c r="K206" s="65"/>
      <c r="L206" s="65"/>
      <c r="M206" s="67"/>
      <c r="N206" s="67"/>
      <c r="O206" s="67"/>
      <c r="P206" s="67"/>
      <c r="Q206" s="67"/>
      <c r="S206" s="68"/>
      <c r="U206" s="180"/>
      <c r="V206" s="181"/>
      <c r="W206" s="347"/>
      <c r="X206" s="208"/>
      <c r="Y206" s="208"/>
      <c r="Z206" s="208"/>
      <c r="AA206" s="203"/>
    </row>
    <row r="207" spans="1:27" s="19" customFormat="1">
      <c r="A207" s="64"/>
      <c r="B207" s="65"/>
      <c r="C207" s="70" t="s">
        <v>77</v>
      </c>
      <c r="D207" s="65"/>
      <c r="E207" s="182">
        <v>2050</v>
      </c>
      <c r="F207" s="65"/>
      <c r="G207" s="183" t="s">
        <v>193</v>
      </c>
      <c r="H207" s="183" t="s">
        <v>181</v>
      </c>
      <c r="I207" s="184">
        <v>0</v>
      </c>
      <c r="J207" s="65"/>
      <c r="K207" s="71">
        <v>15528635.619999999</v>
      </c>
      <c r="L207" s="185"/>
      <c r="M207" s="73">
        <v>4517088</v>
      </c>
      <c r="N207" s="73"/>
      <c r="O207" s="198">
        <f t="shared" ref="O207:O212" si="45">ROUND((K207+(K207*-(I207/100)))-M207,0)</f>
        <v>11011548</v>
      </c>
      <c r="P207" s="73"/>
      <c r="Q207" s="57">
        <f t="shared" ref="Q207:Q212" si="46">O207/U207</f>
        <v>305876.33333333331</v>
      </c>
      <c r="S207" s="74">
        <f t="shared" ref="S207:S212" si="47">Q207/K207*100</f>
        <v>1.9697566535683406</v>
      </c>
      <c r="U207" s="172">
        <f t="shared" ref="U207:U212" si="48">AA207</f>
        <v>36</v>
      </c>
      <c r="V207" s="181"/>
      <c r="W207" s="345">
        <f>'Adjust Depr Table 1'!U207</f>
        <v>31</v>
      </c>
      <c r="X207" s="208"/>
      <c r="Y207" s="209">
        <v>5</v>
      </c>
      <c r="Z207" s="208"/>
      <c r="AA207" s="203">
        <f t="shared" ref="AA207:AA212" si="49">W207+Y207</f>
        <v>36</v>
      </c>
    </row>
    <row r="208" spans="1:27" s="19" customFormat="1">
      <c r="A208" s="64"/>
      <c r="B208" s="65"/>
      <c r="C208" s="70" t="s">
        <v>87</v>
      </c>
      <c r="D208" s="65"/>
      <c r="E208" s="182">
        <v>2038</v>
      </c>
      <c r="F208" s="65"/>
      <c r="G208" s="183" t="s">
        <v>193</v>
      </c>
      <c r="H208" s="183" t="s">
        <v>181</v>
      </c>
      <c r="I208" s="184">
        <v>0</v>
      </c>
      <c r="J208" s="65"/>
      <c r="K208" s="71">
        <v>91253.04</v>
      </c>
      <c r="L208" s="185"/>
      <c r="M208" s="73">
        <v>39954</v>
      </c>
      <c r="N208" s="73"/>
      <c r="O208" s="198">
        <f t="shared" si="45"/>
        <v>51299</v>
      </c>
      <c r="P208" s="73"/>
      <c r="Q208" s="57">
        <f t="shared" si="46"/>
        <v>2699.9473684210525</v>
      </c>
      <c r="S208" s="74">
        <f t="shared" si="47"/>
        <v>2.9587478602587409</v>
      </c>
      <c r="U208" s="172">
        <f t="shared" si="48"/>
        <v>19</v>
      </c>
      <c r="V208" s="181"/>
      <c r="W208" s="345">
        <f>'Adjust Depr Table 1'!U208</f>
        <v>19</v>
      </c>
      <c r="X208" s="208"/>
      <c r="Y208" s="209"/>
      <c r="Z208" s="208"/>
      <c r="AA208" s="203">
        <f t="shared" si="49"/>
        <v>19</v>
      </c>
    </row>
    <row r="209" spans="1:27" s="19" customFormat="1">
      <c r="A209" s="64"/>
      <c r="B209" s="65"/>
      <c r="C209" s="70" t="s">
        <v>88</v>
      </c>
      <c r="D209" s="65"/>
      <c r="E209" s="182">
        <v>2038</v>
      </c>
      <c r="F209" s="65"/>
      <c r="G209" s="183" t="s">
        <v>193</v>
      </c>
      <c r="H209" s="183" t="s">
        <v>181</v>
      </c>
      <c r="I209" s="184">
        <v>0</v>
      </c>
      <c r="J209" s="65"/>
      <c r="K209" s="71">
        <v>103431.55</v>
      </c>
      <c r="L209" s="185"/>
      <c r="M209" s="73">
        <v>23594</v>
      </c>
      <c r="N209" s="73"/>
      <c r="O209" s="198">
        <f t="shared" si="45"/>
        <v>79838</v>
      </c>
      <c r="P209" s="73"/>
      <c r="Q209" s="57">
        <f t="shared" si="46"/>
        <v>4202</v>
      </c>
      <c r="S209" s="74">
        <f t="shared" si="47"/>
        <v>4.0625901864566467</v>
      </c>
      <c r="U209" s="172">
        <f t="shared" si="48"/>
        <v>19</v>
      </c>
      <c r="V209" s="181"/>
      <c r="W209" s="345">
        <f>'Adjust Depr Table 1'!U209</f>
        <v>19</v>
      </c>
      <c r="X209" s="208"/>
      <c r="Y209" s="209"/>
      <c r="Z209" s="208"/>
      <c r="AA209" s="203">
        <f t="shared" si="49"/>
        <v>19</v>
      </c>
    </row>
    <row r="210" spans="1:27" s="19" customFormat="1">
      <c r="A210" s="64"/>
      <c r="B210" s="65"/>
      <c r="C210" s="70" t="s">
        <v>89</v>
      </c>
      <c r="D210" s="65"/>
      <c r="E210" s="182">
        <v>2038</v>
      </c>
      <c r="F210" s="65"/>
      <c r="G210" s="183" t="s">
        <v>193</v>
      </c>
      <c r="H210" s="183" t="s">
        <v>181</v>
      </c>
      <c r="I210" s="184">
        <v>0</v>
      </c>
      <c r="J210" s="65"/>
      <c r="K210" s="71">
        <v>60998.54</v>
      </c>
      <c r="L210" s="185"/>
      <c r="M210" s="73">
        <v>27965</v>
      </c>
      <c r="N210" s="73"/>
      <c r="O210" s="198">
        <f t="shared" si="45"/>
        <v>33034</v>
      </c>
      <c r="P210" s="73"/>
      <c r="Q210" s="57">
        <f t="shared" si="46"/>
        <v>1738.6315789473683</v>
      </c>
      <c r="S210" s="74">
        <f t="shared" si="47"/>
        <v>2.8502839231026975</v>
      </c>
      <c r="U210" s="172">
        <f t="shared" si="48"/>
        <v>19</v>
      </c>
      <c r="V210" s="181"/>
      <c r="W210" s="345">
        <f>'Adjust Depr Table 1'!U210</f>
        <v>19</v>
      </c>
      <c r="X210" s="208"/>
      <c r="Y210" s="209"/>
      <c r="Z210" s="208"/>
      <c r="AA210" s="203">
        <f t="shared" si="49"/>
        <v>19</v>
      </c>
    </row>
    <row r="211" spans="1:27" s="19" customFormat="1">
      <c r="A211" s="64"/>
      <c r="B211" s="65"/>
      <c r="C211" s="70" t="s">
        <v>90</v>
      </c>
      <c r="D211" s="65"/>
      <c r="E211" s="182">
        <v>2041</v>
      </c>
      <c r="F211" s="65"/>
      <c r="G211" s="183" t="s">
        <v>193</v>
      </c>
      <c r="H211" s="183" t="s">
        <v>181</v>
      </c>
      <c r="I211" s="184">
        <v>0</v>
      </c>
      <c r="J211" s="65"/>
      <c r="K211" s="71">
        <v>63896.29</v>
      </c>
      <c r="L211" s="185"/>
      <c r="M211" s="73">
        <v>24158</v>
      </c>
      <c r="N211" s="73"/>
      <c r="O211" s="198">
        <f t="shared" si="45"/>
        <v>39738</v>
      </c>
      <c r="P211" s="73"/>
      <c r="Q211" s="57">
        <f t="shared" si="46"/>
        <v>1806.2727272727273</v>
      </c>
      <c r="S211" s="74">
        <f t="shared" si="47"/>
        <v>2.8268820103212988</v>
      </c>
      <c r="U211" s="172">
        <f t="shared" si="48"/>
        <v>22</v>
      </c>
      <c r="V211" s="181"/>
      <c r="W211" s="345">
        <f>'Adjust Depr Table 1'!U211</f>
        <v>22</v>
      </c>
      <c r="X211" s="208"/>
      <c r="Y211" s="209"/>
      <c r="Z211" s="208"/>
      <c r="AA211" s="203">
        <f t="shared" si="49"/>
        <v>22</v>
      </c>
    </row>
    <row r="212" spans="1:27" s="19" customFormat="1">
      <c r="A212" s="64"/>
      <c r="B212" s="65"/>
      <c r="C212" s="70" t="s">
        <v>91</v>
      </c>
      <c r="D212" s="65"/>
      <c r="E212" s="182">
        <v>2042</v>
      </c>
      <c r="F212" s="65"/>
      <c r="G212" s="183" t="s">
        <v>193</v>
      </c>
      <c r="H212" s="183" t="s">
        <v>181</v>
      </c>
      <c r="I212" s="184">
        <v>0</v>
      </c>
      <c r="J212" s="65"/>
      <c r="K212" s="75">
        <v>141993.37</v>
      </c>
      <c r="L212" s="185"/>
      <c r="M212" s="77">
        <v>29284</v>
      </c>
      <c r="N212" s="73"/>
      <c r="O212" s="205">
        <f t="shared" si="45"/>
        <v>112709</v>
      </c>
      <c r="P212" s="73"/>
      <c r="Q212" s="62">
        <f t="shared" si="46"/>
        <v>4900.391304347826</v>
      </c>
      <c r="S212" s="74">
        <f t="shared" si="47"/>
        <v>3.4511409260501571</v>
      </c>
      <c r="U212" s="172">
        <f t="shared" si="48"/>
        <v>23</v>
      </c>
      <c r="V212" s="181"/>
      <c r="W212" s="345">
        <f>'Adjust Depr Table 1'!U212</f>
        <v>23</v>
      </c>
      <c r="X212" s="208"/>
      <c r="Y212" s="209"/>
      <c r="Z212" s="208"/>
      <c r="AA212" s="203">
        <f t="shared" si="49"/>
        <v>23</v>
      </c>
    </row>
    <row r="213" spans="1:27" s="19" customFormat="1">
      <c r="A213" s="64"/>
      <c r="B213" s="65"/>
      <c r="C213" s="78"/>
      <c r="D213" s="65"/>
      <c r="E213" s="65"/>
      <c r="F213" s="65"/>
      <c r="G213" s="183"/>
      <c r="H213" s="183"/>
      <c r="I213" s="184"/>
      <c r="J213" s="65"/>
      <c r="K213" s="71"/>
      <c r="L213" s="185"/>
      <c r="M213" s="73"/>
      <c r="N213" s="73"/>
      <c r="O213" s="73"/>
      <c r="P213" s="73"/>
      <c r="Q213" s="73"/>
      <c r="S213" s="74"/>
      <c r="U213" s="186"/>
      <c r="V213" s="181"/>
      <c r="W213" s="203"/>
      <c r="X213" s="208"/>
      <c r="Y213" s="208"/>
      <c r="Z213" s="208"/>
      <c r="AA213" s="203"/>
    </row>
    <row r="214" spans="1:27" s="19" customFormat="1">
      <c r="A214" s="64"/>
      <c r="B214" s="65"/>
      <c r="C214" s="78" t="s">
        <v>74</v>
      </c>
      <c r="D214" s="65"/>
      <c r="E214" s="65"/>
      <c r="F214" s="65"/>
      <c r="G214" s="183"/>
      <c r="H214" s="183"/>
      <c r="I214" s="184"/>
      <c r="J214" s="65"/>
      <c r="K214" s="75">
        <f>SUBTOTAL(9,K207:K213)</f>
        <v>15990208.409999996</v>
      </c>
      <c r="L214" s="185"/>
      <c r="M214" s="77">
        <f>SUBTOTAL(9,M207:M213)</f>
        <v>4662043</v>
      </c>
      <c r="N214" s="73"/>
      <c r="O214" s="77">
        <f>SUBTOTAL(9,O207:O213)</f>
        <v>11328166</v>
      </c>
      <c r="P214" s="73"/>
      <c r="Q214" s="77">
        <f>SUBTOTAL(9,Q207:Q213)</f>
        <v>321223.57631232229</v>
      </c>
      <c r="S214" s="74">
        <f>+ROUND(Q214/K214*100,2)</f>
        <v>2.0099999999999998</v>
      </c>
      <c r="U214" s="186"/>
      <c r="V214" s="181"/>
      <c r="W214" s="203"/>
      <c r="X214" s="208"/>
      <c r="Y214" s="208"/>
      <c r="Z214" s="208"/>
      <c r="AA214" s="203"/>
    </row>
    <row r="215" spans="1:27" ht="15.75">
      <c r="A215" s="23"/>
      <c r="C215" s="79"/>
      <c r="K215" s="71"/>
      <c r="L215" s="185"/>
      <c r="M215" s="73"/>
      <c r="N215" s="73"/>
      <c r="O215" s="73"/>
      <c r="P215" s="73"/>
      <c r="Q215" s="73"/>
      <c r="S215" s="49"/>
      <c r="U215" s="176"/>
      <c r="V215" s="23"/>
      <c r="W215" s="204"/>
      <c r="X215" s="207"/>
      <c r="Y215" s="207"/>
      <c r="Z215" s="207"/>
      <c r="AA215" s="204"/>
    </row>
    <row r="216" spans="1:27" ht="15.75">
      <c r="A216" s="80"/>
      <c r="C216" s="81" t="s">
        <v>104</v>
      </c>
      <c r="G216" s="187"/>
      <c r="H216" s="187"/>
      <c r="I216" s="188"/>
      <c r="K216" s="118">
        <f>SUBTOTAL(9,K99:K215)</f>
        <v>639379853.02999985</v>
      </c>
      <c r="L216" s="93"/>
      <c r="M216" s="120">
        <f>SUBTOTAL(9,M99:M215)</f>
        <v>251804012.10000002</v>
      </c>
      <c r="N216" s="120"/>
      <c r="O216" s="120">
        <f>SUBTOTAL(9,O99:O215)</f>
        <v>387575843</v>
      </c>
      <c r="P216" s="120"/>
      <c r="Q216" s="120">
        <f>SUBTOTAL(9,Q99:Q215)</f>
        <v>12959079.108648852</v>
      </c>
      <c r="S216" s="84">
        <f>+ROUND(Q216/K216*100,2)</f>
        <v>2.0299999999999998</v>
      </c>
      <c r="T216" s="93"/>
      <c r="U216" s="189"/>
      <c r="V216" s="23"/>
      <c r="W216" s="204"/>
      <c r="X216" s="207"/>
      <c r="Y216" s="207"/>
      <c r="Z216" s="207"/>
      <c r="AA216" s="204"/>
    </row>
    <row r="217" spans="1:27" s="19" customFormat="1">
      <c r="A217" s="85"/>
      <c r="C217" s="86"/>
      <c r="G217" s="187"/>
      <c r="H217" s="187"/>
      <c r="I217" s="188"/>
      <c r="K217" s="87"/>
      <c r="M217" s="89"/>
      <c r="N217" s="89"/>
      <c r="O217" s="89"/>
      <c r="P217" s="89"/>
      <c r="Q217" s="89"/>
      <c r="S217" s="74"/>
      <c r="U217" s="186"/>
      <c r="V217" s="181"/>
      <c r="W217" s="203"/>
      <c r="X217" s="208"/>
      <c r="Y217" s="208"/>
      <c r="Z217" s="208"/>
      <c r="AA217" s="203"/>
    </row>
    <row r="218" spans="1:27" ht="15.75">
      <c r="A218" s="80"/>
      <c r="C218" s="24" t="s">
        <v>105</v>
      </c>
      <c r="G218" s="25"/>
      <c r="I218" s="188"/>
      <c r="K218" s="87"/>
      <c r="M218" s="46"/>
      <c r="N218" s="46"/>
      <c r="O218" s="46"/>
      <c r="P218" s="46"/>
      <c r="Q218" s="46"/>
      <c r="S218" s="49"/>
      <c r="U218" s="176"/>
      <c r="V218" s="23"/>
      <c r="W218" s="204"/>
      <c r="X218" s="207"/>
      <c r="Y218" s="207"/>
      <c r="Z218" s="207"/>
      <c r="AA218" s="204"/>
    </row>
    <row r="219" spans="1:27" ht="15.75">
      <c r="A219" s="80"/>
      <c r="C219" s="48"/>
      <c r="G219" s="25"/>
      <c r="I219" s="188"/>
      <c r="K219" s="87"/>
      <c r="M219" s="46"/>
      <c r="N219" s="46"/>
      <c r="O219" s="46"/>
      <c r="P219" s="46"/>
      <c r="Q219" s="46"/>
      <c r="S219" s="49"/>
      <c r="U219" s="176"/>
      <c r="V219" s="23"/>
      <c r="W219" s="204"/>
      <c r="X219" s="207"/>
      <c r="Y219" s="207"/>
      <c r="Z219" s="207"/>
      <c r="AA219" s="204"/>
    </row>
    <row r="220" spans="1:27">
      <c r="A220" s="80">
        <v>353</v>
      </c>
      <c r="C220" s="18" t="s">
        <v>106</v>
      </c>
      <c r="E220" s="182"/>
      <c r="G220" s="183" t="s">
        <v>194</v>
      </c>
      <c r="H220" s="183" t="s">
        <v>178</v>
      </c>
      <c r="I220" s="184">
        <v>-25</v>
      </c>
      <c r="J220" s="65"/>
      <c r="K220" s="71">
        <v>269766938.30000001</v>
      </c>
      <c r="L220" s="185"/>
      <c r="M220" s="73">
        <v>66231238.189999998</v>
      </c>
      <c r="N220" s="73"/>
      <c r="O220" s="198">
        <f t="shared" ref="O220:O225" si="50">ROUND((K220+(K220*-(I220/100)))-M220,0)</f>
        <v>270977435</v>
      </c>
      <c r="P220" s="73"/>
      <c r="Q220" s="57">
        <f t="shared" ref="Q220:Q225" si="51">O220/U220</f>
        <v>5872454</v>
      </c>
      <c r="R220" s="19"/>
      <c r="S220" s="74">
        <f t="shared" ref="S220:S225" si="52">Q220/K220*100</f>
        <v>2.1768620117078297</v>
      </c>
      <c r="T220" s="19"/>
      <c r="U220" s="172">
        <f t="shared" ref="U220:U225" si="53">AA220</f>
        <v>46.143815685912564</v>
      </c>
      <c r="V220" s="23"/>
      <c r="W220" s="203">
        <v>46.143815685912564</v>
      </c>
      <c r="X220" s="207"/>
      <c r="Y220" s="209"/>
      <c r="Z220" s="207"/>
      <c r="AA220" s="203">
        <f t="shared" ref="AA220:AA225" si="54">W220+Y220</f>
        <v>46.143815685912564</v>
      </c>
    </row>
    <row r="221" spans="1:27">
      <c r="A221" s="80">
        <v>353.1</v>
      </c>
      <c r="C221" s="19" t="s">
        <v>195</v>
      </c>
      <c r="E221" s="182"/>
      <c r="G221" s="183" t="s">
        <v>196</v>
      </c>
      <c r="H221" s="183" t="s">
        <v>178</v>
      </c>
      <c r="I221" s="184">
        <v>-10</v>
      </c>
      <c r="J221" s="65"/>
      <c r="K221" s="71">
        <v>9476611.1600000001</v>
      </c>
      <c r="L221" s="185"/>
      <c r="M221" s="73">
        <v>6039041</v>
      </c>
      <c r="N221" s="73"/>
      <c r="O221" s="198">
        <f t="shared" si="50"/>
        <v>4385231</v>
      </c>
      <c r="P221" s="73"/>
      <c r="Q221" s="57">
        <f t="shared" si="51"/>
        <v>598296</v>
      </c>
      <c r="R221" s="19"/>
      <c r="S221" s="74">
        <f t="shared" si="52"/>
        <v>6.3133961064621751</v>
      </c>
      <c r="T221" s="19"/>
      <c r="U221" s="172">
        <f t="shared" si="53"/>
        <v>7.3295342104911283</v>
      </c>
      <c r="V221" s="23"/>
      <c r="W221" s="203">
        <v>7.3295342104911283</v>
      </c>
      <c r="X221" s="207"/>
      <c r="Y221" s="209"/>
      <c r="Z221" s="207"/>
      <c r="AA221" s="203">
        <f t="shared" si="54"/>
        <v>7.3295342104911283</v>
      </c>
    </row>
    <row r="222" spans="1:27">
      <c r="A222" s="80">
        <v>354</v>
      </c>
      <c r="C222" s="18" t="s">
        <v>108</v>
      </c>
      <c r="E222" s="182"/>
      <c r="G222" s="183" t="s">
        <v>197</v>
      </c>
      <c r="H222" s="183" t="s">
        <v>178</v>
      </c>
      <c r="I222" s="184">
        <v>0</v>
      </c>
      <c r="J222" s="65"/>
      <c r="K222" s="71">
        <v>3853520.91</v>
      </c>
      <c r="L222" s="185"/>
      <c r="M222" s="73">
        <v>1918285</v>
      </c>
      <c r="N222" s="73"/>
      <c r="O222" s="198">
        <f t="shared" si="50"/>
        <v>1935236</v>
      </c>
      <c r="P222" s="73"/>
      <c r="Q222" s="57">
        <f t="shared" si="51"/>
        <v>63799</v>
      </c>
      <c r="R222" s="19"/>
      <c r="S222" s="74">
        <f t="shared" si="52"/>
        <v>1.6556027978060199</v>
      </c>
      <c r="T222" s="19"/>
      <c r="U222" s="172">
        <f t="shared" si="53"/>
        <v>30.333328108591044</v>
      </c>
      <c r="V222" s="23"/>
      <c r="W222" s="203">
        <v>30.333328108591044</v>
      </c>
      <c r="X222" s="207"/>
      <c r="Y222" s="209"/>
      <c r="Z222" s="207"/>
      <c r="AA222" s="203">
        <f t="shared" si="54"/>
        <v>30.333328108591044</v>
      </c>
    </row>
    <row r="223" spans="1:27">
      <c r="A223" s="80">
        <v>355</v>
      </c>
      <c r="C223" s="18" t="s">
        <v>109</v>
      </c>
      <c r="E223" s="182"/>
      <c r="G223" s="183" t="s">
        <v>198</v>
      </c>
      <c r="H223" s="183" t="s">
        <v>178</v>
      </c>
      <c r="I223" s="184">
        <v>-60</v>
      </c>
      <c r="J223" s="65"/>
      <c r="K223" s="71">
        <v>166166560.00999999</v>
      </c>
      <c r="L223" s="185"/>
      <c r="M223" s="73">
        <v>59294869</v>
      </c>
      <c r="N223" s="73"/>
      <c r="O223" s="198">
        <f t="shared" si="50"/>
        <v>206571627</v>
      </c>
      <c r="P223" s="73"/>
      <c r="Q223" s="57">
        <f t="shared" si="51"/>
        <v>4693496</v>
      </c>
      <c r="R223" s="19"/>
      <c r="S223" s="74">
        <f t="shared" si="52"/>
        <v>2.8245731269381418</v>
      </c>
      <c r="T223" s="19"/>
      <c r="U223" s="172">
        <f t="shared" si="53"/>
        <v>44.012315553267754</v>
      </c>
      <c r="V223" s="23"/>
      <c r="W223" s="203">
        <v>44.012315553267754</v>
      </c>
      <c r="X223" s="207"/>
      <c r="Y223" s="209"/>
      <c r="Z223" s="207"/>
      <c r="AA223" s="203">
        <f t="shared" si="54"/>
        <v>44.012315553267754</v>
      </c>
    </row>
    <row r="224" spans="1:27">
      <c r="A224" s="80">
        <v>356</v>
      </c>
      <c r="C224" s="18" t="s">
        <v>110</v>
      </c>
      <c r="E224" s="182"/>
      <c r="G224" s="183" t="s">
        <v>185</v>
      </c>
      <c r="H224" s="183" t="s">
        <v>178</v>
      </c>
      <c r="I224" s="184">
        <v>-60</v>
      </c>
      <c r="J224" s="65"/>
      <c r="K224" s="71">
        <v>139611652.81999999</v>
      </c>
      <c r="L224" s="185"/>
      <c r="M224" s="73">
        <v>63120142</v>
      </c>
      <c r="N224" s="73"/>
      <c r="O224" s="198">
        <f t="shared" si="50"/>
        <v>160258503</v>
      </c>
      <c r="P224" s="73"/>
      <c r="Q224" s="57">
        <f t="shared" si="51"/>
        <v>4043353.0000000005</v>
      </c>
      <c r="R224" s="19"/>
      <c r="S224" s="74">
        <f t="shared" si="52"/>
        <v>2.8961429209731206</v>
      </c>
      <c r="T224" s="19"/>
      <c r="U224" s="172">
        <f t="shared" si="53"/>
        <v>39.635051156799811</v>
      </c>
      <c r="V224" s="23"/>
      <c r="W224" s="203">
        <v>39.635051156799811</v>
      </c>
      <c r="X224" s="207"/>
      <c r="Y224" s="209"/>
      <c r="Z224" s="207"/>
      <c r="AA224" s="203">
        <f t="shared" si="54"/>
        <v>39.635051156799811</v>
      </c>
    </row>
    <row r="225" spans="1:27">
      <c r="A225" s="80">
        <v>359</v>
      </c>
      <c r="C225" s="18" t="s">
        <v>111</v>
      </c>
      <c r="G225" s="183" t="s">
        <v>197</v>
      </c>
      <c r="H225" s="183" t="s">
        <v>178</v>
      </c>
      <c r="I225" s="184">
        <v>0</v>
      </c>
      <c r="J225" s="65"/>
      <c r="K225" s="71">
        <v>23287.65</v>
      </c>
      <c r="L225" s="185"/>
      <c r="M225" s="73">
        <v>15186</v>
      </c>
      <c r="N225" s="73"/>
      <c r="O225" s="198">
        <f t="shared" si="50"/>
        <v>8102</v>
      </c>
      <c r="P225" s="73"/>
      <c r="Q225" s="57">
        <f t="shared" si="51"/>
        <v>446</v>
      </c>
      <c r="R225" s="19"/>
      <c r="S225" s="74">
        <f t="shared" si="52"/>
        <v>1.9151782167801386</v>
      </c>
      <c r="T225" s="19"/>
      <c r="U225" s="172">
        <f t="shared" si="53"/>
        <v>18.165919282511211</v>
      </c>
      <c r="V225" s="23"/>
      <c r="W225" s="203">
        <v>18.165919282511211</v>
      </c>
      <c r="X225" s="207"/>
      <c r="Y225" s="209"/>
      <c r="Z225" s="207"/>
      <c r="AA225" s="203">
        <f t="shared" si="54"/>
        <v>18.165919282511211</v>
      </c>
    </row>
    <row r="226" spans="1:27">
      <c r="A226" s="80"/>
      <c r="G226" s="25"/>
      <c r="I226" s="188"/>
      <c r="K226" s="90"/>
      <c r="M226" s="91"/>
      <c r="N226" s="46"/>
      <c r="O226" s="91"/>
      <c r="P226" s="46"/>
      <c r="Q226" s="91"/>
      <c r="S226" s="49"/>
      <c r="U226" s="176"/>
      <c r="V226" s="23"/>
      <c r="W226" s="204"/>
      <c r="X226" s="207"/>
      <c r="Y226" s="207"/>
      <c r="Z226" s="207"/>
      <c r="AA226" s="204"/>
    </row>
    <row r="227" spans="1:27" ht="15.75">
      <c r="A227" s="80"/>
      <c r="C227" s="81" t="s">
        <v>112</v>
      </c>
      <c r="G227" s="28"/>
      <c r="H227" s="93"/>
      <c r="I227" s="158"/>
      <c r="J227" s="93"/>
      <c r="K227" s="118">
        <f>SUBTOTAL(9,K220:K226)</f>
        <v>588898570.85000002</v>
      </c>
      <c r="L227" s="93"/>
      <c r="M227" s="120">
        <f>SUBTOTAL(9,M220:M226)</f>
        <v>196618761.19</v>
      </c>
      <c r="N227" s="120"/>
      <c r="O227" s="120">
        <f>SUBTOTAL(9,O220:O226)</f>
        <v>644136134</v>
      </c>
      <c r="P227" s="120"/>
      <c r="Q227" s="120">
        <f>SUBTOTAL(9,Q220:Q226)</f>
        <v>15271844</v>
      </c>
      <c r="S227" s="84">
        <f>+ROUND(Q227/K227*100,2)</f>
        <v>2.59</v>
      </c>
      <c r="T227" s="93"/>
      <c r="U227" s="189"/>
      <c r="V227" s="23"/>
      <c r="W227" s="204"/>
      <c r="X227" s="207"/>
      <c r="Y227" s="207"/>
      <c r="Z227" s="207"/>
      <c r="AA227" s="204"/>
    </row>
    <row r="228" spans="1:27">
      <c r="A228" s="80"/>
      <c r="G228" s="25"/>
      <c r="I228" s="188"/>
      <c r="K228" s="87"/>
      <c r="M228" s="46"/>
      <c r="N228" s="46"/>
      <c r="O228" s="46"/>
      <c r="P228" s="46"/>
      <c r="Q228" s="46"/>
      <c r="S228" s="49"/>
      <c r="U228" s="176"/>
      <c r="V228" s="23"/>
      <c r="W228" s="204"/>
      <c r="X228" s="207"/>
      <c r="Y228" s="207"/>
      <c r="Z228" s="207"/>
      <c r="AA228" s="204"/>
    </row>
    <row r="229" spans="1:27" ht="15.75">
      <c r="A229" s="80"/>
      <c r="B229" s="23"/>
      <c r="C229" s="24" t="s">
        <v>113</v>
      </c>
      <c r="D229" s="23"/>
      <c r="E229" s="23"/>
      <c r="F229" s="23"/>
      <c r="G229" s="25"/>
      <c r="H229" s="23"/>
      <c r="I229" s="188"/>
      <c r="J229" s="23"/>
      <c r="K229" s="87"/>
      <c r="L229" s="23"/>
      <c r="M229" s="46"/>
      <c r="N229" s="46"/>
      <c r="O229" s="46"/>
      <c r="P229" s="46"/>
      <c r="Q229" s="46"/>
      <c r="R229" s="23"/>
      <c r="S229" s="49"/>
      <c r="T229" s="23"/>
      <c r="U229" s="176"/>
      <c r="V229" s="23"/>
      <c r="W229" s="204"/>
      <c r="X229" s="207"/>
      <c r="Y229" s="207"/>
      <c r="Z229" s="207"/>
      <c r="AA229" s="204"/>
    </row>
    <row r="230" spans="1:27" ht="15.75">
      <c r="A230" s="80"/>
      <c r="C230" s="48"/>
      <c r="G230" s="25"/>
      <c r="I230" s="188"/>
      <c r="K230" s="87"/>
      <c r="M230" s="46"/>
      <c r="N230" s="46"/>
      <c r="O230" s="46"/>
      <c r="P230" s="46"/>
      <c r="Q230" s="46"/>
      <c r="S230" s="49"/>
      <c r="U230" s="176"/>
      <c r="V230" s="23"/>
      <c r="W230" s="204"/>
      <c r="X230" s="207"/>
      <c r="Y230" s="207"/>
      <c r="Z230" s="207"/>
      <c r="AA230" s="204"/>
    </row>
    <row r="231" spans="1:27">
      <c r="A231" s="80">
        <v>362</v>
      </c>
      <c r="C231" s="18" t="s">
        <v>106</v>
      </c>
      <c r="G231" s="183" t="s">
        <v>199</v>
      </c>
      <c r="H231" s="183" t="s">
        <v>178</v>
      </c>
      <c r="I231" s="184">
        <v>-10</v>
      </c>
      <c r="J231" s="65"/>
      <c r="K231" s="71">
        <v>228725585.62</v>
      </c>
      <c r="L231" s="185"/>
      <c r="M231" s="73">
        <v>85293813.819999993</v>
      </c>
      <c r="N231" s="73"/>
      <c r="O231" s="198">
        <f>ROUND((K231+(K231*-(I231/100)))-M231,0)</f>
        <v>166304330</v>
      </c>
      <c r="P231" s="73"/>
      <c r="Q231" s="211">
        <f>O231/U231</f>
        <v>5817664</v>
      </c>
      <c r="R231" s="19"/>
      <c r="S231" s="344">
        <f>Q231/K231*100</f>
        <v>2.543512560796477</v>
      </c>
      <c r="T231" s="19"/>
      <c r="U231" s="172">
        <f>AA231</f>
        <v>28.586100881728473</v>
      </c>
      <c r="V231" s="23"/>
      <c r="W231" s="203">
        <v>28.586100881728473</v>
      </c>
      <c r="X231" s="207"/>
      <c r="Y231" s="209"/>
      <c r="Z231" s="207"/>
      <c r="AA231" s="203">
        <f>W231+Y231</f>
        <v>28.586100881728473</v>
      </c>
    </row>
    <row r="232" spans="1:27">
      <c r="A232" s="80">
        <v>362.1</v>
      </c>
      <c r="C232" s="18" t="s">
        <v>114</v>
      </c>
      <c r="G232" s="183" t="s">
        <v>200</v>
      </c>
      <c r="H232" s="183" t="s">
        <v>178</v>
      </c>
      <c r="I232" s="184">
        <v>0</v>
      </c>
      <c r="J232" s="65"/>
      <c r="K232" s="71">
        <v>7252060.3200000003</v>
      </c>
      <c r="L232" s="185"/>
      <c r="M232" s="73">
        <v>3734264</v>
      </c>
      <c r="N232" s="73"/>
      <c r="O232" s="198">
        <f>ROUND((K232+(K232*-(I232/100)))-M232,0)</f>
        <v>3517796</v>
      </c>
      <c r="P232" s="73"/>
      <c r="Q232" s="211">
        <f>O232/U232</f>
        <v>138662</v>
      </c>
      <c r="R232" s="19"/>
      <c r="S232" s="344">
        <f>Q232/K232*100</f>
        <v>1.9120359440143211</v>
      </c>
      <c r="T232" s="19"/>
      <c r="U232" s="172">
        <f>AA232</f>
        <v>25.369574937618093</v>
      </c>
      <c r="V232" s="23"/>
      <c r="W232" s="203">
        <v>25.369574937618093</v>
      </c>
      <c r="X232" s="207"/>
      <c r="Y232" s="209"/>
      <c r="Z232" s="207"/>
      <c r="AA232" s="203">
        <f>W232+Y232</f>
        <v>25.369574937618093</v>
      </c>
    </row>
    <row r="233" spans="1:27">
      <c r="A233" s="80">
        <v>368</v>
      </c>
      <c r="C233" s="18" t="s">
        <v>115</v>
      </c>
      <c r="G233" s="183" t="s">
        <v>191</v>
      </c>
      <c r="H233" s="183" t="s">
        <v>178</v>
      </c>
      <c r="I233" s="184">
        <v>0</v>
      </c>
      <c r="J233" s="65"/>
      <c r="K233" s="71">
        <v>2413995.98</v>
      </c>
      <c r="L233" s="185"/>
      <c r="M233" s="73">
        <v>1281788</v>
      </c>
      <c r="N233" s="73"/>
      <c r="O233" s="198">
        <f>ROUND((K233+(K233*-(I233/100)))-M233,0)</f>
        <v>1132208</v>
      </c>
      <c r="P233" s="73"/>
      <c r="Q233" s="62">
        <f>O233/U233</f>
        <v>26958</v>
      </c>
      <c r="R233" s="19"/>
      <c r="S233" s="344">
        <f>Q233/K233*100</f>
        <v>1.116737568055105</v>
      </c>
      <c r="T233" s="19"/>
      <c r="U233" s="172">
        <f>AA233</f>
        <v>41.998961347280954</v>
      </c>
      <c r="V233" s="23"/>
      <c r="W233" s="203">
        <v>41.998961347280954</v>
      </c>
      <c r="X233" s="207"/>
      <c r="Y233" s="209"/>
      <c r="Z233" s="207"/>
      <c r="AA233" s="203">
        <f>W233+Y233</f>
        <v>41.998961347280954</v>
      </c>
    </row>
    <row r="234" spans="1:27">
      <c r="A234" s="80"/>
      <c r="G234" s="25"/>
      <c r="I234" s="188"/>
      <c r="K234" s="90"/>
      <c r="M234" s="91"/>
      <c r="N234" s="46"/>
      <c r="O234" s="91"/>
      <c r="P234" s="46"/>
      <c r="Q234" s="210"/>
      <c r="S234" s="49"/>
      <c r="U234" s="176"/>
      <c r="V234" s="23"/>
      <c r="W234" s="202"/>
      <c r="X234" s="207"/>
      <c r="Y234" s="207"/>
      <c r="Z234" s="207"/>
      <c r="AA234" s="202"/>
    </row>
    <row r="235" spans="1:27" ht="15.75">
      <c r="A235" s="80"/>
      <c r="C235" s="81" t="s">
        <v>116</v>
      </c>
      <c r="G235" s="28"/>
      <c r="H235" s="93"/>
      <c r="I235" s="158"/>
      <c r="J235" s="93"/>
      <c r="K235" s="118">
        <f>SUBTOTAL(9,K231:K234)</f>
        <v>238391641.91999999</v>
      </c>
      <c r="L235" s="93"/>
      <c r="M235" s="120">
        <f>SUBTOTAL(9,M231:M234)</f>
        <v>90309865.819999993</v>
      </c>
      <c r="N235" s="120"/>
      <c r="O235" s="120">
        <f>SUBTOTAL(9,O231:O234)</f>
        <v>170954334</v>
      </c>
      <c r="P235" s="120"/>
      <c r="Q235" s="120">
        <f>SUBTOTAL(9,Q231:Q234)</f>
        <v>5983284</v>
      </c>
      <c r="R235" s="93"/>
      <c r="S235" s="84">
        <f>+ROUND(Q235/K235*100,2)</f>
        <v>2.5099999999999998</v>
      </c>
      <c r="T235" s="93"/>
      <c r="U235" s="189"/>
      <c r="V235" s="23"/>
      <c r="W235" s="202"/>
      <c r="X235" s="207"/>
      <c r="Y235" s="207"/>
      <c r="Z235" s="207"/>
      <c r="AA235" s="202"/>
    </row>
    <row r="236" spans="1:27">
      <c r="A236" s="80"/>
      <c r="G236" s="25"/>
      <c r="I236" s="188"/>
      <c r="K236" s="87"/>
      <c r="M236" s="46"/>
      <c r="N236" s="46"/>
      <c r="O236" s="46"/>
      <c r="P236" s="46"/>
      <c r="Q236" s="46"/>
      <c r="S236" s="49"/>
      <c r="U236" s="176"/>
      <c r="V236" s="23"/>
      <c r="W236" s="202"/>
      <c r="X236" s="207"/>
      <c r="Y236" s="207"/>
      <c r="Z236" s="207"/>
      <c r="AA236" s="202"/>
    </row>
    <row r="237" spans="1:27" ht="15.75">
      <c r="A237" s="80"/>
      <c r="C237" s="24" t="s">
        <v>117</v>
      </c>
      <c r="G237" s="25"/>
      <c r="I237" s="188"/>
      <c r="K237" s="87"/>
      <c r="M237" s="46"/>
      <c r="N237" s="46"/>
      <c r="O237" s="46"/>
      <c r="P237" s="46"/>
      <c r="Q237" s="46"/>
      <c r="S237" s="49"/>
      <c r="U237" s="176"/>
      <c r="V237" s="23"/>
      <c r="W237" s="202"/>
      <c r="X237" s="207"/>
      <c r="Y237" s="207"/>
      <c r="Z237" s="207"/>
      <c r="AA237" s="202"/>
    </row>
    <row r="238" spans="1:27" ht="15.75">
      <c r="A238" s="80"/>
      <c r="C238" s="48"/>
      <c r="G238" s="25"/>
      <c r="I238" s="188"/>
      <c r="K238" s="87"/>
      <c r="M238" s="46"/>
      <c r="N238" s="46"/>
      <c r="O238" s="46"/>
      <c r="P238" s="46"/>
      <c r="Q238" s="46"/>
      <c r="S238" s="49"/>
      <c r="U238" s="176"/>
      <c r="V238" s="23"/>
      <c r="W238" s="202"/>
      <c r="X238" s="207"/>
      <c r="Y238" s="207"/>
      <c r="Z238" s="207"/>
      <c r="AA238" s="202"/>
    </row>
    <row r="239" spans="1:27">
      <c r="A239" s="80">
        <v>390</v>
      </c>
      <c r="C239" s="86" t="s">
        <v>53</v>
      </c>
      <c r="G239" s="183" t="s">
        <v>201</v>
      </c>
      <c r="H239" s="183" t="s">
        <v>178</v>
      </c>
      <c r="I239" s="184">
        <v>0</v>
      </c>
      <c r="J239" s="65"/>
      <c r="K239" s="71">
        <v>17176820.18</v>
      </c>
      <c r="L239" s="185"/>
      <c r="M239" s="73">
        <v>9684841</v>
      </c>
      <c r="N239" s="73"/>
      <c r="O239" s="73">
        <v>7491979</v>
      </c>
      <c r="P239" s="73"/>
      <c r="Q239" s="73">
        <v>170358</v>
      </c>
      <c r="R239" s="19"/>
      <c r="S239" s="74">
        <v>0.99</v>
      </c>
      <c r="T239" s="19"/>
      <c r="U239" s="186">
        <v>44</v>
      </c>
      <c r="V239" s="23"/>
      <c r="W239" s="202"/>
      <c r="X239" s="207"/>
      <c r="Y239" s="207"/>
      <c r="Z239" s="207"/>
      <c r="AA239" s="202"/>
    </row>
    <row r="240" spans="1:27">
      <c r="A240" s="80"/>
      <c r="C240" s="86"/>
      <c r="G240" s="183"/>
      <c r="H240" s="183"/>
      <c r="I240" s="184"/>
      <c r="J240" s="65"/>
      <c r="K240" s="71"/>
      <c r="L240" s="185"/>
      <c r="M240" s="73"/>
      <c r="N240" s="73"/>
      <c r="O240" s="73"/>
      <c r="P240" s="73"/>
      <c r="Q240" s="73"/>
      <c r="R240" s="19"/>
      <c r="S240" s="74"/>
      <c r="T240" s="19"/>
      <c r="U240" s="186"/>
      <c r="V240" s="23"/>
      <c r="W240" s="202"/>
      <c r="X240" s="207"/>
      <c r="Y240" s="207"/>
      <c r="Z240" s="207"/>
      <c r="AA240" s="202"/>
    </row>
    <row r="241" spans="1:27">
      <c r="A241" s="80">
        <v>391</v>
      </c>
      <c r="C241" s="94" t="s">
        <v>119</v>
      </c>
      <c r="G241" s="183"/>
      <c r="H241" s="183"/>
      <c r="I241" s="184"/>
      <c r="J241" s="65"/>
      <c r="K241" s="71"/>
      <c r="L241" s="185"/>
      <c r="M241" s="73"/>
      <c r="N241" s="73"/>
      <c r="O241" s="73"/>
      <c r="P241" s="73"/>
      <c r="Q241" s="73"/>
      <c r="R241" s="19"/>
      <c r="S241" s="74"/>
      <c r="T241" s="19"/>
      <c r="U241" s="186"/>
      <c r="V241" s="23"/>
      <c r="W241" s="202"/>
      <c r="X241" s="207"/>
      <c r="Y241" s="207"/>
      <c r="Z241" s="207"/>
      <c r="AA241" s="202"/>
    </row>
    <row r="242" spans="1:27">
      <c r="A242" s="80"/>
      <c r="C242" s="95" t="s">
        <v>120</v>
      </c>
      <c r="D242" s="37"/>
      <c r="E242" s="37"/>
      <c r="F242" s="37"/>
      <c r="G242" s="169"/>
      <c r="H242" s="169"/>
      <c r="I242" s="170"/>
      <c r="J242" s="50"/>
      <c r="K242" s="55">
        <v>2016677.53</v>
      </c>
      <c r="L242" s="171"/>
      <c r="M242" s="57">
        <v>2016678</v>
      </c>
      <c r="N242" s="57"/>
      <c r="O242" s="57">
        <v>0</v>
      </c>
      <c r="P242" s="57"/>
      <c r="Q242" s="57">
        <v>0</v>
      </c>
      <c r="R242" s="50"/>
      <c r="S242" s="74">
        <v>0</v>
      </c>
      <c r="T242" s="50"/>
      <c r="U242" s="172">
        <v>0</v>
      </c>
      <c r="V242" s="23"/>
      <c r="W242" s="202"/>
      <c r="X242" s="207"/>
      <c r="Y242" s="207"/>
      <c r="Z242" s="207"/>
      <c r="AA242" s="202"/>
    </row>
    <row r="243" spans="1:27">
      <c r="A243" s="80"/>
      <c r="C243" s="95" t="s">
        <v>121</v>
      </c>
      <c r="D243" s="37"/>
      <c r="E243" s="37"/>
      <c r="F243" s="37"/>
      <c r="G243" s="169" t="s">
        <v>202</v>
      </c>
      <c r="H243" s="169" t="s">
        <v>178</v>
      </c>
      <c r="I243" s="170">
        <v>0</v>
      </c>
      <c r="J243" s="50"/>
      <c r="K243" s="60">
        <v>9301032.1600000001</v>
      </c>
      <c r="L243" s="171"/>
      <c r="M243" s="62">
        <v>2720987</v>
      </c>
      <c r="N243" s="57"/>
      <c r="O243" s="62">
        <v>6580045</v>
      </c>
      <c r="P243" s="57"/>
      <c r="Q243" s="62">
        <v>465074</v>
      </c>
      <c r="R243" s="50"/>
      <c r="S243" s="74">
        <v>5</v>
      </c>
      <c r="T243" s="50"/>
      <c r="U243" s="172">
        <v>14.1</v>
      </c>
      <c r="V243" s="23"/>
      <c r="W243" s="202"/>
      <c r="X243" s="207"/>
      <c r="Y243" s="207"/>
      <c r="Z243" s="207"/>
      <c r="AA243" s="202"/>
    </row>
    <row r="244" spans="1:27">
      <c r="A244" s="80"/>
      <c r="C244" s="37"/>
      <c r="D244" s="37"/>
      <c r="E244" s="37"/>
      <c r="F244" s="37"/>
      <c r="G244" s="169"/>
      <c r="H244" s="169"/>
      <c r="I244" s="170"/>
      <c r="J244" s="50"/>
      <c r="K244" s="55"/>
      <c r="L244" s="171"/>
      <c r="M244" s="57"/>
      <c r="N244" s="57"/>
      <c r="O244" s="57"/>
      <c r="P244" s="57"/>
      <c r="Q244" s="57"/>
      <c r="R244" s="50"/>
      <c r="S244" s="74"/>
      <c r="T244" s="50"/>
      <c r="U244" s="172"/>
      <c r="V244" s="23"/>
      <c r="W244" s="202"/>
      <c r="X244" s="207"/>
      <c r="Y244" s="207"/>
      <c r="Z244" s="207"/>
      <c r="AA244" s="202"/>
    </row>
    <row r="245" spans="1:27">
      <c r="A245" s="80"/>
      <c r="C245" s="37" t="s">
        <v>122</v>
      </c>
      <c r="D245" s="37"/>
      <c r="E245" s="37"/>
      <c r="F245" s="37"/>
      <c r="G245" s="169"/>
      <c r="H245" s="169"/>
      <c r="I245" s="170"/>
      <c r="J245" s="50"/>
      <c r="K245" s="55">
        <f>SUBTOTAL(9,K242:K244)</f>
        <v>11317709.689999999</v>
      </c>
      <c r="L245" s="171"/>
      <c r="M245" s="57">
        <f>SUBTOTAL(9,M242:M244)</f>
        <v>4737665</v>
      </c>
      <c r="N245" s="57"/>
      <c r="O245" s="57">
        <f>SUBTOTAL(9,O242:O244)</f>
        <v>6580045</v>
      </c>
      <c r="P245" s="57"/>
      <c r="Q245" s="57">
        <f>SUBTOTAL(9,Q242:Q244)</f>
        <v>465074</v>
      </c>
      <c r="R245" s="50"/>
      <c r="S245" s="74">
        <f>+ROUND(Q245/K245*100,2)</f>
        <v>4.1100000000000003</v>
      </c>
      <c r="T245" s="50"/>
      <c r="U245" s="172"/>
      <c r="V245" s="23"/>
      <c r="W245" s="202"/>
      <c r="X245" s="207"/>
      <c r="Y245" s="207"/>
      <c r="Z245" s="207"/>
      <c r="AA245" s="202"/>
    </row>
    <row r="246" spans="1:27">
      <c r="A246" s="80"/>
      <c r="C246" s="94"/>
      <c r="G246" s="183"/>
      <c r="H246" s="183"/>
      <c r="I246" s="184"/>
      <c r="J246" s="65"/>
      <c r="K246" s="71"/>
      <c r="L246" s="185"/>
      <c r="M246" s="73"/>
      <c r="N246" s="73"/>
      <c r="O246" s="73"/>
      <c r="P246" s="73"/>
      <c r="Q246" s="73"/>
      <c r="R246" s="19"/>
      <c r="S246" s="74"/>
      <c r="T246" s="19"/>
      <c r="U246" s="186"/>
      <c r="V246" s="23"/>
      <c r="W246" s="202"/>
      <c r="X246" s="207"/>
      <c r="Y246" s="207"/>
      <c r="Z246" s="207"/>
      <c r="AA246" s="202"/>
    </row>
    <row r="247" spans="1:27">
      <c r="A247" s="80">
        <v>391.1</v>
      </c>
      <c r="C247" s="94" t="s">
        <v>123</v>
      </c>
      <c r="G247" s="183"/>
      <c r="H247" s="183"/>
      <c r="I247" s="184"/>
      <c r="J247" s="65"/>
      <c r="K247" s="71"/>
      <c r="L247" s="185"/>
      <c r="M247" s="73"/>
      <c r="N247" s="73"/>
      <c r="O247" s="73"/>
      <c r="P247" s="73"/>
      <c r="Q247" s="73"/>
      <c r="R247" s="19"/>
      <c r="S247" s="74"/>
      <c r="T247" s="19"/>
      <c r="U247" s="186"/>
      <c r="V247" s="23"/>
      <c r="W247" s="202"/>
      <c r="X247" s="207"/>
      <c r="Y247" s="207"/>
      <c r="Z247" s="207"/>
      <c r="AA247" s="202"/>
    </row>
    <row r="248" spans="1:27">
      <c r="A248" s="80"/>
      <c r="C248" s="95" t="s">
        <v>120</v>
      </c>
      <c r="G248" s="169"/>
      <c r="H248" s="169"/>
      <c r="I248" s="170"/>
      <c r="J248" s="50"/>
      <c r="K248" s="55">
        <v>2771805.14</v>
      </c>
      <c r="L248" s="171"/>
      <c r="M248" s="57">
        <v>2771805</v>
      </c>
      <c r="N248" s="57"/>
      <c r="O248" s="57">
        <v>0</v>
      </c>
      <c r="P248" s="57"/>
      <c r="Q248" s="57">
        <v>0</v>
      </c>
      <c r="R248" s="50"/>
      <c r="S248" s="74">
        <v>0</v>
      </c>
      <c r="T248" s="50"/>
      <c r="U248" s="172">
        <v>0</v>
      </c>
      <c r="V248" s="23"/>
      <c r="W248" s="202"/>
      <c r="X248" s="207"/>
      <c r="Y248" s="207"/>
      <c r="Z248" s="207"/>
      <c r="AA248" s="202"/>
    </row>
    <row r="249" spans="1:27">
      <c r="A249" s="80"/>
      <c r="C249" s="95" t="s">
        <v>121</v>
      </c>
      <c r="G249" s="169" t="s">
        <v>203</v>
      </c>
      <c r="H249" s="169" t="s">
        <v>178</v>
      </c>
      <c r="I249" s="170">
        <v>0</v>
      </c>
      <c r="J249" s="50"/>
      <c r="K249" s="60">
        <v>14526688.529999999</v>
      </c>
      <c r="L249" s="171"/>
      <c r="M249" s="62">
        <v>7449052</v>
      </c>
      <c r="N249" s="57"/>
      <c r="O249" s="62">
        <v>7077637</v>
      </c>
      <c r="P249" s="57"/>
      <c r="Q249" s="62">
        <v>968596</v>
      </c>
      <c r="R249" s="50"/>
      <c r="S249" s="74">
        <v>6.67</v>
      </c>
      <c r="T249" s="50"/>
      <c r="U249" s="172">
        <v>7.3</v>
      </c>
      <c r="V249" s="23"/>
      <c r="W249" s="202"/>
      <c r="X249" s="207"/>
      <c r="Y249" s="207"/>
      <c r="Z249" s="207"/>
      <c r="AA249" s="202"/>
    </row>
    <row r="250" spans="1:27">
      <c r="A250" s="80"/>
      <c r="C250" s="37"/>
      <c r="G250" s="183"/>
      <c r="H250" s="183"/>
      <c r="I250" s="184"/>
      <c r="J250" s="65"/>
      <c r="K250" s="71"/>
      <c r="L250" s="185"/>
      <c r="M250" s="73"/>
      <c r="N250" s="73"/>
      <c r="O250" s="73"/>
      <c r="P250" s="73"/>
      <c r="Q250" s="73"/>
      <c r="R250" s="19"/>
      <c r="S250" s="74"/>
      <c r="T250" s="19"/>
      <c r="U250" s="186"/>
      <c r="V250" s="23"/>
      <c r="W250" s="202"/>
      <c r="X250" s="207"/>
      <c r="Y250" s="207"/>
      <c r="Z250" s="207"/>
      <c r="AA250" s="202"/>
    </row>
    <row r="251" spans="1:27">
      <c r="A251" s="80"/>
      <c r="C251" s="37" t="s">
        <v>124</v>
      </c>
      <c r="G251" s="183"/>
      <c r="H251" s="183"/>
      <c r="I251" s="184"/>
      <c r="J251" s="65"/>
      <c r="K251" s="55">
        <f>SUBTOTAL(9,K248:K250)</f>
        <v>17298493.669999998</v>
      </c>
      <c r="L251" s="171"/>
      <c r="M251" s="57">
        <f>SUBTOTAL(9,M248:M250)</f>
        <v>10220857</v>
      </c>
      <c r="N251" s="57"/>
      <c r="O251" s="57">
        <f>SUBTOTAL(9,O248:O250)</f>
        <v>7077637</v>
      </c>
      <c r="P251" s="57"/>
      <c r="Q251" s="57">
        <f>SUBTOTAL(9,Q248:Q250)</f>
        <v>968596</v>
      </c>
      <c r="R251" s="50"/>
      <c r="S251" s="74">
        <f>+ROUND(Q251/K251*100,2)</f>
        <v>5.6</v>
      </c>
      <c r="T251" s="19"/>
      <c r="U251" s="186"/>
      <c r="V251" s="23"/>
      <c r="W251" s="202"/>
      <c r="X251" s="207"/>
      <c r="Y251" s="207"/>
      <c r="Z251" s="207"/>
      <c r="AA251" s="202"/>
    </row>
    <row r="252" spans="1:27">
      <c r="A252" s="80"/>
      <c r="C252" s="94"/>
      <c r="G252" s="183"/>
      <c r="H252" s="183"/>
      <c r="I252" s="184"/>
      <c r="J252" s="65"/>
      <c r="K252" s="71"/>
      <c r="L252" s="185"/>
      <c r="M252" s="73"/>
      <c r="N252" s="73"/>
      <c r="O252" s="73"/>
      <c r="P252" s="73"/>
      <c r="Q252" s="73"/>
      <c r="R252" s="19"/>
      <c r="S252" s="74"/>
      <c r="T252" s="19"/>
      <c r="U252" s="186"/>
      <c r="V252" s="23"/>
      <c r="W252" s="202"/>
      <c r="X252" s="207"/>
      <c r="Y252" s="207"/>
      <c r="Z252" s="207"/>
      <c r="AA252" s="202"/>
    </row>
    <row r="253" spans="1:27">
      <c r="A253" s="80">
        <v>392</v>
      </c>
      <c r="C253" s="94" t="s">
        <v>125</v>
      </c>
      <c r="G253" s="183" t="s">
        <v>204</v>
      </c>
      <c r="H253" s="183" t="s">
        <v>178</v>
      </c>
      <c r="I253" s="184">
        <v>0</v>
      </c>
      <c r="J253" s="65"/>
      <c r="K253" s="71">
        <v>17294828.559999999</v>
      </c>
      <c r="L253" s="185"/>
      <c r="M253" s="73">
        <v>9084603</v>
      </c>
      <c r="N253" s="73"/>
      <c r="O253" s="73">
        <v>8210226</v>
      </c>
      <c r="P253" s="73"/>
      <c r="Q253" s="73">
        <v>1010178</v>
      </c>
      <c r="R253" s="19"/>
      <c r="S253" s="74">
        <v>5.84</v>
      </c>
      <c r="T253" s="19"/>
      <c r="U253" s="186">
        <v>8.1</v>
      </c>
      <c r="V253" s="23"/>
      <c r="W253" s="202"/>
      <c r="X253" s="207"/>
      <c r="Y253" s="207"/>
      <c r="Z253" s="207"/>
      <c r="AA253" s="202"/>
    </row>
    <row r="254" spans="1:27">
      <c r="A254" s="80">
        <v>393</v>
      </c>
      <c r="C254" s="86" t="s">
        <v>126</v>
      </c>
      <c r="G254" s="183" t="s">
        <v>205</v>
      </c>
      <c r="H254" s="183" t="s">
        <v>178</v>
      </c>
      <c r="I254" s="184">
        <v>0</v>
      </c>
      <c r="J254" s="65"/>
      <c r="K254" s="71">
        <v>132973.46</v>
      </c>
      <c r="L254" s="185"/>
      <c r="M254" s="73">
        <v>99601</v>
      </c>
      <c r="N254" s="73"/>
      <c r="O254" s="73">
        <v>33372</v>
      </c>
      <c r="P254" s="73"/>
      <c r="Q254" s="73">
        <v>5318</v>
      </c>
      <c r="R254" s="19"/>
      <c r="S254" s="74">
        <v>4</v>
      </c>
      <c r="T254" s="19"/>
      <c r="U254" s="186">
        <v>6.3</v>
      </c>
      <c r="V254" s="23"/>
      <c r="W254" s="202"/>
      <c r="X254" s="207"/>
      <c r="Y254" s="207"/>
      <c r="Z254" s="207"/>
      <c r="AA254" s="202"/>
    </row>
    <row r="255" spans="1:27">
      <c r="A255" s="80"/>
      <c r="C255" s="86"/>
      <c r="G255" s="183"/>
      <c r="H255" s="183"/>
      <c r="I255" s="184"/>
      <c r="J255" s="65"/>
      <c r="K255" s="71"/>
      <c r="L255" s="185"/>
      <c r="M255" s="73"/>
      <c r="N255" s="73"/>
      <c r="O255" s="73"/>
      <c r="P255" s="73"/>
      <c r="Q255" s="73"/>
      <c r="R255" s="19"/>
      <c r="S255" s="74"/>
      <c r="T255" s="19"/>
      <c r="U255" s="186"/>
      <c r="V255" s="23"/>
      <c r="W255" s="202"/>
      <c r="X255" s="207"/>
      <c r="Y255" s="207"/>
      <c r="Z255" s="207"/>
      <c r="AA255" s="202"/>
    </row>
    <row r="256" spans="1:27">
      <c r="A256" s="80">
        <v>394</v>
      </c>
      <c r="C256" s="96" t="s">
        <v>206</v>
      </c>
      <c r="G256" s="183"/>
      <c r="H256" s="183"/>
      <c r="I256" s="184"/>
      <c r="J256" s="65"/>
      <c r="K256" s="71"/>
      <c r="L256" s="185"/>
      <c r="M256" s="73"/>
      <c r="N256" s="73"/>
      <c r="O256" s="73"/>
      <c r="P256" s="73"/>
      <c r="Q256" s="73"/>
      <c r="R256" s="19"/>
      <c r="S256" s="74"/>
      <c r="T256" s="19"/>
      <c r="U256" s="186"/>
      <c r="V256" s="23"/>
      <c r="W256" s="202"/>
      <c r="X256" s="207"/>
      <c r="Y256" s="207"/>
      <c r="Z256" s="207"/>
      <c r="AA256" s="202"/>
    </row>
    <row r="257" spans="1:27">
      <c r="A257" s="80"/>
      <c r="C257" s="95" t="s">
        <v>120</v>
      </c>
      <c r="G257" s="169"/>
      <c r="H257" s="169"/>
      <c r="I257" s="170"/>
      <c r="J257" s="50"/>
      <c r="K257" s="55">
        <v>772161.33</v>
      </c>
      <c r="L257" s="171"/>
      <c r="M257" s="57">
        <v>772161</v>
      </c>
      <c r="N257" s="57"/>
      <c r="O257" s="57">
        <v>0</v>
      </c>
      <c r="P257" s="57"/>
      <c r="Q257" s="57">
        <v>0</v>
      </c>
      <c r="R257" s="50"/>
      <c r="S257" s="74">
        <v>0</v>
      </c>
      <c r="T257" s="50"/>
      <c r="U257" s="172">
        <v>0</v>
      </c>
      <c r="V257" s="23"/>
      <c r="W257" s="202"/>
      <c r="X257" s="207"/>
      <c r="Y257" s="207"/>
      <c r="Z257" s="207"/>
      <c r="AA257" s="202"/>
    </row>
    <row r="258" spans="1:27">
      <c r="A258" s="80"/>
      <c r="C258" s="95" t="s">
        <v>121</v>
      </c>
      <c r="G258" s="169" t="s">
        <v>202</v>
      </c>
      <c r="H258" s="169" t="s">
        <v>178</v>
      </c>
      <c r="I258" s="170">
        <v>0</v>
      </c>
      <c r="J258" s="50"/>
      <c r="K258" s="60">
        <v>1540988.46</v>
      </c>
      <c r="L258" s="171"/>
      <c r="M258" s="62">
        <v>602512</v>
      </c>
      <c r="N258" s="57"/>
      <c r="O258" s="62">
        <v>938476</v>
      </c>
      <c r="P258" s="57"/>
      <c r="Q258" s="62">
        <v>77077</v>
      </c>
      <c r="R258" s="50"/>
      <c r="S258" s="74">
        <v>5</v>
      </c>
      <c r="T258" s="50"/>
      <c r="U258" s="172">
        <v>12.2</v>
      </c>
      <c r="V258" s="23"/>
      <c r="W258" s="202"/>
      <c r="X258" s="207"/>
      <c r="Y258" s="207"/>
      <c r="Z258" s="207"/>
      <c r="AA258" s="202"/>
    </row>
    <row r="259" spans="1:27">
      <c r="A259" s="80"/>
      <c r="C259" s="37"/>
      <c r="G259" s="183"/>
      <c r="H259" s="183"/>
      <c r="I259" s="184"/>
      <c r="J259" s="65"/>
      <c r="K259" s="71"/>
      <c r="L259" s="185"/>
      <c r="M259" s="73"/>
      <c r="N259" s="73"/>
      <c r="O259" s="73"/>
      <c r="P259" s="73"/>
      <c r="Q259" s="73"/>
      <c r="R259" s="19"/>
      <c r="S259" s="74"/>
      <c r="T259" s="19"/>
      <c r="U259" s="186"/>
      <c r="V259" s="23"/>
      <c r="W259" s="202"/>
      <c r="X259" s="207"/>
      <c r="Y259" s="207"/>
      <c r="Z259" s="207"/>
      <c r="AA259" s="202"/>
    </row>
    <row r="260" spans="1:27">
      <c r="A260" s="80"/>
      <c r="C260" s="37" t="s">
        <v>128</v>
      </c>
      <c r="G260" s="183"/>
      <c r="H260" s="183"/>
      <c r="I260" s="184"/>
      <c r="J260" s="65"/>
      <c r="K260" s="55">
        <f>SUBTOTAL(9,K257:K259)</f>
        <v>2313149.79</v>
      </c>
      <c r="L260" s="171"/>
      <c r="M260" s="57">
        <f>SUBTOTAL(9,M257:M259)</f>
        <v>1374673</v>
      </c>
      <c r="N260" s="57"/>
      <c r="O260" s="57">
        <f>SUBTOTAL(9,O257:O259)</f>
        <v>938476</v>
      </c>
      <c r="P260" s="57"/>
      <c r="Q260" s="57">
        <f>SUBTOTAL(9,Q257:Q259)</f>
        <v>77077</v>
      </c>
      <c r="R260" s="50"/>
      <c r="S260" s="74">
        <f>+ROUND(Q260/K260*100,2)</f>
        <v>3.33</v>
      </c>
      <c r="T260" s="50"/>
      <c r="U260" s="186"/>
      <c r="V260" s="23"/>
      <c r="W260" s="202"/>
      <c r="X260" s="207"/>
      <c r="Y260" s="207"/>
      <c r="Z260" s="207"/>
      <c r="AA260" s="202"/>
    </row>
    <row r="261" spans="1:27">
      <c r="A261" s="80"/>
      <c r="C261" s="96"/>
      <c r="G261" s="183"/>
      <c r="H261" s="183"/>
      <c r="I261" s="184"/>
      <c r="J261" s="65"/>
      <c r="K261" s="71"/>
      <c r="L261" s="185"/>
      <c r="M261" s="73"/>
      <c r="N261" s="73"/>
      <c r="O261" s="73"/>
      <c r="P261" s="73"/>
      <c r="Q261" s="73"/>
      <c r="R261" s="19"/>
      <c r="S261" s="74"/>
      <c r="T261" s="19"/>
      <c r="U261" s="186"/>
      <c r="V261" s="23"/>
      <c r="W261" s="202"/>
      <c r="X261" s="207"/>
      <c r="Y261" s="207"/>
      <c r="Z261" s="207"/>
      <c r="AA261" s="202"/>
    </row>
    <row r="262" spans="1:27">
      <c r="A262" s="80">
        <v>395</v>
      </c>
      <c r="C262" s="86" t="s">
        <v>129</v>
      </c>
      <c r="G262" s="169"/>
      <c r="H262" s="169"/>
      <c r="I262" s="170"/>
      <c r="J262" s="50"/>
      <c r="K262" s="55"/>
      <c r="L262" s="171"/>
      <c r="M262" s="57"/>
      <c r="N262" s="57"/>
      <c r="O262" s="57"/>
      <c r="P262" s="57"/>
      <c r="Q262" s="57"/>
      <c r="R262" s="50"/>
      <c r="S262" s="74"/>
      <c r="T262" s="50"/>
      <c r="U262" s="172"/>
      <c r="V262" s="23"/>
      <c r="W262" s="202"/>
      <c r="X262" s="207"/>
      <c r="Y262" s="207"/>
      <c r="Z262" s="207"/>
      <c r="AA262" s="202"/>
    </row>
    <row r="263" spans="1:27">
      <c r="A263" s="80"/>
      <c r="C263" s="95" t="s">
        <v>120</v>
      </c>
      <c r="G263" s="169"/>
      <c r="H263" s="169"/>
      <c r="I263" s="170"/>
      <c r="J263" s="50"/>
      <c r="K263" s="55">
        <v>1251278.95</v>
      </c>
      <c r="L263" s="171"/>
      <c r="M263" s="57">
        <v>1251279</v>
      </c>
      <c r="N263" s="57"/>
      <c r="O263" s="57">
        <v>0</v>
      </c>
      <c r="P263" s="57"/>
      <c r="Q263" s="57">
        <v>0</v>
      </c>
      <c r="R263" s="50"/>
      <c r="S263" s="74">
        <v>0</v>
      </c>
      <c r="T263" s="50"/>
      <c r="U263" s="172">
        <v>0</v>
      </c>
      <c r="V263" s="23"/>
      <c r="W263" s="202"/>
      <c r="X263" s="207"/>
      <c r="Y263" s="207"/>
      <c r="Z263" s="207"/>
      <c r="AA263" s="202"/>
    </row>
    <row r="264" spans="1:27">
      <c r="A264" s="80"/>
      <c r="C264" s="95" t="s">
        <v>121</v>
      </c>
      <c r="G264" s="169" t="s">
        <v>202</v>
      </c>
      <c r="H264" s="169" t="s">
        <v>178</v>
      </c>
      <c r="I264" s="170">
        <v>0</v>
      </c>
      <c r="J264" s="50"/>
      <c r="K264" s="60">
        <v>4059896.75</v>
      </c>
      <c r="L264" s="171"/>
      <c r="M264" s="62">
        <v>1563859</v>
      </c>
      <c r="N264" s="57"/>
      <c r="O264" s="62">
        <v>2496038</v>
      </c>
      <c r="P264" s="57"/>
      <c r="Q264" s="62">
        <v>203000</v>
      </c>
      <c r="R264" s="50"/>
      <c r="S264" s="74">
        <v>5</v>
      </c>
      <c r="T264" s="50"/>
      <c r="U264" s="172">
        <v>12.3</v>
      </c>
      <c r="V264" s="23"/>
      <c r="W264" s="202"/>
      <c r="X264" s="207"/>
      <c r="Y264" s="207"/>
      <c r="Z264" s="207"/>
      <c r="AA264" s="202"/>
    </row>
    <row r="265" spans="1:27">
      <c r="A265" s="80"/>
      <c r="C265" s="37"/>
      <c r="G265" s="183"/>
      <c r="H265" s="183"/>
      <c r="I265" s="184"/>
      <c r="J265" s="65"/>
      <c r="K265" s="71"/>
      <c r="L265" s="185"/>
      <c r="M265" s="73"/>
      <c r="N265" s="73"/>
      <c r="O265" s="73"/>
      <c r="P265" s="73"/>
      <c r="Q265" s="73"/>
      <c r="R265" s="19"/>
      <c r="S265" s="74"/>
      <c r="T265" s="19"/>
      <c r="U265" s="186"/>
      <c r="V265" s="23"/>
      <c r="W265" s="202"/>
      <c r="X265" s="207"/>
      <c r="Y265" s="207"/>
      <c r="Z265" s="207"/>
      <c r="AA265" s="202"/>
    </row>
    <row r="266" spans="1:27">
      <c r="A266" s="80"/>
      <c r="C266" s="37" t="s">
        <v>130</v>
      </c>
      <c r="G266" s="183"/>
      <c r="H266" s="183"/>
      <c r="I266" s="184"/>
      <c r="J266" s="65"/>
      <c r="K266" s="55">
        <f>SUBTOTAL(9,K263:K265)</f>
        <v>5311175.7</v>
      </c>
      <c r="L266" s="171"/>
      <c r="M266" s="57">
        <f>SUBTOTAL(9,M263:M265)</f>
        <v>2815138</v>
      </c>
      <c r="N266" s="57"/>
      <c r="O266" s="57">
        <f>SUBTOTAL(9,O263:O265)</f>
        <v>2496038</v>
      </c>
      <c r="P266" s="57"/>
      <c r="Q266" s="57">
        <f>SUBTOTAL(9,Q263:Q265)</f>
        <v>203000</v>
      </c>
      <c r="R266" s="50"/>
      <c r="S266" s="74">
        <f>+ROUND(Q266/K266*100,2)</f>
        <v>3.82</v>
      </c>
      <c r="T266" s="19"/>
      <c r="U266" s="186"/>
      <c r="V266" s="23"/>
      <c r="W266" s="202"/>
      <c r="X266" s="207"/>
      <c r="Y266" s="207"/>
      <c r="Z266" s="207"/>
      <c r="AA266" s="202"/>
    </row>
    <row r="267" spans="1:27">
      <c r="A267" s="80"/>
      <c r="C267" s="86"/>
      <c r="G267" s="183"/>
      <c r="H267" s="183"/>
      <c r="I267" s="184"/>
      <c r="J267" s="65"/>
      <c r="K267" s="71"/>
      <c r="L267" s="185"/>
      <c r="M267" s="73"/>
      <c r="N267" s="73"/>
      <c r="O267" s="73"/>
      <c r="P267" s="73"/>
      <c r="Q267" s="73"/>
      <c r="R267" s="19"/>
      <c r="S267" s="74"/>
      <c r="T267" s="19"/>
      <c r="U267" s="186"/>
      <c r="V267" s="23"/>
      <c r="W267" s="202"/>
      <c r="X267" s="207"/>
      <c r="Y267" s="207"/>
      <c r="Z267" s="207"/>
      <c r="AA267" s="202"/>
    </row>
    <row r="268" spans="1:27">
      <c r="A268" s="80">
        <v>396</v>
      </c>
      <c r="C268" s="19" t="s">
        <v>131</v>
      </c>
      <c r="G268" s="183" t="s">
        <v>207</v>
      </c>
      <c r="H268" s="183" t="s">
        <v>178</v>
      </c>
      <c r="I268" s="184">
        <v>0</v>
      </c>
      <c r="J268" s="65"/>
      <c r="K268" s="71">
        <v>20685598.48</v>
      </c>
      <c r="L268" s="185"/>
      <c r="M268" s="73">
        <v>13562128.119999999</v>
      </c>
      <c r="N268" s="73"/>
      <c r="O268" s="73">
        <v>7123470</v>
      </c>
      <c r="P268" s="73"/>
      <c r="Q268" s="73">
        <v>416907</v>
      </c>
      <c r="R268" s="19"/>
      <c r="S268" s="74">
        <v>2.02</v>
      </c>
      <c r="T268" s="19"/>
      <c r="U268" s="186">
        <v>17.100000000000001</v>
      </c>
      <c r="V268" s="23"/>
      <c r="W268" s="202"/>
      <c r="X268" s="207"/>
      <c r="Y268" s="207"/>
      <c r="Z268" s="207"/>
      <c r="AA268" s="202"/>
    </row>
    <row r="269" spans="1:27">
      <c r="A269" s="80"/>
      <c r="C269" s="19"/>
      <c r="G269" s="183"/>
      <c r="H269" s="183"/>
      <c r="I269" s="184"/>
      <c r="J269" s="65"/>
      <c r="K269" s="71"/>
      <c r="L269" s="185"/>
      <c r="M269" s="73"/>
      <c r="N269" s="73"/>
      <c r="O269" s="73"/>
      <c r="P269" s="73"/>
      <c r="Q269" s="73"/>
      <c r="R269" s="19"/>
      <c r="S269" s="74"/>
      <c r="T269" s="19"/>
      <c r="U269" s="186"/>
      <c r="V269" s="23"/>
      <c r="W269" s="202"/>
      <c r="X269" s="207"/>
      <c r="Y269" s="207"/>
      <c r="Z269" s="207"/>
      <c r="AA269" s="202"/>
    </row>
    <row r="270" spans="1:27">
      <c r="A270" s="80">
        <v>397</v>
      </c>
      <c r="C270" s="19" t="s">
        <v>132</v>
      </c>
      <c r="G270" s="183"/>
      <c r="H270" s="183"/>
      <c r="I270" s="184"/>
      <c r="J270" s="65"/>
      <c r="K270" s="71"/>
      <c r="L270" s="185"/>
      <c r="M270" s="73"/>
      <c r="N270" s="73"/>
      <c r="O270" s="73"/>
      <c r="P270" s="73"/>
      <c r="Q270" s="73"/>
      <c r="R270" s="19"/>
      <c r="S270" s="74"/>
      <c r="T270" s="19"/>
      <c r="U270" s="186"/>
      <c r="V270" s="23"/>
      <c r="W270" s="202"/>
      <c r="X270" s="207"/>
      <c r="Y270" s="207"/>
      <c r="Z270" s="207"/>
      <c r="AA270" s="202"/>
    </row>
    <row r="271" spans="1:27">
      <c r="A271" s="80"/>
      <c r="C271" s="95" t="s">
        <v>120</v>
      </c>
      <c r="G271" s="169"/>
      <c r="H271" s="169"/>
      <c r="I271" s="170"/>
      <c r="J271" s="50"/>
      <c r="K271" s="55">
        <v>23276736.879999999</v>
      </c>
      <c r="L271" s="171"/>
      <c r="M271" s="57">
        <v>23276737</v>
      </c>
      <c r="N271" s="57"/>
      <c r="O271" s="57">
        <v>0</v>
      </c>
      <c r="P271" s="57"/>
      <c r="Q271" s="57">
        <v>0</v>
      </c>
      <c r="R271" s="50"/>
      <c r="S271" s="74">
        <v>0</v>
      </c>
      <c r="T271" s="50"/>
      <c r="U271" s="172">
        <v>0</v>
      </c>
      <c r="V271" s="23"/>
      <c r="W271" s="202"/>
      <c r="X271" s="207"/>
      <c r="Y271" s="207"/>
      <c r="Z271" s="207"/>
      <c r="AA271" s="202"/>
    </row>
    <row r="272" spans="1:27">
      <c r="A272" s="80"/>
      <c r="C272" s="95" t="s">
        <v>121</v>
      </c>
      <c r="G272" s="169" t="s">
        <v>203</v>
      </c>
      <c r="H272" s="169" t="s">
        <v>178</v>
      </c>
      <c r="I272" s="170">
        <v>0</v>
      </c>
      <c r="J272" s="50"/>
      <c r="K272" s="60">
        <v>23514697.870000001</v>
      </c>
      <c r="L272" s="171"/>
      <c r="M272" s="62">
        <v>8667518</v>
      </c>
      <c r="N272" s="57"/>
      <c r="O272" s="62">
        <v>14847180</v>
      </c>
      <c r="P272" s="57"/>
      <c r="Q272" s="62">
        <v>1569449</v>
      </c>
      <c r="R272" s="50"/>
      <c r="S272" s="74">
        <v>6.67</v>
      </c>
      <c r="T272" s="50"/>
      <c r="U272" s="172">
        <v>9.5</v>
      </c>
      <c r="V272" s="23"/>
      <c r="W272" s="202"/>
      <c r="X272" s="207"/>
      <c r="Y272" s="207"/>
      <c r="Z272" s="207"/>
      <c r="AA272" s="202"/>
    </row>
    <row r="273" spans="1:27">
      <c r="A273" s="80"/>
      <c r="C273" s="37"/>
      <c r="G273" s="183"/>
      <c r="H273" s="183"/>
      <c r="I273" s="184"/>
      <c r="J273" s="65"/>
      <c r="K273" s="71"/>
      <c r="L273" s="185"/>
      <c r="M273" s="73"/>
      <c r="N273" s="73"/>
      <c r="O273" s="73"/>
      <c r="P273" s="73"/>
      <c r="Q273" s="73"/>
      <c r="R273" s="19"/>
      <c r="S273" s="74"/>
      <c r="T273" s="19"/>
      <c r="U273" s="186"/>
      <c r="V273" s="23"/>
      <c r="W273" s="202"/>
      <c r="X273" s="207"/>
      <c r="Y273" s="207"/>
      <c r="Z273" s="207"/>
      <c r="AA273" s="202"/>
    </row>
    <row r="274" spans="1:27">
      <c r="A274" s="80"/>
      <c r="C274" s="37" t="s">
        <v>133</v>
      </c>
      <c r="G274" s="183"/>
      <c r="H274" s="183"/>
      <c r="I274" s="184"/>
      <c r="J274" s="65"/>
      <c r="K274" s="55">
        <f>SUBTOTAL(9,K271:K273)</f>
        <v>46791434.75</v>
      </c>
      <c r="L274" s="171"/>
      <c r="M274" s="57">
        <f>SUBTOTAL(9,M271:M273)</f>
        <v>31944255</v>
      </c>
      <c r="N274" s="57"/>
      <c r="O274" s="57">
        <f>SUBTOTAL(9,O271:O273)</f>
        <v>14847180</v>
      </c>
      <c r="P274" s="57"/>
      <c r="Q274" s="57">
        <f>SUBTOTAL(9,Q271:Q273)</f>
        <v>1569449</v>
      </c>
      <c r="R274" s="50"/>
      <c r="S274" s="74">
        <f>+ROUND(Q274/K274*100,2)</f>
        <v>3.35</v>
      </c>
      <c r="T274" s="19"/>
      <c r="U274" s="186"/>
      <c r="V274" s="23"/>
      <c r="W274" s="202"/>
      <c r="X274" s="207"/>
      <c r="Y274" s="207"/>
      <c r="Z274" s="207"/>
      <c r="AA274" s="202"/>
    </row>
    <row r="275" spans="1:27">
      <c r="A275" s="80"/>
      <c r="C275" s="19"/>
      <c r="G275" s="183"/>
      <c r="H275" s="183"/>
      <c r="I275" s="184"/>
      <c r="J275" s="65"/>
      <c r="K275" s="71"/>
      <c r="L275" s="185"/>
      <c r="M275" s="73"/>
      <c r="N275" s="73"/>
      <c r="O275" s="73"/>
      <c r="P275" s="73"/>
      <c r="Q275" s="73"/>
      <c r="R275" s="19"/>
      <c r="S275" s="74"/>
      <c r="T275" s="19"/>
      <c r="U275" s="186"/>
      <c r="V275" s="23"/>
      <c r="W275" s="202"/>
      <c r="X275" s="207"/>
      <c r="Y275" s="207"/>
      <c r="Z275" s="207"/>
      <c r="AA275" s="202"/>
    </row>
    <row r="276" spans="1:27">
      <c r="A276" s="80">
        <v>397.1</v>
      </c>
      <c r="C276" s="19" t="s">
        <v>208</v>
      </c>
      <c r="G276" s="190" t="s">
        <v>120</v>
      </c>
      <c r="H276" s="190"/>
      <c r="I276" s="191"/>
      <c r="J276" s="65"/>
      <c r="K276" s="71">
        <v>642538.48</v>
      </c>
      <c r="L276" s="185"/>
      <c r="M276" s="73">
        <v>642538</v>
      </c>
      <c r="N276" s="73"/>
      <c r="O276" s="73">
        <v>0</v>
      </c>
      <c r="P276" s="73"/>
      <c r="Q276" s="73">
        <v>0</v>
      </c>
      <c r="R276" s="19"/>
      <c r="S276" s="74">
        <v>0</v>
      </c>
      <c r="T276" s="25" t="s">
        <v>209</v>
      </c>
      <c r="U276" s="186">
        <v>0</v>
      </c>
      <c r="V276" s="23"/>
      <c r="W276" s="202"/>
      <c r="X276" s="207"/>
      <c r="Y276" s="207"/>
      <c r="Z276" s="207"/>
      <c r="AA276" s="202"/>
    </row>
    <row r="277" spans="1:27">
      <c r="A277" s="80"/>
      <c r="C277" s="19"/>
      <c r="G277" s="190"/>
      <c r="H277" s="190"/>
      <c r="I277" s="191"/>
      <c r="J277" s="65"/>
      <c r="K277" s="71"/>
      <c r="L277" s="185"/>
      <c r="M277" s="73"/>
      <c r="N277" s="73"/>
      <c r="O277" s="73"/>
      <c r="P277" s="73"/>
      <c r="Q277" s="73"/>
      <c r="R277" s="19"/>
      <c r="S277" s="74"/>
      <c r="T277" s="19"/>
      <c r="U277" s="186"/>
      <c r="V277" s="23"/>
      <c r="W277" s="202"/>
      <c r="X277" s="207"/>
      <c r="Y277" s="207"/>
      <c r="Z277" s="207"/>
      <c r="AA277" s="202"/>
    </row>
    <row r="278" spans="1:27">
      <c r="A278" s="80">
        <v>398</v>
      </c>
      <c r="C278" s="19" t="s">
        <v>135</v>
      </c>
      <c r="G278" s="183"/>
      <c r="H278" s="183"/>
      <c r="I278" s="184"/>
      <c r="J278" s="65"/>
      <c r="K278" s="71"/>
      <c r="L278" s="185"/>
      <c r="M278" s="73"/>
      <c r="N278" s="73"/>
      <c r="O278" s="73"/>
      <c r="P278" s="73"/>
      <c r="Q278" s="73"/>
      <c r="R278" s="19"/>
      <c r="S278" s="74"/>
      <c r="T278" s="19"/>
      <c r="U278" s="186"/>
      <c r="V278" s="23"/>
      <c r="W278" s="202"/>
      <c r="X278" s="207"/>
      <c r="Y278" s="207"/>
      <c r="Z278" s="207"/>
      <c r="AA278" s="202"/>
    </row>
    <row r="279" spans="1:27">
      <c r="A279" s="80"/>
      <c r="C279" s="95" t="s">
        <v>120</v>
      </c>
      <c r="G279" s="169"/>
      <c r="H279" s="169"/>
      <c r="I279" s="170"/>
      <c r="J279" s="50"/>
      <c r="K279" s="55">
        <v>413882.29</v>
      </c>
      <c r="L279" s="171"/>
      <c r="M279" s="57">
        <v>413882</v>
      </c>
      <c r="N279" s="57"/>
      <c r="O279" s="57">
        <v>0</v>
      </c>
      <c r="P279" s="57"/>
      <c r="Q279" s="57">
        <v>0</v>
      </c>
      <c r="R279" s="50"/>
      <c r="S279" s="74">
        <v>0</v>
      </c>
      <c r="T279" s="50"/>
      <c r="U279" s="172">
        <v>0</v>
      </c>
      <c r="V279" s="23"/>
      <c r="W279" s="202"/>
      <c r="X279" s="207"/>
      <c r="Y279" s="207"/>
      <c r="Z279" s="207"/>
      <c r="AA279" s="202"/>
    </row>
    <row r="280" spans="1:27">
      <c r="A280" s="80"/>
      <c r="C280" s="95" t="s">
        <v>121</v>
      </c>
      <c r="G280" s="169" t="s">
        <v>202</v>
      </c>
      <c r="H280" s="169" t="s">
        <v>178</v>
      </c>
      <c r="I280" s="170">
        <v>0</v>
      </c>
      <c r="J280" s="50"/>
      <c r="K280" s="60">
        <v>2014590.63</v>
      </c>
      <c r="L280" s="171"/>
      <c r="M280" s="62">
        <v>918854</v>
      </c>
      <c r="N280" s="57"/>
      <c r="O280" s="62">
        <v>1095737</v>
      </c>
      <c r="P280" s="57"/>
      <c r="Q280" s="62">
        <v>100721</v>
      </c>
      <c r="R280" s="50"/>
      <c r="S280" s="74">
        <v>5</v>
      </c>
      <c r="T280" s="50"/>
      <c r="U280" s="172">
        <v>10.9</v>
      </c>
      <c r="V280" s="23"/>
      <c r="W280" s="202"/>
      <c r="X280" s="207"/>
      <c r="Y280" s="207"/>
      <c r="Z280" s="207"/>
      <c r="AA280" s="202"/>
    </row>
    <row r="281" spans="1:27">
      <c r="A281" s="80"/>
      <c r="C281" s="37"/>
      <c r="G281" s="183"/>
      <c r="H281" s="183"/>
      <c r="I281" s="184"/>
      <c r="J281" s="65"/>
      <c r="K281" s="71"/>
      <c r="L281" s="185"/>
      <c r="M281" s="73"/>
      <c r="N281" s="73"/>
      <c r="O281" s="73"/>
      <c r="P281" s="73"/>
      <c r="Q281" s="73"/>
      <c r="R281" s="19"/>
      <c r="S281" s="74"/>
      <c r="T281" s="19"/>
      <c r="U281" s="186"/>
      <c r="V281" s="23"/>
      <c r="W281" s="202"/>
      <c r="X281" s="207"/>
      <c r="Y281" s="207"/>
      <c r="Z281" s="207"/>
      <c r="AA281" s="202"/>
    </row>
    <row r="282" spans="1:27">
      <c r="A282" s="80"/>
      <c r="C282" s="50" t="s">
        <v>136</v>
      </c>
      <c r="G282" s="183"/>
      <c r="H282" s="183"/>
      <c r="I282" s="184"/>
      <c r="J282" s="65"/>
      <c r="K282" s="60">
        <f>SUBTOTAL(9,K279:K281)</f>
        <v>2428472.92</v>
      </c>
      <c r="L282" s="171"/>
      <c r="M282" s="62">
        <f>SUBTOTAL(9,M279:M281)</f>
        <v>1332736</v>
      </c>
      <c r="N282" s="57"/>
      <c r="O282" s="62">
        <f>SUBTOTAL(9,O279:O281)</f>
        <v>1095737</v>
      </c>
      <c r="P282" s="57"/>
      <c r="Q282" s="62">
        <f>SUBTOTAL(9,Q279:Q281)</f>
        <v>100721</v>
      </c>
      <c r="R282" s="50"/>
      <c r="S282" s="74">
        <f>+ROUND(Q282/K282*100,2)</f>
        <v>4.1500000000000004</v>
      </c>
      <c r="T282" s="19"/>
      <c r="U282" s="186"/>
      <c r="V282" s="23"/>
      <c r="W282" s="202"/>
      <c r="X282" s="207"/>
      <c r="Y282" s="207"/>
      <c r="Z282" s="207"/>
      <c r="AA282" s="202"/>
    </row>
    <row r="283" spans="1:27">
      <c r="A283" s="80"/>
      <c r="C283" s="19"/>
      <c r="G283" s="183"/>
      <c r="H283" s="183"/>
      <c r="I283" s="184"/>
      <c r="J283" s="65"/>
      <c r="K283" s="71"/>
      <c r="L283" s="185"/>
      <c r="M283" s="73"/>
      <c r="N283" s="73"/>
      <c r="O283" s="73"/>
      <c r="P283" s="73"/>
      <c r="Q283" s="73"/>
      <c r="R283" s="19"/>
      <c r="S283" s="74"/>
      <c r="T283" s="19"/>
      <c r="U283" s="186"/>
      <c r="V283" s="23"/>
      <c r="W283" s="202"/>
      <c r="X283" s="207"/>
      <c r="Y283" s="207"/>
      <c r="Z283" s="207"/>
      <c r="AA283" s="202"/>
    </row>
    <row r="284" spans="1:27" ht="15.75">
      <c r="A284" s="23"/>
      <c r="C284" s="81" t="s">
        <v>137</v>
      </c>
      <c r="G284" s="25"/>
      <c r="I284" s="188"/>
      <c r="K284" s="97">
        <f>SUBTOTAL(9,K239:K283)</f>
        <v>141393195.67999998</v>
      </c>
      <c r="L284" s="192"/>
      <c r="M284" s="104">
        <f>SUBTOTAL(9,M239:M283)</f>
        <v>85499035.120000005</v>
      </c>
      <c r="N284" s="104"/>
      <c r="O284" s="104">
        <f>SUBTOTAL(9,O239:O283)</f>
        <v>55894160</v>
      </c>
      <c r="P284" s="104"/>
      <c r="Q284" s="104">
        <f>SUBTOTAL(9,Q239:Q283)</f>
        <v>4986678</v>
      </c>
      <c r="R284" s="93"/>
      <c r="S284" s="84">
        <f>+ROUND(Q284/K284*100,2)</f>
        <v>3.53</v>
      </c>
      <c r="T284" s="93"/>
      <c r="U284" s="189"/>
      <c r="V284" s="23"/>
      <c r="W284" s="202"/>
      <c r="X284" s="207"/>
      <c r="Y284" s="207"/>
      <c r="Z284" s="207"/>
      <c r="AA284" s="202"/>
    </row>
    <row r="285" spans="1:27" ht="15.75">
      <c r="A285" s="23"/>
      <c r="C285" s="81"/>
      <c r="G285" s="25"/>
      <c r="I285" s="188"/>
      <c r="K285" s="97"/>
      <c r="L285" s="192"/>
      <c r="M285" s="104"/>
      <c r="N285" s="104"/>
      <c r="O285" s="104"/>
      <c r="P285" s="104"/>
      <c r="Q285" s="104"/>
      <c r="R285" s="93"/>
      <c r="S285" s="84"/>
      <c r="T285" s="93"/>
      <c r="U285" s="189"/>
      <c r="V285" s="23"/>
      <c r="W285" s="23"/>
    </row>
    <row r="286" spans="1:27" ht="15.75">
      <c r="A286" s="37"/>
      <c r="B286" s="37"/>
      <c r="C286" s="38" t="s">
        <v>210</v>
      </c>
      <c r="D286" s="37"/>
      <c r="E286" s="37"/>
      <c r="F286" s="37"/>
      <c r="G286" s="169"/>
      <c r="H286" s="37"/>
      <c r="I286" s="170"/>
      <c r="J286" s="37"/>
      <c r="K286" s="105"/>
      <c r="L286" s="42"/>
      <c r="M286" s="107"/>
      <c r="N286" s="107"/>
      <c r="O286" s="107"/>
      <c r="P286" s="107"/>
      <c r="Q286" s="107"/>
      <c r="R286" s="93"/>
      <c r="S286" s="84"/>
      <c r="T286" s="93"/>
      <c r="U286" s="189"/>
      <c r="V286" s="23"/>
      <c r="W286" s="23"/>
    </row>
    <row r="287" spans="1:27" ht="15.75">
      <c r="A287" s="37"/>
      <c r="B287" s="37"/>
      <c r="C287" s="108"/>
      <c r="D287" s="37"/>
      <c r="E287" s="37"/>
      <c r="F287" s="37"/>
      <c r="G287" s="169"/>
      <c r="H287" s="37"/>
      <c r="I287" s="170"/>
      <c r="J287" s="37"/>
      <c r="K287" s="105"/>
      <c r="L287" s="42"/>
      <c r="M287" s="107"/>
      <c r="N287" s="107"/>
      <c r="O287" s="107"/>
      <c r="P287" s="107"/>
      <c r="Q287" s="107"/>
      <c r="R287" s="93"/>
      <c r="S287" s="84"/>
      <c r="T287" s="93"/>
      <c r="U287" s="189"/>
      <c r="V287" s="23"/>
      <c r="W287" s="23"/>
    </row>
    <row r="288" spans="1:27" ht="15.75">
      <c r="A288" s="109">
        <v>391</v>
      </c>
      <c r="B288" s="37"/>
      <c r="C288" s="37" t="s">
        <v>119</v>
      </c>
      <c r="D288" s="37"/>
      <c r="E288" s="37"/>
      <c r="F288" s="37"/>
      <c r="G288" s="169"/>
      <c r="H288" s="37"/>
      <c r="I288" s="170"/>
      <c r="J288" s="37"/>
      <c r="K288" s="105"/>
      <c r="L288" s="42"/>
      <c r="M288" s="110">
        <v>1216907</v>
      </c>
      <c r="N288" s="107"/>
      <c r="O288" s="107"/>
      <c r="P288" s="107"/>
      <c r="Q288" s="110">
        <f t="shared" ref="Q288:Q294" si="55">-M288/10</f>
        <v>-121690.7</v>
      </c>
      <c r="R288" s="28" t="s">
        <v>211</v>
      </c>
      <c r="S288" s="84"/>
      <c r="T288" s="93"/>
      <c r="U288" s="189"/>
      <c r="V288" s="23"/>
      <c r="W288" s="23"/>
    </row>
    <row r="289" spans="1:23" ht="15.75">
      <c r="A289" s="109">
        <v>391.1</v>
      </c>
      <c r="B289" s="37"/>
      <c r="C289" s="37" t="s">
        <v>123</v>
      </c>
      <c r="D289" s="37"/>
      <c r="E289" s="37"/>
      <c r="F289" s="37"/>
      <c r="G289" s="169"/>
      <c r="H289" s="37"/>
      <c r="I289" s="170"/>
      <c r="J289" s="37"/>
      <c r="K289" s="105"/>
      <c r="L289" s="42"/>
      <c r="M289" s="110">
        <v>6179000</v>
      </c>
      <c r="N289" s="107"/>
      <c r="O289" s="107"/>
      <c r="P289" s="107"/>
      <c r="Q289" s="110">
        <f t="shared" si="55"/>
        <v>-617900</v>
      </c>
      <c r="R289" s="28" t="s">
        <v>211</v>
      </c>
      <c r="S289" s="84"/>
      <c r="T289" s="93"/>
      <c r="U289" s="189"/>
      <c r="V289" s="23"/>
      <c r="W289" s="23"/>
    </row>
    <row r="290" spans="1:23" ht="15.75">
      <c r="A290" s="109">
        <v>393</v>
      </c>
      <c r="B290" s="37"/>
      <c r="C290" s="112" t="s">
        <v>126</v>
      </c>
      <c r="D290" s="37"/>
      <c r="E290" s="37"/>
      <c r="F290" s="37"/>
      <c r="G290" s="169"/>
      <c r="H290" s="37"/>
      <c r="I290" s="170"/>
      <c r="J290" s="37"/>
      <c r="K290" s="105"/>
      <c r="L290" s="42"/>
      <c r="M290" s="110">
        <v>31577</v>
      </c>
      <c r="N290" s="107"/>
      <c r="O290" s="107"/>
      <c r="P290" s="107"/>
      <c r="Q290" s="110">
        <f t="shared" si="55"/>
        <v>-3157.7</v>
      </c>
      <c r="R290" s="28" t="s">
        <v>211</v>
      </c>
      <c r="S290" s="84"/>
      <c r="T290" s="93"/>
      <c r="U290" s="189"/>
      <c r="V290" s="23"/>
      <c r="W290" s="23"/>
    </row>
    <row r="291" spans="1:23" ht="15.75">
      <c r="A291" s="109">
        <v>394</v>
      </c>
      <c r="B291" s="37"/>
      <c r="C291" s="113" t="s">
        <v>127</v>
      </c>
      <c r="D291" s="37"/>
      <c r="E291" s="37"/>
      <c r="F291" s="37"/>
      <c r="G291" s="169"/>
      <c r="H291" s="37"/>
      <c r="I291" s="170"/>
      <c r="J291" s="37"/>
      <c r="K291" s="105"/>
      <c r="L291" s="42"/>
      <c r="M291" s="110">
        <v>424910</v>
      </c>
      <c r="N291" s="107"/>
      <c r="O291" s="107"/>
      <c r="P291" s="107"/>
      <c r="Q291" s="110">
        <f t="shared" si="55"/>
        <v>-42491</v>
      </c>
      <c r="R291" s="28" t="s">
        <v>211</v>
      </c>
      <c r="S291" s="84"/>
      <c r="T291" s="93"/>
      <c r="U291" s="189"/>
      <c r="V291" s="23"/>
      <c r="W291" s="23"/>
    </row>
    <row r="292" spans="1:23" ht="15.75">
      <c r="A292" s="109">
        <v>395</v>
      </c>
      <c r="B292" s="37"/>
      <c r="C292" s="112" t="s">
        <v>129</v>
      </c>
      <c r="D292" s="37"/>
      <c r="E292" s="37"/>
      <c r="F292" s="37"/>
      <c r="G292" s="169"/>
      <c r="H292" s="37"/>
      <c r="I292" s="170"/>
      <c r="J292" s="37"/>
      <c r="K292" s="105"/>
      <c r="L292" s="42"/>
      <c r="M292" s="110">
        <v>735653</v>
      </c>
      <c r="N292" s="107"/>
      <c r="O292" s="107"/>
      <c r="P292" s="107"/>
      <c r="Q292" s="110">
        <f t="shared" si="55"/>
        <v>-73565.3</v>
      </c>
      <c r="R292" s="28" t="s">
        <v>211</v>
      </c>
      <c r="S292" s="84"/>
      <c r="T292" s="93"/>
      <c r="U292" s="189"/>
      <c r="V292" s="23"/>
      <c r="W292" s="23"/>
    </row>
    <row r="293" spans="1:23" ht="15.75">
      <c r="A293" s="109">
        <v>397</v>
      </c>
      <c r="B293" s="37"/>
      <c r="C293" s="50" t="s">
        <v>132</v>
      </c>
      <c r="D293" s="37"/>
      <c r="E293" s="37"/>
      <c r="F293" s="37"/>
      <c r="G293" s="169"/>
      <c r="H293" s="37"/>
      <c r="I293" s="170"/>
      <c r="J293" s="37"/>
      <c r="K293" s="105"/>
      <c r="L293" s="42"/>
      <c r="M293" s="110">
        <v>9419253</v>
      </c>
      <c r="N293" s="107"/>
      <c r="O293" s="107"/>
      <c r="P293" s="107"/>
      <c r="Q293" s="110">
        <f t="shared" si="55"/>
        <v>-941925.3</v>
      </c>
      <c r="R293" s="28" t="s">
        <v>211</v>
      </c>
      <c r="S293" s="84"/>
      <c r="T293" s="93"/>
      <c r="U293" s="189"/>
      <c r="V293" s="23"/>
      <c r="W293" s="23"/>
    </row>
    <row r="294" spans="1:23" ht="15.75">
      <c r="A294" s="109">
        <v>398</v>
      </c>
      <c r="B294" s="37"/>
      <c r="C294" s="50" t="s">
        <v>135</v>
      </c>
      <c r="D294" s="37"/>
      <c r="E294" s="37"/>
      <c r="F294" s="37"/>
      <c r="G294" s="169"/>
      <c r="H294" s="37"/>
      <c r="I294" s="170"/>
      <c r="J294" s="37"/>
      <c r="K294" s="105"/>
      <c r="L294" s="42"/>
      <c r="M294" s="114">
        <v>1095737</v>
      </c>
      <c r="N294" s="107"/>
      <c r="O294" s="107"/>
      <c r="P294" s="107"/>
      <c r="Q294" s="114">
        <f t="shared" si="55"/>
        <v>-109573.7</v>
      </c>
      <c r="R294" s="28" t="s">
        <v>211</v>
      </c>
      <c r="S294" s="84"/>
      <c r="T294" s="93"/>
      <c r="U294" s="189"/>
      <c r="V294" s="23"/>
      <c r="W294" s="23"/>
    </row>
    <row r="295" spans="1:23" ht="15.75">
      <c r="A295" s="37"/>
      <c r="B295" s="37"/>
      <c r="C295" s="108"/>
      <c r="D295" s="37"/>
      <c r="E295" s="37"/>
      <c r="F295" s="37"/>
      <c r="G295" s="169"/>
      <c r="H295" s="37"/>
      <c r="I295" s="170"/>
      <c r="J295" s="37"/>
      <c r="K295" s="105"/>
      <c r="L295" s="42"/>
      <c r="M295" s="107"/>
      <c r="N295" s="107"/>
      <c r="O295" s="107"/>
      <c r="P295" s="107"/>
      <c r="Q295" s="107"/>
      <c r="R295" s="93"/>
      <c r="S295" s="84"/>
      <c r="T295" s="93"/>
      <c r="U295" s="189"/>
      <c r="V295" s="23"/>
      <c r="W295" s="23"/>
    </row>
    <row r="296" spans="1:23" ht="15.75">
      <c r="A296" s="37"/>
      <c r="B296" s="37"/>
      <c r="C296" s="108" t="s">
        <v>140</v>
      </c>
      <c r="D296" s="37"/>
      <c r="E296" s="37"/>
      <c r="F296" s="37"/>
      <c r="G296" s="169"/>
      <c r="H296" s="37"/>
      <c r="I296" s="170"/>
      <c r="J296" s="37"/>
      <c r="K296" s="105"/>
      <c r="L296" s="42"/>
      <c r="M296" s="117">
        <f>SUBTOTAL(9,M288:M295)</f>
        <v>19103037</v>
      </c>
      <c r="N296" s="107"/>
      <c r="O296" s="107"/>
      <c r="P296" s="107"/>
      <c r="Q296" s="117">
        <f>SUBTOTAL(9,Q288:Q295)</f>
        <v>-1910303.7</v>
      </c>
      <c r="R296" s="93"/>
      <c r="S296" s="84"/>
      <c r="T296" s="93"/>
      <c r="U296" s="189"/>
      <c r="V296" s="23"/>
      <c r="W296" s="23"/>
    </row>
    <row r="297" spans="1:23" ht="15.75">
      <c r="A297" s="23"/>
      <c r="C297" s="81"/>
      <c r="G297" s="25"/>
      <c r="I297" s="188"/>
      <c r="K297" s="118"/>
      <c r="L297" s="93"/>
      <c r="M297" s="120"/>
      <c r="N297" s="120"/>
      <c r="O297" s="120"/>
      <c r="P297" s="120"/>
      <c r="Q297" s="120"/>
      <c r="R297" s="93"/>
      <c r="S297" s="49"/>
      <c r="U297" s="193"/>
      <c r="V297" s="23"/>
      <c r="W297" s="23"/>
    </row>
    <row r="298" spans="1:23" ht="16.5" thickBot="1">
      <c r="A298" s="23"/>
      <c r="C298" s="81" t="s">
        <v>141</v>
      </c>
      <c r="G298" s="25"/>
      <c r="I298" s="188"/>
      <c r="K298" s="121">
        <f>SUBTOTAL(9,K15:K297)</f>
        <v>4037004423.8900018</v>
      </c>
      <c r="L298" s="93"/>
      <c r="M298" s="194">
        <f>SUBTOTAL(9,M15:M297)</f>
        <v>1539337386.8800001</v>
      </c>
      <c r="N298" s="120"/>
      <c r="O298" s="194">
        <f>SUBTOTAL(9,O15:O297)</f>
        <v>2791498957</v>
      </c>
      <c r="P298" s="120"/>
      <c r="Q298" s="194">
        <f>SUBTOTAL(9,Q15:Q297)</f>
        <v>107662597.14367902</v>
      </c>
      <c r="R298" s="93"/>
      <c r="S298" s="84">
        <f>+ROUND(Q298/K298*100,2)</f>
        <v>2.67</v>
      </c>
      <c r="T298" s="93"/>
      <c r="U298" s="189"/>
      <c r="V298" s="23"/>
      <c r="W298" s="23"/>
    </row>
    <row r="299" spans="1:23" ht="16.5" thickTop="1">
      <c r="A299" s="23"/>
      <c r="C299" s="93"/>
      <c r="G299" s="25"/>
      <c r="I299" s="188"/>
      <c r="K299" s="118"/>
      <c r="L299" s="93"/>
      <c r="M299" s="120"/>
      <c r="N299" s="120"/>
      <c r="O299" s="120"/>
      <c r="P299" s="120"/>
      <c r="Q299" s="120"/>
      <c r="R299" s="93"/>
      <c r="S299" s="49"/>
      <c r="U299" s="193"/>
      <c r="V299" s="23"/>
      <c r="W299" s="23"/>
    </row>
    <row r="300" spans="1:23" ht="15.75">
      <c r="A300" s="23"/>
      <c r="C300" s="124" t="s">
        <v>142</v>
      </c>
      <c r="G300" s="25"/>
      <c r="I300" s="188"/>
      <c r="K300" s="118"/>
      <c r="L300" s="93"/>
      <c r="M300" s="120"/>
      <c r="N300" s="120"/>
      <c r="O300" s="120"/>
      <c r="P300" s="120"/>
      <c r="Q300" s="120"/>
      <c r="R300" s="93"/>
      <c r="S300" s="49"/>
      <c r="U300" s="193"/>
      <c r="V300" s="23"/>
      <c r="W300" s="23"/>
    </row>
    <row r="301" spans="1:23" ht="15.75">
      <c r="A301" s="23"/>
      <c r="C301" s="93"/>
      <c r="G301" s="25"/>
      <c r="I301" s="188"/>
      <c r="K301" s="118"/>
      <c r="L301" s="93"/>
      <c r="M301" s="120"/>
      <c r="N301" s="120"/>
      <c r="O301" s="120"/>
      <c r="P301" s="120"/>
      <c r="Q301" s="120"/>
      <c r="R301" s="93"/>
      <c r="S301" s="49"/>
      <c r="U301" s="193"/>
      <c r="V301" s="23"/>
      <c r="W301" s="23"/>
    </row>
    <row r="302" spans="1:23" ht="15.75">
      <c r="A302" s="80">
        <v>301</v>
      </c>
      <c r="C302" s="19" t="s">
        <v>143</v>
      </c>
      <c r="G302" s="25"/>
      <c r="I302" s="188"/>
      <c r="K302" s="87">
        <v>5040.43</v>
      </c>
      <c r="L302" s="19"/>
      <c r="M302" s="89"/>
      <c r="N302" s="120"/>
      <c r="O302" s="120"/>
      <c r="P302" s="120"/>
      <c r="Q302" s="120"/>
      <c r="R302" s="93"/>
      <c r="S302" s="49"/>
      <c r="U302" s="193"/>
      <c r="V302" s="23"/>
      <c r="W302" s="23"/>
    </row>
    <row r="303" spans="1:23" ht="15.75">
      <c r="A303" s="109">
        <v>310</v>
      </c>
      <c r="B303" s="37"/>
      <c r="C303" s="50" t="s">
        <v>144</v>
      </c>
      <c r="D303" s="37"/>
      <c r="E303" s="37"/>
      <c r="F303" s="37"/>
      <c r="G303" s="169"/>
      <c r="H303" s="37"/>
      <c r="I303" s="170"/>
      <c r="J303" s="37"/>
      <c r="K303" s="55">
        <v>6916766.1399999997</v>
      </c>
      <c r="L303" s="19"/>
      <c r="M303" s="89"/>
      <c r="N303" s="120"/>
      <c r="O303" s="120"/>
      <c r="P303" s="120"/>
      <c r="Q303" s="120"/>
      <c r="R303" s="93"/>
      <c r="S303" s="49"/>
      <c r="U303" s="193"/>
      <c r="V303" s="23"/>
      <c r="W303" s="23"/>
    </row>
    <row r="304" spans="1:23" ht="15.75">
      <c r="A304" s="80">
        <v>340</v>
      </c>
      <c r="C304" s="19" t="s">
        <v>144</v>
      </c>
      <c r="G304" s="25"/>
      <c r="I304" s="188"/>
      <c r="K304" s="87">
        <v>5964035.6900000004</v>
      </c>
      <c r="L304" s="19"/>
      <c r="M304" s="89"/>
      <c r="N304" s="120"/>
      <c r="O304" s="120"/>
      <c r="P304" s="120"/>
      <c r="Q304" s="120"/>
      <c r="R304" s="93"/>
      <c r="S304" s="49"/>
      <c r="U304" s="193"/>
      <c r="V304" s="23"/>
      <c r="W304" s="23"/>
    </row>
    <row r="305" spans="1:23" ht="15.75">
      <c r="A305" s="80">
        <v>350</v>
      </c>
      <c r="C305" s="19" t="s">
        <v>144</v>
      </c>
      <c r="G305" s="25"/>
      <c r="I305" s="188"/>
      <c r="K305" s="87">
        <v>5771527.6600000001</v>
      </c>
      <c r="L305" s="19"/>
      <c r="M305" s="89"/>
      <c r="N305" s="120"/>
      <c r="O305" s="120"/>
      <c r="P305" s="120"/>
      <c r="Q305" s="120"/>
      <c r="R305" s="93"/>
      <c r="S305" s="49"/>
      <c r="U305" s="193"/>
      <c r="V305" s="23"/>
      <c r="W305" s="23"/>
    </row>
    <row r="306" spans="1:23" ht="15.75">
      <c r="A306" s="80">
        <v>350.1</v>
      </c>
      <c r="C306" s="19" t="s">
        <v>46</v>
      </c>
      <c r="G306" s="25"/>
      <c r="I306" s="188"/>
      <c r="K306" s="87">
        <v>55719148.420000002</v>
      </c>
      <c r="L306" s="19"/>
      <c r="M306" s="89"/>
      <c r="N306" s="120"/>
      <c r="O306" s="120"/>
      <c r="P306" s="120"/>
      <c r="Q306" s="120"/>
      <c r="R306" s="93"/>
      <c r="S306" s="49"/>
      <c r="U306" s="193"/>
      <c r="V306" s="23"/>
      <c r="W306" s="23"/>
    </row>
    <row r="307" spans="1:23" ht="15.75">
      <c r="A307" s="80">
        <v>360</v>
      </c>
      <c r="C307" s="19" t="s">
        <v>144</v>
      </c>
      <c r="G307" s="25"/>
      <c r="I307" s="188"/>
      <c r="K307" s="87">
        <v>10115251.35</v>
      </c>
      <c r="L307" s="19"/>
      <c r="M307" s="89"/>
      <c r="N307" s="120"/>
      <c r="O307" s="120"/>
      <c r="P307" s="120"/>
      <c r="Q307" s="120"/>
      <c r="R307" s="93"/>
      <c r="S307" s="49"/>
      <c r="U307" s="193"/>
      <c r="V307" s="23"/>
      <c r="W307" s="23"/>
    </row>
    <row r="308" spans="1:23" ht="15.75">
      <c r="A308" s="80">
        <v>389</v>
      </c>
      <c r="C308" s="19" t="s">
        <v>144</v>
      </c>
      <c r="G308" s="25"/>
      <c r="I308" s="188"/>
      <c r="K308" s="87">
        <v>1381311.62</v>
      </c>
      <c r="L308" s="19"/>
      <c r="M308" s="27"/>
      <c r="N308" s="120"/>
      <c r="O308" s="120"/>
      <c r="P308" s="120"/>
      <c r="Q308" s="120"/>
      <c r="R308" s="93"/>
      <c r="S308" s="49"/>
      <c r="U308" s="193"/>
      <c r="V308" s="23"/>
      <c r="W308" s="23"/>
    </row>
    <row r="309" spans="1:23" ht="15.75">
      <c r="A309" s="80">
        <v>389.1</v>
      </c>
      <c r="C309" s="19" t="s">
        <v>46</v>
      </c>
      <c r="G309" s="25"/>
      <c r="I309" s="188"/>
      <c r="K309" s="75">
        <v>454290.88</v>
      </c>
      <c r="L309" s="19"/>
      <c r="M309" s="27"/>
      <c r="N309" s="120"/>
      <c r="O309" s="120"/>
      <c r="P309" s="120"/>
      <c r="Q309" s="120"/>
      <c r="R309" s="93"/>
      <c r="S309" s="49"/>
      <c r="U309" s="193"/>
      <c r="V309" s="23"/>
      <c r="W309" s="23"/>
    </row>
    <row r="310" spans="1:23" ht="15.75">
      <c r="A310" s="23"/>
      <c r="C310" s="93"/>
      <c r="G310" s="25"/>
      <c r="I310" s="188"/>
      <c r="K310" s="118"/>
      <c r="L310" s="93"/>
      <c r="M310" s="104"/>
      <c r="N310" s="120"/>
      <c r="O310" s="104"/>
      <c r="P310" s="104"/>
      <c r="Q310" s="104"/>
      <c r="R310" s="93"/>
      <c r="S310" s="49"/>
      <c r="U310" s="193"/>
      <c r="V310" s="23"/>
      <c r="W310" s="23"/>
    </row>
    <row r="311" spans="1:23" ht="15.75">
      <c r="A311" s="23"/>
      <c r="C311" s="81" t="s">
        <v>145</v>
      </c>
      <c r="G311" s="25"/>
      <c r="I311" s="188"/>
      <c r="K311" s="82">
        <f>SUBTOTAL(9,K302:K310)</f>
        <v>86327372.189999998</v>
      </c>
      <c r="L311" s="93"/>
      <c r="M311" s="104"/>
      <c r="N311" s="120"/>
      <c r="O311" s="104"/>
      <c r="P311" s="104"/>
      <c r="Q311" s="104"/>
      <c r="R311" s="93"/>
      <c r="S311" s="49"/>
      <c r="U311" s="193"/>
      <c r="V311" s="23"/>
      <c r="W311" s="23"/>
    </row>
    <row r="312" spans="1:23" ht="15.75">
      <c r="A312" s="23"/>
      <c r="C312" s="93"/>
      <c r="G312" s="25"/>
      <c r="I312" s="188"/>
      <c r="K312" s="118"/>
      <c r="L312" s="93"/>
      <c r="M312" s="104"/>
      <c r="N312" s="120"/>
      <c r="O312" s="104"/>
      <c r="P312" s="104"/>
      <c r="Q312" s="104"/>
      <c r="R312" s="93"/>
      <c r="S312" s="49"/>
      <c r="U312" s="193"/>
      <c r="V312" s="23"/>
      <c r="W312" s="23"/>
    </row>
    <row r="313" spans="1:23" ht="16.5" thickBot="1">
      <c r="A313" s="23"/>
      <c r="C313" s="81" t="s">
        <v>146</v>
      </c>
      <c r="G313" s="25"/>
      <c r="I313" s="188"/>
      <c r="K313" s="121">
        <f>SUBTOTAL(9,K15:K312)</f>
        <v>4123331796.0800014</v>
      </c>
      <c r="L313" s="93"/>
      <c r="M313" s="104"/>
      <c r="N313" s="120"/>
      <c r="O313" s="104"/>
      <c r="P313" s="104"/>
      <c r="Q313" s="104"/>
      <c r="R313" s="93"/>
      <c r="S313" s="49"/>
      <c r="U313" s="193"/>
      <c r="V313" s="23"/>
      <c r="W313" s="23"/>
    </row>
    <row r="314" spans="1:23" ht="16.5" thickTop="1">
      <c r="A314" s="23"/>
      <c r="C314" s="81"/>
      <c r="G314" s="25"/>
      <c r="I314" s="188"/>
      <c r="K314" s="87"/>
      <c r="L314" s="93"/>
      <c r="M314" s="104"/>
      <c r="N314" s="120"/>
      <c r="O314" s="104"/>
      <c r="P314" s="104"/>
      <c r="Q314" s="104"/>
      <c r="R314" s="93"/>
      <c r="S314" s="49"/>
      <c r="U314" s="193"/>
      <c r="V314" s="23"/>
      <c r="W314" s="23"/>
    </row>
    <row r="315" spans="1:23">
      <c r="B315" s="195" t="s">
        <v>181</v>
      </c>
      <c r="C315" s="50" t="s">
        <v>212</v>
      </c>
      <c r="O315" s="196"/>
      <c r="P315" s="196"/>
      <c r="Q315" s="196"/>
    </row>
    <row r="316" spans="1:23">
      <c r="B316" s="195" t="s">
        <v>209</v>
      </c>
      <c r="C316" s="112" t="s">
        <v>213</v>
      </c>
    </row>
    <row r="317" spans="1:23">
      <c r="B317" s="197" t="s">
        <v>211</v>
      </c>
      <c r="C317" s="19" t="s">
        <v>214</v>
      </c>
    </row>
  </sheetData>
  <printOptions horizontalCentered="1"/>
  <pageMargins left="1" right="0.5" top="1" bottom="0.75" header="0.5" footer="0.5"/>
  <pageSetup scale="28" fitToHeight="0" orientation="landscape" r:id="rId1"/>
  <rowBreaks count="4" manualBreakCount="4">
    <brk id="67" max="20" man="1"/>
    <brk id="133" max="20" man="1"/>
    <brk id="204" max="20" man="1"/>
    <brk id="269"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election activeCell="L9" sqref="L9"/>
    </sheetView>
  </sheetViews>
  <sheetFormatPr defaultRowHeight="12.75"/>
  <cols>
    <col min="9" max="9" width="12.7109375" customWidth="1"/>
    <col min="12" max="12" width="15" bestFit="1" customWidth="1"/>
  </cols>
  <sheetData>
    <row r="1" spans="1:16">
      <c r="A1" s="406" t="s">
        <v>0</v>
      </c>
      <c r="B1" s="406"/>
      <c r="C1" s="406"/>
      <c r="D1" s="406"/>
      <c r="E1" s="406"/>
      <c r="F1" s="406"/>
      <c r="G1" s="406"/>
      <c r="H1" s="406"/>
      <c r="I1" s="406"/>
    </row>
    <row r="2" spans="1:16">
      <c r="A2" s="407" t="s">
        <v>760</v>
      </c>
      <c r="B2" s="408"/>
      <c r="C2" s="408"/>
      <c r="D2" s="408"/>
      <c r="E2" s="408"/>
      <c r="F2" s="408"/>
      <c r="G2" s="408"/>
      <c r="H2" s="408"/>
      <c r="I2" s="408"/>
    </row>
    <row r="3" spans="1:16">
      <c r="A3" s="408" t="s">
        <v>22</v>
      </c>
      <c r="B3" s="406"/>
      <c r="C3" s="406"/>
      <c r="D3" s="406"/>
      <c r="E3" s="406"/>
      <c r="F3" s="406"/>
      <c r="G3" s="406"/>
      <c r="H3" s="406"/>
      <c r="I3" s="406"/>
    </row>
    <row r="4" spans="1:16">
      <c r="A4" s="408" t="s">
        <v>638</v>
      </c>
      <c r="B4" s="406"/>
      <c r="C4" s="406"/>
      <c r="D4" s="406"/>
      <c r="E4" s="406"/>
      <c r="F4" s="406"/>
      <c r="G4" s="406"/>
      <c r="H4" s="406"/>
      <c r="I4" s="406"/>
    </row>
    <row r="5" spans="1:16">
      <c r="A5" s="268"/>
      <c r="B5" s="268"/>
      <c r="C5" s="268"/>
      <c r="D5" s="268"/>
      <c r="E5" s="268"/>
      <c r="F5" s="268"/>
      <c r="G5" s="268"/>
      <c r="H5" s="268"/>
      <c r="I5" s="268"/>
    </row>
    <row r="6" spans="1:16">
      <c r="A6" s="268"/>
      <c r="B6" s="268"/>
      <c r="C6" s="268"/>
      <c r="D6" s="268"/>
      <c r="E6" s="268"/>
      <c r="F6" s="268"/>
      <c r="G6" s="268"/>
      <c r="H6" s="268"/>
      <c r="I6" s="268"/>
    </row>
    <row r="7" spans="1:16">
      <c r="A7" s="269"/>
      <c r="B7" s="270"/>
      <c r="C7" s="270"/>
      <c r="D7" s="270"/>
      <c r="E7" s="270"/>
      <c r="F7" s="270"/>
      <c r="G7" s="270"/>
      <c r="H7" s="270"/>
      <c r="I7" s="270"/>
      <c r="J7" s="273"/>
      <c r="K7" s="273"/>
      <c r="L7" s="273"/>
      <c r="M7" s="273"/>
      <c r="N7" s="273"/>
      <c r="O7" s="273"/>
      <c r="P7" s="273"/>
    </row>
    <row r="8" spans="1:16">
      <c r="A8" s="304" t="s">
        <v>762</v>
      </c>
      <c r="B8" s="272"/>
      <c r="C8" s="272"/>
      <c r="D8" s="272"/>
      <c r="E8" s="272"/>
      <c r="F8" s="272"/>
      <c r="G8" s="272"/>
      <c r="H8" s="272"/>
      <c r="I8" s="274">
        <v>111000000</v>
      </c>
      <c r="J8" s="281"/>
      <c r="K8" s="273"/>
      <c r="L8" s="370">
        <v>95000000</v>
      </c>
      <c r="M8" s="273"/>
      <c r="N8" s="273"/>
      <c r="O8" s="273"/>
      <c r="P8" s="273"/>
    </row>
    <row r="9" spans="1:16">
      <c r="A9" s="271"/>
      <c r="B9" s="272"/>
      <c r="C9" s="272"/>
      <c r="D9" s="272"/>
      <c r="E9" s="272"/>
      <c r="F9" s="272"/>
      <c r="G9" s="272"/>
      <c r="H9" s="272"/>
      <c r="I9" s="274"/>
    </row>
    <row r="10" spans="1:16">
      <c r="A10" s="271" t="s">
        <v>640</v>
      </c>
      <c r="B10" s="272"/>
      <c r="C10" s="272"/>
      <c r="D10" s="272"/>
      <c r="E10" s="272"/>
      <c r="F10" s="272"/>
      <c r="G10" s="272"/>
      <c r="H10" s="272"/>
      <c r="I10" s="276">
        <f>'1.04 - LTD Interest Expense'!J221</f>
        <v>3.7474100946913516E-2</v>
      </c>
      <c r="L10" s="276">
        <f>I10</f>
        <v>3.7474100946913516E-2</v>
      </c>
    </row>
    <row r="11" spans="1:16">
      <c r="A11" s="271"/>
      <c r="B11" s="272"/>
      <c r="C11" s="272"/>
      <c r="D11" s="272"/>
      <c r="E11" s="272"/>
      <c r="F11" s="272"/>
      <c r="G11" s="272"/>
      <c r="H11" s="272"/>
      <c r="I11" s="274"/>
      <c r="L11" s="274"/>
    </row>
    <row r="12" spans="1:16">
      <c r="A12" s="272"/>
      <c r="B12" s="272"/>
      <c r="C12" s="272"/>
      <c r="D12" s="272"/>
      <c r="E12" s="272"/>
      <c r="F12" s="272"/>
      <c r="G12" s="272"/>
      <c r="H12" s="272"/>
      <c r="I12" s="272"/>
      <c r="L12" s="272"/>
    </row>
    <row r="13" spans="1:16">
      <c r="A13" s="304" t="s">
        <v>761</v>
      </c>
      <c r="B13" s="272"/>
      <c r="C13" s="272"/>
      <c r="D13" s="272"/>
      <c r="E13" s="272"/>
      <c r="F13" s="272"/>
      <c r="G13" s="272"/>
      <c r="H13" s="272"/>
      <c r="I13" s="277">
        <f>-I8*I10</f>
        <v>-4159625.2051074002</v>
      </c>
      <c r="L13" s="277">
        <f>-L8*L10</f>
        <v>-3560039.5899567842</v>
      </c>
    </row>
    <row r="14" spans="1:16">
      <c r="A14" s="269"/>
      <c r="B14" s="272"/>
      <c r="C14" s="272"/>
      <c r="D14" s="272"/>
      <c r="E14" s="272"/>
      <c r="F14" s="272"/>
      <c r="G14" s="272"/>
      <c r="H14" s="272"/>
      <c r="I14" s="277"/>
    </row>
    <row r="15" spans="1:16">
      <c r="A15" s="271" t="s">
        <v>639</v>
      </c>
      <c r="B15" s="272"/>
      <c r="C15" s="272"/>
      <c r="D15" s="272"/>
      <c r="E15" s="272"/>
      <c r="F15" s="272"/>
      <c r="G15" s="272"/>
      <c r="H15" s="272"/>
      <c r="I15" s="278">
        <v>1.5</v>
      </c>
    </row>
    <row r="16" spans="1:16">
      <c r="A16" s="272"/>
      <c r="B16" s="272"/>
      <c r="C16" s="272"/>
      <c r="D16" s="272"/>
      <c r="E16" s="272"/>
      <c r="F16" s="272"/>
      <c r="G16" s="272"/>
      <c r="H16" s="272"/>
      <c r="I16" s="272"/>
    </row>
    <row r="17" spans="1:9">
      <c r="A17" s="271" t="s">
        <v>641</v>
      </c>
      <c r="B17" s="272"/>
      <c r="C17" s="272"/>
      <c r="D17" s="272"/>
      <c r="E17" s="272"/>
      <c r="F17" s="272"/>
      <c r="G17" s="272"/>
      <c r="H17" s="272"/>
      <c r="I17" s="277">
        <f>I13*I15</f>
        <v>-6239437.8076611003</v>
      </c>
    </row>
    <row r="18" spans="1:9">
      <c r="A18" s="272"/>
      <c r="B18" s="272"/>
      <c r="C18" s="272"/>
      <c r="D18" s="272"/>
      <c r="E18" s="272"/>
      <c r="F18" s="272"/>
      <c r="G18" s="272"/>
      <c r="H18" s="272"/>
      <c r="I18" s="272"/>
    </row>
    <row r="19" spans="1:9">
      <c r="A19" s="281" t="s">
        <v>643</v>
      </c>
      <c r="B19" s="273"/>
      <c r="C19" s="273"/>
      <c r="D19" s="273"/>
      <c r="E19" s="273"/>
      <c r="F19" s="273"/>
      <c r="G19" s="273"/>
      <c r="H19" s="273"/>
      <c r="I19" s="282">
        <f>'Revenue Requirement'!F31</f>
        <v>1.002</v>
      </c>
    </row>
    <row r="20" spans="1:9">
      <c r="A20" s="273"/>
      <c r="B20" s="273"/>
      <c r="C20" s="273"/>
      <c r="D20" s="273"/>
      <c r="E20" s="273"/>
      <c r="F20" s="273"/>
      <c r="G20" s="273"/>
      <c r="H20" s="273"/>
      <c r="I20" s="273"/>
    </row>
    <row r="21" spans="1:9" ht="13.5" thickBot="1">
      <c r="A21" s="271" t="s">
        <v>642</v>
      </c>
      <c r="B21" s="273"/>
      <c r="C21" s="273"/>
      <c r="D21" s="273"/>
      <c r="E21" s="273"/>
      <c r="F21" s="273"/>
      <c r="G21" s="273"/>
      <c r="H21" s="273"/>
      <c r="I21" s="279">
        <f>I17*I19</f>
        <v>-6251916.6832764223</v>
      </c>
    </row>
    <row r="22" spans="1:9" ht="13.5" thickTop="1">
      <c r="A22" s="273"/>
      <c r="B22" s="273"/>
      <c r="C22" s="273"/>
      <c r="D22" s="273"/>
      <c r="E22" s="273"/>
      <c r="F22" s="273"/>
      <c r="G22" s="273"/>
      <c r="H22" s="273"/>
      <c r="I22" s="273"/>
    </row>
    <row r="23" spans="1:9">
      <c r="A23" s="273"/>
      <c r="B23" s="273"/>
      <c r="C23" s="273"/>
      <c r="D23" s="273"/>
      <c r="E23" s="273"/>
      <c r="F23" s="273"/>
      <c r="G23" s="273"/>
      <c r="H23" s="273"/>
      <c r="I23" s="273"/>
    </row>
    <row r="24" spans="1:9">
      <c r="A24" s="273"/>
      <c r="B24" s="273"/>
      <c r="C24" s="273"/>
      <c r="D24" s="273"/>
      <c r="E24" s="273"/>
      <c r="F24" s="273"/>
      <c r="G24" s="273"/>
      <c r="H24" s="273"/>
      <c r="I24" s="273"/>
    </row>
    <row r="25" spans="1:9">
      <c r="A25" s="273"/>
      <c r="B25" s="273"/>
      <c r="C25" s="273"/>
      <c r="D25" s="273"/>
      <c r="E25" s="273"/>
      <c r="F25" s="273"/>
      <c r="G25" s="273"/>
      <c r="H25" s="273"/>
      <c r="I25" s="273"/>
    </row>
    <row r="26" spans="1:9">
      <c r="A26" s="273"/>
      <c r="B26" s="273"/>
      <c r="C26" s="273"/>
      <c r="D26" s="273"/>
      <c r="E26" s="273"/>
      <c r="F26" s="273"/>
      <c r="G26" s="273"/>
      <c r="H26" s="273"/>
      <c r="I26" s="273"/>
    </row>
    <row r="27" spans="1:9">
      <c r="A27" s="273"/>
      <c r="B27" s="273"/>
      <c r="C27" s="273"/>
      <c r="D27" s="273"/>
      <c r="E27" s="273"/>
      <c r="F27" s="273"/>
      <c r="G27" s="273"/>
      <c r="H27" s="273"/>
      <c r="I27" s="273"/>
    </row>
    <row r="28" spans="1:9">
      <c r="A28" s="273"/>
      <c r="B28" s="273"/>
      <c r="C28" s="273"/>
      <c r="D28" s="273"/>
      <c r="E28" s="273"/>
      <c r="F28" s="273"/>
      <c r="G28" s="273"/>
      <c r="H28" s="273"/>
      <c r="I28" s="273"/>
    </row>
  </sheetData>
  <mergeCells count="4">
    <mergeCell ref="A1:I1"/>
    <mergeCell ref="A2:I2"/>
    <mergeCell ref="A3:I3"/>
    <mergeCell ref="A4:I4"/>
  </mergeCells>
  <pageMargins left="1.03" right="0.33"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I13" sqref="I13"/>
    </sheetView>
  </sheetViews>
  <sheetFormatPr defaultRowHeight="12.75"/>
  <cols>
    <col min="9" max="9" width="12.7109375" customWidth="1"/>
  </cols>
  <sheetData>
    <row r="1" spans="1:10">
      <c r="A1" s="406" t="s">
        <v>0</v>
      </c>
      <c r="B1" s="406"/>
      <c r="C1" s="406"/>
      <c r="D1" s="406"/>
      <c r="E1" s="406"/>
      <c r="F1" s="406"/>
      <c r="G1" s="406"/>
      <c r="H1" s="406"/>
      <c r="I1" s="406"/>
    </row>
    <row r="2" spans="1:10">
      <c r="A2" s="408" t="s">
        <v>630</v>
      </c>
      <c r="B2" s="408"/>
      <c r="C2" s="408"/>
      <c r="D2" s="408"/>
      <c r="E2" s="408"/>
      <c r="F2" s="408"/>
      <c r="G2" s="408"/>
      <c r="H2" s="408"/>
      <c r="I2" s="408"/>
    </row>
    <row r="3" spans="1:10">
      <c r="A3" s="408" t="s">
        <v>22</v>
      </c>
      <c r="B3" s="406"/>
      <c r="C3" s="406"/>
      <c r="D3" s="406"/>
      <c r="E3" s="406"/>
      <c r="F3" s="406"/>
      <c r="G3" s="406"/>
      <c r="H3" s="406"/>
      <c r="I3" s="406"/>
    </row>
    <row r="4" spans="1:10">
      <c r="A4" s="408" t="s">
        <v>638</v>
      </c>
      <c r="B4" s="406"/>
      <c r="C4" s="406"/>
      <c r="D4" s="406"/>
      <c r="E4" s="406"/>
      <c r="F4" s="406"/>
      <c r="G4" s="406"/>
      <c r="H4" s="406"/>
      <c r="I4" s="406"/>
    </row>
    <row r="5" spans="1:10">
      <c r="A5" s="268"/>
      <c r="B5" s="268"/>
      <c r="C5" s="268"/>
      <c r="D5" s="268"/>
      <c r="E5" s="268"/>
      <c r="F5" s="268"/>
      <c r="G5" s="268"/>
      <c r="H5" s="268"/>
      <c r="I5" s="268"/>
    </row>
    <row r="6" spans="1:10">
      <c r="A6" s="268"/>
      <c r="B6" s="268"/>
      <c r="C6" s="268"/>
      <c r="D6" s="268"/>
      <c r="E6" s="268"/>
      <c r="F6" s="268"/>
      <c r="G6" s="268"/>
      <c r="H6" s="268"/>
      <c r="I6" s="268"/>
    </row>
    <row r="7" spans="1:10">
      <c r="A7" s="304" t="s">
        <v>726</v>
      </c>
      <c r="B7" s="270"/>
      <c r="C7" s="270"/>
      <c r="D7" s="270"/>
      <c r="E7" s="270"/>
      <c r="F7" s="270"/>
      <c r="G7" s="270"/>
      <c r="H7" s="270"/>
      <c r="I7" s="270"/>
      <c r="J7" s="328"/>
    </row>
    <row r="8" spans="1:10">
      <c r="A8" s="271" t="s">
        <v>631</v>
      </c>
      <c r="B8" s="272"/>
      <c r="C8" s="272"/>
      <c r="D8" s="272"/>
      <c r="E8" s="272"/>
      <c r="F8" s="272"/>
      <c r="G8" s="272"/>
      <c r="H8" s="272"/>
      <c r="I8" s="274">
        <f>'WP 1.02 Plant'!F41</f>
        <v>129093455</v>
      </c>
    </row>
    <row r="9" spans="1:10">
      <c r="A9" s="271" t="s">
        <v>632</v>
      </c>
      <c r="B9" s="272"/>
      <c r="C9" s="272"/>
      <c r="D9" s="272"/>
      <c r="E9" s="272"/>
      <c r="F9" s="272"/>
      <c r="G9" s="272"/>
      <c r="H9" s="272"/>
      <c r="I9" s="274">
        <f>'WP 1.02 Plant'!F29</f>
        <v>5755766</v>
      </c>
    </row>
    <row r="10" spans="1:10">
      <c r="A10" s="271" t="s">
        <v>633</v>
      </c>
      <c r="B10" s="272"/>
      <c r="C10" s="272"/>
      <c r="D10" s="272"/>
      <c r="E10" s="272"/>
      <c r="F10" s="272"/>
      <c r="G10" s="272"/>
      <c r="H10" s="272"/>
      <c r="I10" s="275">
        <f>'WP 1.02 Plant'!F63</f>
        <v>431409</v>
      </c>
    </row>
    <row r="11" spans="1:10">
      <c r="A11" s="271"/>
      <c r="B11" s="271" t="s">
        <v>634</v>
      </c>
      <c r="C11" s="272"/>
      <c r="D11" s="272"/>
      <c r="E11" s="272"/>
      <c r="F11" s="272"/>
      <c r="G11" s="272"/>
      <c r="H11" s="272"/>
      <c r="I11" s="274">
        <f>SUM(I8:I10)</f>
        <v>135280630</v>
      </c>
    </row>
    <row r="12" spans="1:10">
      <c r="A12" s="271"/>
      <c r="B12" s="272"/>
      <c r="C12" s="272"/>
      <c r="D12" s="272"/>
      <c r="E12" s="272"/>
      <c r="F12" s="272"/>
      <c r="G12" s="272"/>
      <c r="H12" s="272"/>
      <c r="I12" s="274"/>
    </row>
    <row r="13" spans="1:10">
      <c r="A13" s="271" t="s">
        <v>635</v>
      </c>
      <c r="B13" s="272"/>
      <c r="C13" s="272"/>
      <c r="D13" s="272"/>
      <c r="E13" s="272"/>
      <c r="F13" s="272"/>
      <c r="G13" s="272"/>
      <c r="H13" s="272"/>
      <c r="I13" s="276">
        <f>'WP 1.02 Interest &amp; Principal'!G121</f>
        <v>4.2053493971949338E-2</v>
      </c>
    </row>
    <row r="14" spans="1:10">
      <c r="A14" s="271"/>
      <c r="B14" s="272"/>
      <c r="C14" s="272"/>
      <c r="D14" s="272"/>
      <c r="E14" s="272"/>
      <c r="F14" s="272"/>
      <c r="G14" s="272"/>
      <c r="H14" s="272"/>
      <c r="I14" s="274"/>
    </row>
    <row r="15" spans="1:10">
      <c r="A15" s="271"/>
      <c r="B15" s="272"/>
      <c r="C15" s="272"/>
      <c r="D15" s="272"/>
      <c r="E15" s="272"/>
      <c r="F15" s="272"/>
      <c r="G15" s="272"/>
      <c r="H15" s="272"/>
      <c r="I15" s="274"/>
    </row>
    <row r="16" spans="1:10">
      <c r="A16" s="272"/>
      <c r="B16" s="272"/>
      <c r="C16" s="272"/>
      <c r="D16" s="272"/>
      <c r="E16" s="272"/>
      <c r="F16" s="272"/>
      <c r="G16" s="272"/>
      <c r="H16" s="272"/>
      <c r="I16" s="272"/>
    </row>
    <row r="17" spans="1:9">
      <c r="A17" s="269" t="s">
        <v>637</v>
      </c>
      <c r="B17" s="272"/>
      <c r="C17" s="272"/>
      <c r="D17" s="272"/>
      <c r="E17" s="272"/>
      <c r="F17" s="272"/>
      <c r="G17" s="272"/>
      <c r="H17" s="272"/>
      <c r="I17" s="277">
        <f>-I11*I13</f>
        <v>-5689023.1582265086</v>
      </c>
    </row>
    <row r="18" spans="1:9">
      <c r="A18" s="269"/>
      <c r="B18" s="272"/>
      <c r="C18" s="272"/>
      <c r="D18" s="272"/>
      <c r="E18" s="272"/>
      <c r="F18" s="272"/>
      <c r="G18" s="272"/>
      <c r="H18" s="272"/>
      <c r="I18" s="277"/>
    </row>
    <row r="19" spans="1:9">
      <c r="A19" s="271" t="s">
        <v>639</v>
      </c>
      <c r="B19" s="272"/>
      <c r="C19" s="272"/>
      <c r="D19" s="272"/>
      <c r="E19" s="272"/>
      <c r="F19" s="272"/>
      <c r="G19" s="272"/>
      <c r="H19" s="272"/>
      <c r="I19" s="278">
        <v>1.5</v>
      </c>
    </row>
    <row r="20" spans="1:9">
      <c r="A20" s="272"/>
      <c r="B20" s="272"/>
      <c r="C20" s="272"/>
      <c r="D20" s="272"/>
      <c r="E20" s="272"/>
      <c r="F20" s="272"/>
      <c r="G20" s="272"/>
      <c r="H20" s="272"/>
      <c r="I20" s="272"/>
    </row>
    <row r="21" spans="1:9">
      <c r="A21" s="271" t="s">
        <v>641</v>
      </c>
      <c r="B21" s="272"/>
      <c r="C21" s="272"/>
      <c r="D21" s="272"/>
      <c r="E21" s="272"/>
      <c r="F21" s="272"/>
      <c r="G21" s="272"/>
      <c r="H21" s="272"/>
      <c r="I21" s="277">
        <f>I17*I19</f>
        <v>-8533534.737339763</v>
      </c>
    </row>
    <row r="22" spans="1:9">
      <c r="A22" s="272"/>
      <c r="B22" s="272"/>
      <c r="C22" s="272"/>
      <c r="D22" s="272"/>
      <c r="E22" s="272"/>
      <c r="F22" s="272"/>
      <c r="G22" s="272"/>
      <c r="H22" s="272"/>
      <c r="I22" s="272"/>
    </row>
    <row r="23" spans="1:9">
      <c r="A23" s="281" t="s">
        <v>643</v>
      </c>
      <c r="B23" s="273"/>
      <c r="C23" s="273"/>
      <c r="D23" s="273"/>
      <c r="E23" s="273"/>
      <c r="F23" s="273"/>
      <c r="G23" s="273"/>
      <c r="H23" s="273"/>
      <c r="I23" s="282">
        <f>'Revenue Requirement'!F31</f>
        <v>1.002</v>
      </c>
    </row>
    <row r="24" spans="1:9">
      <c r="A24" s="273"/>
      <c r="B24" s="273"/>
      <c r="C24" s="273"/>
      <c r="D24" s="273"/>
      <c r="E24" s="273"/>
      <c r="F24" s="273"/>
      <c r="G24" s="273"/>
      <c r="H24" s="273"/>
      <c r="I24" s="273"/>
    </row>
    <row r="25" spans="1:9" ht="13.5" thickBot="1">
      <c r="A25" s="271" t="s">
        <v>642</v>
      </c>
      <c r="B25" s="273"/>
      <c r="C25" s="273"/>
      <c r="D25" s="273"/>
      <c r="E25" s="273"/>
      <c r="F25" s="273"/>
      <c r="G25" s="273"/>
      <c r="H25" s="273"/>
      <c r="I25" s="279">
        <f>I21*I23</f>
        <v>-8550601.8068144433</v>
      </c>
    </row>
    <row r="26" spans="1:9" ht="13.5" thickTop="1">
      <c r="A26" s="273"/>
      <c r="B26" s="273"/>
      <c r="C26" s="273"/>
      <c r="D26" s="273"/>
      <c r="E26" s="273"/>
      <c r="F26" s="273"/>
      <c r="G26" s="273"/>
      <c r="H26" s="273"/>
      <c r="I26" s="273"/>
    </row>
    <row r="27" spans="1:9">
      <c r="A27" s="273"/>
      <c r="B27" s="273"/>
      <c r="C27" s="273"/>
      <c r="D27" s="273"/>
      <c r="E27" s="273"/>
      <c r="F27" s="273"/>
      <c r="G27" s="273"/>
      <c r="H27" s="273"/>
      <c r="I27" s="273"/>
    </row>
    <row r="28" spans="1:9">
      <c r="A28" s="323" t="s">
        <v>727</v>
      </c>
      <c r="B28" s="273"/>
      <c r="C28" s="273"/>
      <c r="D28" s="273"/>
      <c r="E28" s="273"/>
      <c r="F28" s="273"/>
      <c r="G28" s="273"/>
      <c r="H28" s="273"/>
      <c r="I28" s="273"/>
    </row>
    <row r="29" spans="1:9">
      <c r="A29" s="336" t="s">
        <v>728</v>
      </c>
      <c r="B29" s="273"/>
      <c r="C29" s="273"/>
      <c r="D29" s="273"/>
      <c r="E29" s="273"/>
      <c r="F29" s="273"/>
      <c r="G29" s="273"/>
      <c r="H29" s="273"/>
      <c r="I29" s="273"/>
    </row>
    <row r="30" spans="1:9">
      <c r="A30" s="273"/>
      <c r="B30" s="273"/>
      <c r="C30" s="273"/>
      <c r="D30" s="273"/>
      <c r="E30" s="273"/>
      <c r="F30" s="273"/>
      <c r="G30" s="273"/>
      <c r="H30" s="273"/>
      <c r="I30" s="273"/>
    </row>
    <row r="31" spans="1:9">
      <c r="A31" s="273"/>
      <c r="B31" s="273"/>
      <c r="C31" s="273"/>
      <c r="D31" s="273"/>
      <c r="E31" s="273"/>
      <c r="F31" s="273"/>
      <c r="G31" s="273"/>
      <c r="H31" s="273"/>
      <c r="I31" s="273"/>
    </row>
    <row r="32" spans="1:9">
      <c r="A32" s="273"/>
      <c r="B32" s="273"/>
      <c r="C32" s="273"/>
      <c r="D32" s="273"/>
      <c r="E32" s="273"/>
      <c r="F32" s="273"/>
      <c r="G32" s="273"/>
      <c r="H32" s="273"/>
      <c r="I32" s="273"/>
    </row>
  </sheetData>
  <mergeCells count="4">
    <mergeCell ref="A1:I1"/>
    <mergeCell ref="A3:I3"/>
    <mergeCell ref="A4:I4"/>
    <mergeCell ref="A2:I2"/>
  </mergeCells>
  <phoneticPr fontId="5" type="noConversion"/>
  <pageMargins left="1.03" right="0.33"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90" zoomScaleNormal="90" workbookViewId="0">
      <selection activeCell="C39" sqref="C39"/>
    </sheetView>
  </sheetViews>
  <sheetFormatPr defaultColWidth="17.85546875" defaultRowHeight="14.25"/>
  <cols>
    <col min="1" max="1" width="5.28515625" style="3" customWidth="1"/>
    <col min="2" max="16384" width="17.85546875" style="3"/>
  </cols>
  <sheetData>
    <row r="1" spans="1:13">
      <c r="A1" s="2"/>
    </row>
    <row r="2" spans="1:13" ht="15">
      <c r="A2" s="2"/>
      <c r="F2" s="4" t="s">
        <v>4</v>
      </c>
      <c r="G2" s="4"/>
      <c r="H2" s="4"/>
      <c r="I2" s="4"/>
    </row>
    <row r="3" spans="1:13" ht="15">
      <c r="A3" s="2"/>
      <c r="B3" s="402" t="s">
        <v>0</v>
      </c>
      <c r="C3" s="402"/>
      <c r="D3" s="402"/>
      <c r="E3" s="402"/>
      <c r="F3" s="402"/>
      <c r="G3" s="245"/>
      <c r="H3" s="245"/>
      <c r="I3" s="11"/>
    </row>
    <row r="4" spans="1:13" ht="15">
      <c r="A4" s="2"/>
      <c r="B4" s="402" t="s">
        <v>5</v>
      </c>
      <c r="C4" s="402"/>
      <c r="D4" s="402"/>
      <c r="E4" s="402"/>
      <c r="F4" s="402"/>
      <c r="G4" s="245"/>
      <c r="H4" s="245"/>
      <c r="I4" s="11"/>
    </row>
    <row r="5" spans="1:13">
      <c r="A5" s="2"/>
    </row>
    <row r="6" spans="1:13">
      <c r="A6" s="2"/>
      <c r="G6" s="10" t="s">
        <v>18</v>
      </c>
      <c r="H6" s="10" t="s">
        <v>656</v>
      </c>
      <c r="I6" s="10" t="s">
        <v>644</v>
      </c>
      <c r="J6" s="10" t="s">
        <v>644</v>
      </c>
    </row>
    <row r="7" spans="1:13">
      <c r="A7" s="2"/>
      <c r="F7" s="10" t="s">
        <v>18</v>
      </c>
      <c r="G7" s="10" t="s">
        <v>657</v>
      </c>
      <c r="H7" s="10" t="s">
        <v>18</v>
      </c>
      <c r="I7" s="10" t="s">
        <v>19</v>
      </c>
      <c r="J7" s="10" t="s">
        <v>645</v>
      </c>
    </row>
    <row r="8" spans="1:13" ht="15">
      <c r="A8" s="2"/>
      <c r="B8" s="5" t="s">
        <v>6</v>
      </c>
    </row>
    <row r="9" spans="1:13">
      <c r="A9" s="2"/>
    </row>
    <row r="10" spans="1:13">
      <c r="A10" s="2"/>
      <c r="B10" s="3" t="s">
        <v>7</v>
      </c>
      <c r="F10" s="6">
        <v>67557326.670000002</v>
      </c>
      <c r="G10" s="6"/>
      <c r="H10" s="6">
        <f>F10</f>
        <v>67557326.670000002</v>
      </c>
      <c r="I10" s="13">
        <f>'Interest Expense ES Removal'!I17+'Interest Exp - ST Investments'!I13</f>
        <v>-9848648.3633339088</v>
      </c>
      <c r="J10" s="6">
        <f>H10+I10</f>
        <v>57708678.306666091</v>
      </c>
      <c r="L10" s="394">
        <f>J10*0.1</f>
        <v>5770867.8306666091</v>
      </c>
      <c r="M10" s="394">
        <f>L10*1.002</f>
        <v>5782409.5663279425</v>
      </c>
    </row>
    <row r="11" spans="1:13">
      <c r="A11" s="2"/>
    </row>
    <row r="12" spans="1:13">
      <c r="A12" s="2"/>
      <c r="B12" s="3" t="s">
        <v>8</v>
      </c>
      <c r="F12" s="7">
        <v>1.5</v>
      </c>
      <c r="G12" s="7"/>
      <c r="H12" s="12">
        <f>F12</f>
        <v>1.5</v>
      </c>
      <c r="I12" s="12"/>
      <c r="J12" s="12">
        <v>1.3</v>
      </c>
      <c r="L12" s="394"/>
    </row>
    <row r="13" spans="1:13">
      <c r="A13" s="2"/>
    </row>
    <row r="14" spans="1:13">
      <c r="A14" s="2"/>
      <c r="B14" s="3" t="s">
        <v>9</v>
      </c>
      <c r="F14" s="6">
        <f>ROUND(F10*(F12-1),0)</f>
        <v>33778663</v>
      </c>
      <c r="G14" s="6"/>
      <c r="H14" s="13">
        <f>ROUND(H10*(H12-1),0)</f>
        <v>33778663</v>
      </c>
      <c r="I14" s="6"/>
      <c r="J14" s="13">
        <f>ROUND(J10*(J12-1),0)</f>
        <v>17312603</v>
      </c>
    </row>
    <row r="15" spans="1:13">
      <c r="A15" s="2"/>
    </row>
    <row r="16" spans="1:13">
      <c r="A16" s="2"/>
      <c r="B16" s="3" t="s">
        <v>10</v>
      </c>
      <c r="F16" s="6">
        <v>-15107501.769999968</v>
      </c>
      <c r="G16" s="6">
        <f>-(('Revenue Requirement'!H12+'Revenue Requirement'!H13)*1000000)/'Revenue Requirement'!F19</f>
        <v>5971992.7844311018</v>
      </c>
      <c r="H16" s="13">
        <f>F16+G16</f>
        <v>-9135508.9855688661</v>
      </c>
      <c r="I16" s="13">
        <f>-I10-I36</f>
        <v>45035504.052706011</v>
      </c>
      <c r="J16" s="13">
        <f>H16+I16</f>
        <v>35899995.067137145</v>
      </c>
    </row>
    <row r="17" spans="1:13">
      <c r="A17" s="2"/>
    </row>
    <row r="18" spans="1:13">
      <c r="A18" s="2"/>
      <c r="B18" s="3" t="s">
        <v>11</v>
      </c>
      <c r="F18" s="6">
        <f>F14-F16</f>
        <v>48886164.769999966</v>
      </c>
      <c r="G18" s="6"/>
      <c r="H18" s="6">
        <f>H14-H16</f>
        <v>42914171.985568866</v>
      </c>
      <c r="I18" s="6"/>
      <c r="J18" s="6">
        <f>J14-J16</f>
        <v>-18587392.067137145</v>
      </c>
    </row>
    <row r="19" spans="1:13">
      <c r="A19" s="2"/>
    </row>
    <row r="20" spans="1:13">
      <c r="A20" s="2"/>
      <c r="B20" s="3" t="s">
        <v>12</v>
      </c>
    </row>
    <row r="21" spans="1:13">
      <c r="A21" s="2"/>
      <c r="B21" s="3" t="s">
        <v>13</v>
      </c>
      <c r="E21" s="8">
        <v>1668748.48</v>
      </c>
    </row>
    <row r="22" spans="1:13">
      <c r="A22" s="2"/>
      <c r="B22" s="3" t="s">
        <v>14</v>
      </c>
      <c r="E22" s="8">
        <v>834374241</v>
      </c>
      <c r="M22" s="6"/>
    </row>
    <row r="23" spans="1:13">
      <c r="A23" s="2"/>
      <c r="B23" s="3" t="s">
        <v>15</v>
      </c>
      <c r="F23" s="9">
        <f>ROUND(E21/E22,6)</f>
        <v>2E-3</v>
      </c>
      <c r="G23" s="9"/>
      <c r="H23" s="9">
        <f>F23</f>
        <v>2E-3</v>
      </c>
      <c r="I23" s="9"/>
      <c r="J23" s="9">
        <f>F23</f>
        <v>2E-3</v>
      </c>
    </row>
    <row r="24" spans="1:13">
      <c r="A24" s="2"/>
    </row>
    <row r="25" spans="1:13">
      <c r="A25" s="2"/>
      <c r="B25" s="3" t="s">
        <v>16</v>
      </c>
      <c r="F25" s="6">
        <f>ROUND(F18*F23,0)</f>
        <v>97772</v>
      </c>
      <c r="G25" s="6"/>
      <c r="H25" s="6">
        <f>ROUND(H18*H23,0)</f>
        <v>85828</v>
      </c>
      <c r="I25" s="6"/>
      <c r="J25" s="6">
        <f>ROUND(J18*J23,0)</f>
        <v>-37175</v>
      </c>
    </row>
    <row r="26" spans="1:13">
      <c r="A26" s="2"/>
      <c r="L26" s="3" t="s">
        <v>225</v>
      </c>
    </row>
    <row r="27" spans="1:13">
      <c r="A27" s="2"/>
      <c r="B27" s="3" t="s">
        <v>17</v>
      </c>
      <c r="F27" s="6">
        <f>F18+F25</f>
        <v>48983936.769999966</v>
      </c>
      <c r="G27" s="6"/>
      <c r="H27" s="6">
        <f>H18+H25</f>
        <v>42999999.985568866</v>
      </c>
      <c r="I27" s="6"/>
      <c r="J27" s="306">
        <f>J18+J25</f>
        <v>-18624567.067137145</v>
      </c>
      <c r="K27" s="307"/>
      <c r="L27" s="306">
        <f>'Revenue Requirement'!H37*1000000</f>
        <v>-18624567.023497596</v>
      </c>
    </row>
    <row r="28" spans="1:13">
      <c r="A28" s="2"/>
      <c r="L28" s="6">
        <f>L27-J27</f>
        <v>4.3639548122882843E-2</v>
      </c>
      <c r="M28" s="3" t="s">
        <v>691</v>
      </c>
    </row>
    <row r="36" spans="2:13">
      <c r="B36" s="3" t="s">
        <v>690</v>
      </c>
      <c r="I36" s="313">
        <f>SUM('Revenue Requirement'!D19:D30)*1000000</f>
        <v>-35186855.6893721</v>
      </c>
      <c r="L36" s="3">
        <v>24.035</v>
      </c>
    </row>
    <row r="37" spans="2:13">
      <c r="L37" s="3">
        <v>5.6890000000000001</v>
      </c>
    </row>
    <row r="38" spans="2:13">
      <c r="L38" s="3">
        <f>SUM(L36:L37)</f>
        <v>29.724</v>
      </c>
    </row>
    <row r="39" spans="2:13">
      <c r="L39" s="3">
        <f>L38*0.1</f>
        <v>2.9724000000000004</v>
      </c>
    </row>
    <row r="40" spans="2:13">
      <c r="L40" s="3">
        <f>L39*1.002</f>
        <v>2.9783448000000003</v>
      </c>
      <c r="M40" s="3">
        <f>L40*2</f>
        <v>5.9566896000000007</v>
      </c>
    </row>
  </sheetData>
  <mergeCells count="2">
    <mergeCell ref="B3:F3"/>
    <mergeCell ref="B4:F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opLeftCell="A28" zoomScale="80" zoomScaleNormal="80" workbookViewId="0">
      <selection activeCell="D58" sqref="D58:D61"/>
    </sheetView>
  </sheetViews>
  <sheetFormatPr defaultColWidth="17.85546875" defaultRowHeight="14.25"/>
  <cols>
    <col min="1" max="1" width="5.28515625" style="3" customWidth="1"/>
    <col min="2" max="2" width="12.140625" style="3" customWidth="1"/>
    <col min="3" max="3" width="35" style="3" customWidth="1"/>
    <col min="4" max="16384" width="17.85546875" style="3"/>
  </cols>
  <sheetData>
    <row r="1" spans="1:14">
      <c r="A1" s="2">
        <v>1</v>
      </c>
      <c r="B1" s="3" t="s">
        <v>680</v>
      </c>
    </row>
    <row r="2" spans="1:14">
      <c r="A2" s="2">
        <f>A1+1</f>
        <v>2</v>
      </c>
      <c r="B2" s="3" t="s">
        <v>226</v>
      </c>
    </row>
    <row r="3" spans="1:14">
      <c r="A3" s="2">
        <f t="shared" ref="A3:A66" si="0">A2+1</f>
        <v>3</v>
      </c>
    </row>
    <row r="4" spans="1:14" ht="15">
      <c r="A4" s="2">
        <f t="shared" si="0"/>
        <v>4</v>
      </c>
      <c r="B4" s="5" t="s">
        <v>227</v>
      </c>
    </row>
    <row r="5" spans="1:14">
      <c r="A5" s="2">
        <f t="shared" si="0"/>
        <v>5</v>
      </c>
    </row>
    <row r="6" spans="1:14">
      <c r="A6" s="2">
        <f t="shared" si="0"/>
        <v>6</v>
      </c>
      <c r="B6" s="10" t="s">
        <v>228</v>
      </c>
      <c r="C6" s="10"/>
      <c r="D6" s="10" t="s">
        <v>229</v>
      </c>
      <c r="E6" s="409" t="s">
        <v>230</v>
      </c>
      <c r="F6" s="410"/>
      <c r="G6" s="410"/>
      <c r="H6" s="410"/>
      <c r="I6" s="410"/>
      <c r="J6" s="410"/>
      <c r="K6" s="410"/>
      <c r="L6" s="410"/>
      <c r="M6" s="410"/>
      <c r="N6" s="411"/>
    </row>
    <row r="7" spans="1:14" ht="15" thickBot="1">
      <c r="A7" s="2">
        <f t="shared" si="0"/>
        <v>7</v>
      </c>
      <c r="B7" s="246" t="s">
        <v>231</v>
      </c>
      <c r="C7" s="246" t="s">
        <v>232</v>
      </c>
      <c r="D7" s="247">
        <v>43830</v>
      </c>
      <c r="E7" s="248" t="s">
        <v>233</v>
      </c>
      <c r="F7" s="248" t="s">
        <v>234</v>
      </c>
      <c r="G7" s="246">
        <v>310</v>
      </c>
      <c r="H7" s="246">
        <v>311</v>
      </c>
      <c r="I7" s="246">
        <v>312</v>
      </c>
      <c r="J7" s="246">
        <v>315</v>
      </c>
      <c r="K7" s="246">
        <v>316</v>
      </c>
      <c r="L7" s="246">
        <v>353</v>
      </c>
      <c r="M7" s="249" t="s">
        <v>235</v>
      </c>
      <c r="N7" s="246" t="s">
        <v>236</v>
      </c>
    </row>
    <row r="8" spans="1:14">
      <c r="A8" s="2">
        <f t="shared" si="0"/>
        <v>8</v>
      </c>
    </row>
    <row r="9" spans="1:14">
      <c r="A9" s="2">
        <f t="shared" si="0"/>
        <v>9</v>
      </c>
      <c r="B9" s="10">
        <v>1</v>
      </c>
      <c r="C9" s="3" t="s">
        <v>237</v>
      </c>
      <c r="D9" s="8">
        <v>69612000</v>
      </c>
      <c r="E9" s="8"/>
      <c r="F9" s="8"/>
      <c r="G9" s="8"/>
      <c r="H9" s="8"/>
      <c r="I9" s="8">
        <v>69612000</v>
      </c>
      <c r="J9" s="8"/>
      <c r="K9" s="8"/>
      <c r="L9" s="8"/>
      <c r="M9" s="8"/>
      <c r="N9" s="6">
        <f>SUM(E9:M9)</f>
        <v>69612000</v>
      </c>
    </row>
    <row r="10" spans="1:14">
      <c r="A10" s="2">
        <f t="shared" si="0"/>
        <v>10</v>
      </c>
      <c r="B10" s="10"/>
      <c r="D10" s="8"/>
      <c r="E10" s="8"/>
      <c r="F10" s="8"/>
      <c r="G10" s="8"/>
      <c r="H10" s="8"/>
      <c r="I10" s="8"/>
      <c r="J10" s="8"/>
      <c r="K10" s="8"/>
      <c r="L10" s="8"/>
      <c r="M10" s="8"/>
      <c r="N10" s="6"/>
    </row>
    <row r="11" spans="1:14">
      <c r="A11" s="2">
        <f t="shared" si="0"/>
        <v>11</v>
      </c>
      <c r="B11" s="10">
        <v>2</v>
      </c>
      <c r="C11" s="3" t="s">
        <v>238</v>
      </c>
      <c r="D11" s="8">
        <v>24291751</v>
      </c>
      <c r="E11" s="8"/>
      <c r="F11" s="8"/>
      <c r="G11" s="8"/>
      <c r="H11" s="8">
        <v>728752</v>
      </c>
      <c r="I11" s="8">
        <v>19919236</v>
      </c>
      <c r="J11" s="8">
        <v>3643763</v>
      </c>
      <c r="K11" s="8"/>
      <c r="L11" s="8"/>
      <c r="M11" s="8"/>
      <c r="N11" s="6">
        <f>SUM(E11:M11)</f>
        <v>24291751</v>
      </c>
    </row>
    <row r="12" spans="1:14">
      <c r="A12" s="2">
        <f t="shared" si="0"/>
        <v>12</v>
      </c>
      <c r="B12" s="10"/>
      <c r="D12" s="8"/>
      <c r="E12" s="8"/>
      <c r="F12" s="8"/>
      <c r="G12" s="8"/>
      <c r="H12" s="8"/>
      <c r="I12" s="8"/>
      <c r="J12" s="8"/>
      <c r="K12" s="8"/>
      <c r="L12" s="8"/>
      <c r="M12" s="8"/>
      <c r="N12" s="6"/>
    </row>
    <row r="13" spans="1:14">
      <c r="A13" s="2">
        <f t="shared" si="0"/>
        <v>13</v>
      </c>
      <c r="B13" s="10">
        <v>3</v>
      </c>
      <c r="C13" s="3" t="s">
        <v>239</v>
      </c>
      <c r="D13" s="8">
        <v>82017971</v>
      </c>
      <c r="E13" s="8"/>
      <c r="F13" s="8"/>
      <c r="G13" s="8"/>
      <c r="H13" s="8"/>
      <c r="I13" s="8">
        <v>82017971</v>
      </c>
      <c r="J13" s="8"/>
      <c r="K13" s="8"/>
      <c r="L13" s="8"/>
      <c r="M13" s="8"/>
      <c r="N13" s="6">
        <f>SUM(E13:M13)</f>
        <v>82017971</v>
      </c>
    </row>
    <row r="14" spans="1:14">
      <c r="A14" s="2">
        <f t="shared" si="0"/>
        <v>14</v>
      </c>
      <c r="B14" s="10"/>
      <c r="D14" s="8"/>
      <c r="E14" s="8"/>
      <c r="F14" s="8"/>
      <c r="G14" s="8"/>
      <c r="H14" s="8"/>
      <c r="I14" s="8"/>
      <c r="J14" s="8"/>
      <c r="K14" s="8"/>
      <c r="L14" s="8"/>
      <c r="M14" s="8"/>
      <c r="N14" s="6"/>
    </row>
    <row r="15" spans="1:14">
      <c r="A15" s="2">
        <f t="shared" si="0"/>
        <v>15</v>
      </c>
      <c r="B15" s="10">
        <v>4</v>
      </c>
      <c r="C15" s="3" t="s">
        <v>240</v>
      </c>
      <c r="D15" s="8">
        <v>45943101</v>
      </c>
      <c r="E15" s="8"/>
      <c r="F15" s="8"/>
      <c r="G15" s="8"/>
      <c r="H15" s="8">
        <v>145128</v>
      </c>
      <c r="I15" s="8">
        <v>45797973</v>
      </c>
      <c r="J15" s="8"/>
      <c r="K15" s="8"/>
      <c r="L15" s="8"/>
      <c r="M15" s="8"/>
      <c r="N15" s="6">
        <f>SUM(E15:M15)</f>
        <v>45943101</v>
      </c>
    </row>
    <row r="16" spans="1:14">
      <c r="A16" s="2">
        <f t="shared" si="0"/>
        <v>16</v>
      </c>
      <c r="B16" s="10"/>
      <c r="D16" s="8"/>
      <c r="E16" s="8"/>
      <c r="F16" s="8"/>
      <c r="G16" s="8"/>
      <c r="H16" s="8"/>
      <c r="I16" s="8"/>
      <c r="J16" s="8"/>
      <c r="K16" s="8"/>
      <c r="L16" s="8"/>
      <c r="M16" s="8"/>
      <c r="N16" s="6"/>
    </row>
    <row r="17" spans="1:14">
      <c r="A17" s="2">
        <f t="shared" si="0"/>
        <v>17</v>
      </c>
      <c r="B17" s="10">
        <v>6</v>
      </c>
      <c r="C17" s="3" t="s">
        <v>241</v>
      </c>
      <c r="D17" s="8">
        <v>3088571</v>
      </c>
      <c r="E17" s="8"/>
      <c r="F17" s="8"/>
      <c r="G17" s="8"/>
      <c r="H17" s="8"/>
      <c r="I17" s="8">
        <v>3088571</v>
      </c>
      <c r="J17" s="8"/>
      <c r="K17" s="8"/>
      <c r="L17" s="8"/>
      <c r="M17" s="8"/>
      <c r="N17" s="6">
        <f>SUM(E17:M17)</f>
        <v>3088571</v>
      </c>
    </row>
    <row r="18" spans="1:14">
      <c r="A18" s="2">
        <f t="shared" si="0"/>
        <v>18</v>
      </c>
      <c r="B18" s="10"/>
      <c r="D18" s="8"/>
      <c r="E18" s="8"/>
      <c r="F18" s="8"/>
      <c r="G18" s="8"/>
      <c r="H18" s="8"/>
      <c r="I18" s="8"/>
      <c r="J18" s="8"/>
      <c r="K18" s="8"/>
      <c r="L18" s="8"/>
      <c r="M18" s="8"/>
      <c r="N18" s="6"/>
    </row>
    <row r="19" spans="1:14">
      <c r="A19" s="2">
        <f t="shared" si="0"/>
        <v>19</v>
      </c>
      <c r="B19" s="10">
        <v>7</v>
      </c>
      <c r="C19" s="3" t="s">
        <v>242</v>
      </c>
      <c r="D19" s="8">
        <v>206856161</v>
      </c>
      <c r="E19" s="8"/>
      <c r="F19" s="8"/>
      <c r="G19" s="8"/>
      <c r="H19" s="8">
        <v>22341947</v>
      </c>
      <c r="I19" s="8">
        <v>158386659</v>
      </c>
      <c r="J19" s="8">
        <v>17731989</v>
      </c>
      <c r="K19" s="8"/>
      <c r="L19" s="8">
        <v>8395566</v>
      </c>
      <c r="M19" s="8"/>
      <c r="N19" s="6">
        <f>SUM(E19:M19)</f>
        <v>206856161</v>
      </c>
    </row>
    <row r="20" spans="1:14">
      <c r="A20" s="2">
        <f t="shared" si="0"/>
        <v>20</v>
      </c>
      <c r="B20" s="10"/>
      <c r="D20" s="8"/>
      <c r="E20" s="8"/>
      <c r="F20" s="8"/>
      <c r="G20" s="8"/>
      <c r="H20" s="8"/>
      <c r="I20" s="8"/>
      <c r="J20" s="8"/>
      <c r="K20" s="8"/>
      <c r="L20" s="8"/>
      <c r="M20" s="8"/>
      <c r="N20" s="6"/>
    </row>
    <row r="21" spans="1:14">
      <c r="A21" s="2">
        <f t="shared" si="0"/>
        <v>21</v>
      </c>
      <c r="B21" s="10">
        <v>8</v>
      </c>
      <c r="C21" s="3" t="s">
        <v>243</v>
      </c>
      <c r="D21" s="8">
        <v>151374608</v>
      </c>
      <c r="E21" s="8"/>
      <c r="F21" s="8"/>
      <c r="G21" s="8"/>
      <c r="H21" s="8">
        <v>25289574</v>
      </c>
      <c r="I21" s="8">
        <v>103608243</v>
      </c>
      <c r="J21" s="8">
        <v>12520715</v>
      </c>
      <c r="K21" s="8"/>
      <c r="L21" s="8">
        <v>9956076</v>
      </c>
      <c r="M21" s="8"/>
      <c r="N21" s="6">
        <f>SUM(E21:M21)</f>
        <v>151374608</v>
      </c>
    </row>
    <row r="22" spans="1:14">
      <c r="A22" s="2">
        <f t="shared" si="0"/>
        <v>22</v>
      </c>
      <c r="B22" s="10"/>
      <c r="D22" s="8"/>
      <c r="E22" s="8"/>
      <c r="F22" s="8"/>
      <c r="G22" s="8"/>
      <c r="H22" s="8"/>
      <c r="I22" s="8"/>
      <c r="J22" s="8"/>
      <c r="K22" s="8"/>
      <c r="L22" s="8"/>
      <c r="M22" s="8"/>
      <c r="N22" s="6"/>
    </row>
    <row r="23" spans="1:14">
      <c r="A23" s="2">
        <f t="shared" si="0"/>
        <v>23</v>
      </c>
      <c r="B23" s="10">
        <v>9</v>
      </c>
      <c r="C23" s="3" t="s">
        <v>244</v>
      </c>
      <c r="D23" s="8">
        <v>96502627</v>
      </c>
      <c r="E23" s="8"/>
      <c r="F23" s="8"/>
      <c r="G23" s="8"/>
      <c r="H23" s="8">
        <v>14959428</v>
      </c>
      <c r="I23" s="8">
        <v>79956647</v>
      </c>
      <c r="J23" s="8">
        <v>50263</v>
      </c>
      <c r="K23" s="8">
        <v>1536289</v>
      </c>
      <c r="L23" s="8"/>
      <c r="M23" s="8"/>
      <c r="N23" s="6">
        <f>SUM(E23:M23)</f>
        <v>96502627</v>
      </c>
    </row>
    <row r="24" spans="1:14">
      <c r="A24" s="2">
        <f t="shared" si="0"/>
        <v>24</v>
      </c>
      <c r="B24" s="10"/>
      <c r="D24" s="8"/>
      <c r="E24" s="8"/>
      <c r="F24" s="8"/>
      <c r="G24" s="8"/>
      <c r="H24" s="8"/>
      <c r="I24" s="8"/>
      <c r="J24" s="8"/>
      <c r="K24" s="8"/>
      <c r="L24" s="8"/>
      <c r="M24" s="8"/>
      <c r="N24" s="6"/>
    </row>
    <row r="25" spans="1:14">
      <c r="A25" s="2">
        <f t="shared" si="0"/>
        <v>25</v>
      </c>
      <c r="B25" s="10">
        <v>10</v>
      </c>
      <c r="C25" s="3" t="s">
        <v>245</v>
      </c>
      <c r="D25" s="8">
        <v>2586198</v>
      </c>
      <c r="E25" s="8"/>
      <c r="F25" s="8"/>
      <c r="G25" s="8"/>
      <c r="H25" s="8"/>
      <c r="I25" s="8">
        <v>2586198</v>
      </c>
      <c r="J25" s="8"/>
      <c r="K25" s="8"/>
      <c r="L25" s="8"/>
      <c r="M25" s="8"/>
      <c r="N25" s="6">
        <f>SUM(E25:M25)</f>
        <v>2586198</v>
      </c>
    </row>
    <row r="26" spans="1:14">
      <c r="A26" s="2">
        <f t="shared" si="0"/>
        <v>26</v>
      </c>
      <c r="B26" s="10"/>
      <c r="D26" s="8"/>
      <c r="E26" s="8"/>
      <c r="F26" s="8"/>
      <c r="G26" s="8"/>
      <c r="H26" s="8"/>
      <c r="I26" s="8"/>
      <c r="J26" s="8"/>
      <c r="K26" s="8"/>
      <c r="L26" s="8"/>
      <c r="M26" s="8"/>
      <c r="N26" s="6"/>
    </row>
    <row r="27" spans="1:14">
      <c r="A27" s="2">
        <f t="shared" si="0"/>
        <v>27</v>
      </c>
      <c r="B27" s="10">
        <v>11</v>
      </c>
      <c r="C27" s="3" t="s">
        <v>246</v>
      </c>
      <c r="D27" s="8">
        <v>224063511</v>
      </c>
      <c r="E27" s="8"/>
      <c r="F27" s="8"/>
      <c r="G27" s="8"/>
      <c r="H27" s="8">
        <v>16839215</v>
      </c>
      <c r="I27" s="8">
        <v>193023683</v>
      </c>
      <c r="J27" s="8">
        <v>12060628</v>
      </c>
      <c r="K27" s="8">
        <v>2139985</v>
      </c>
      <c r="L27" s="8"/>
      <c r="M27" s="8"/>
      <c r="N27" s="6">
        <f>SUM(E27:M27)</f>
        <v>224063511</v>
      </c>
    </row>
    <row r="28" spans="1:14">
      <c r="A28" s="2">
        <f t="shared" si="0"/>
        <v>28</v>
      </c>
      <c r="B28" s="10"/>
      <c r="D28" s="8"/>
      <c r="E28" s="8"/>
      <c r="F28" s="8"/>
      <c r="G28" s="8"/>
      <c r="H28" s="8"/>
      <c r="I28" s="8"/>
      <c r="J28" s="8"/>
      <c r="K28" s="8"/>
      <c r="L28" s="8"/>
      <c r="M28" s="8"/>
      <c r="N28" s="6"/>
    </row>
    <row r="29" spans="1:14">
      <c r="A29" s="2">
        <f t="shared" si="0"/>
        <v>29</v>
      </c>
      <c r="B29" s="10">
        <v>12</v>
      </c>
      <c r="C29" s="3" t="s">
        <v>247</v>
      </c>
      <c r="D29" s="8">
        <f>4743885+5755766+12701446</f>
        <v>23201097</v>
      </c>
      <c r="E29" s="8">
        <v>4743885</v>
      </c>
      <c r="F29" s="8">
        <v>5755766</v>
      </c>
      <c r="G29" s="8">
        <v>12701446</v>
      </c>
      <c r="H29" s="8"/>
      <c r="I29" s="8"/>
      <c r="J29" s="8"/>
      <c r="K29" s="8"/>
      <c r="L29" s="8"/>
      <c r="M29" s="8"/>
      <c r="N29" s="6">
        <f>SUM(E29:M29)</f>
        <v>23201097</v>
      </c>
    </row>
    <row r="30" spans="1:14">
      <c r="A30" s="2">
        <f t="shared" si="0"/>
        <v>30</v>
      </c>
      <c r="B30" s="10"/>
      <c r="D30" s="8"/>
      <c r="E30" s="8"/>
      <c r="F30" s="8"/>
      <c r="G30" s="8"/>
      <c r="H30" s="8"/>
      <c r="I30" s="8"/>
      <c r="J30" s="8"/>
      <c r="K30" s="8"/>
      <c r="L30" s="8"/>
      <c r="M30" s="8"/>
      <c r="N30" s="6"/>
    </row>
    <row r="31" spans="1:14">
      <c r="A31" s="2">
        <f t="shared" si="0"/>
        <v>31</v>
      </c>
      <c r="B31" s="10">
        <v>12</v>
      </c>
      <c r="C31" s="3" t="s">
        <v>248</v>
      </c>
      <c r="D31" s="8">
        <v>1965365</v>
      </c>
      <c r="E31" s="8"/>
      <c r="F31" s="8"/>
      <c r="G31" s="8"/>
      <c r="H31" s="8"/>
      <c r="I31" s="8"/>
      <c r="J31" s="8"/>
      <c r="K31" s="8"/>
      <c r="L31" s="8"/>
      <c r="M31" s="8">
        <v>1965365</v>
      </c>
      <c r="N31" s="6">
        <f>SUM(E31:M31)</f>
        <v>1965365</v>
      </c>
    </row>
    <row r="32" spans="1:14">
      <c r="A32" s="2">
        <f t="shared" si="0"/>
        <v>32</v>
      </c>
      <c r="B32" s="10"/>
      <c r="D32" s="8"/>
      <c r="E32" s="8"/>
      <c r="F32" s="8"/>
      <c r="G32" s="8"/>
      <c r="H32" s="8"/>
      <c r="I32" s="8"/>
      <c r="J32" s="8"/>
      <c r="K32" s="8"/>
      <c r="L32" s="8"/>
      <c r="M32" s="8"/>
      <c r="N32" s="6"/>
    </row>
    <row r="33" spans="1:14">
      <c r="A33" s="2">
        <f t="shared" si="0"/>
        <v>33</v>
      </c>
      <c r="B33" s="10">
        <v>13</v>
      </c>
      <c r="C33" s="3" t="s">
        <v>249</v>
      </c>
      <c r="D33" s="8">
        <v>2809721</v>
      </c>
      <c r="E33" s="8"/>
      <c r="F33" s="8"/>
      <c r="G33" s="8"/>
      <c r="H33" s="8"/>
      <c r="I33" s="8">
        <v>2809721</v>
      </c>
      <c r="J33" s="8"/>
      <c r="K33" s="8"/>
      <c r="L33" s="8"/>
      <c r="M33" s="8"/>
      <c r="N33" s="6">
        <f>SUM(E33:M33)</f>
        <v>2809721</v>
      </c>
    </row>
    <row r="34" spans="1:14">
      <c r="A34" s="2">
        <f t="shared" si="0"/>
        <v>34</v>
      </c>
      <c r="B34" s="10"/>
      <c r="D34" s="8"/>
      <c r="E34" s="8"/>
      <c r="F34" s="8"/>
      <c r="G34" s="8"/>
      <c r="H34" s="8"/>
      <c r="I34" s="8"/>
      <c r="J34" s="8"/>
      <c r="K34" s="8"/>
      <c r="L34" s="8"/>
      <c r="M34" s="8"/>
      <c r="N34" s="6"/>
    </row>
    <row r="35" spans="1:14">
      <c r="A35" s="2">
        <f t="shared" si="0"/>
        <v>35</v>
      </c>
      <c r="B35" s="10">
        <v>14</v>
      </c>
      <c r="C35" s="3" t="s">
        <v>250</v>
      </c>
      <c r="D35" s="8">
        <v>14959125</v>
      </c>
      <c r="E35" s="8"/>
      <c r="F35" s="8"/>
      <c r="G35" s="8"/>
      <c r="H35" s="8"/>
      <c r="I35" s="8">
        <v>14959125</v>
      </c>
      <c r="J35" s="8"/>
      <c r="K35" s="8"/>
      <c r="L35" s="8"/>
      <c r="M35" s="8"/>
      <c r="N35" s="6">
        <f>SUM(E35:M35)</f>
        <v>14959125</v>
      </c>
    </row>
    <row r="36" spans="1:14">
      <c r="A36" s="2">
        <f t="shared" si="0"/>
        <v>36</v>
      </c>
      <c r="B36" s="10"/>
      <c r="D36" s="8"/>
      <c r="E36" s="8"/>
      <c r="F36" s="8"/>
      <c r="G36" s="8"/>
      <c r="H36" s="8"/>
      <c r="I36" s="8"/>
      <c r="J36" s="8"/>
      <c r="K36" s="8"/>
      <c r="L36" s="8"/>
      <c r="M36" s="8"/>
      <c r="N36" s="6"/>
    </row>
    <row r="37" spans="1:14">
      <c r="A37" s="2">
        <f t="shared" si="0"/>
        <v>37</v>
      </c>
      <c r="B37" s="10">
        <v>15</v>
      </c>
      <c r="C37" s="3" t="s">
        <v>251</v>
      </c>
      <c r="D37" s="8">
        <v>6050425</v>
      </c>
      <c r="E37" s="8"/>
      <c r="F37" s="8"/>
      <c r="G37" s="8">
        <v>6050425</v>
      </c>
      <c r="H37" s="8"/>
      <c r="I37" s="8"/>
      <c r="J37" s="8"/>
      <c r="K37" s="8"/>
      <c r="L37" s="8"/>
      <c r="M37" s="8"/>
      <c r="N37" s="6">
        <f>SUM(E37:M37)</f>
        <v>6050425</v>
      </c>
    </row>
    <row r="38" spans="1:14">
      <c r="A38" s="2">
        <f t="shared" si="0"/>
        <v>38</v>
      </c>
      <c r="B38" s="10"/>
      <c r="D38" s="8"/>
      <c r="E38" s="8"/>
      <c r="F38" s="8"/>
      <c r="G38" s="8"/>
      <c r="H38" s="8"/>
      <c r="I38" s="8"/>
      <c r="J38" s="8"/>
      <c r="K38" s="8"/>
      <c r="L38" s="8"/>
      <c r="M38" s="8"/>
      <c r="N38" s="6"/>
    </row>
    <row r="39" spans="1:14">
      <c r="A39" s="2">
        <f t="shared" si="0"/>
        <v>39</v>
      </c>
      <c r="B39" s="10">
        <v>15</v>
      </c>
      <c r="C39" s="3" t="s">
        <v>252</v>
      </c>
      <c r="D39" s="8">
        <v>14555837</v>
      </c>
      <c r="E39" s="8"/>
      <c r="F39" s="8"/>
      <c r="G39" s="8"/>
      <c r="H39" s="8"/>
      <c r="I39" s="8"/>
      <c r="J39" s="8"/>
      <c r="K39" s="8"/>
      <c r="L39" s="8"/>
      <c r="M39" s="8">
        <v>14555837</v>
      </c>
      <c r="N39" s="6">
        <f>SUM(E39:M39)</f>
        <v>14555837</v>
      </c>
    </row>
    <row r="40" spans="1:14">
      <c r="A40" s="2">
        <f t="shared" si="0"/>
        <v>40</v>
      </c>
      <c r="B40" s="10"/>
      <c r="D40" s="8"/>
      <c r="E40" s="8"/>
      <c r="F40" s="8"/>
      <c r="G40" s="8"/>
      <c r="H40" s="8"/>
      <c r="I40" s="8"/>
      <c r="J40" s="8"/>
      <c r="K40" s="8"/>
      <c r="L40" s="8"/>
      <c r="M40" s="8"/>
      <c r="N40" s="6"/>
    </row>
    <row r="41" spans="1:14">
      <c r="A41" s="2">
        <f t="shared" si="0"/>
        <v>41</v>
      </c>
      <c r="B41" s="10">
        <v>16</v>
      </c>
      <c r="C41" s="3" t="s">
        <v>253</v>
      </c>
      <c r="D41" s="8">
        <v>129093455</v>
      </c>
      <c r="E41" s="8"/>
      <c r="F41" s="8">
        <v>129093455</v>
      </c>
      <c r="G41" s="8"/>
      <c r="H41" s="8"/>
      <c r="I41" s="8"/>
      <c r="J41" s="8"/>
      <c r="K41" s="8"/>
      <c r="L41" s="8"/>
      <c r="M41" s="8"/>
      <c r="N41" s="6">
        <f>SUM(E41:M41)</f>
        <v>129093455</v>
      </c>
    </row>
    <row r="42" spans="1:14">
      <c r="A42" s="2">
        <f t="shared" si="0"/>
        <v>42</v>
      </c>
      <c r="B42" s="10"/>
      <c r="D42" s="8"/>
      <c r="E42" s="8"/>
      <c r="F42" s="8"/>
      <c r="G42" s="8"/>
      <c r="H42" s="8"/>
      <c r="I42" s="8"/>
      <c r="J42" s="8"/>
      <c r="K42" s="8"/>
      <c r="L42" s="8"/>
      <c r="M42" s="8"/>
      <c r="N42" s="6"/>
    </row>
    <row r="43" spans="1:14">
      <c r="A43" s="2">
        <f t="shared" si="0"/>
        <v>43</v>
      </c>
      <c r="B43" s="10">
        <v>17</v>
      </c>
      <c r="C43" s="3" t="s">
        <v>254</v>
      </c>
      <c r="D43" s="8">
        <v>917830</v>
      </c>
      <c r="E43" s="8"/>
      <c r="F43" s="8"/>
      <c r="G43" s="8"/>
      <c r="H43" s="8"/>
      <c r="I43" s="8"/>
      <c r="J43" s="8"/>
      <c r="K43" s="8"/>
      <c r="L43" s="8"/>
      <c r="M43" s="8">
        <v>917830</v>
      </c>
      <c r="N43" s="6">
        <f>SUM(E43:M43)</f>
        <v>917830</v>
      </c>
    </row>
    <row r="44" spans="1:14">
      <c r="A44" s="2">
        <f t="shared" si="0"/>
        <v>44</v>
      </c>
      <c r="B44" s="10"/>
      <c r="D44" s="8"/>
      <c r="E44" s="8"/>
      <c r="F44" s="8"/>
      <c r="G44" s="8"/>
      <c r="H44" s="8"/>
      <c r="I44" s="8"/>
      <c r="J44" s="8"/>
      <c r="K44" s="8"/>
      <c r="L44" s="8"/>
      <c r="M44" s="8"/>
      <c r="N44" s="6"/>
    </row>
    <row r="45" spans="1:14">
      <c r="A45" s="2">
        <f t="shared" si="0"/>
        <v>45</v>
      </c>
      <c r="B45" s="10">
        <v>17</v>
      </c>
      <c r="C45" s="3" t="s">
        <v>255</v>
      </c>
      <c r="D45" s="8">
        <v>5325572</v>
      </c>
      <c r="E45" s="8"/>
      <c r="F45" s="8"/>
      <c r="G45" s="8">
        <v>5325572</v>
      </c>
      <c r="H45" s="8"/>
      <c r="I45" s="8"/>
      <c r="J45" s="8"/>
      <c r="K45" s="8"/>
      <c r="L45" s="8"/>
      <c r="M45" s="8"/>
      <c r="N45" s="6">
        <f>SUM(E45:M45)</f>
        <v>5325572</v>
      </c>
    </row>
    <row r="46" spans="1:14">
      <c r="A46" s="2">
        <f t="shared" si="0"/>
        <v>46</v>
      </c>
      <c r="B46" s="10"/>
      <c r="D46" s="8"/>
      <c r="E46" s="8"/>
      <c r="F46" s="8"/>
      <c r="G46" s="8"/>
      <c r="H46" s="8"/>
      <c r="I46" s="8"/>
      <c r="J46" s="8"/>
      <c r="K46" s="8"/>
      <c r="L46" s="8"/>
      <c r="M46" s="8"/>
      <c r="N46" s="6"/>
    </row>
    <row r="47" spans="1:14">
      <c r="A47" s="2">
        <f t="shared" si="0"/>
        <v>47</v>
      </c>
      <c r="B47" s="10">
        <v>18</v>
      </c>
      <c r="C47" s="3" t="s">
        <v>256</v>
      </c>
      <c r="D47" s="8">
        <v>2163009</v>
      </c>
      <c r="E47" s="8"/>
      <c r="F47" s="8"/>
      <c r="G47" s="8"/>
      <c r="H47" s="8"/>
      <c r="I47" s="8">
        <v>2163009</v>
      </c>
      <c r="J47" s="8"/>
      <c r="K47" s="8"/>
      <c r="L47" s="8"/>
      <c r="M47" s="8"/>
      <c r="N47" s="6">
        <f>SUM(E47:M47)</f>
        <v>2163009</v>
      </c>
    </row>
    <row r="48" spans="1:14">
      <c r="A48" s="2">
        <f t="shared" si="0"/>
        <v>48</v>
      </c>
      <c r="B48" s="10"/>
      <c r="D48" s="8"/>
      <c r="E48" s="8"/>
      <c r="F48" s="8"/>
      <c r="G48" s="8"/>
      <c r="H48" s="8"/>
      <c r="I48" s="8"/>
      <c r="J48" s="8"/>
      <c r="K48" s="8"/>
      <c r="L48" s="8"/>
      <c r="M48" s="8"/>
      <c r="N48" s="6"/>
    </row>
    <row r="49" spans="1:14">
      <c r="A49" s="2">
        <f t="shared" si="0"/>
        <v>49</v>
      </c>
      <c r="B49" s="10">
        <v>19</v>
      </c>
      <c r="C49" s="3" t="s">
        <v>257</v>
      </c>
      <c r="D49" s="8">
        <v>260441</v>
      </c>
      <c r="E49" s="8"/>
      <c r="F49" s="8"/>
      <c r="G49" s="8"/>
      <c r="H49" s="8"/>
      <c r="I49" s="8">
        <v>260441</v>
      </c>
      <c r="J49" s="8"/>
      <c r="K49" s="8"/>
      <c r="L49" s="8"/>
      <c r="M49" s="8"/>
      <c r="N49" s="6">
        <f>SUM(E49:M49)</f>
        <v>260441</v>
      </c>
    </row>
    <row r="50" spans="1:14">
      <c r="A50" s="2">
        <f t="shared" si="0"/>
        <v>50</v>
      </c>
      <c r="B50" s="10"/>
      <c r="D50" s="8"/>
      <c r="E50" s="8"/>
      <c r="F50" s="8"/>
      <c r="G50" s="8"/>
      <c r="H50" s="8"/>
      <c r="I50" s="8"/>
      <c r="J50" s="8"/>
      <c r="K50" s="8"/>
      <c r="L50" s="8"/>
      <c r="M50" s="8"/>
      <c r="N50" s="6"/>
    </row>
    <row r="51" spans="1:14">
      <c r="A51" s="2">
        <f t="shared" si="0"/>
        <v>51</v>
      </c>
      <c r="B51" s="10">
        <v>20</v>
      </c>
      <c r="C51" s="3" t="s">
        <v>258</v>
      </c>
      <c r="D51" s="8">
        <v>1242055</v>
      </c>
      <c r="E51" s="8"/>
      <c r="F51" s="8"/>
      <c r="G51" s="8"/>
      <c r="H51" s="8">
        <v>1242055</v>
      </c>
      <c r="I51" s="8"/>
      <c r="J51" s="8"/>
      <c r="K51" s="8"/>
      <c r="L51" s="8"/>
      <c r="M51" s="8"/>
      <c r="N51" s="6">
        <f>SUM(E51:M51)</f>
        <v>1242055</v>
      </c>
    </row>
    <row r="52" spans="1:14">
      <c r="A52" s="2">
        <f t="shared" si="0"/>
        <v>52</v>
      </c>
      <c r="B52" s="10"/>
      <c r="D52" s="8"/>
      <c r="E52" s="8"/>
      <c r="F52" s="8"/>
      <c r="G52" s="8"/>
      <c r="H52" s="8"/>
      <c r="I52" s="8"/>
      <c r="J52" s="8"/>
      <c r="K52" s="8"/>
      <c r="L52" s="8"/>
      <c r="M52" s="8"/>
      <c r="N52" s="6"/>
    </row>
    <row r="53" spans="1:14">
      <c r="A53" s="2">
        <f t="shared" si="0"/>
        <v>53</v>
      </c>
      <c r="B53" s="10">
        <v>21</v>
      </c>
      <c r="C53" s="3" t="s">
        <v>259</v>
      </c>
      <c r="D53" s="8">
        <v>13126964</v>
      </c>
      <c r="E53" s="8"/>
      <c r="F53" s="8"/>
      <c r="G53" s="8"/>
      <c r="H53" s="8">
        <v>13126964</v>
      </c>
      <c r="I53" s="8"/>
      <c r="J53" s="8"/>
      <c r="K53" s="8"/>
      <c r="L53" s="8"/>
      <c r="M53" s="8"/>
      <c r="N53" s="6">
        <f>SUM(E53:M53)</f>
        <v>13126964</v>
      </c>
    </row>
    <row r="54" spans="1:14">
      <c r="A54" s="2">
        <f t="shared" si="0"/>
        <v>54</v>
      </c>
      <c r="B54" s="10"/>
      <c r="D54" s="8"/>
      <c r="E54" s="8"/>
      <c r="F54" s="8"/>
      <c r="G54" s="8"/>
      <c r="H54" s="8"/>
      <c r="I54" s="8"/>
      <c r="J54" s="8"/>
      <c r="K54" s="8"/>
      <c r="L54" s="8"/>
      <c r="M54" s="8"/>
      <c r="N54" s="6"/>
    </row>
    <row r="55" spans="1:14">
      <c r="A55" s="2">
        <f t="shared" si="0"/>
        <v>55</v>
      </c>
      <c r="B55" s="10">
        <v>22</v>
      </c>
      <c r="C55" s="3" t="s">
        <v>260</v>
      </c>
      <c r="D55" s="8">
        <v>2755438</v>
      </c>
      <c r="E55" s="8"/>
      <c r="F55" s="8"/>
      <c r="G55" s="8"/>
      <c r="H55" s="8"/>
      <c r="I55" s="8">
        <v>2755438</v>
      </c>
      <c r="J55" s="8"/>
      <c r="K55" s="8"/>
      <c r="L55" s="8"/>
      <c r="M55" s="8"/>
      <c r="N55" s="6">
        <f>SUM(E55:M55)</f>
        <v>2755438</v>
      </c>
    </row>
    <row r="56" spans="1:14">
      <c r="A56" s="2">
        <f t="shared" si="0"/>
        <v>56</v>
      </c>
      <c r="B56" s="10"/>
      <c r="D56" s="8"/>
      <c r="E56" s="8"/>
      <c r="F56" s="8"/>
      <c r="G56" s="8"/>
      <c r="H56" s="8"/>
      <c r="I56" s="8"/>
      <c r="J56" s="8"/>
      <c r="K56" s="8"/>
      <c r="L56" s="8"/>
      <c r="M56" s="8"/>
      <c r="N56" s="6"/>
    </row>
    <row r="57" spans="1:14">
      <c r="A57" s="2">
        <f t="shared" si="0"/>
        <v>57</v>
      </c>
      <c r="B57" s="10">
        <v>23</v>
      </c>
      <c r="C57" s="3" t="s">
        <v>261</v>
      </c>
      <c r="D57" s="8">
        <v>1050780</v>
      </c>
      <c r="E57" s="8"/>
      <c r="F57" s="8"/>
      <c r="G57" s="8">
        <v>1050780</v>
      </c>
      <c r="H57" s="8"/>
      <c r="I57" s="8"/>
      <c r="J57" s="8"/>
      <c r="K57" s="8"/>
      <c r="L57" s="8"/>
      <c r="M57" s="8"/>
      <c r="N57" s="6">
        <f>SUM(E57:M57)</f>
        <v>1050780</v>
      </c>
    </row>
    <row r="58" spans="1:14">
      <c r="A58" s="2">
        <f t="shared" si="0"/>
        <v>58</v>
      </c>
      <c r="B58" s="10"/>
      <c r="D58" s="8"/>
      <c r="E58" s="8"/>
      <c r="F58" s="8"/>
      <c r="G58" s="8"/>
      <c r="H58" s="8"/>
      <c r="I58" s="8"/>
      <c r="J58" s="8"/>
      <c r="K58" s="8"/>
      <c r="L58" s="8"/>
      <c r="M58" s="8"/>
      <c r="N58" s="6"/>
    </row>
    <row r="59" spans="1:14">
      <c r="A59" s="2">
        <f t="shared" si="0"/>
        <v>59</v>
      </c>
      <c r="B59" s="10">
        <v>24</v>
      </c>
      <c r="C59" s="3" t="s">
        <v>262</v>
      </c>
      <c r="D59" s="8">
        <v>2350114</v>
      </c>
      <c r="E59" s="8"/>
      <c r="F59" s="8"/>
      <c r="G59" s="8"/>
      <c r="H59" s="8"/>
      <c r="I59" s="8">
        <v>2350114</v>
      </c>
      <c r="J59" s="8"/>
      <c r="K59" s="8"/>
      <c r="L59" s="8"/>
      <c r="M59" s="8"/>
      <c r="N59" s="6">
        <f>SUM(E59:M59)</f>
        <v>2350114</v>
      </c>
    </row>
    <row r="60" spans="1:14">
      <c r="A60" s="2">
        <f t="shared" si="0"/>
        <v>60</v>
      </c>
      <c r="B60" s="10"/>
      <c r="D60" s="8"/>
      <c r="E60" s="8"/>
      <c r="F60" s="8"/>
      <c r="G60" s="8"/>
      <c r="H60" s="8"/>
      <c r="I60" s="8"/>
      <c r="J60" s="8"/>
      <c r="K60" s="8"/>
      <c r="L60" s="8"/>
      <c r="M60" s="8"/>
      <c r="N60" s="6"/>
    </row>
    <row r="61" spans="1:14">
      <c r="A61" s="2">
        <f t="shared" si="0"/>
        <v>61</v>
      </c>
      <c r="B61" s="10">
        <v>25</v>
      </c>
      <c r="C61" s="3" t="s">
        <v>263</v>
      </c>
      <c r="D61" s="8">
        <v>3866608</v>
      </c>
      <c r="E61" s="8"/>
      <c r="F61" s="8"/>
      <c r="G61" s="8"/>
      <c r="H61" s="8"/>
      <c r="I61" s="8">
        <v>3866608</v>
      </c>
      <c r="J61" s="8"/>
      <c r="K61" s="8"/>
      <c r="L61" s="8"/>
      <c r="M61" s="8"/>
      <c r="N61" s="6">
        <f>SUM(E61:M61)</f>
        <v>3866608</v>
      </c>
    </row>
    <row r="62" spans="1:14">
      <c r="A62" s="2">
        <f t="shared" si="0"/>
        <v>62</v>
      </c>
      <c r="B62" s="10"/>
      <c r="D62" s="8"/>
      <c r="E62" s="8"/>
      <c r="F62" s="8"/>
      <c r="G62" s="8"/>
      <c r="H62" s="8"/>
      <c r="I62" s="8"/>
      <c r="J62" s="8"/>
      <c r="K62" s="8"/>
      <c r="L62" s="8"/>
      <c r="M62" s="8"/>
      <c r="N62" s="6"/>
    </row>
    <row r="63" spans="1:14">
      <c r="A63" s="2">
        <f t="shared" si="0"/>
        <v>63</v>
      </c>
      <c r="B63" s="10">
        <v>26</v>
      </c>
      <c r="C63" s="3" t="s">
        <v>264</v>
      </c>
      <c r="D63" s="8">
        <v>431409</v>
      </c>
      <c r="E63" s="8"/>
      <c r="F63" s="8">
        <v>431409</v>
      </c>
      <c r="G63" s="8"/>
      <c r="H63" s="8"/>
      <c r="I63" s="8"/>
      <c r="J63" s="8"/>
      <c r="K63" s="8"/>
      <c r="L63" s="8"/>
      <c r="M63" s="8"/>
      <c r="N63" s="6">
        <f>SUM(E63:M63)</f>
        <v>431409</v>
      </c>
    </row>
    <row r="64" spans="1:14">
      <c r="A64" s="2">
        <f t="shared" si="0"/>
        <v>64</v>
      </c>
      <c r="B64" s="10"/>
      <c r="D64" s="8"/>
      <c r="E64" s="8"/>
      <c r="F64" s="8"/>
      <c r="G64" s="8"/>
      <c r="H64" s="8"/>
      <c r="I64" s="8"/>
      <c r="J64" s="8"/>
      <c r="K64" s="8"/>
      <c r="L64" s="8"/>
      <c r="M64" s="8"/>
      <c r="N64" s="6"/>
    </row>
    <row r="65" spans="1:14">
      <c r="A65" s="2">
        <f t="shared" si="0"/>
        <v>65</v>
      </c>
      <c r="B65" s="10"/>
      <c r="C65" s="3" t="s">
        <v>236</v>
      </c>
      <c r="D65" s="6">
        <f>SUM(D9:D63)</f>
        <v>1132461744</v>
      </c>
      <c r="E65" s="6">
        <f>SUM(E9:E63)</f>
        <v>4743885</v>
      </c>
      <c r="F65" s="6">
        <f t="shared" ref="F65:N65" si="1">SUM(F9:F63)</f>
        <v>135280630</v>
      </c>
      <c r="G65" s="6">
        <f t="shared" si="1"/>
        <v>25128223</v>
      </c>
      <c r="H65" s="6">
        <f t="shared" si="1"/>
        <v>94673063</v>
      </c>
      <c r="I65" s="6">
        <f t="shared" si="1"/>
        <v>787161637</v>
      </c>
      <c r="J65" s="6">
        <f t="shared" si="1"/>
        <v>46007358</v>
      </c>
      <c r="K65" s="6">
        <f t="shared" si="1"/>
        <v>3676274</v>
      </c>
      <c r="L65" s="6">
        <f t="shared" si="1"/>
        <v>18351642</v>
      </c>
      <c r="M65" s="6">
        <f t="shared" si="1"/>
        <v>17439032</v>
      </c>
      <c r="N65" s="6">
        <f t="shared" si="1"/>
        <v>1132461744</v>
      </c>
    </row>
    <row r="66" spans="1:14">
      <c r="A66" s="2">
        <f t="shared" si="0"/>
        <v>66</v>
      </c>
      <c r="B66" s="10"/>
      <c r="D66" s="6"/>
      <c r="E66" s="6"/>
      <c r="F66" s="6"/>
      <c r="G66" s="6"/>
      <c r="H66" s="6"/>
      <c r="I66" s="6"/>
      <c r="J66" s="6"/>
      <c r="K66" s="6"/>
      <c r="L66" s="6"/>
      <c r="M66" s="6"/>
      <c r="N66" s="6"/>
    </row>
    <row r="67" spans="1:14">
      <c r="A67" s="2">
        <f t="shared" ref="A67:A73" si="2">A66+1</f>
        <v>67</v>
      </c>
      <c r="B67" s="10"/>
      <c r="D67" s="6"/>
      <c r="E67" s="6"/>
      <c r="F67" s="6"/>
      <c r="G67" s="6"/>
      <c r="H67" s="6"/>
      <c r="I67" s="6"/>
      <c r="J67" s="6"/>
      <c r="K67" s="6"/>
      <c r="L67" s="6"/>
      <c r="M67" s="6"/>
      <c r="N67" s="6"/>
    </row>
    <row r="68" spans="1:14">
      <c r="A68" s="2">
        <f t="shared" si="2"/>
        <v>68</v>
      </c>
      <c r="B68" s="250" t="s">
        <v>265</v>
      </c>
      <c r="C68" s="3" t="s">
        <v>266</v>
      </c>
    </row>
    <row r="69" spans="1:14">
      <c r="A69" s="2">
        <f t="shared" si="2"/>
        <v>69</v>
      </c>
      <c r="C69" s="3" t="s">
        <v>267</v>
      </c>
    </row>
    <row r="70" spans="1:14">
      <c r="A70" s="2">
        <f t="shared" si="2"/>
        <v>70</v>
      </c>
      <c r="C70" s="3" t="s">
        <v>268</v>
      </c>
    </row>
    <row r="71" spans="1:14">
      <c r="A71" s="2">
        <f t="shared" si="2"/>
        <v>71</v>
      </c>
      <c r="C71" s="3" t="s">
        <v>269</v>
      </c>
    </row>
    <row r="72" spans="1:14">
      <c r="A72" s="2">
        <f t="shared" si="2"/>
        <v>72</v>
      </c>
      <c r="C72" s="3" t="s">
        <v>270</v>
      </c>
    </row>
    <row r="73" spans="1:14">
      <c r="A73" s="2">
        <f t="shared" si="2"/>
        <v>73</v>
      </c>
      <c r="C73" s="3" t="s">
        <v>271</v>
      </c>
    </row>
  </sheetData>
  <mergeCells count="1">
    <mergeCell ref="E6:N6"/>
  </mergeCells>
  <pageMargins left="0.7" right="0.7" top="0.75" bottom="0.75" header="0.3" footer="0.3"/>
  <pageSetup orientation="portrait"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zoomScale="80" zoomScaleNormal="80" workbookViewId="0">
      <pane xSplit="1" ySplit="7" topLeftCell="B101" activePane="bottomRight" state="frozen"/>
      <selection pane="topRight" activeCell="B1" sqref="B1"/>
      <selection pane="bottomLeft" activeCell="A8" sqref="A8"/>
      <selection pane="bottomRight" activeCell="E113" sqref="E113"/>
    </sheetView>
  </sheetViews>
  <sheetFormatPr defaultColWidth="17.85546875" defaultRowHeight="14.25"/>
  <cols>
    <col min="1" max="1" width="5.28515625" style="3" customWidth="1"/>
    <col min="2" max="2" width="35" style="3" customWidth="1"/>
    <col min="3" max="16384" width="17.85546875" style="3"/>
  </cols>
  <sheetData>
    <row r="1" spans="1:14">
      <c r="A1" s="2">
        <v>1</v>
      </c>
      <c r="B1" s="3" t="s">
        <v>680</v>
      </c>
    </row>
    <row r="2" spans="1:14">
      <c r="A2" s="2">
        <f>A1+1</f>
        <v>2</v>
      </c>
      <c r="B2" s="3" t="s">
        <v>272</v>
      </c>
    </row>
    <row r="3" spans="1:14">
      <c r="A3" s="2">
        <f t="shared" ref="A3:A66" si="0">A2+1</f>
        <v>3</v>
      </c>
    </row>
    <row r="4" spans="1:14">
      <c r="A4" s="2">
        <f t="shared" si="0"/>
        <v>4</v>
      </c>
    </row>
    <row r="5" spans="1:14">
      <c r="A5" s="2">
        <f t="shared" si="0"/>
        <v>5</v>
      </c>
      <c r="D5" s="409" t="s">
        <v>273</v>
      </c>
      <c r="E5" s="410"/>
      <c r="F5" s="410"/>
      <c r="G5" s="410"/>
      <c r="H5" s="410"/>
      <c r="I5" s="411"/>
      <c r="J5" s="409" t="s">
        <v>274</v>
      </c>
      <c r="K5" s="410"/>
      <c r="L5" s="410"/>
      <c r="M5" s="410"/>
      <c r="N5" s="411"/>
    </row>
    <row r="6" spans="1:14">
      <c r="A6" s="2">
        <f t="shared" si="0"/>
        <v>6</v>
      </c>
      <c r="B6" s="251"/>
      <c r="C6" s="251"/>
      <c r="D6" s="251"/>
      <c r="E6" s="251" t="s">
        <v>275</v>
      </c>
      <c r="F6" s="251" t="s">
        <v>276</v>
      </c>
      <c r="G6" s="251" t="s">
        <v>277</v>
      </c>
      <c r="H6" s="251" t="s">
        <v>278</v>
      </c>
      <c r="I6" s="251" t="s">
        <v>279</v>
      </c>
      <c r="J6" s="251" t="s">
        <v>280</v>
      </c>
      <c r="K6" s="252" t="s">
        <v>281</v>
      </c>
      <c r="L6" s="251" t="s">
        <v>277</v>
      </c>
      <c r="M6" s="251" t="s">
        <v>278</v>
      </c>
      <c r="N6" s="251" t="s">
        <v>279</v>
      </c>
    </row>
    <row r="7" spans="1:14" ht="15" thickBot="1">
      <c r="A7" s="2">
        <f t="shared" si="0"/>
        <v>7</v>
      </c>
      <c r="B7" s="246" t="s">
        <v>282</v>
      </c>
      <c r="C7" s="246" t="s">
        <v>283</v>
      </c>
      <c r="D7" s="246" t="s">
        <v>284</v>
      </c>
      <c r="E7" s="246" t="s">
        <v>285</v>
      </c>
      <c r="F7" s="246" t="s">
        <v>285</v>
      </c>
      <c r="G7" s="246" t="s">
        <v>286</v>
      </c>
      <c r="H7" s="246" t="s">
        <v>286</v>
      </c>
      <c r="I7" s="246" t="s">
        <v>287</v>
      </c>
      <c r="J7" s="246" t="s">
        <v>285</v>
      </c>
      <c r="K7" s="253" t="s">
        <v>275</v>
      </c>
      <c r="L7" s="246" t="s">
        <v>286</v>
      </c>
      <c r="M7" s="246" t="s">
        <v>286</v>
      </c>
      <c r="N7" s="246" t="s">
        <v>287</v>
      </c>
    </row>
    <row r="8" spans="1:14">
      <c r="A8" s="2">
        <f t="shared" si="0"/>
        <v>8</v>
      </c>
    </row>
    <row r="9" spans="1:14">
      <c r="A9" s="2">
        <f t="shared" si="0"/>
        <v>9</v>
      </c>
      <c r="B9" s="3" t="s">
        <v>288</v>
      </c>
      <c r="C9" s="10" t="s">
        <v>289</v>
      </c>
      <c r="D9" s="10" t="s">
        <v>290</v>
      </c>
      <c r="E9" s="6">
        <v>37287274</v>
      </c>
      <c r="F9" s="254">
        <v>4.7440000000000003E-2</v>
      </c>
      <c r="G9" s="6">
        <v>1804594</v>
      </c>
      <c r="H9" s="6">
        <f>ROUND(E9*F9,0)</f>
        <v>1768908</v>
      </c>
      <c r="I9" s="6">
        <v>1201498</v>
      </c>
      <c r="J9" s="6"/>
    </row>
    <row r="10" spans="1:14">
      <c r="A10" s="2">
        <f t="shared" si="0"/>
        <v>10</v>
      </c>
      <c r="C10" s="10"/>
      <c r="D10" s="10" t="s">
        <v>291</v>
      </c>
      <c r="E10" s="6">
        <v>37416443</v>
      </c>
      <c r="F10" s="254">
        <v>4.8250000000000001E-2</v>
      </c>
      <c r="G10" s="6">
        <v>1841536</v>
      </c>
      <c r="H10" s="6">
        <f t="shared" ref="H10:H22" si="1">ROUND(E10*F10,0)</f>
        <v>1805343</v>
      </c>
      <c r="I10" s="6">
        <v>1194734</v>
      </c>
      <c r="J10" s="6"/>
    </row>
    <row r="11" spans="1:14">
      <c r="A11" s="2">
        <f t="shared" si="0"/>
        <v>11</v>
      </c>
      <c r="C11" s="10"/>
      <c r="D11" s="10" t="s">
        <v>292</v>
      </c>
      <c r="E11" s="6">
        <v>37607853</v>
      </c>
      <c r="F11" s="254">
        <v>4.9459999999999997E-2</v>
      </c>
      <c r="G11" s="6">
        <v>1896769</v>
      </c>
      <c r="H11" s="6">
        <f t="shared" si="1"/>
        <v>1860084</v>
      </c>
      <c r="I11" s="6">
        <v>1184588</v>
      </c>
      <c r="J11" s="6"/>
    </row>
    <row r="12" spans="1:14">
      <c r="A12" s="2">
        <f t="shared" si="0"/>
        <v>12</v>
      </c>
      <c r="C12" s="10"/>
      <c r="D12" s="10" t="s">
        <v>293</v>
      </c>
      <c r="E12" s="6">
        <v>18574615</v>
      </c>
      <c r="F12" s="254">
        <v>4.6580000000000003E-2</v>
      </c>
      <c r="G12" s="6">
        <v>882829</v>
      </c>
      <c r="H12" s="6">
        <f t="shared" si="1"/>
        <v>865206</v>
      </c>
      <c r="I12" s="6">
        <v>604327</v>
      </c>
      <c r="J12" s="6"/>
    </row>
    <row r="13" spans="1:14">
      <c r="A13" s="2">
        <f t="shared" si="0"/>
        <v>13</v>
      </c>
      <c r="C13" s="10"/>
      <c r="D13" s="10" t="s">
        <v>294</v>
      </c>
      <c r="E13" s="6">
        <v>18444160</v>
      </c>
      <c r="F13" s="254">
        <v>4.4970000000000003E-2</v>
      </c>
      <c r="G13" s="6">
        <v>846634</v>
      </c>
      <c r="H13" s="6">
        <f t="shared" si="1"/>
        <v>829434</v>
      </c>
      <c r="I13" s="6">
        <v>610988</v>
      </c>
      <c r="J13" s="6"/>
    </row>
    <row r="14" spans="1:14">
      <c r="A14" s="2">
        <f t="shared" si="0"/>
        <v>14</v>
      </c>
      <c r="C14" s="10"/>
      <c r="D14" s="10" t="s">
        <v>295</v>
      </c>
      <c r="E14" s="6">
        <v>18612393</v>
      </c>
      <c r="F14" s="254">
        <v>4.7050000000000002E-2</v>
      </c>
      <c r="G14" s="6">
        <v>893457</v>
      </c>
      <c r="H14" s="6">
        <f t="shared" si="1"/>
        <v>875713</v>
      </c>
      <c r="I14" s="6">
        <v>602373</v>
      </c>
      <c r="J14" s="6"/>
    </row>
    <row r="15" spans="1:14">
      <c r="A15" s="2">
        <f t="shared" si="0"/>
        <v>15</v>
      </c>
      <c r="C15" s="10"/>
      <c r="D15" s="10" t="s">
        <v>296</v>
      </c>
      <c r="E15" s="6">
        <v>18308805</v>
      </c>
      <c r="F15" s="254">
        <v>4.3319999999999997E-2</v>
      </c>
      <c r="G15" s="6">
        <v>809889</v>
      </c>
      <c r="H15" s="6">
        <f t="shared" si="1"/>
        <v>793137</v>
      </c>
      <c r="I15" s="6">
        <v>617761</v>
      </c>
      <c r="J15" s="6"/>
    </row>
    <row r="16" spans="1:14">
      <c r="A16" s="2">
        <f t="shared" si="0"/>
        <v>16</v>
      </c>
      <c r="C16" s="10"/>
      <c r="D16" s="10" t="s">
        <v>297</v>
      </c>
      <c r="E16" s="6">
        <v>13909672</v>
      </c>
      <c r="F16" s="254">
        <v>4.3240000000000001E-2</v>
      </c>
      <c r="G16" s="6">
        <v>614168</v>
      </c>
      <c r="H16" s="6">
        <f t="shared" si="1"/>
        <v>601454</v>
      </c>
      <c r="I16" s="6">
        <v>469747</v>
      </c>
      <c r="J16" s="6"/>
    </row>
    <row r="17" spans="1:14">
      <c r="A17" s="2">
        <f t="shared" si="0"/>
        <v>17</v>
      </c>
      <c r="C17" s="10"/>
      <c r="D17" s="10" t="s">
        <v>298</v>
      </c>
      <c r="E17" s="6">
        <v>22104590</v>
      </c>
      <c r="F17" s="254">
        <v>4.4679999999999997E-2</v>
      </c>
      <c r="G17" s="6">
        <v>1008180</v>
      </c>
      <c r="H17" s="6">
        <f t="shared" si="1"/>
        <v>987633</v>
      </c>
      <c r="I17" s="6">
        <v>734619</v>
      </c>
      <c r="J17" s="6"/>
    </row>
    <row r="18" spans="1:14">
      <c r="A18" s="2">
        <f t="shared" si="0"/>
        <v>18</v>
      </c>
      <c r="C18" s="10"/>
      <c r="D18" s="10" t="s">
        <v>299</v>
      </c>
      <c r="E18" s="6">
        <v>22106550</v>
      </c>
      <c r="F18" s="254">
        <v>4.4699999999999997E-2</v>
      </c>
      <c r="G18" s="6">
        <v>1008716</v>
      </c>
      <c r="H18" s="6">
        <f t="shared" si="1"/>
        <v>988163</v>
      </c>
      <c r="I18" s="6">
        <v>734521</v>
      </c>
      <c r="J18" s="6"/>
    </row>
    <row r="19" spans="1:14">
      <c r="A19" s="2">
        <f t="shared" si="0"/>
        <v>19</v>
      </c>
      <c r="C19" s="10"/>
      <c r="D19" s="10" t="s">
        <v>300</v>
      </c>
      <c r="E19" s="6">
        <v>22396338</v>
      </c>
      <c r="F19" s="254">
        <v>4.7690000000000003E-2</v>
      </c>
      <c r="G19" s="6">
        <v>1089569</v>
      </c>
      <c r="H19" s="6">
        <f t="shared" si="1"/>
        <v>1068081</v>
      </c>
      <c r="I19" s="6">
        <v>719647</v>
      </c>
      <c r="J19" s="6"/>
    </row>
    <row r="20" spans="1:14">
      <c r="A20" s="2">
        <f t="shared" si="0"/>
        <v>20</v>
      </c>
      <c r="C20" s="10"/>
      <c r="D20" s="10" t="s">
        <v>301</v>
      </c>
      <c r="E20" s="6">
        <v>17511060</v>
      </c>
      <c r="F20" s="254">
        <v>4.7759999999999997E-2</v>
      </c>
      <c r="G20" s="6">
        <v>853140</v>
      </c>
      <c r="H20" s="6">
        <f t="shared" si="1"/>
        <v>836328</v>
      </c>
      <c r="I20" s="6">
        <v>562230</v>
      </c>
      <c r="J20" s="6"/>
    </row>
    <row r="21" spans="1:14">
      <c r="A21" s="2">
        <f t="shared" si="0"/>
        <v>21</v>
      </c>
      <c r="C21" s="10"/>
      <c r="D21" s="10" t="s">
        <v>302</v>
      </c>
      <c r="E21" s="6">
        <v>17723123</v>
      </c>
      <c r="F21" s="254">
        <v>4.8120000000000003E-2</v>
      </c>
      <c r="G21" s="6">
        <v>869911</v>
      </c>
      <c r="H21" s="6">
        <f t="shared" si="1"/>
        <v>852837</v>
      </c>
      <c r="I21" s="6">
        <v>566740</v>
      </c>
      <c r="J21" s="6"/>
    </row>
    <row r="22" spans="1:14">
      <c r="A22" s="2">
        <f t="shared" si="0"/>
        <v>22</v>
      </c>
      <c r="C22" s="10"/>
      <c r="D22" s="10" t="s">
        <v>303</v>
      </c>
      <c r="E22" s="255">
        <v>2732553</v>
      </c>
      <c r="F22" s="256">
        <v>3.8010000000000002E-2</v>
      </c>
      <c r="G22" s="255">
        <v>106190</v>
      </c>
      <c r="H22" s="255">
        <f t="shared" si="1"/>
        <v>103864</v>
      </c>
      <c r="I22" s="255">
        <v>97774</v>
      </c>
      <c r="J22" s="6"/>
    </row>
    <row r="23" spans="1:14">
      <c r="A23" s="2">
        <f t="shared" si="0"/>
        <v>23</v>
      </c>
      <c r="C23" s="10"/>
      <c r="D23" s="10"/>
      <c r="E23" s="6"/>
      <c r="F23" s="254"/>
      <c r="G23" s="6"/>
      <c r="H23" s="6"/>
      <c r="I23" s="6"/>
      <c r="J23" s="6"/>
    </row>
    <row r="24" spans="1:14">
      <c r="A24" s="2">
        <f t="shared" si="0"/>
        <v>24</v>
      </c>
      <c r="C24" s="10" t="s">
        <v>304</v>
      </c>
      <c r="D24" s="10"/>
      <c r="E24" s="6">
        <f>SUM(E9:E22)</f>
        <v>304735429</v>
      </c>
      <c r="F24" s="254"/>
      <c r="G24" s="6">
        <f>SUM(G9:G22)</f>
        <v>14525582</v>
      </c>
      <c r="H24" s="6">
        <f>SUM(H9:H22)</f>
        <v>14236185</v>
      </c>
      <c r="I24" s="6">
        <f>SUM(I9:I22)</f>
        <v>9901547</v>
      </c>
      <c r="J24" s="6">
        <v>43516878</v>
      </c>
      <c r="K24" s="254">
        <f>ROUND(J24/E24,5)</f>
        <v>0.14280000000000001</v>
      </c>
      <c r="L24" s="6">
        <f>ROUND(G24*K24,0)</f>
        <v>2074253</v>
      </c>
      <c r="M24" s="6">
        <f>ROUND(H24*K24,0)</f>
        <v>2032927</v>
      </c>
      <c r="N24" s="6">
        <f>ROUND(I24*K24,0)</f>
        <v>1413941</v>
      </c>
    </row>
    <row r="25" spans="1:14">
      <c r="A25" s="2">
        <f t="shared" si="0"/>
        <v>25</v>
      </c>
      <c r="C25" s="257" t="s">
        <v>305</v>
      </c>
      <c r="D25" s="10"/>
      <c r="E25" s="6"/>
      <c r="F25" s="254">
        <f>ROUND(H24/E24,5)</f>
        <v>4.6719999999999998E-2</v>
      </c>
      <c r="G25" s="6"/>
      <c r="H25" s="6"/>
      <c r="I25" s="6"/>
      <c r="J25" s="6"/>
    </row>
    <row r="26" spans="1:14">
      <c r="A26" s="2">
        <f t="shared" si="0"/>
        <v>26</v>
      </c>
      <c r="C26" s="10"/>
      <c r="D26" s="10"/>
      <c r="E26" s="6"/>
      <c r="F26" s="254"/>
      <c r="G26" s="6"/>
      <c r="H26" s="6"/>
      <c r="I26" s="6"/>
      <c r="J26" s="6"/>
    </row>
    <row r="27" spans="1:14">
      <c r="A27" s="2">
        <f t="shared" si="0"/>
        <v>27</v>
      </c>
      <c r="B27" s="3" t="s">
        <v>306</v>
      </c>
      <c r="C27" s="10" t="s">
        <v>307</v>
      </c>
      <c r="D27" s="10" t="s">
        <v>308</v>
      </c>
      <c r="E27" s="6">
        <v>15297619</v>
      </c>
      <c r="F27" s="254">
        <v>4.4600000000000001E-2</v>
      </c>
      <c r="G27" s="6">
        <v>706276</v>
      </c>
      <c r="H27" s="258">
        <f t="shared" ref="H27:H32" si="2">ROUND(E27*F27,0)</f>
        <v>682274</v>
      </c>
      <c r="I27" s="6">
        <v>858973</v>
      </c>
      <c r="J27" s="6"/>
    </row>
    <row r="28" spans="1:14">
      <c r="A28" s="2">
        <f t="shared" si="0"/>
        <v>28</v>
      </c>
      <c r="B28" s="3" t="s">
        <v>309</v>
      </c>
      <c r="C28" s="10"/>
      <c r="D28" s="10" t="s">
        <v>310</v>
      </c>
      <c r="E28" s="6">
        <v>15586076</v>
      </c>
      <c r="F28" s="254">
        <v>4.8189999999999997E-2</v>
      </c>
      <c r="G28" s="6">
        <v>776819</v>
      </c>
      <c r="H28" s="258">
        <f t="shared" si="2"/>
        <v>751093</v>
      </c>
      <c r="I28" s="6">
        <v>851802</v>
      </c>
      <c r="J28" s="6"/>
      <c r="K28" s="3" t="s">
        <v>311</v>
      </c>
    </row>
    <row r="29" spans="1:14">
      <c r="A29" s="2">
        <f t="shared" si="0"/>
        <v>29</v>
      </c>
      <c r="B29" s="3" t="s">
        <v>312</v>
      </c>
      <c r="C29" s="10"/>
      <c r="D29" s="10" t="s">
        <v>313</v>
      </c>
      <c r="E29" s="6">
        <v>15564813</v>
      </c>
      <c r="F29" s="254">
        <v>4.9500000000000002E-2</v>
      </c>
      <c r="G29" s="6">
        <v>796590</v>
      </c>
      <c r="H29" s="258">
        <f t="shared" si="2"/>
        <v>770458</v>
      </c>
      <c r="I29" s="6">
        <v>842250</v>
      </c>
      <c r="J29" s="6"/>
      <c r="K29" s="3" t="s">
        <v>314</v>
      </c>
    </row>
    <row r="30" spans="1:14">
      <c r="A30" s="2">
        <f t="shared" si="0"/>
        <v>30</v>
      </c>
      <c r="C30" s="10"/>
      <c r="D30" s="10" t="s">
        <v>315</v>
      </c>
      <c r="E30" s="6">
        <v>4163203</v>
      </c>
      <c r="F30" s="254">
        <v>4.8899999999999999E-2</v>
      </c>
      <c r="G30" s="6">
        <v>210517</v>
      </c>
      <c r="H30" s="258">
        <f t="shared" si="2"/>
        <v>203581</v>
      </c>
      <c r="I30" s="6">
        <v>226307</v>
      </c>
      <c r="J30" s="6"/>
      <c r="K30" s="3" t="s">
        <v>316</v>
      </c>
    </row>
    <row r="31" spans="1:14">
      <c r="A31" s="2">
        <f t="shared" si="0"/>
        <v>31</v>
      </c>
      <c r="C31" s="10"/>
      <c r="D31" s="10" t="s">
        <v>317</v>
      </c>
      <c r="E31" s="6">
        <v>7157759</v>
      </c>
      <c r="F31" s="254">
        <v>4.3380000000000002E-2</v>
      </c>
      <c r="G31" s="6">
        <v>321527</v>
      </c>
      <c r="H31" s="258">
        <f t="shared" si="2"/>
        <v>310504</v>
      </c>
      <c r="I31" s="6">
        <v>405614</v>
      </c>
      <c r="J31" s="6"/>
    </row>
    <row r="32" spans="1:14">
      <c r="A32" s="2">
        <f t="shared" si="0"/>
        <v>32</v>
      </c>
      <c r="C32" s="10"/>
      <c r="D32" s="10" t="s">
        <v>318</v>
      </c>
      <c r="E32" s="255">
        <v>2777952</v>
      </c>
      <c r="F32" s="256">
        <v>4.3060000000000001E-2</v>
      </c>
      <c r="G32" s="255">
        <v>123875</v>
      </c>
      <c r="H32" s="255">
        <f t="shared" si="2"/>
        <v>119619</v>
      </c>
      <c r="I32" s="255">
        <v>157798</v>
      </c>
      <c r="J32" s="6"/>
    </row>
    <row r="33" spans="1:14">
      <c r="A33" s="2">
        <f t="shared" si="0"/>
        <v>33</v>
      </c>
      <c r="C33" s="10"/>
      <c r="D33" s="10"/>
      <c r="E33" s="6"/>
      <c r="F33" s="254"/>
      <c r="G33" s="6"/>
      <c r="H33" s="6"/>
      <c r="I33" s="6"/>
      <c r="J33" s="6"/>
    </row>
    <row r="34" spans="1:14">
      <c r="A34" s="2">
        <f t="shared" si="0"/>
        <v>34</v>
      </c>
      <c r="C34" s="10" t="s">
        <v>319</v>
      </c>
      <c r="D34" s="10"/>
      <c r="E34" s="6">
        <f>SUM(E27:E32)</f>
        <v>60547422</v>
      </c>
      <c r="F34" s="254"/>
      <c r="G34" s="6">
        <f>SUM(G27:G32)</f>
        <v>2935604</v>
      </c>
      <c r="H34" s="6">
        <f>SUM(H27:H32)</f>
        <v>2837529</v>
      </c>
      <c r="I34" s="6">
        <f>SUM(I27:I32)</f>
        <v>3342744</v>
      </c>
      <c r="J34" s="6">
        <f>12735742+42269409+20993848</f>
        <v>75998999</v>
      </c>
      <c r="K34" s="254">
        <v>1</v>
      </c>
      <c r="L34" s="6">
        <f>ROUND(G34*K34,0)</f>
        <v>2935604</v>
      </c>
      <c r="M34" s="6">
        <f>ROUND(H34*K34,0)</f>
        <v>2837529</v>
      </c>
      <c r="N34" s="6">
        <f>ROUND(I34*K34,0)</f>
        <v>3342744</v>
      </c>
    </row>
    <row r="35" spans="1:14">
      <c r="A35" s="2">
        <f t="shared" si="0"/>
        <v>35</v>
      </c>
      <c r="C35" s="3" t="s">
        <v>305</v>
      </c>
      <c r="F35" s="254">
        <f>ROUND(H34/E34,5)</f>
        <v>4.6859999999999999E-2</v>
      </c>
    </row>
    <row r="36" spans="1:14">
      <c r="A36" s="2">
        <f t="shared" si="0"/>
        <v>36</v>
      </c>
    </row>
    <row r="37" spans="1:14">
      <c r="A37" s="2">
        <f t="shared" si="0"/>
        <v>37</v>
      </c>
      <c r="B37" s="3" t="s">
        <v>320</v>
      </c>
      <c r="C37" s="10" t="s">
        <v>321</v>
      </c>
      <c r="D37" s="10" t="s">
        <v>322</v>
      </c>
      <c r="E37" s="6">
        <v>342385</v>
      </c>
      <c r="F37" s="254">
        <v>3.9129999999999998E-2</v>
      </c>
      <c r="G37" s="6">
        <v>13673</v>
      </c>
      <c r="H37" s="258">
        <f t="shared" ref="H37:H43" si="3">ROUND(E37*F37,0)</f>
        <v>13398</v>
      </c>
      <c r="I37" s="6">
        <v>11255</v>
      </c>
    </row>
    <row r="38" spans="1:14">
      <c r="A38" s="2">
        <f t="shared" si="0"/>
        <v>38</v>
      </c>
      <c r="B38" s="3" t="s">
        <v>323</v>
      </c>
      <c r="C38" s="10" t="s">
        <v>324</v>
      </c>
      <c r="D38" s="10" t="s">
        <v>325</v>
      </c>
      <c r="E38" s="6">
        <v>19717927</v>
      </c>
      <c r="F38" s="254">
        <v>2.3019999999999999E-2</v>
      </c>
      <c r="G38" s="6">
        <v>465114</v>
      </c>
      <c r="H38" s="258">
        <f t="shared" si="3"/>
        <v>453907</v>
      </c>
      <c r="I38" s="6">
        <v>778818</v>
      </c>
    </row>
    <row r="39" spans="1:14">
      <c r="A39" s="2">
        <f t="shared" si="0"/>
        <v>39</v>
      </c>
      <c r="B39" s="3" t="s">
        <v>326</v>
      </c>
      <c r="C39" s="10" t="s">
        <v>327</v>
      </c>
      <c r="D39" s="10" t="s">
        <v>328</v>
      </c>
      <c r="E39" s="6">
        <v>19078145</v>
      </c>
      <c r="F39" s="254">
        <v>2.3380000000000001E-2</v>
      </c>
      <c r="G39" s="6">
        <v>457016</v>
      </c>
      <c r="H39" s="258">
        <f t="shared" si="3"/>
        <v>446047</v>
      </c>
      <c r="I39" s="6">
        <v>750526</v>
      </c>
    </row>
    <row r="40" spans="1:14">
      <c r="A40" s="2">
        <f t="shared" si="0"/>
        <v>40</v>
      </c>
      <c r="B40" s="3" t="s">
        <v>329</v>
      </c>
      <c r="C40" s="10" t="s">
        <v>330</v>
      </c>
      <c r="D40" s="10" t="s">
        <v>331</v>
      </c>
      <c r="E40" s="6">
        <v>10393048</v>
      </c>
      <c r="F40" s="254">
        <v>2.5100000000000001E-2</v>
      </c>
      <c r="G40" s="6">
        <v>267159</v>
      </c>
      <c r="H40" s="258">
        <f t="shared" si="3"/>
        <v>260866</v>
      </c>
      <c r="I40" s="6">
        <v>401061</v>
      </c>
    </row>
    <row r="41" spans="1:14">
      <c r="A41" s="2">
        <f t="shared" si="0"/>
        <v>41</v>
      </c>
      <c r="C41" s="10" t="s">
        <v>332</v>
      </c>
      <c r="D41" s="10" t="s">
        <v>333</v>
      </c>
      <c r="E41" s="6">
        <v>5658666</v>
      </c>
      <c r="F41" s="254">
        <v>2.393E-2</v>
      </c>
      <c r="G41" s="6">
        <v>138722</v>
      </c>
      <c r="H41" s="258">
        <f t="shared" si="3"/>
        <v>135412</v>
      </c>
      <c r="I41" s="6">
        <v>221245</v>
      </c>
    </row>
    <row r="42" spans="1:14">
      <c r="A42" s="2">
        <f t="shared" si="0"/>
        <v>42</v>
      </c>
      <c r="C42" s="259" t="s">
        <v>334</v>
      </c>
      <c r="D42" s="259" t="s">
        <v>335</v>
      </c>
      <c r="E42" s="8">
        <v>3188549</v>
      </c>
      <c r="F42" s="254">
        <v>3.338E-2</v>
      </c>
      <c r="G42" s="13">
        <f>ROUND(334489*(3188549/9805188),0)</f>
        <v>108772</v>
      </c>
      <c r="H42" s="258">
        <f t="shared" si="3"/>
        <v>106434</v>
      </c>
      <c r="I42" s="13">
        <f>ROUND(344460*(3188549/9805188),0)</f>
        <v>112015</v>
      </c>
    </row>
    <row r="43" spans="1:14">
      <c r="A43" s="2">
        <f t="shared" si="0"/>
        <v>43</v>
      </c>
      <c r="C43" s="259" t="s">
        <v>336</v>
      </c>
      <c r="D43" s="259" t="s">
        <v>337</v>
      </c>
      <c r="E43" s="260">
        <v>5074867</v>
      </c>
      <c r="F43" s="256">
        <v>3.5130000000000002E-2</v>
      </c>
      <c r="G43" s="261">
        <f>ROUND(510570*(5074867/14227270),0)</f>
        <v>182120</v>
      </c>
      <c r="H43" s="255">
        <f t="shared" si="3"/>
        <v>178280</v>
      </c>
      <c r="I43" s="261">
        <f>ROUND(489860*(5074867/14227270),0)</f>
        <v>174733</v>
      </c>
    </row>
    <row r="44" spans="1:14">
      <c r="A44" s="2">
        <f t="shared" si="0"/>
        <v>44</v>
      </c>
      <c r="C44" s="10"/>
      <c r="D44" s="10"/>
      <c r="E44" s="6"/>
      <c r="F44" s="254"/>
      <c r="G44" s="6"/>
      <c r="H44" s="6"/>
      <c r="I44" s="6"/>
    </row>
    <row r="45" spans="1:14">
      <c r="A45" s="2">
        <f t="shared" si="0"/>
        <v>45</v>
      </c>
      <c r="C45" s="10" t="s">
        <v>338</v>
      </c>
      <c r="D45" s="10"/>
      <c r="E45" s="6">
        <f>SUM(E37:E43)</f>
        <v>63453587</v>
      </c>
      <c r="F45" s="254"/>
      <c r="G45" s="6">
        <f>SUM(G37:G43)</f>
        <v>1632576</v>
      </c>
      <c r="H45" s="6">
        <f>SUM(H37:H43)</f>
        <v>1594344</v>
      </c>
      <c r="I45" s="6">
        <f>SUM(I37:I43)</f>
        <v>2449653</v>
      </c>
      <c r="J45" s="6">
        <f>2059047+9045869+1838141+6046318</f>
        <v>18989375</v>
      </c>
      <c r="K45" s="254">
        <f>ROUND(J45/E45,5)</f>
        <v>0.29926000000000003</v>
      </c>
      <c r="L45" s="6">
        <f>ROUND(G45*K45,0)</f>
        <v>488565</v>
      </c>
      <c r="M45" s="6">
        <f>ROUND(H45*K45,0)</f>
        <v>477123</v>
      </c>
      <c r="N45" s="6">
        <f>ROUND(I45*K45,0)</f>
        <v>733083</v>
      </c>
    </row>
    <row r="46" spans="1:14">
      <c r="A46" s="2">
        <f t="shared" si="0"/>
        <v>46</v>
      </c>
      <c r="C46" s="257" t="s">
        <v>305</v>
      </c>
      <c r="D46" s="10"/>
      <c r="E46" s="6"/>
      <c r="F46" s="254">
        <f>ROUND(H45/E45,5)</f>
        <v>2.513E-2</v>
      </c>
      <c r="G46" s="6"/>
      <c r="H46" s="6"/>
      <c r="I46" s="6"/>
    </row>
    <row r="47" spans="1:14">
      <c r="A47" s="2">
        <f t="shared" si="0"/>
        <v>47</v>
      </c>
      <c r="C47" s="10"/>
      <c r="D47" s="10"/>
      <c r="E47" s="6"/>
      <c r="F47" s="254"/>
      <c r="G47" s="6"/>
      <c r="H47" s="6"/>
      <c r="I47" s="6"/>
    </row>
    <row r="48" spans="1:14">
      <c r="A48" s="2">
        <f t="shared" si="0"/>
        <v>48</v>
      </c>
      <c r="B48" s="3" t="s">
        <v>339</v>
      </c>
      <c r="C48" s="10" t="s">
        <v>340</v>
      </c>
      <c r="D48" s="10" t="s">
        <v>341</v>
      </c>
      <c r="E48" s="6">
        <v>28086406</v>
      </c>
      <c r="F48" s="254">
        <v>3.9879999999999999E-2</v>
      </c>
      <c r="G48" s="6">
        <v>1141369</v>
      </c>
      <c r="H48" s="258">
        <f t="shared" ref="H48:H66" si="4">ROUND(E48*F48,0)</f>
        <v>1120086</v>
      </c>
      <c r="I48" s="6">
        <v>852968</v>
      </c>
    </row>
    <row r="49" spans="1:9">
      <c r="A49" s="2">
        <f t="shared" si="0"/>
        <v>49</v>
      </c>
      <c r="B49" s="3" t="s">
        <v>342</v>
      </c>
      <c r="C49" s="10" t="s">
        <v>324</v>
      </c>
      <c r="D49" s="10" t="s">
        <v>343</v>
      </c>
      <c r="E49" s="6">
        <v>20306048</v>
      </c>
      <c r="F49" s="254">
        <v>4.3740000000000001E-2</v>
      </c>
      <c r="G49" s="6">
        <v>904281</v>
      </c>
      <c r="H49" s="258">
        <f t="shared" si="4"/>
        <v>888187</v>
      </c>
      <c r="I49" s="6">
        <v>588009</v>
      </c>
    </row>
    <row r="50" spans="1:9">
      <c r="A50" s="2">
        <f t="shared" si="0"/>
        <v>50</v>
      </c>
      <c r="C50" s="10" t="s">
        <v>327</v>
      </c>
      <c r="D50" s="10" t="s">
        <v>344</v>
      </c>
      <c r="E50" s="6">
        <v>20316623</v>
      </c>
      <c r="F50" s="254">
        <v>4.3909999999999998E-2</v>
      </c>
      <c r="G50" s="6">
        <v>908234</v>
      </c>
      <c r="H50" s="258">
        <f t="shared" si="4"/>
        <v>892103</v>
      </c>
      <c r="I50" s="6">
        <v>587076</v>
      </c>
    </row>
    <row r="51" spans="1:9">
      <c r="A51" s="2">
        <f t="shared" si="0"/>
        <v>51</v>
      </c>
      <c r="C51" s="10" t="s">
        <v>330</v>
      </c>
      <c r="D51" s="10" t="s">
        <v>345</v>
      </c>
      <c r="E51" s="6">
        <v>20448405</v>
      </c>
      <c r="F51" s="254">
        <v>4.6050000000000001E-2</v>
      </c>
      <c r="G51" s="6">
        <v>958230</v>
      </c>
      <c r="H51" s="258">
        <f t="shared" si="4"/>
        <v>941649</v>
      </c>
      <c r="I51" s="6">
        <v>575368</v>
      </c>
    </row>
    <row r="52" spans="1:9">
      <c r="A52" s="2">
        <f t="shared" si="0"/>
        <v>52</v>
      </c>
      <c r="C52" s="10" t="s">
        <v>332</v>
      </c>
      <c r="D52" s="10" t="s">
        <v>346</v>
      </c>
      <c r="E52" s="6">
        <v>32717447</v>
      </c>
      <c r="F52" s="254">
        <v>4.6050000000000001E-2</v>
      </c>
      <c r="G52" s="6">
        <v>1533168</v>
      </c>
      <c r="H52" s="258">
        <f t="shared" si="4"/>
        <v>1506638</v>
      </c>
      <c r="I52" s="6">
        <v>920589</v>
      </c>
    </row>
    <row r="53" spans="1:9">
      <c r="A53" s="2">
        <f t="shared" si="0"/>
        <v>53</v>
      </c>
      <c r="C53" s="259" t="s">
        <v>334</v>
      </c>
      <c r="D53" s="10" t="s">
        <v>347</v>
      </c>
      <c r="E53" s="6">
        <v>20445354</v>
      </c>
      <c r="F53" s="254">
        <v>4.5999999999999999E-2</v>
      </c>
      <c r="G53" s="6">
        <v>957057</v>
      </c>
      <c r="H53" s="258">
        <f t="shared" si="4"/>
        <v>940486</v>
      </c>
      <c r="I53" s="6">
        <v>575641</v>
      </c>
    </row>
    <row r="54" spans="1:9">
      <c r="A54" s="2">
        <f t="shared" si="0"/>
        <v>54</v>
      </c>
      <c r="C54" s="259" t="s">
        <v>336</v>
      </c>
      <c r="D54" s="10" t="s">
        <v>348</v>
      </c>
      <c r="E54" s="6">
        <f>9190415+11045568</f>
        <v>20235983</v>
      </c>
      <c r="F54" s="254">
        <v>4.2619999999999998E-2</v>
      </c>
      <c r="G54" s="6">
        <v>878303</v>
      </c>
      <c r="H54" s="258">
        <f t="shared" si="4"/>
        <v>862458</v>
      </c>
      <c r="I54" s="6">
        <v>594160</v>
      </c>
    </row>
    <row r="55" spans="1:9">
      <c r="A55" s="2">
        <f t="shared" si="0"/>
        <v>55</v>
      </c>
      <c r="C55" s="10"/>
      <c r="D55" s="10" t="s">
        <v>349</v>
      </c>
      <c r="E55" s="6">
        <v>20133439</v>
      </c>
      <c r="F55" s="254">
        <v>4.1000000000000002E-2</v>
      </c>
      <c r="G55" s="6">
        <v>840942</v>
      </c>
      <c r="H55" s="258">
        <f t="shared" si="4"/>
        <v>825471</v>
      </c>
      <c r="I55" s="6">
        <v>603081</v>
      </c>
    </row>
    <row r="56" spans="1:9">
      <c r="A56" s="2">
        <f t="shared" si="0"/>
        <v>56</v>
      </c>
      <c r="C56" s="10"/>
      <c r="D56" s="10" t="s">
        <v>350</v>
      </c>
      <c r="E56" s="6">
        <v>20361857</v>
      </c>
      <c r="F56" s="254">
        <v>4.4639999999999999E-2</v>
      </c>
      <c r="G56" s="6">
        <v>925241</v>
      </c>
      <c r="H56" s="258">
        <f t="shared" si="4"/>
        <v>908953</v>
      </c>
      <c r="I56" s="6">
        <v>583076</v>
      </c>
    </row>
    <row r="57" spans="1:9">
      <c r="A57" s="2">
        <f t="shared" si="0"/>
        <v>57</v>
      </c>
      <c r="C57" s="10"/>
      <c r="D57" s="10" t="s">
        <v>351</v>
      </c>
      <c r="E57" s="6">
        <v>20316002</v>
      </c>
      <c r="F57" s="254">
        <v>4.3900000000000002E-2</v>
      </c>
      <c r="G57" s="6">
        <v>908002</v>
      </c>
      <c r="H57" s="258">
        <f t="shared" si="4"/>
        <v>891872</v>
      </c>
      <c r="I57" s="6">
        <v>587131</v>
      </c>
    </row>
    <row r="58" spans="1:9">
      <c r="A58" s="2">
        <f t="shared" si="0"/>
        <v>58</v>
      </c>
      <c r="C58" s="10"/>
      <c r="D58" s="10" t="s">
        <v>352</v>
      </c>
      <c r="E58" s="6">
        <v>20426411</v>
      </c>
      <c r="F58" s="254">
        <v>4.5690000000000001E-2</v>
      </c>
      <c r="G58" s="6">
        <v>949790</v>
      </c>
      <c r="H58" s="258">
        <f t="shared" si="4"/>
        <v>933283</v>
      </c>
      <c r="I58" s="6">
        <v>577334</v>
      </c>
    </row>
    <row r="59" spans="1:9">
      <c r="A59" s="2">
        <f t="shared" si="0"/>
        <v>59</v>
      </c>
      <c r="C59" s="10"/>
      <c r="D59" s="259" t="s">
        <v>353</v>
      </c>
      <c r="E59" s="6">
        <v>5854301</v>
      </c>
      <c r="F59" s="254">
        <v>4.1419999999999998E-2</v>
      </c>
      <c r="G59" s="13">
        <f>ROUND(680483*(5854301/16128128),0)</f>
        <v>247006</v>
      </c>
      <c r="H59" s="258">
        <f t="shared" si="4"/>
        <v>242485</v>
      </c>
      <c r="I59" s="13">
        <f>ROUND(480613*(5854301/16128128),0)</f>
        <v>174456</v>
      </c>
    </row>
    <row r="60" spans="1:9">
      <c r="A60" s="2">
        <f t="shared" si="0"/>
        <v>60</v>
      </c>
      <c r="C60" s="10"/>
      <c r="D60" s="259" t="s">
        <v>354</v>
      </c>
      <c r="E60" s="6">
        <v>476331</v>
      </c>
      <c r="F60" s="254">
        <v>4.1939999999999998E-2</v>
      </c>
      <c r="G60" s="13">
        <f>ROUND(690072*(476331/16154490),0)</f>
        <v>20347</v>
      </c>
      <c r="H60" s="258">
        <f t="shared" si="4"/>
        <v>19977</v>
      </c>
      <c r="I60" s="13">
        <f>ROUND(478321*(476331/16154490),0)</f>
        <v>14104</v>
      </c>
    </row>
    <row r="61" spans="1:9">
      <c r="A61" s="2">
        <f t="shared" si="0"/>
        <v>61</v>
      </c>
      <c r="C61" s="10"/>
      <c r="D61" s="10" t="s">
        <v>355</v>
      </c>
      <c r="E61" s="6">
        <f>1325381+14819490</f>
        <v>16144871</v>
      </c>
      <c r="F61" s="254">
        <v>4.1750000000000002E-2</v>
      </c>
      <c r="G61" s="6">
        <v>686566</v>
      </c>
      <c r="H61" s="258">
        <f t="shared" si="4"/>
        <v>674048</v>
      </c>
      <c r="I61" s="6">
        <v>479158</v>
      </c>
    </row>
    <row r="62" spans="1:9">
      <c r="A62" s="2">
        <f t="shared" si="0"/>
        <v>62</v>
      </c>
      <c r="C62" s="10"/>
      <c r="D62" s="10" t="s">
        <v>356</v>
      </c>
      <c r="E62" s="6">
        <v>4815121</v>
      </c>
      <c r="F62" s="254">
        <v>3.9899999999999998E-2</v>
      </c>
      <c r="G62" s="6">
        <v>195773</v>
      </c>
      <c r="H62" s="258">
        <f t="shared" si="4"/>
        <v>192123</v>
      </c>
      <c r="I62" s="6">
        <v>146197</v>
      </c>
    </row>
    <row r="63" spans="1:9">
      <c r="A63" s="2">
        <f t="shared" si="0"/>
        <v>63</v>
      </c>
      <c r="C63" s="10"/>
      <c r="D63" s="259" t="s">
        <v>357</v>
      </c>
      <c r="E63" s="6">
        <f>8778272+3011637</f>
        <v>11789909</v>
      </c>
      <c r="F63" s="254">
        <v>4.5080000000000002E-2</v>
      </c>
      <c r="G63" s="13">
        <f>ROUND(710992*(11789909/15495626),0)</f>
        <v>540961</v>
      </c>
      <c r="H63" s="258">
        <f t="shared" si="4"/>
        <v>531489</v>
      </c>
      <c r="I63" s="13">
        <f>ROUND(441308*(11789909/15495626),0)</f>
        <v>335771</v>
      </c>
    </row>
    <row r="64" spans="1:9">
      <c r="A64" s="2">
        <f t="shared" si="0"/>
        <v>64</v>
      </c>
      <c r="C64" s="10"/>
      <c r="D64" s="10" t="s">
        <v>358</v>
      </c>
      <c r="E64" s="6">
        <v>730349</v>
      </c>
      <c r="F64" s="254">
        <v>3.9219999999999998E-2</v>
      </c>
      <c r="G64" s="6">
        <v>29193</v>
      </c>
      <c r="H64" s="258">
        <f t="shared" si="4"/>
        <v>28644</v>
      </c>
      <c r="I64" s="6">
        <v>22361</v>
      </c>
    </row>
    <row r="65" spans="1:14">
      <c r="A65" s="2">
        <f t="shared" si="0"/>
        <v>65</v>
      </c>
      <c r="C65" s="10"/>
      <c r="D65" s="259" t="s">
        <v>359</v>
      </c>
      <c r="E65" s="6">
        <f>2674864+3839601</f>
        <v>6514465</v>
      </c>
      <c r="F65" s="254">
        <v>3.9539999999999999E-2</v>
      </c>
      <c r="G65" s="13">
        <f>ROUND(416536*(6514465/10337320),0)</f>
        <v>262496</v>
      </c>
      <c r="H65" s="258">
        <f t="shared" si="4"/>
        <v>257582</v>
      </c>
      <c r="I65" s="13">
        <f>ROUND(315251*(6514465/10337320),0)</f>
        <v>198668</v>
      </c>
    </row>
    <row r="66" spans="1:14">
      <c r="A66" s="2">
        <f t="shared" si="0"/>
        <v>66</v>
      </c>
      <c r="C66" s="10"/>
      <c r="D66" s="259" t="s">
        <v>360</v>
      </c>
      <c r="E66" s="255">
        <f>347278+2007874</f>
        <v>2355152</v>
      </c>
      <c r="F66" s="256">
        <v>2.4320000000000001E-2</v>
      </c>
      <c r="G66" s="261">
        <f>ROUND(64673*(2355152/2599735),0)</f>
        <v>58589</v>
      </c>
      <c r="H66" s="255">
        <f t="shared" si="4"/>
        <v>57277</v>
      </c>
      <c r="I66" s="261">
        <f>ROUND(95196*(2355152/2599735),0)</f>
        <v>86240</v>
      </c>
    </row>
    <row r="67" spans="1:14">
      <c r="A67" s="2">
        <f t="shared" ref="A67:A118" si="5">A66+1</f>
        <v>67</v>
      </c>
      <c r="C67" s="10"/>
      <c r="D67" s="10"/>
      <c r="E67" s="6"/>
      <c r="F67" s="254"/>
      <c r="G67" s="6"/>
      <c r="H67" s="6"/>
      <c r="I67" s="6"/>
    </row>
    <row r="68" spans="1:14">
      <c r="A68" s="2">
        <f t="shared" si="5"/>
        <v>68</v>
      </c>
      <c r="C68" s="10" t="s">
        <v>361</v>
      </c>
      <c r="D68" s="10"/>
      <c r="E68" s="6">
        <f>SUM(E48:E66)</f>
        <v>292474474</v>
      </c>
      <c r="F68" s="254"/>
      <c r="G68" s="6">
        <f>SUM(G48:G66)</f>
        <v>12945548</v>
      </c>
      <c r="H68" s="6">
        <f>SUM(H48:H66)</f>
        <v>12714811</v>
      </c>
      <c r="I68" s="6">
        <f>SUM(I48:I66)</f>
        <v>8501388</v>
      </c>
      <c r="J68" s="6">
        <f>140075508+101901553</f>
        <v>241977061</v>
      </c>
      <c r="K68" s="254">
        <f>ROUND(J68/E68,5)</f>
        <v>0.82733999999999996</v>
      </c>
      <c r="L68" s="6">
        <f>ROUND(G68*K68,0)</f>
        <v>10710370</v>
      </c>
      <c r="M68" s="6">
        <f>ROUND(H68*K68,0)</f>
        <v>10519472</v>
      </c>
      <c r="N68" s="6">
        <f>ROUND(I68*K68,0)</f>
        <v>7033538</v>
      </c>
    </row>
    <row r="69" spans="1:14">
      <c r="A69" s="2">
        <f t="shared" si="5"/>
        <v>69</v>
      </c>
      <c r="C69" s="257" t="s">
        <v>305</v>
      </c>
      <c r="D69" s="10"/>
      <c r="E69" s="6"/>
      <c r="F69" s="254">
        <f>ROUND(H68/E68,5)</f>
        <v>4.3470000000000002E-2</v>
      </c>
      <c r="G69" s="6"/>
      <c r="H69" s="6"/>
      <c r="I69" s="6"/>
      <c r="J69" s="6"/>
    </row>
    <row r="70" spans="1:14">
      <c r="A70" s="2">
        <f t="shared" si="5"/>
        <v>70</v>
      </c>
      <c r="C70" s="10"/>
      <c r="D70" s="10"/>
      <c r="E70" s="6"/>
      <c r="F70" s="254"/>
      <c r="G70" s="6"/>
      <c r="H70" s="6"/>
      <c r="I70" s="6"/>
      <c r="J70" s="6"/>
    </row>
    <row r="71" spans="1:14">
      <c r="A71" s="2">
        <f t="shared" si="5"/>
        <v>71</v>
      </c>
      <c r="B71" s="3" t="s">
        <v>362</v>
      </c>
      <c r="C71" s="10" t="s">
        <v>363</v>
      </c>
      <c r="D71" s="10" t="s">
        <v>364</v>
      </c>
      <c r="E71" s="6">
        <v>40429340</v>
      </c>
      <c r="F71" s="254">
        <v>4.8210000000000003E-2</v>
      </c>
      <c r="G71" s="6">
        <v>1982507</v>
      </c>
      <c r="H71" s="258">
        <f t="shared" ref="H71:H90" si="6">ROUND(E71*F71,0)</f>
        <v>1949098</v>
      </c>
      <c r="I71" s="6">
        <v>1107275</v>
      </c>
      <c r="J71" s="6"/>
    </row>
    <row r="72" spans="1:14">
      <c r="A72" s="2">
        <f t="shared" si="5"/>
        <v>72</v>
      </c>
      <c r="C72" s="10"/>
      <c r="D72" s="10" t="s">
        <v>365</v>
      </c>
      <c r="E72" s="6">
        <v>20158717</v>
      </c>
      <c r="F72" s="254">
        <v>4.7359999999999999E-2</v>
      </c>
      <c r="G72" s="6">
        <v>971256</v>
      </c>
      <c r="H72" s="258">
        <f t="shared" si="6"/>
        <v>954717</v>
      </c>
      <c r="I72" s="6">
        <v>558013</v>
      </c>
      <c r="J72" s="6"/>
    </row>
    <row r="73" spans="1:14">
      <c r="A73" s="2">
        <f t="shared" si="5"/>
        <v>73</v>
      </c>
      <c r="C73" s="10"/>
      <c r="D73" s="10" t="s">
        <v>366</v>
      </c>
      <c r="E73" s="6">
        <v>40228612</v>
      </c>
      <c r="F73" s="254">
        <v>4.6690000000000002E-2</v>
      </c>
      <c r="G73" s="6">
        <v>1911086</v>
      </c>
      <c r="H73" s="258">
        <f t="shared" si="6"/>
        <v>1878274</v>
      </c>
      <c r="I73" s="6">
        <v>1122931</v>
      </c>
      <c r="J73" s="6"/>
    </row>
    <row r="74" spans="1:14">
      <c r="A74" s="2">
        <f t="shared" si="5"/>
        <v>74</v>
      </c>
      <c r="C74" s="10"/>
      <c r="D74" s="10" t="s">
        <v>367</v>
      </c>
      <c r="E74" s="6">
        <v>19922391</v>
      </c>
      <c r="F74" s="254">
        <v>4.3839999999999997E-2</v>
      </c>
      <c r="G74" s="6">
        <v>889204</v>
      </c>
      <c r="H74" s="258">
        <f t="shared" si="6"/>
        <v>873398</v>
      </c>
      <c r="I74" s="6">
        <v>576184</v>
      </c>
      <c r="J74" s="6"/>
    </row>
    <row r="75" spans="1:14">
      <c r="A75" s="2">
        <f t="shared" si="5"/>
        <v>75</v>
      </c>
      <c r="C75" s="10"/>
      <c r="D75" s="10" t="s">
        <v>368</v>
      </c>
      <c r="E75" s="6">
        <v>40200662</v>
      </c>
      <c r="F75" s="254">
        <v>4.648E-2</v>
      </c>
      <c r="G75" s="6">
        <v>1901254</v>
      </c>
      <c r="H75" s="258">
        <f t="shared" si="6"/>
        <v>1868527</v>
      </c>
      <c r="I75" s="6">
        <v>1125097</v>
      </c>
      <c r="J75" s="6"/>
    </row>
    <row r="76" spans="1:14">
      <c r="A76" s="2">
        <f t="shared" si="5"/>
        <v>76</v>
      </c>
      <c r="C76" s="10"/>
      <c r="D76" s="10" t="s">
        <v>369</v>
      </c>
      <c r="E76" s="6">
        <v>40143265</v>
      </c>
      <c r="F76" s="254">
        <v>4.6050000000000001E-2</v>
      </c>
      <c r="G76" s="6">
        <v>1881149</v>
      </c>
      <c r="H76" s="258">
        <f t="shared" si="6"/>
        <v>1848597</v>
      </c>
      <c r="I76" s="6">
        <v>1129533</v>
      </c>
      <c r="J76" s="6"/>
    </row>
    <row r="77" spans="1:14">
      <c r="A77" s="2">
        <f t="shared" si="5"/>
        <v>77</v>
      </c>
      <c r="C77" s="10"/>
      <c r="D77" s="10" t="s">
        <v>370</v>
      </c>
      <c r="E77" s="6">
        <v>6377782</v>
      </c>
      <c r="F77" s="254">
        <v>4.3959999999999999E-2</v>
      </c>
      <c r="G77" s="6">
        <v>285434</v>
      </c>
      <c r="H77" s="258">
        <f t="shared" si="6"/>
        <v>280367</v>
      </c>
      <c r="I77" s="6">
        <v>184180</v>
      </c>
      <c r="J77" s="6"/>
    </row>
    <row r="78" spans="1:14">
      <c r="A78" s="2">
        <f t="shared" si="5"/>
        <v>78</v>
      </c>
      <c r="C78" s="10"/>
      <c r="D78" s="10" t="s">
        <v>371</v>
      </c>
      <c r="E78" s="6">
        <v>15922073</v>
      </c>
      <c r="F78" s="254">
        <v>4.3549999999999998E-2</v>
      </c>
      <c r="G78" s="6">
        <v>706001</v>
      </c>
      <c r="H78" s="258">
        <f t="shared" si="6"/>
        <v>693406</v>
      </c>
      <c r="I78" s="6">
        <v>462148</v>
      </c>
      <c r="J78" s="6"/>
    </row>
    <row r="79" spans="1:14">
      <c r="A79" s="2">
        <f t="shared" si="5"/>
        <v>79</v>
      </c>
      <c r="C79" s="10"/>
      <c r="D79" s="10" t="s">
        <v>372</v>
      </c>
      <c r="E79" s="6">
        <v>15929178</v>
      </c>
      <c r="F79" s="254">
        <v>4.3679999999999997E-2</v>
      </c>
      <c r="G79" s="6">
        <v>708404</v>
      </c>
      <c r="H79" s="258">
        <f t="shared" si="6"/>
        <v>695786</v>
      </c>
      <c r="I79" s="6">
        <v>461610</v>
      </c>
      <c r="J79" s="6"/>
    </row>
    <row r="80" spans="1:14">
      <c r="A80" s="2">
        <f t="shared" si="5"/>
        <v>80</v>
      </c>
      <c r="C80" s="10"/>
      <c r="D80" s="10" t="s">
        <v>373</v>
      </c>
      <c r="E80" s="6">
        <v>20019292</v>
      </c>
      <c r="F80" s="254">
        <v>4.5269999999999998E-2</v>
      </c>
      <c r="G80" s="6">
        <v>922387</v>
      </c>
      <c r="H80" s="258">
        <f t="shared" si="6"/>
        <v>906273</v>
      </c>
      <c r="I80" s="6">
        <v>568793</v>
      </c>
      <c r="J80" s="6"/>
    </row>
    <row r="81" spans="1:14">
      <c r="A81" s="2">
        <f t="shared" si="5"/>
        <v>81</v>
      </c>
      <c r="C81" s="10"/>
      <c r="D81" s="10" t="s">
        <v>374</v>
      </c>
      <c r="E81" s="6">
        <v>20170602</v>
      </c>
      <c r="F81" s="254">
        <v>4.7539999999999999E-2</v>
      </c>
      <c r="G81" s="6">
        <v>975485</v>
      </c>
      <c r="H81" s="258">
        <f t="shared" si="6"/>
        <v>958910</v>
      </c>
      <c r="I81" s="6">
        <v>557086</v>
      </c>
      <c r="J81" s="6"/>
    </row>
    <row r="82" spans="1:14">
      <c r="A82" s="2">
        <f t="shared" si="5"/>
        <v>82</v>
      </c>
      <c r="C82" s="10"/>
      <c r="D82" s="10" t="s">
        <v>375</v>
      </c>
      <c r="E82" s="6">
        <v>20083659</v>
      </c>
      <c r="F82" s="254">
        <v>4.623E-2</v>
      </c>
      <c r="G82" s="6">
        <v>944780</v>
      </c>
      <c r="H82" s="258">
        <f t="shared" si="6"/>
        <v>928468</v>
      </c>
      <c r="I82" s="6">
        <v>563838</v>
      </c>
      <c r="J82" s="6"/>
    </row>
    <row r="83" spans="1:14">
      <c r="A83" s="2">
        <f t="shared" si="5"/>
        <v>83</v>
      </c>
      <c r="C83" s="10"/>
      <c r="D83" s="10" t="s">
        <v>376</v>
      </c>
      <c r="E83" s="6">
        <v>6276875</v>
      </c>
      <c r="F83" s="254">
        <v>4.2979999999999997E-2</v>
      </c>
      <c r="G83" s="6">
        <v>274715</v>
      </c>
      <c r="H83" s="258">
        <f t="shared" si="6"/>
        <v>269780</v>
      </c>
      <c r="I83" s="6">
        <v>183480</v>
      </c>
      <c r="J83" s="6"/>
    </row>
    <row r="84" spans="1:14">
      <c r="A84" s="2">
        <f t="shared" si="5"/>
        <v>84</v>
      </c>
      <c r="C84" s="10"/>
      <c r="D84" s="10" t="s">
        <v>377</v>
      </c>
      <c r="E84" s="6">
        <v>19897120</v>
      </c>
      <c r="F84" s="254">
        <v>4.3470000000000002E-2</v>
      </c>
      <c r="G84" s="6">
        <v>880653</v>
      </c>
      <c r="H84" s="258">
        <f t="shared" si="6"/>
        <v>864928</v>
      </c>
      <c r="I84" s="6">
        <v>578098</v>
      </c>
      <c r="J84" s="6"/>
    </row>
    <row r="85" spans="1:14">
      <c r="A85" s="2">
        <f t="shared" si="5"/>
        <v>85</v>
      </c>
      <c r="C85" s="10"/>
      <c r="D85" s="10" t="s">
        <v>378</v>
      </c>
      <c r="E85" s="6">
        <v>19936698</v>
      </c>
      <c r="F85" s="254">
        <v>4.4049999999999999E-2</v>
      </c>
      <c r="G85" s="6">
        <v>894064</v>
      </c>
      <c r="H85" s="258">
        <f t="shared" si="6"/>
        <v>878212</v>
      </c>
      <c r="I85" s="6">
        <v>575098</v>
      </c>
      <c r="J85" s="6"/>
    </row>
    <row r="86" spans="1:14">
      <c r="A86" s="2">
        <f t="shared" si="5"/>
        <v>86</v>
      </c>
      <c r="C86" s="10"/>
      <c r="D86" s="10" t="s">
        <v>379</v>
      </c>
      <c r="E86" s="6">
        <v>5566338</v>
      </c>
      <c r="F86" s="254">
        <v>2.8459999999999999E-2</v>
      </c>
      <c r="G86" s="6">
        <v>161872</v>
      </c>
      <c r="H86" s="258">
        <f t="shared" si="6"/>
        <v>158418</v>
      </c>
      <c r="I86" s="6">
        <v>194077</v>
      </c>
      <c r="J86" s="6"/>
    </row>
    <row r="87" spans="1:14">
      <c r="A87" s="2">
        <f t="shared" si="5"/>
        <v>87</v>
      </c>
      <c r="C87" s="10"/>
      <c r="D87" s="10" t="s">
        <v>380</v>
      </c>
      <c r="E87" s="6">
        <v>19377038</v>
      </c>
      <c r="F87" s="254">
        <v>3.6510000000000001E-2</v>
      </c>
      <c r="G87" s="6">
        <v>721461</v>
      </c>
      <c r="H87" s="258">
        <f t="shared" si="6"/>
        <v>707456</v>
      </c>
      <c r="I87" s="6">
        <v>613211</v>
      </c>
      <c r="J87" s="6"/>
    </row>
    <row r="88" spans="1:14">
      <c r="A88" s="2">
        <f t="shared" si="5"/>
        <v>88</v>
      </c>
      <c r="C88" s="10"/>
      <c r="D88" s="10" t="s">
        <v>381</v>
      </c>
      <c r="E88" s="6">
        <v>11624991</v>
      </c>
      <c r="F88" s="254">
        <v>4.2520000000000002E-2</v>
      </c>
      <c r="G88" s="6">
        <v>503387</v>
      </c>
      <c r="H88" s="258">
        <f t="shared" si="6"/>
        <v>494295</v>
      </c>
      <c r="I88" s="6">
        <v>341750</v>
      </c>
      <c r="J88" s="6"/>
    </row>
    <row r="89" spans="1:14">
      <c r="A89" s="2">
        <f t="shared" si="5"/>
        <v>89</v>
      </c>
      <c r="C89" s="10"/>
      <c r="D89" s="10" t="s">
        <v>382</v>
      </c>
      <c r="E89" s="6">
        <v>1479441</v>
      </c>
      <c r="F89" s="254">
        <v>3.9539999999999999E-2</v>
      </c>
      <c r="G89" s="6">
        <v>59613</v>
      </c>
      <c r="H89" s="258">
        <f t="shared" si="6"/>
        <v>58497</v>
      </c>
      <c r="I89" s="6">
        <v>45118</v>
      </c>
      <c r="J89" s="6"/>
    </row>
    <row r="90" spans="1:14">
      <c r="A90" s="2">
        <f t="shared" si="5"/>
        <v>90</v>
      </c>
      <c r="C90" s="10"/>
      <c r="D90" s="10" t="s">
        <v>383</v>
      </c>
      <c r="E90" s="255">
        <v>1335613</v>
      </c>
      <c r="F90" s="256">
        <v>2.3689999999999999E-2</v>
      </c>
      <c r="G90" s="255">
        <v>32370</v>
      </c>
      <c r="H90" s="255">
        <f t="shared" si="6"/>
        <v>31641</v>
      </c>
      <c r="I90" s="255">
        <v>49271</v>
      </c>
      <c r="J90" s="6"/>
    </row>
    <row r="91" spans="1:14">
      <c r="A91" s="2">
        <f t="shared" si="5"/>
        <v>91</v>
      </c>
      <c r="C91" s="10"/>
      <c r="D91" s="10"/>
      <c r="E91" s="6"/>
      <c r="F91" s="254"/>
      <c r="G91" s="6"/>
      <c r="H91" s="6"/>
      <c r="I91" s="6"/>
      <c r="J91" s="6"/>
    </row>
    <row r="92" spans="1:14">
      <c r="A92" s="2">
        <f t="shared" si="5"/>
        <v>92</v>
      </c>
      <c r="C92" s="10" t="s">
        <v>384</v>
      </c>
      <c r="D92" s="10"/>
      <c r="E92" s="6">
        <f>SUM(E71:E90)</f>
        <v>385079687</v>
      </c>
      <c r="F92" s="254"/>
      <c r="G92" s="6">
        <f>SUM(G71:G90)</f>
        <v>17607082</v>
      </c>
      <c r="H92" s="6">
        <f>SUM(H71:H90)</f>
        <v>17299048</v>
      </c>
      <c r="I92" s="6">
        <f>SUM(I71:I90)</f>
        <v>10996791</v>
      </c>
      <c r="J92" s="6">
        <v>62330097</v>
      </c>
      <c r="K92" s="254">
        <f>ROUND(J92/E92,5)</f>
        <v>0.16186</v>
      </c>
      <c r="L92" s="6">
        <f>ROUND(G92*K92,0)</f>
        <v>2849882</v>
      </c>
      <c r="M92" s="6">
        <f>ROUND(H92*K92,0)</f>
        <v>2800024</v>
      </c>
      <c r="N92" s="6">
        <f>ROUND(I92*K92,0)</f>
        <v>1779941</v>
      </c>
    </row>
    <row r="93" spans="1:14">
      <c r="A93" s="2">
        <f t="shared" si="5"/>
        <v>93</v>
      </c>
      <c r="C93" s="257" t="s">
        <v>305</v>
      </c>
      <c r="D93" s="10"/>
      <c r="E93" s="6"/>
      <c r="F93" s="254">
        <f>ROUND(H92/E92,5)</f>
        <v>4.4920000000000002E-2</v>
      </c>
      <c r="G93" s="6"/>
      <c r="H93" s="6"/>
      <c r="I93" s="6"/>
      <c r="J93" s="6"/>
    </row>
    <row r="94" spans="1:14">
      <c r="A94" s="2">
        <f t="shared" si="5"/>
        <v>94</v>
      </c>
      <c r="C94" s="10"/>
      <c r="D94" s="10"/>
      <c r="E94" s="6"/>
      <c r="F94" s="254"/>
      <c r="G94" s="6"/>
      <c r="H94" s="6"/>
      <c r="I94" s="6"/>
      <c r="J94" s="6"/>
    </row>
    <row r="95" spans="1:14">
      <c r="A95" s="2">
        <f t="shared" si="5"/>
        <v>95</v>
      </c>
      <c r="B95" s="3" t="s">
        <v>385</v>
      </c>
      <c r="C95" s="10" t="s">
        <v>386</v>
      </c>
      <c r="D95" s="10" t="s">
        <v>387</v>
      </c>
      <c r="E95" s="6">
        <v>20513367</v>
      </c>
      <c r="F95" s="254">
        <v>4.0669999999999998E-2</v>
      </c>
      <c r="G95" s="6">
        <v>846322</v>
      </c>
      <c r="H95" s="258">
        <f t="shared" ref="H95:H103" si="7">ROUND(E95*F95,0)</f>
        <v>834279</v>
      </c>
      <c r="I95" s="6">
        <v>473598</v>
      </c>
      <c r="J95" s="6"/>
    </row>
    <row r="96" spans="1:14">
      <c r="A96" s="2">
        <f t="shared" si="5"/>
        <v>96</v>
      </c>
      <c r="C96" s="10"/>
      <c r="D96" s="10" t="s">
        <v>388</v>
      </c>
      <c r="E96" s="6">
        <v>25052907</v>
      </c>
      <c r="F96" s="254">
        <v>2.7910000000000001E-2</v>
      </c>
      <c r="G96" s="6">
        <v>711379</v>
      </c>
      <c r="H96" s="258">
        <f t="shared" si="7"/>
        <v>699227</v>
      </c>
      <c r="I96" s="6">
        <v>696573</v>
      </c>
      <c r="J96" s="6"/>
    </row>
    <row r="97" spans="1:14">
      <c r="A97" s="2">
        <f t="shared" si="5"/>
        <v>97</v>
      </c>
      <c r="C97" s="10"/>
      <c r="D97" s="10" t="s">
        <v>389</v>
      </c>
      <c r="E97" s="6">
        <v>25180650</v>
      </c>
      <c r="F97" s="254">
        <v>2.9159999999999998E-2</v>
      </c>
      <c r="G97" s="6">
        <v>746803</v>
      </c>
      <c r="H97" s="258">
        <f t="shared" si="7"/>
        <v>734268</v>
      </c>
      <c r="I97" s="6">
        <v>687718</v>
      </c>
      <c r="J97" s="6"/>
    </row>
    <row r="98" spans="1:14">
      <c r="A98" s="2">
        <f t="shared" si="5"/>
        <v>98</v>
      </c>
      <c r="C98" s="10"/>
      <c r="D98" s="10" t="s">
        <v>390</v>
      </c>
      <c r="E98" s="6">
        <v>25280617</v>
      </c>
      <c r="F98" s="254">
        <v>3.0939999999999999E-2</v>
      </c>
      <c r="G98" s="6">
        <v>795199</v>
      </c>
      <c r="H98" s="258">
        <f t="shared" si="7"/>
        <v>782182</v>
      </c>
      <c r="I98" s="6">
        <v>673006</v>
      </c>
      <c r="J98" s="6"/>
    </row>
    <row r="99" spans="1:14">
      <c r="A99" s="2">
        <f t="shared" si="5"/>
        <v>99</v>
      </c>
      <c r="C99" s="10"/>
      <c r="D99" s="10" t="s">
        <v>391</v>
      </c>
      <c r="E99" s="6">
        <v>15972579</v>
      </c>
      <c r="F99" s="254">
        <v>2.928E-2</v>
      </c>
      <c r="G99" s="6">
        <v>475648</v>
      </c>
      <c r="H99" s="258">
        <f t="shared" si="7"/>
        <v>467677</v>
      </c>
      <c r="I99" s="6">
        <v>435483</v>
      </c>
      <c r="J99" s="6"/>
    </row>
    <row r="100" spans="1:14">
      <c r="A100" s="2">
        <f t="shared" si="5"/>
        <v>100</v>
      </c>
      <c r="C100" s="10"/>
      <c r="D100" s="10" t="s">
        <v>392</v>
      </c>
      <c r="E100" s="6">
        <v>24632021</v>
      </c>
      <c r="F100" s="254">
        <v>2.495E-2</v>
      </c>
      <c r="G100" s="6">
        <v>625707</v>
      </c>
      <c r="H100" s="258">
        <f t="shared" si="7"/>
        <v>614569</v>
      </c>
      <c r="I100" s="6">
        <v>714283</v>
      </c>
      <c r="J100" s="6"/>
    </row>
    <row r="101" spans="1:14">
      <c r="A101" s="2">
        <f t="shared" si="5"/>
        <v>101</v>
      </c>
      <c r="C101" s="10"/>
      <c r="D101" s="10" t="s">
        <v>393</v>
      </c>
      <c r="E101" s="6">
        <v>22841761</v>
      </c>
      <c r="F101" s="254">
        <v>2.724E-2</v>
      </c>
      <c r="G101" s="6">
        <v>633126</v>
      </c>
      <c r="H101" s="258">
        <f t="shared" si="7"/>
        <v>622210</v>
      </c>
      <c r="I101" s="6">
        <v>641191</v>
      </c>
      <c r="J101" s="6"/>
    </row>
    <row r="102" spans="1:14">
      <c r="A102" s="2">
        <f t="shared" si="5"/>
        <v>102</v>
      </c>
      <c r="C102" s="10"/>
      <c r="D102" s="10" t="s">
        <v>394</v>
      </c>
      <c r="E102" s="6">
        <v>11650515</v>
      </c>
      <c r="F102" s="254">
        <v>2.5729999999999999E-2</v>
      </c>
      <c r="G102" s="6">
        <v>305141</v>
      </c>
      <c r="H102" s="258">
        <f t="shared" si="7"/>
        <v>299768</v>
      </c>
      <c r="I102" s="6">
        <v>334134</v>
      </c>
      <c r="J102" s="6"/>
    </row>
    <row r="103" spans="1:14">
      <c r="A103" s="2">
        <f t="shared" si="5"/>
        <v>103</v>
      </c>
      <c r="C103" s="10"/>
      <c r="D103" s="10" t="s">
        <v>395</v>
      </c>
      <c r="E103" s="255">
        <v>19068882</v>
      </c>
      <c r="F103" s="256">
        <v>2.656E-2</v>
      </c>
      <c r="G103" s="255">
        <v>515442</v>
      </c>
      <c r="H103" s="255">
        <f t="shared" si="7"/>
        <v>506470</v>
      </c>
      <c r="I103" s="255">
        <v>540486</v>
      </c>
      <c r="J103" s="6"/>
    </row>
    <row r="104" spans="1:14">
      <c r="A104" s="2">
        <f t="shared" si="5"/>
        <v>104</v>
      </c>
      <c r="C104" s="10"/>
      <c r="D104" s="10"/>
      <c r="E104" s="6"/>
      <c r="F104" s="254"/>
      <c r="G104" s="6"/>
      <c r="H104" s="6"/>
      <c r="I104" s="6"/>
      <c r="J104" s="6"/>
    </row>
    <row r="105" spans="1:14">
      <c r="A105" s="2">
        <f t="shared" si="5"/>
        <v>105</v>
      </c>
      <c r="C105" s="10" t="s">
        <v>396</v>
      </c>
      <c r="D105" s="10"/>
      <c r="E105" s="6">
        <f>SUM(E95:E103)</f>
        <v>190193299</v>
      </c>
      <c r="F105" s="254"/>
      <c r="G105" s="6">
        <f>SUM(G95:G103)</f>
        <v>5654767</v>
      </c>
      <c r="H105" s="6">
        <f>SUM(H95:H103)</f>
        <v>5560650</v>
      </c>
      <c r="I105" s="6">
        <f>SUM(I95:I103)</f>
        <v>5196472</v>
      </c>
      <c r="J105" s="6">
        <v>131312197</v>
      </c>
      <c r="K105" s="254">
        <f>ROUND(J105/E105,5)</f>
        <v>0.69040999999999997</v>
      </c>
      <c r="L105" s="6">
        <f>ROUND(G105*K105,0)</f>
        <v>3904108</v>
      </c>
      <c r="M105" s="6">
        <f>ROUND(H105*K105,0)</f>
        <v>3839128</v>
      </c>
      <c r="N105" s="6">
        <f>ROUND(I105*K105,0)</f>
        <v>3587696</v>
      </c>
    </row>
    <row r="106" spans="1:14">
      <c r="A106" s="2">
        <f t="shared" si="5"/>
        <v>106</v>
      </c>
      <c r="C106" s="257" t="s">
        <v>305</v>
      </c>
      <c r="D106" s="10"/>
      <c r="E106" s="6"/>
      <c r="F106" s="254">
        <f>ROUND(H105/E105,5)</f>
        <v>2.9239999999999999E-2</v>
      </c>
      <c r="G106" s="6"/>
      <c r="H106" s="6"/>
      <c r="I106" s="6"/>
      <c r="J106" s="6"/>
    </row>
    <row r="107" spans="1:14">
      <c r="A107" s="2">
        <f t="shared" si="5"/>
        <v>107</v>
      </c>
      <c r="C107" s="10"/>
      <c r="D107" s="10"/>
      <c r="E107" s="6"/>
      <c r="F107" s="254"/>
      <c r="G107" s="6"/>
      <c r="H107" s="6"/>
      <c r="I107" s="6"/>
      <c r="J107" s="6"/>
    </row>
    <row r="108" spans="1:14">
      <c r="A108" s="2">
        <f t="shared" si="5"/>
        <v>108</v>
      </c>
      <c r="B108" s="3" t="s">
        <v>329</v>
      </c>
      <c r="C108" s="10" t="s">
        <v>397</v>
      </c>
      <c r="D108" s="259" t="s">
        <v>398</v>
      </c>
      <c r="E108" s="6">
        <f>14638125+5920592+6109427</f>
        <v>26668144</v>
      </c>
      <c r="F108" s="254">
        <v>2.6790000000000001E-2</v>
      </c>
      <c r="G108" s="13">
        <f>ROUND(778573*(26668144/28669310),0)</f>
        <v>724227</v>
      </c>
      <c r="H108" s="258">
        <f t="shared" ref="H108:H113" si="8">ROUND(E108*F108,0)</f>
        <v>714440</v>
      </c>
      <c r="I108" s="13">
        <f>ROUND(628690*(26668144/28669310),0)</f>
        <v>584806</v>
      </c>
      <c r="J108" s="6"/>
      <c r="K108" s="254"/>
      <c r="L108" s="6"/>
      <c r="M108" s="6"/>
      <c r="N108" s="6"/>
    </row>
    <row r="109" spans="1:14">
      <c r="A109" s="2">
        <f t="shared" si="5"/>
        <v>109</v>
      </c>
      <c r="B109" s="3" t="s">
        <v>399</v>
      </c>
      <c r="C109" s="10" t="s">
        <v>324</v>
      </c>
      <c r="D109" s="259" t="s">
        <v>400</v>
      </c>
      <c r="E109" s="6">
        <v>3281530</v>
      </c>
      <c r="F109" s="254">
        <v>2.9420000000000002E-2</v>
      </c>
      <c r="G109" s="13">
        <f>ROUND(676063*(3281530/22682795),0)</f>
        <v>97806</v>
      </c>
      <c r="H109" s="258">
        <f t="shared" si="8"/>
        <v>96543</v>
      </c>
      <c r="I109" s="13">
        <f>ROUND(475205*(3281530/22682795),0)</f>
        <v>68748</v>
      </c>
      <c r="J109" s="6"/>
    </row>
    <row r="110" spans="1:14">
      <c r="A110" s="2">
        <f t="shared" si="5"/>
        <v>110</v>
      </c>
      <c r="B110" s="3" t="s">
        <v>401</v>
      </c>
      <c r="C110" s="10" t="s">
        <v>327</v>
      </c>
      <c r="D110" s="259" t="s">
        <v>402</v>
      </c>
      <c r="E110" s="6">
        <v>2699359</v>
      </c>
      <c r="F110" s="254">
        <v>2.9899999999999999E-2</v>
      </c>
      <c r="G110" s="13">
        <f>ROUND(315855*(2699359/10428350),0)</f>
        <v>81758</v>
      </c>
      <c r="H110" s="258">
        <f t="shared" si="8"/>
        <v>80711</v>
      </c>
      <c r="I110" s="13">
        <f>ROUND(315855*(2699359/10428350),0)</f>
        <v>81758</v>
      </c>
      <c r="J110" s="6"/>
    </row>
    <row r="111" spans="1:14">
      <c r="A111" s="2">
        <f t="shared" si="5"/>
        <v>111</v>
      </c>
      <c r="B111" s="3" t="s">
        <v>403</v>
      </c>
      <c r="C111" s="10" t="s">
        <v>330</v>
      </c>
      <c r="D111" s="259" t="s">
        <v>404</v>
      </c>
      <c r="E111" s="6">
        <f>12902686+3800546+3216546</f>
        <v>19919778</v>
      </c>
      <c r="F111" s="254">
        <v>3.2809999999999999E-2</v>
      </c>
      <c r="G111" s="13">
        <f>ROUND(904715*(19919778/27254260),0)</f>
        <v>661244</v>
      </c>
      <c r="H111" s="258">
        <f t="shared" si="8"/>
        <v>653568</v>
      </c>
      <c r="I111" s="13">
        <f>ROUND(473740*(19919778/27254260),0)</f>
        <v>346250</v>
      </c>
      <c r="J111" s="6"/>
    </row>
    <row r="112" spans="1:14">
      <c r="A112" s="2">
        <f t="shared" si="5"/>
        <v>112</v>
      </c>
      <c r="B112" s="3" t="s">
        <v>405</v>
      </c>
      <c r="C112" s="10" t="s">
        <v>332</v>
      </c>
      <c r="D112" s="259" t="s">
        <v>406</v>
      </c>
      <c r="E112" s="6">
        <v>1044254</v>
      </c>
      <c r="F112" s="254">
        <v>1.9140000000000001E-2</v>
      </c>
      <c r="G112" s="13">
        <f>ROUND(119382*(1044254/18394050),0)</f>
        <v>6777</v>
      </c>
      <c r="H112" s="258">
        <f t="shared" si="8"/>
        <v>19987</v>
      </c>
      <c r="I112" s="13">
        <f>ROUND(114950*(1044254/18394050),0)</f>
        <v>6526</v>
      </c>
      <c r="J112" s="6"/>
    </row>
    <row r="113" spans="1:14">
      <c r="A113" s="2">
        <f t="shared" si="5"/>
        <v>113</v>
      </c>
      <c r="B113" s="3" t="s">
        <v>407</v>
      </c>
      <c r="C113" s="259" t="s">
        <v>334</v>
      </c>
      <c r="D113" s="259" t="s">
        <v>408</v>
      </c>
      <c r="E113" s="255">
        <v>2350114</v>
      </c>
      <c r="F113" s="256">
        <v>2.222E-2</v>
      </c>
      <c r="G113" s="261">
        <f>ROUND(3859*(2350114/4210000),0)</f>
        <v>2154</v>
      </c>
      <c r="H113" s="255">
        <f t="shared" si="8"/>
        <v>52220</v>
      </c>
      <c r="I113" s="261">
        <v>0</v>
      </c>
      <c r="J113" s="6"/>
    </row>
    <row r="114" spans="1:14">
      <c r="A114" s="2">
        <f t="shared" si="5"/>
        <v>114</v>
      </c>
      <c r="B114" s="3" t="s">
        <v>409</v>
      </c>
      <c r="C114" s="259" t="s">
        <v>336</v>
      </c>
      <c r="D114" s="10"/>
      <c r="E114" s="6"/>
      <c r="F114" s="254"/>
      <c r="G114" s="6"/>
      <c r="H114" s="6"/>
      <c r="I114" s="6"/>
      <c r="J114" s="6"/>
    </row>
    <row r="115" spans="1:14">
      <c r="A115" s="2">
        <f t="shared" si="5"/>
        <v>115</v>
      </c>
      <c r="B115" s="3" t="s">
        <v>410</v>
      </c>
      <c r="C115" s="10" t="s">
        <v>411</v>
      </c>
      <c r="D115" s="10"/>
      <c r="E115" s="6">
        <f>SUM(E108:E113)</f>
        <v>55963179</v>
      </c>
      <c r="F115" s="254"/>
      <c r="G115" s="6">
        <f>SUM(G108:G113)</f>
        <v>1573966</v>
      </c>
      <c r="H115" s="6">
        <f>SUM(H108:H113)</f>
        <v>1617469</v>
      </c>
      <c r="I115" s="6">
        <f>SUM(I108:I113)</f>
        <v>1088088</v>
      </c>
      <c r="J115" s="6">
        <f>11399013+10709373+4588239+5325572+11710936+2329182+1050780+2268564+3526974</f>
        <v>52908633</v>
      </c>
      <c r="K115" s="254">
        <f>ROUND(J115/E115,5)</f>
        <v>0.94542000000000004</v>
      </c>
      <c r="L115" s="6">
        <f>ROUND(G115*K115,0)</f>
        <v>1488059</v>
      </c>
      <c r="M115" s="6">
        <f>ROUND(H115*K115,0)</f>
        <v>1529188</v>
      </c>
      <c r="N115" s="6">
        <f>ROUND(I115*K115,0)</f>
        <v>1028700</v>
      </c>
    </row>
    <row r="116" spans="1:14">
      <c r="A116" s="2">
        <f t="shared" si="5"/>
        <v>116</v>
      </c>
      <c r="B116" s="3" t="s">
        <v>412</v>
      </c>
      <c r="C116" s="257" t="s">
        <v>305</v>
      </c>
      <c r="F116" s="254">
        <f>ROUND(H115/E115,5)</f>
        <v>2.8899999999999999E-2</v>
      </c>
    </row>
    <row r="117" spans="1:14">
      <c r="A117" s="2">
        <f t="shared" si="5"/>
        <v>117</v>
      </c>
      <c r="C117" s="10"/>
      <c r="D117" s="10"/>
      <c r="E117" s="6"/>
      <c r="F117" s="254"/>
      <c r="G117" s="6"/>
      <c r="H117" s="6"/>
      <c r="I117" s="6"/>
      <c r="J117" s="6"/>
    </row>
    <row r="118" spans="1:14">
      <c r="A118" s="2">
        <f t="shared" si="5"/>
        <v>118</v>
      </c>
      <c r="C118" s="257" t="s">
        <v>413</v>
      </c>
      <c r="D118" s="10"/>
      <c r="E118" s="6">
        <f>E24+E34+E45+E68+E92+E105+E115</f>
        <v>1352447077</v>
      </c>
      <c r="F118" s="254"/>
      <c r="G118" s="6">
        <f>G24+G34+G45+G68+G92+G105+G115</f>
        <v>56875125</v>
      </c>
      <c r="H118" s="6">
        <f>H24+H34+H45+H68+H92+H105+H115</f>
        <v>55860036</v>
      </c>
      <c r="I118" s="6">
        <f>I24+I34+I45+I68+I92+I105+I115</f>
        <v>41476683</v>
      </c>
      <c r="J118" s="6">
        <f>J24+J34+J45+J68+J92+J105+J115</f>
        <v>627033240</v>
      </c>
      <c r="L118" s="6">
        <f>L24+L34+L45+L68+L92+L105+L115</f>
        <v>24450841</v>
      </c>
      <c r="M118" s="6">
        <f>M24+M34+M45+M68+M92+M105+M115</f>
        <v>24035391</v>
      </c>
      <c r="N118" s="6">
        <f>N24+N34+N45+N68+N92+N105+N115</f>
        <v>18919643</v>
      </c>
    </row>
    <row r="121" spans="1:14">
      <c r="E121" s="3" t="s">
        <v>636</v>
      </c>
      <c r="G121" s="265">
        <f>G118/E118</f>
        <v>4.2053493971949338E-2</v>
      </c>
    </row>
  </sheetData>
  <mergeCells count="2">
    <mergeCell ref="D5:I5"/>
    <mergeCell ref="J5:N5"/>
  </mergeCells>
  <pageMargins left="0.7" right="0.7" top="0.75" bottom="0.75" header="0.3" footer="0.3"/>
  <pageSetup orientation="portrait"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8"/>
  <sheetViews>
    <sheetView topLeftCell="A189" zoomScale="80" zoomScaleNormal="80" workbookViewId="0">
      <selection activeCell="J221" sqref="J221"/>
    </sheetView>
  </sheetViews>
  <sheetFormatPr defaultColWidth="17.85546875" defaultRowHeight="14.25"/>
  <cols>
    <col min="1" max="1" width="5.28515625" style="3" customWidth="1"/>
    <col min="2" max="2" width="45" style="3" customWidth="1"/>
    <col min="3" max="16384" width="17.85546875" style="3"/>
  </cols>
  <sheetData>
    <row r="1" spans="1:8">
      <c r="A1" s="2">
        <v>0</v>
      </c>
      <c r="B1" s="3" t="s">
        <v>679</v>
      </c>
    </row>
    <row r="2" spans="1:8" ht="15">
      <c r="A2" s="2">
        <f>A1+1</f>
        <v>1</v>
      </c>
      <c r="H2" s="4" t="s">
        <v>416</v>
      </c>
    </row>
    <row r="3" spans="1:8" ht="15">
      <c r="A3" s="2">
        <f t="shared" ref="A3:A66" si="0">A2+1</f>
        <v>2</v>
      </c>
      <c r="B3" s="402" t="s">
        <v>0</v>
      </c>
      <c r="C3" s="402"/>
      <c r="D3" s="402"/>
      <c r="E3" s="402"/>
      <c r="F3" s="402"/>
      <c r="G3" s="402"/>
      <c r="H3" s="402"/>
    </row>
    <row r="4" spans="1:8" ht="15">
      <c r="A4" s="2">
        <f t="shared" si="0"/>
        <v>3</v>
      </c>
      <c r="B4" s="402" t="s">
        <v>417</v>
      </c>
      <c r="C4" s="402"/>
      <c r="D4" s="402"/>
      <c r="E4" s="402"/>
      <c r="F4" s="402"/>
      <c r="G4" s="402"/>
      <c r="H4" s="402"/>
    </row>
    <row r="5" spans="1:8">
      <c r="A5" s="2">
        <f t="shared" si="0"/>
        <v>4</v>
      </c>
    </row>
    <row r="6" spans="1:8">
      <c r="A6" s="2">
        <f t="shared" si="0"/>
        <v>5</v>
      </c>
    </row>
    <row r="7" spans="1:8">
      <c r="A7" s="2">
        <f t="shared" si="0"/>
        <v>6</v>
      </c>
      <c r="C7" s="10" t="s">
        <v>1</v>
      </c>
      <c r="D7" s="409" t="s">
        <v>276</v>
      </c>
      <c r="E7" s="411"/>
      <c r="F7" s="409" t="s">
        <v>418</v>
      </c>
      <c r="G7" s="411"/>
      <c r="H7" s="10" t="s">
        <v>419</v>
      </c>
    </row>
    <row r="8" spans="1:8">
      <c r="A8" s="2">
        <f t="shared" si="0"/>
        <v>7</v>
      </c>
      <c r="C8" s="10" t="s">
        <v>420</v>
      </c>
      <c r="D8" s="10" t="s">
        <v>32</v>
      </c>
      <c r="E8" s="10" t="s">
        <v>421</v>
      </c>
      <c r="F8" s="10" t="s">
        <v>32</v>
      </c>
      <c r="G8" s="10" t="s">
        <v>421</v>
      </c>
      <c r="H8" s="10" t="s">
        <v>422</v>
      </c>
    </row>
    <row r="9" spans="1:8" ht="15" thickBot="1">
      <c r="A9" s="2">
        <f t="shared" si="0"/>
        <v>8</v>
      </c>
      <c r="B9" s="246" t="s">
        <v>423</v>
      </c>
      <c r="C9" s="246" t="s">
        <v>424</v>
      </c>
      <c r="D9" s="247">
        <v>43830</v>
      </c>
      <c r="E9" s="247">
        <v>44012</v>
      </c>
      <c r="F9" s="247">
        <v>43830</v>
      </c>
      <c r="G9" s="247">
        <v>44012</v>
      </c>
      <c r="H9" s="262" t="s">
        <v>286</v>
      </c>
    </row>
    <row r="10" spans="1:8">
      <c r="A10" s="2">
        <f t="shared" si="0"/>
        <v>9</v>
      </c>
    </row>
    <row r="11" spans="1:8">
      <c r="A11" s="2">
        <f t="shared" si="0"/>
        <v>10</v>
      </c>
      <c r="B11" s="3" t="s">
        <v>425</v>
      </c>
      <c r="C11" s="6"/>
      <c r="D11" s="254"/>
      <c r="E11" s="254"/>
      <c r="F11" s="6"/>
      <c r="G11" s="6"/>
      <c r="H11" s="6"/>
    </row>
    <row r="12" spans="1:8">
      <c r="A12" s="2">
        <f t="shared" si="0"/>
        <v>11</v>
      </c>
      <c r="B12" s="3" t="s">
        <v>426</v>
      </c>
      <c r="C12" s="6">
        <v>179000000</v>
      </c>
      <c r="D12" s="254">
        <v>4.6100000000000002E-2</v>
      </c>
      <c r="E12" s="254">
        <v>4.6100000000000002E-2</v>
      </c>
      <c r="F12" s="6">
        <f>ROUND(C12*D12,0)</f>
        <v>8251900</v>
      </c>
      <c r="G12" s="6">
        <f>ROUND(C12*E12,0)</f>
        <v>8251900</v>
      </c>
      <c r="H12" s="6">
        <v>8274309.6900000004</v>
      </c>
    </row>
    <row r="13" spans="1:8">
      <c r="A13" s="2">
        <f t="shared" si="0"/>
        <v>12</v>
      </c>
      <c r="B13" s="3" t="s">
        <v>427</v>
      </c>
      <c r="C13" s="6">
        <v>150000000</v>
      </c>
      <c r="D13" s="254">
        <v>4.4499999999999998E-2</v>
      </c>
      <c r="E13" s="254">
        <v>4.4499999999999998E-2</v>
      </c>
      <c r="F13" s="6">
        <f>ROUND(C13*D13,0)</f>
        <v>6675000</v>
      </c>
      <c r="G13" s="6">
        <f>ROUND(C13*E13,0)</f>
        <v>6675000</v>
      </c>
      <c r="H13" s="6">
        <v>4691041.67</v>
      </c>
    </row>
    <row r="14" spans="1:8">
      <c r="A14" s="2">
        <f t="shared" si="0"/>
        <v>13</v>
      </c>
      <c r="B14" s="3" t="s">
        <v>428</v>
      </c>
      <c r="C14" s="255">
        <v>2700000</v>
      </c>
      <c r="D14" s="254">
        <v>1.2500000000000001E-2</v>
      </c>
      <c r="E14" s="254">
        <v>1.2500000000000001E-2</v>
      </c>
      <c r="F14" s="255">
        <f>ROUND(C14*D14,0)</f>
        <v>33750</v>
      </c>
      <c r="G14" s="255">
        <f>ROUND(C14*E14,0)</f>
        <v>33750</v>
      </c>
      <c r="H14" s="255">
        <v>53259.37</v>
      </c>
    </row>
    <row r="15" spans="1:8">
      <c r="A15" s="2">
        <f t="shared" si="0"/>
        <v>14</v>
      </c>
      <c r="C15" s="6"/>
      <c r="D15" s="254"/>
      <c r="E15" s="254"/>
      <c r="F15" s="6"/>
      <c r="G15" s="6"/>
      <c r="H15" s="6"/>
    </row>
    <row r="16" spans="1:8">
      <c r="A16" s="2">
        <f t="shared" si="0"/>
        <v>15</v>
      </c>
      <c r="B16" s="3" t="s">
        <v>429</v>
      </c>
      <c r="C16" s="255">
        <f>SUM(C12:C14)</f>
        <v>331700000</v>
      </c>
      <c r="D16" s="254"/>
      <c r="E16" s="254"/>
      <c r="F16" s="255">
        <f>SUM(F12:F14)</f>
        <v>14960650</v>
      </c>
      <c r="G16" s="255">
        <f>SUM(G12:G14)</f>
        <v>14960650</v>
      </c>
      <c r="H16" s="255">
        <f>SUM(H12:H14)</f>
        <v>13018610.729999999</v>
      </c>
    </row>
    <row r="17" spans="1:8">
      <c r="A17" s="2">
        <f t="shared" si="0"/>
        <v>16</v>
      </c>
      <c r="C17" s="6"/>
      <c r="D17" s="254"/>
      <c r="E17" s="254"/>
      <c r="F17" s="6"/>
      <c r="G17" s="6"/>
      <c r="H17" s="6"/>
    </row>
    <row r="18" spans="1:8">
      <c r="A18" s="2">
        <f t="shared" si="0"/>
        <v>17</v>
      </c>
      <c r="B18" s="3" t="s">
        <v>430</v>
      </c>
      <c r="C18" s="6"/>
      <c r="D18" s="254"/>
      <c r="E18" s="254"/>
      <c r="F18" s="6"/>
      <c r="G18" s="6"/>
      <c r="H18" s="6"/>
    </row>
    <row r="19" spans="1:8">
      <c r="A19" s="2">
        <f t="shared" si="0"/>
        <v>18</v>
      </c>
      <c r="B19" s="3" t="s">
        <v>431</v>
      </c>
      <c r="C19" s="6"/>
      <c r="D19" s="254"/>
      <c r="E19" s="254"/>
      <c r="F19" s="6"/>
      <c r="G19" s="6"/>
      <c r="H19" s="6"/>
    </row>
    <row r="20" spans="1:8">
      <c r="A20" s="2">
        <f t="shared" si="0"/>
        <v>19</v>
      </c>
      <c r="B20" s="3" t="s">
        <v>432</v>
      </c>
      <c r="C20" s="6">
        <v>100000000</v>
      </c>
      <c r="D20" s="254">
        <v>4.2999999999999997E-2</v>
      </c>
      <c r="E20" s="254">
        <v>4.2999999999999997E-2</v>
      </c>
      <c r="F20" s="6">
        <f t="shared" ref="F20:F28" si="1">ROUND(C20*D20,0)</f>
        <v>4300000</v>
      </c>
      <c r="G20" s="6">
        <f t="shared" ref="G20:G28" si="2">ROUND(C20*E20,0)</f>
        <v>4300000</v>
      </c>
      <c r="H20" s="6">
        <v>3008036.54</v>
      </c>
    </row>
    <row r="21" spans="1:8">
      <c r="A21" s="2">
        <f t="shared" si="0"/>
        <v>20</v>
      </c>
      <c r="B21" s="3" t="s">
        <v>433</v>
      </c>
      <c r="C21" s="6">
        <v>1776837.85</v>
      </c>
      <c r="D21" s="254">
        <v>4.0000000000000001E-3</v>
      </c>
      <c r="E21" s="254">
        <v>4.0000000000000001E-3</v>
      </c>
      <c r="F21" s="6">
        <f t="shared" si="1"/>
        <v>7107</v>
      </c>
      <c r="G21" s="6">
        <f t="shared" si="2"/>
        <v>7107</v>
      </c>
      <c r="H21" s="6">
        <v>7528.73</v>
      </c>
    </row>
    <row r="22" spans="1:8">
      <c r="A22" s="2">
        <f t="shared" si="0"/>
        <v>21</v>
      </c>
      <c r="B22" s="3" t="s">
        <v>434</v>
      </c>
      <c r="C22" s="6">
        <v>17396627.27</v>
      </c>
      <c r="D22" s="254">
        <v>1.5599999999999999E-2</v>
      </c>
      <c r="E22" s="254">
        <v>1.5599999999999999E-2</v>
      </c>
      <c r="F22" s="6">
        <f t="shared" si="1"/>
        <v>271387</v>
      </c>
      <c r="G22" s="6">
        <f t="shared" si="2"/>
        <v>271387</v>
      </c>
      <c r="H22" s="6">
        <v>266793.55</v>
      </c>
    </row>
    <row r="23" spans="1:8">
      <c r="A23" s="2">
        <f t="shared" si="0"/>
        <v>22</v>
      </c>
      <c r="B23" s="3" t="s">
        <v>435</v>
      </c>
      <c r="C23" s="6">
        <v>0</v>
      </c>
      <c r="D23" s="254">
        <v>4.8500000000000001E-2</v>
      </c>
      <c r="E23" s="254">
        <v>4.8500000000000001E-2</v>
      </c>
      <c r="F23" s="6">
        <f t="shared" si="1"/>
        <v>0</v>
      </c>
      <c r="G23" s="6">
        <f t="shared" si="2"/>
        <v>0</v>
      </c>
      <c r="H23" s="6">
        <v>48511.7</v>
      </c>
    </row>
    <row r="24" spans="1:8">
      <c r="A24" s="2">
        <f t="shared" si="0"/>
        <v>23</v>
      </c>
      <c r="B24" s="3" t="s">
        <v>436</v>
      </c>
      <c r="C24" s="6">
        <v>1335822</v>
      </c>
      <c r="D24" s="254">
        <v>5.0500000000000003E-2</v>
      </c>
      <c r="E24" s="254">
        <v>5.0500000000000003E-2</v>
      </c>
      <c r="F24" s="6">
        <f t="shared" si="1"/>
        <v>67459</v>
      </c>
      <c r="G24" s="6">
        <f t="shared" si="2"/>
        <v>67459</v>
      </c>
      <c r="H24" s="6">
        <v>67459.600000000006</v>
      </c>
    </row>
    <row r="25" spans="1:8">
      <c r="A25" s="2">
        <f t="shared" si="0"/>
        <v>24</v>
      </c>
      <c r="B25" s="3" t="s">
        <v>437</v>
      </c>
      <c r="C25" s="6">
        <v>1544167</v>
      </c>
      <c r="D25" s="254">
        <v>5.1499999999999997E-2</v>
      </c>
      <c r="E25" s="254">
        <v>5.1499999999999997E-2</v>
      </c>
      <c r="F25" s="6">
        <f t="shared" si="1"/>
        <v>79525</v>
      </c>
      <c r="G25" s="6">
        <f t="shared" si="2"/>
        <v>79525</v>
      </c>
      <c r="H25" s="6">
        <v>79524</v>
      </c>
    </row>
    <row r="26" spans="1:8">
      <c r="A26" s="2">
        <f t="shared" si="0"/>
        <v>25</v>
      </c>
      <c r="B26" s="3" t="s">
        <v>438</v>
      </c>
      <c r="C26" s="6">
        <v>1389610</v>
      </c>
      <c r="D26" s="254">
        <v>5.2499999999999998E-2</v>
      </c>
      <c r="E26" s="254">
        <v>5.2499999999999998E-2</v>
      </c>
      <c r="F26" s="6">
        <f t="shared" si="1"/>
        <v>72955</v>
      </c>
      <c r="G26" s="6">
        <f t="shared" si="2"/>
        <v>72955</v>
      </c>
      <c r="H26" s="6">
        <v>72954.52</v>
      </c>
    </row>
    <row r="27" spans="1:8">
      <c r="A27" s="2">
        <f t="shared" si="0"/>
        <v>26</v>
      </c>
      <c r="B27" s="3" t="s">
        <v>439</v>
      </c>
      <c r="C27" s="6">
        <v>980127</v>
      </c>
      <c r="D27" s="254">
        <v>5.3999999999999999E-2</v>
      </c>
      <c r="E27" s="254">
        <v>5.3999999999999999E-2</v>
      </c>
      <c r="F27" s="6">
        <f t="shared" si="1"/>
        <v>52927</v>
      </c>
      <c r="G27" s="6">
        <f t="shared" si="2"/>
        <v>52927</v>
      </c>
      <c r="H27" s="6">
        <v>52926.84</v>
      </c>
    </row>
    <row r="28" spans="1:8">
      <c r="A28" s="2">
        <f t="shared" si="0"/>
        <v>27</v>
      </c>
      <c r="B28" s="3" t="s">
        <v>440</v>
      </c>
      <c r="C28" s="255">
        <v>325315</v>
      </c>
      <c r="D28" s="254">
        <v>5.5E-2</v>
      </c>
      <c r="E28" s="254">
        <v>5.5E-2</v>
      </c>
      <c r="F28" s="255">
        <f t="shared" si="1"/>
        <v>17892</v>
      </c>
      <c r="G28" s="255">
        <f t="shared" si="2"/>
        <v>17892</v>
      </c>
      <c r="H28" s="255">
        <v>17892.32</v>
      </c>
    </row>
    <row r="29" spans="1:8">
      <c r="A29" s="2">
        <f t="shared" si="0"/>
        <v>28</v>
      </c>
      <c r="C29" s="6"/>
      <c r="D29" s="254"/>
      <c r="E29" s="254"/>
      <c r="F29" s="6"/>
      <c r="G29" s="6"/>
      <c r="H29" s="6"/>
    </row>
    <row r="30" spans="1:8">
      <c r="A30" s="2">
        <f t="shared" si="0"/>
        <v>29</v>
      </c>
      <c r="B30" s="3" t="s">
        <v>441</v>
      </c>
      <c r="C30" s="255">
        <f>SUM(C20:C28)</f>
        <v>124748506.11999999</v>
      </c>
      <c r="D30" s="254"/>
      <c r="E30" s="254"/>
      <c r="F30" s="255">
        <f>SUM(F20:F28)</f>
        <v>4869252</v>
      </c>
      <c r="G30" s="255">
        <f>SUM(G20:G28)</f>
        <v>4869252</v>
      </c>
      <c r="H30" s="255">
        <f>SUM(H20:H28)</f>
        <v>3621627.8</v>
      </c>
    </row>
    <row r="31" spans="1:8">
      <c r="A31" s="2">
        <f t="shared" si="0"/>
        <v>30</v>
      </c>
      <c r="C31" s="6"/>
      <c r="D31" s="254"/>
      <c r="E31" s="254"/>
      <c r="F31" s="6"/>
      <c r="G31" s="6"/>
      <c r="H31" s="6"/>
    </row>
    <row r="32" spans="1:8">
      <c r="A32" s="2">
        <f t="shared" si="0"/>
        <v>31</v>
      </c>
      <c r="B32" s="3" t="s">
        <v>442</v>
      </c>
      <c r="C32" s="6"/>
      <c r="D32" s="254"/>
      <c r="E32" s="254"/>
      <c r="F32" s="6"/>
      <c r="G32" s="6"/>
      <c r="H32" s="6"/>
    </row>
    <row r="33" spans="1:10">
      <c r="A33" s="2">
        <f t="shared" si="0"/>
        <v>32</v>
      </c>
      <c r="B33" s="3" t="s">
        <v>443</v>
      </c>
      <c r="C33" s="6">
        <v>0</v>
      </c>
      <c r="D33" s="254">
        <v>5.1249999999999997E-2</v>
      </c>
      <c r="E33" s="254">
        <v>5.1249999999999997E-2</v>
      </c>
      <c r="F33" s="6">
        <f>ROUND(C33*D33,0)</f>
        <v>0</v>
      </c>
      <c r="G33" s="6">
        <f>ROUND(C33*E33,0)</f>
        <v>0</v>
      </c>
      <c r="H33" s="6">
        <v>51782.720000000001</v>
      </c>
    </row>
    <row r="34" spans="1:10">
      <c r="A34" s="2">
        <f t="shared" si="0"/>
        <v>33</v>
      </c>
      <c r="B34" s="3" t="s">
        <v>444</v>
      </c>
      <c r="C34" s="255">
        <v>0</v>
      </c>
      <c r="D34" s="254">
        <v>5.1249999999999997E-2</v>
      </c>
      <c r="E34" s="254">
        <v>5.1249999999999997E-2</v>
      </c>
      <c r="F34" s="255">
        <f>ROUND(C34*D34,0)</f>
        <v>0</v>
      </c>
      <c r="G34" s="255">
        <f>ROUND(C34*E34,0)</f>
        <v>0</v>
      </c>
      <c r="H34" s="255">
        <v>51782.720000000001</v>
      </c>
    </row>
    <row r="35" spans="1:10">
      <c r="A35" s="2">
        <f t="shared" si="0"/>
        <v>34</v>
      </c>
      <c r="C35" s="6"/>
      <c r="D35" s="254"/>
      <c r="E35" s="254"/>
      <c r="F35" s="6"/>
      <c r="G35" s="6"/>
      <c r="H35" s="6"/>
    </row>
    <row r="36" spans="1:10">
      <c r="A36" s="2">
        <f t="shared" si="0"/>
        <v>35</v>
      </c>
      <c r="B36" s="3" t="s">
        <v>445</v>
      </c>
      <c r="C36" s="255">
        <f>C33+C34</f>
        <v>0</v>
      </c>
      <c r="D36" s="254"/>
      <c r="E36" s="254"/>
      <c r="F36" s="255">
        <f>F33+F34</f>
        <v>0</v>
      </c>
      <c r="G36" s="255">
        <f>G33+G34</f>
        <v>0</v>
      </c>
      <c r="H36" s="255">
        <f>H33+H34</f>
        <v>103565.44</v>
      </c>
    </row>
    <row r="37" spans="1:10">
      <c r="A37" s="2">
        <f t="shared" si="0"/>
        <v>36</v>
      </c>
      <c r="C37" s="6"/>
      <c r="D37" s="254"/>
      <c r="E37" s="254"/>
      <c r="F37" s="6"/>
      <c r="G37" s="6"/>
      <c r="H37" s="6"/>
    </row>
    <row r="38" spans="1:10">
      <c r="A38" s="2">
        <f t="shared" si="0"/>
        <v>37</v>
      </c>
      <c r="B38" s="3" t="s">
        <v>446</v>
      </c>
      <c r="C38" s="6"/>
      <c r="D38" s="254"/>
      <c r="E38" s="254"/>
      <c r="F38" s="6"/>
      <c r="G38" s="6"/>
      <c r="H38" s="6"/>
    </row>
    <row r="39" spans="1:10">
      <c r="A39" s="2">
        <f t="shared" si="0"/>
        <v>38</v>
      </c>
      <c r="B39" s="3" t="s">
        <v>447</v>
      </c>
      <c r="C39" s="6">
        <v>0</v>
      </c>
      <c r="D39" s="254">
        <v>5.4510000000000003E-2</v>
      </c>
      <c r="E39" s="254">
        <v>5.4510000000000003E-2</v>
      </c>
      <c r="F39" s="6">
        <f t="shared" ref="F39:F102" si="3">ROUND(C39*D39,0)</f>
        <v>0</v>
      </c>
      <c r="G39" s="6">
        <f t="shared" ref="G39:G102" si="4">ROUND(C39*E39,0)</f>
        <v>0</v>
      </c>
      <c r="H39" s="6">
        <v>99292.49</v>
      </c>
    </row>
    <row r="40" spans="1:10">
      <c r="A40" s="2">
        <f t="shared" si="0"/>
        <v>39</v>
      </c>
      <c r="B40" s="3" t="s">
        <v>448</v>
      </c>
      <c r="C40" s="6">
        <v>0</v>
      </c>
      <c r="D40" s="254">
        <v>5.4260000000000003E-2</v>
      </c>
      <c r="E40" s="254">
        <v>5.4260000000000003E-2</v>
      </c>
      <c r="F40" s="6">
        <f t="shared" si="3"/>
        <v>0</v>
      </c>
      <c r="G40" s="6">
        <f t="shared" si="4"/>
        <v>0</v>
      </c>
      <c r="H40" s="6">
        <v>84186.01</v>
      </c>
    </row>
    <row r="41" spans="1:10">
      <c r="A41" s="2">
        <f t="shared" si="0"/>
        <v>40</v>
      </c>
      <c r="B41" s="3" t="s">
        <v>449</v>
      </c>
      <c r="C41" s="6">
        <v>0</v>
      </c>
      <c r="D41" s="254">
        <v>5.1040000000000002E-2</v>
      </c>
      <c r="E41" s="254">
        <v>5.1040000000000002E-2</v>
      </c>
      <c r="F41" s="6">
        <f t="shared" si="3"/>
        <v>0</v>
      </c>
      <c r="G41" s="6">
        <f t="shared" si="4"/>
        <v>0</v>
      </c>
      <c r="H41" s="6">
        <v>105300.92</v>
      </c>
      <c r="J41" s="6"/>
    </row>
    <row r="42" spans="1:10">
      <c r="A42" s="2">
        <f t="shared" si="0"/>
        <v>41</v>
      </c>
      <c r="B42" s="3" t="s">
        <v>450</v>
      </c>
      <c r="C42" s="6">
        <v>4228069.95</v>
      </c>
      <c r="D42" s="254">
        <v>4.709E-2</v>
      </c>
      <c r="E42" s="254">
        <v>4.709E-2</v>
      </c>
      <c r="F42" s="6">
        <f t="shared" si="3"/>
        <v>199100</v>
      </c>
      <c r="G42" s="6">
        <f t="shared" si="4"/>
        <v>199100</v>
      </c>
      <c r="H42" s="6">
        <v>220760.32000000001</v>
      </c>
      <c r="J42" s="6"/>
    </row>
    <row r="43" spans="1:10">
      <c r="A43" s="2">
        <f t="shared" si="0"/>
        <v>42</v>
      </c>
      <c r="B43" s="3" t="s">
        <v>451</v>
      </c>
      <c r="C43" s="6">
        <v>0</v>
      </c>
      <c r="D43" s="254">
        <v>5.4469999999999998E-2</v>
      </c>
      <c r="E43" s="254">
        <v>5.4469999999999998E-2</v>
      </c>
      <c r="F43" s="6">
        <f t="shared" si="3"/>
        <v>0</v>
      </c>
      <c r="G43" s="6">
        <f t="shared" si="4"/>
        <v>0</v>
      </c>
      <c r="H43" s="6">
        <v>325907.86</v>
      </c>
      <c r="J43" s="6"/>
    </row>
    <row r="44" spans="1:10">
      <c r="A44" s="2">
        <f t="shared" si="0"/>
        <v>43</v>
      </c>
      <c r="B44" s="3" t="s">
        <v>452</v>
      </c>
      <c r="C44" s="6">
        <v>0</v>
      </c>
      <c r="D44" s="254">
        <v>5.6779999999999997E-2</v>
      </c>
      <c r="E44" s="254">
        <v>5.6779999999999997E-2</v>
      </c>
      <c r="F44" s="6">
        <f t="shared" si="3"/>
        <v>0</v>
      </c>
      <c r="G44" s="6">
        <f t="shared" si="4"/>
        <v>0</v>
      </c>
      <c r="H44" s="6">
        <v>103958.68</v>
      </c>
      <c r="J44" s="6"/>
    </row>
    <row r="45" spans="1:10">
      <c r="A45" s="2">
        <f t="shared" si="0"/>
        <v>44</v>
      </c>
      <c r="B45" s="3" t="s">
        <v>453</v>
      </c>
      <c r="C45" s="6">
        <v>0</v>
      </c>
      <c r="D45" s="254">
        <v>5.5379999999999999E-2</v>
      </c>
      <c r="E45" s="254">
        <v>5.5379999999999999E-2</v>
      </c>
      <c r="F45" s="6">
        <f t="shared" si="3"/>
        <v>0</v>
      </c>
      <c r="G45" s="6">
        <f t="shared" si="4"/>
        <v>0</v>
      </c>
      <c r="H45" s="6">
        <v>100650.54</v>
      </c>
      <c r="J45" s="6"/>
    </row>
    <row r="46" spans="1:10">
      <c r="A46" s="2">
        <f t="shared" si="0"/>
        <v>45</v>
      </c>
      <c r="B46" s="3" t="s">
        <v>454</v>
      </c>
      <c r="C46" s="6">
        <v>4957922.26</v>
      </c>
      <c r="D46" s="254">
        <v>4.6949999999999999E-2</v>
      </c>
      <c r="E46" s="254">
        <v>4.6949999999999999E-2</v>
      </c>
      <c r="F46" s="6">
        <f t="shared" si="3"/>
        <v>232774</v>
      </c>
      <c r="G46" s="6">
        <f t="shared" si="4"/>
        <v>232774</v>
      </c>
      <c r="H46" s="6">
        <v>258202.35</v>
      </c>
      <c r="J46" s="6"/>
    </row>
    <row r="47" spans="1:10">
      <c r="A47" s="2">
        <f t="shared" si="0"/>
        <v>46</v>
      </c>
      <c r="B47" s="3" t="s">
        <v>455</v>
      </c>
      <c r="C47" s="6">
        <v>3327846.11</v>
      </c>
      <c r="D47" s="254">
        <v>4.802E-2</v>
      </c>
      <c r="E47" s="254">
        <v>4.802E-2</v>
      </c>
      <c r="F47" s="6">
        <f t="shared" si="3"/>
        <v>159803</v>
      </c>
      <c r="G47" s="6">
        <f t="shared" si="4"/>
        <v>159803</v>
      </c>
      <c r="H47" s="6">
        <v>177204.89</v>
      </c>
    </row>
    <row r="48" spans="1:10">
      <c r="A48" s="2">
        <f t="shared" si="0"/>
        <v>47</v>
      </c>
      <c r="B48" s="3" t="s">
        <v>456</v>
      </c>
      <c r="C48" s="6">
        <v>4854098.6500000004</v>
      </c>
      <c r="D48" s="254">
        <v>4.3659999999999997E-2</v>
      </c>
      <c r="E48" s="254">
        <v>4.3659999999999997E-2</v>
      </c>
      <c r="F48" s="6">
        <f t="shared" si="3"/>
        <v>211930</v>
      </c>
      <c r="G48" s="6">
        <f t="shared" si="4"/>
        <v>211930</v>
      </c>
      <c r="H48" s="6">
        <v>235305.92</v>
      </c>
      <c r="J48" s="6"/>
    </row>
    <row r="49" spans="1:8">
      <c r="A49" s="2">
        <f t="shared" si="0"/>
        <v>48</v>
      </c>
      <c r="B49" s="3" t="s">
        <v>457</v>
      </c>
      <c r="C49" s="6">
        <v>3237955.92</v>
      </c>
      <c r="D49" s="254">
        <v>4.3749999999999997E-2</v>
      </c>
      <c r="E49" s="254">
        <v>4.3749999999999997E-2</v>
      </c>
      <c r="F49" s="6">
        <f t="shared" si="3"/>
        <v>141661</v>
      </c>
      <c r="G49" s="6">
        <f t="shared" si="4"/>
        <v>141661</v>
      </c>
      <c r="H49" s="6">
        <v>157281.68</v>
      </c>
    </row>
    <row r="50" spans="1:8">
      <c r="A50" s="2">
        <f t="shared" si="0"/>
        <v>49</v>
      </c>
      <c r="B50" s="3" t="s">
        <v>458</v>
      </c>
      <c r="C50" s="6">
        <v>4964877.9400000004</v>
      </c>
      <c r="D50" s="254">
        <v>4.7169999999999997E-2</v>
      </c>
      <c r="E50" s="254">
        <v>4.7169999999999997E-2</v>
      </c>
      <c r="F50" s="6">
        <f t="shared" si="3"/>
        <v>234193</v>
      </c>
      <c r="G50" s="6">
        <f t="shared" si="4"/>
        <v>234193</v>
      </c>
      <c r="H50" s="6">
        <v>259759.62</v>
      </c>
    </row>
    <row r="51" spans="1:8">
      <c r="A51" s="2">
        <f t="shared" si="0"/>
        <v>50</v>
      </c>
      <c r="B51" s="3" t="s">
        <v>459</v>
      </c>
      <c r="C51" s="6">
        <v>3294534.75</v>
      </c>
      <c r="D51" s="254">
        <v>4.6440000000000002E-2</v>
      </c>
      <c r="E51" s="254">
        <v>4.6440000000000002E-2</v>
      </c>
      <c r="F51" s="6">
        <f t="shared" si="3"/>
        <v>152998</v>
      </c>
      <c r="G51" s="6">
        <f t="shared" si="4"/>
        <v>152998</v>
      </c>
      <c r="H51" s="6">
        <v>169736.56</v>
      </c>
    </row>
    <row r="52" spans="1:8">
      <c r="A52" s="2">
        <f t="shared" si="0"/>
        <v>51</v>
      </c>
      <c r="B52" s="3" t="s">
        <v>460</v>
      </c>
      <c r="C52" s="6">
        <v>1132264.83</v>
      </c>
      <c r="D52" s="254">
        <v>4.5569999999999999E-2</v>
      </c>
      <c r="E52" s="254">
        <v>4.5569999999999999E-2</v>
      </c>
      <c r="F52" s="6">
        <f t="shared" si="3"/>
        <v>51597</v>
      </c>
      <c r="G52" s="6">
        <f t="shared" si="4"/>
        <v>51597</v>
      </c>
      <c r="H52" s="6">
        <v>57235.87</v>
      </c>
    </row>
    <row r="53" spans="1:8">
      <c r="A53" s="2">
        <f t="shared" si="0"/>
        <v>52</v>
      </c>
      <c r="B53" s="3" t="s">
        <v>461</v>
      </c>
      <c r="C53" s="6">
        <v>3588685.18</v>
      </c>
      <c r="D53" s="254">
        <v>4.7899999999999998E-2</v>
      </c>
      <c r="E53" s="254">
        <v>4.7899999999999998E-2</v>
      </c>
      <c r="F53" s="6">
        <f t="shared" si="3"/>
        <v>171898</v>
      </c>
      <c r="G53" s="6">
        <f t="shared" si="4"/>
        <v>171898</v>
      </c>
      <c r="H53" s="6">
        <v>179235.71</v>
      </c>
    </row>
    <row r="54" spans="1:8">
      <c r="A54" s="2">
        <f t="shared" si="0"/>
        <v>53</v>
      </c>
      <c r="B54" s="3" t="s">
        <v>462</v>
      </c>
      <c r="C54" s="6">
        <v>1749461.04</v>
      </c>
      <c r="D54" s="254">
        <v>4.6240000000000003E-2</v>
      </c>
      <c r="E54" s="254">
        <v>4.6240000000000003E-2</v>
      </c>
      <c r="F54" s="6">
        <f t="shared" si="3"/>
        <v>80895</v>
      </c>
      <c r="G54" s="6">
        <f t="shared" si="4"/>
        <v>80895</v>
      </c>
      <c r="H54" s="6">
        <v>84384.42</v>
      </c>
    </row>
    <row r="55" spans="1:8">
      <c r="A55" s="2">
        <f t="shared" si="0"/>
        <v>54</v>
      </c>
      <c r="B55" s="3" t="s">
        <v>463</v>
      </c>
      <c r="C55" s="6">
        <v>1398373.54</v>
      </c>
      <c r="D55" s="254">
        <v>4.4420000000000001E-2</v>
      </c>
      <c r="E55" s="254">
        <v>4.4420000000000001E-2</v>
      </c>
      <c r="F55" s="6">
        <f t="shared" si="3"/>
        <v>62116</v>
      </c>
      <c r="G55" s="6">
        <f t="shared" si="4"/>
        <v>62116</v>
      </c>
      <c r="H55" s="6">
        <v>68951.87</v>
      </c>
    </row>
    <row r="56" spans="1:8">
      <c r="A56" s="2">
        <f t="shared" si="0"/>
        <v>55</v>
      </c>
      <c r="B56" s="3" t="s">
        <v>464</v>
      </c>
      <c r="C56" s="6">
        <v>15297618.57</v>
      </c>
      <c r="D56" s="254">
        <v>4.4600000000000001E-2</v>
      </c>
      <c r="E56" s="254">
        <v>4.4600000000000001E-2</v>
      </c>
      <c r="F56" s="6">
        <f t="shared" si="3"/>
        <v>682274</v>
      </c>
      <c r="G56" s="6">
        <f t="shared" si="4"/>
        <v>682274</v>
      </c>
      <c r="H56" s="6">
        <v>706276.44</v>
      </c>
    </row>
    <row r="57" spans="1:8">
      <c r="A57" s="2">
        <f t="shared" si="0"/>
        <v>56</v>
      </c>
      <c r="B57" s="3" t="s">
        <v>465</v>
      </c>
      <c r="C57" s="6">
        <v>15586076.189999999</v>
      </c>
      <c r="D57" s="254">
        <v>4.8189999999999997E-2</v>
      </c>
      <c r="E57" s="254">
        <v>4.8189999999999997E-2</v>
      </c>
      <c r="F57" s="6">
        <f t="shared" si="3"/>
        <v>751093</v>
      </c>
      <c r="G57" s="6">
        <f t="shared" si="4"/>
        <v>751093</v>
      </c>
      <c r="H57" s="6">
        <v>776818.92</v>
      </c>
    </row>
    <row r="58" spans="1:8">
      <c r="A58" s="2">
        <f t="shared" si="0"/>
        <v>57</v>
      </c>
      <c r="B58" s="3" t="s">
        <v>466</v>
      </c>
      <c r="C58" s="6">
        <v>15564812.859999999</v>
      </c>
      <c r="D58" s="254">
        <v>4.9500000000000002E-2</v>
      </c>
      <c r="E58" s="254">
        <v>4.9500000000000002E-2</v>
      </c>
      <c r="F58" s="6">
        <f t="shared" si="3"/>
        <v>770458</v>
      </c>
      <c r="G58" s="6">
        <f t="shared" si="4"/>
        <v>770458</v>
      </c>
      <c r="H58" s="6">
        <v>796589.94</v>
      </c>
    </row>
    <row r="59" spans="1:8">
      <c r="A59" s="2">
        <f t="shared" si="0"/>
        <v>58</v>
      </c>
      <c r="B59" s="3" t="s">
        <v>467</v>
      </c>
      <c r="C59" s="6">
        <v>0</v>
      </c>
      <c r="D59" s="254">
        <v>5.0549999999999998E-2</v>
      </c>
      <c r="E59" s="254">
        <v>5.0549999999999998E-2</v>
      </c>
      <c r="F59" s="6">
        <f t="shared" si="3"/>
        <v>0</v>
      </c>
      <c r="G59" s="6">
        <f t="shared" si="4"/>
        <v>0</v>
      </c>
      <c r="H59" s="6">
        <v>38863.980000000003</v>
      </c>
    </row>
    <row r="60" spans="1:8">
      <c r="A60" s="2">
        <f t="shared" si="0"/>
        <v>59</v>
      </c>
      <c r="B60" s="3" t="s">
        <v>468</v>
      </c>
      <c r="C60" s="6">
        <v>1423928.15</v>
      </c>
      <c r="D60" s="254">
        <v>4.7530000000000003E-2</v>
      </c>
      <c r="E60" s="254">
        <v>4.7530000000000003E-2</v>
      </c>
      <c r="F60" s="6">
        <f t="shared" si="3"/>
        <v>67679</v>
      </c>
      <c r="G60" s="6">
        <f t="shared" si="4"/>
        <v>67679</v>
      </c>
      <c r="H60" s="6">
        <v>70575.03</v>
      </c>
    </row>
    <row r="61" spans="1:8">
      <c r="A61" s="2">
        <f t="shared" si="0"/>
        <v>60</v>
      </c>
      <c r="B61" s="3" t="s">
        <v>469</v>
      </c>
      <c r="C61" s="6">
        <v>868340.08</v>
      </c>
      <c r="D61" s="254">
        <v>4.5010000000000001E-2</v>
      </c>
      <c r="E61" s="254">
        <v>4.5010000000000001E-2</v>
      </c>
      <c r="F61" s="6">
        <f t="shared" si="3"/>
        <v>39084</v>
      </c>
      <c r="G61" s="6">
        <f t="shared" si="4"/>
        <v>39084</v>
      </c>
      <c r="H61" s="6">
        <v>43377.9</v>
      </c>
    </row>
    <row r="62" spans="1:8">
      <c r="A62" s="2">
        <f t="shared" si="0"/>
        <v>61</v>
      </c>
      <c r="B62" s="3" t="s">
        <v>470</v>
      </c>
      <c r="C62" s="6">
        <v>0</v>
      </c>
      <c r="D62" s="254">
        <v>5.0909999999999997E-2</v>
      </c>
      <c r="E62" s="254">
        <v>5.0909999999999997E-2</v>
      </c>
      <c r="F62" s="6">
        <f t="shared" si="3"/>
        <v>0</v>
      </c>
      <c r="G62" s="6">
        <f t="shared" si="4"/>
        <v>0</v>
      </c>
      <c r="H62" s="6">
        <v>422233.5</v>
      </c>
    </row>
    <row r="63" spans="1:8">
      <c r="A63" s="2">
        <f t="shared" si="0"/>
        <v>62</v>
      </c>
      <c r="B63" s="3" t="s">
        <v>471</v>
      </c>
      <c r="C63" s="6">
        <v>0</v>
      </c>
      <c r="D63" s="254">
        <v>5.1490000000000001E-2</v>
      </c>
      <c r="E63" s="254">
        <v>5.1490000000000001E-2</v>
      </c>
      <c r="F63" s="6">
        <f t="shared" si="3"/>
        <v>0</v>
      </c>
      <c r="G63" s="6">
        <f t="shared" si="4"/>
        <v>0</v>
      </c>
      <c r="H63" s="6">
        <v>428195.57</v>
      </c>
    </row>
    <row r="64" spans="1:8">
      <c r="A64" s="2">
        <f t="shared" si="0"/>
        <v>63</v>
      </c>
      <c r="B64" s="3" t="s">
        <v>472</v>
      </c>
      <c r="C64" s="6">
        <v>0</v>
      </c>
      <c r="D64" s="254">
        <v>5.0650000000000001E-2</v>
      </c>
      <c r="E64" s="254">
        <v>5.0650000000000001E-2</v>
      </c>
      <c r="F64" s="6">
        <f t="shared" si="3"/>
        <v>0</v>
      </c>
      <c r="G64" s="6">
        <f t="shared" si="4"/>
        <v>0</v>
      </c>
      <c r="H64" s="6">
        <v>419568.27</v>
      </c>
    </row>
    <row r="65" spans="1:8">
      <c r="A65" s="2">
        <f t="shared" si="0"/>
        <v>64</v>
      </c>
      <c r="B65" s="3" t="s">
        <v>473</v>
      </c>
      <c r="C65" s="6">
        <v>0</v>
      </c>
      <c r="D65" s="254">
        <v>5.0110000000000002E-2</v>
      </c>
      <c r="E65" s="254">
        <v>5.0110000000000002E-2</v>
      </c>
      <c r="F65" s="6">
        <f t="shared" si="3"/>
        <v>0</v>
      </c>
      <c r="G65" s="6">
        <f t="shared" si="4"/>
        <v>0</v>
      </c>
      <c r="H65" s="6">
        <v>414047.46</v>
      </c>
    </row>
    <row r="66" spans="1:8">
      <c r="A66" s="2">
        <f t="shared" si="0"/>
        <v>65</v>
      </c>
      <c r="B66" s="3" t="s">
        <v>474</v>
      </c>
      <c r="C66" s="6">
        <v>0</v>
      </c>
      <c r="D66" s="254">
        <v>5.1490000000000001E-2</v>
      </c>
      <c r="E66" s="254">
        <v>5.1490000000000001E-2</v>
      </c>
      <c r="F66" s="6">
        <f t="shared" si="3"/>
        <v>0</v>
      </c>
      <c r="G66" s="6">
        <f t="shared" si="4"/>
        <v>0</v>
      </c>
      <c r="H66" s="6">
        <v>462451.22</v>
      </c>
    </row>
    <row r="67" spans="1:8">
      <c r="A67" s="2">
        <f t="shared" ref="A67:A130" si="5">A66+1</f>
        <v>66</v>
      </c>
      <c r="B67" s="3" t="s">
        <v>475</v>
      </c>
      <c r="C67" s="6">
        <v>3667564.58</v>
      </c>
      <c r="D67" s="254">
        <v>4.854E-2</v>
      </c>
      <c r="E67" s="254">
        <v>4.854E-2</v>
      </c>
      <c r="F67" s="6">
        <f t="shared" si="3"/>
        <v>178024</v>
      </c>
      <c r="G67" s="6">
        <f t="shared" si="4"/>
        <v>178024</v>
      </c>
      <c r="H67" s="6">
        <v>185592.2</v>
      </c>
    </row>
    <row r="68" spans="1:8">
      <c r="A68" s="2">
        <f t="shared" si="5"/>
        <v>67</v>
      </c>
      <c r="B68" s="3" t="s">
        <v>476</v>
      </c>
      <c r="C68" s="6">
        <v>0</v>
      </c>
      <c r="D68" s="254">
        <v>5.2400000000000002E-2</v>
      </c>
      <c r="E68" s="254">
        <v>5.2400000000000002E-2</v>
      </c>
      <c r="F68" s="6">
        <f t="shared" si="3"/>
        <v>0</v>
      </c>
      <c r="G68" s="6">
        <f t="shared" si="4"/>
        <v>0</v>
      </c>
      <c r="H68" s="6">
        <v>36359.410000000003</v>
      </c>
    </row>
    <row r="69" spans="1:8">
      <c r="A69" s="2">
        <f t="shared" si="5"/>
        <v>68</v>
      </c>
      <c r="B69" s="3" t="s">
        <v>477</v>
      </c>
      <c r="C69" s="6">
        <v>0</v>
      </c>
      <c r="D69" s="254">
        <v>5.0200000000000002E-2</v>
      </c>
      <c r="E69" s="254">
        <v>5.0200000000000002E-2</v>
      </c>
      <c r="F69" s="6">
        <f t="shared" si="3"/>
        <v>0</v>
      </c>
      <c r="G69" s="6">
        <f t="shared" si="4"/>
        <v>0</v>
      </c>
      <c r="H69" s="6">
        <v>40935.39</v>
      </c>
    </row>
    <row r="70" spans="1:8">
      <c r="A70" s="2">
        <f t="shared" si="5"/>
        <v>69</v>
      </c>
      <c r="B70" s="3" t="s">
        <v>478</v>
      </c>
      <c r="C70" s="6">
        <v>9661471.4100000001</v>
      </c>
      <c r="D70" s="254">
        <v>4.9209999999999997E-2</v>
      </c>
      <c r="E70" s="254">
        <v>4.9209999999999997E-2</v>
      </c>
      <c r="F70" s="6">
        <f t="shared" si="3"/>
        <v>475441</v>
      </c>
      <c r="G70" s="6">
        <f t="shared" si="4"/>
        <v>475441</v>
      </c>
      <c r="H70" s="6">
        <v>495569.01</v>
      </c>
    </row>
    <row r="71" spans="1:8">
      <c r="A71" s="2">
        <f t="shared" si="5"/>
        <v>70</v>
      </c>
      <c r="B71" s="3" t="s">
        <v>479</v>
      </c>
      <c r="C71" s="6">
        <v>3796182.71</v>
      </c>
      <c r="D71" s="254">
        <v>4.6719999999999998E-2</v>
      </c>
      <c r="E71" s="254">
        <v>4.6719999999999998E-2</v>
      </c>
      <c r="F71" s="6">
        <f t="shared" si="3"/>
        <v>177358</v>
      </c>
      <c r="G71" s="6">
        <f t="shared" si="4"/>
        <v>177358</v>
      </c>
      <c r="H71" s="6">
        <v>184984.79</v>
      </c>
    </row>
    <row r="72" spans="1:8">
      <c r="A72" s="2">
        <f t="shared" si="5"/>
        <v>71</v>
      </c>
      <c r="B72" s="3" t="s">
        <v>480</v>
      </c>
      <c r="C72" s="6">
        <v>1847927.05</v>
      </c>
      <c r="D72" s="254">
        <v>4.795E-2</v>
      </c>
      <c r="E72" s="254">
        <v>4.795E-2</v>
      </c>
      <c r="F72" s="6">
        <f t="shared" si="3"/>
        <v>88608</v>
      </c>
      <c r="G72" s="6">
        <f t="shared" si="4"/>
        <v>88608</v>
      </c>
      <c r="H72" s="6">
        <v>92389.27</v>
      </c>
    </row>
    <row r="73" spans="1:8">
      <c r="A73" s="2">
        <f t="shared" si="5"/>
        <v>72</v>
      </c>
      <c r="B73" s="3" t="s">
        <v>481</v>
      </c>
      <c r="C73" s="6">
        <v>1907079.36</v>
      </c>
      <c r="D73" s="254">
        <v>4.5769999999999998E-2</v>
      </c>
      <c r="E73" s="254">
        <v>4.5769999999999998E-2</v>
      </c>
      <c r="F73" s="6">
        <f t="shared" si="3"/>
        <v>87287</v>
      </c>
      <c r="G73" s="6">
        <f t="shared" si="4"/>
        <v>87287</v>
      </c>
      <c r="H73" s="6">
        <v>96855.28</v>
      </c>
    </row>
    <row r="74" spans="1:8">
      <c r="A74" s="2">
        <f t="shared" si="5"/>
        <v>73</v>
      </c>
      <c r="B74" s="3" t="s">
        <v>482</v>
      </c>
      <c r="C74" s="6">
        <v>37287273.960000001</v>
      </c>
      <c r="D74" s="254">
        <v>4.7440000000000003E-2</v>
      </c>
      <c r="E74" s="254">
        <v>4.7440000000000003E-2</v>
      </c>
      <c r="F74" s="6">
        <f t="shared" si="3"/>
        <v>1768908</v>
      </c>
      <c r="G74" s="6">
        <f t="shared" si="4"/>
        <v>1768908</v>
      </c>
      <c r="H74" s="6">
        <v>1804594.13</v>
      </c>
    </row>
    <row r="75" spans="1:8">
      <c r="A75" s="2">
        <f t="shared" si="5"/>
        <v>74</v>
      </c>
      <c r="B75" s="3" t="s">
        <v>483</v>
      </c>
      <c r="C75" s="6">
        <v>37416442.600000001</v>
      </c>
      <c r="D75" s="254">
        <v>4.8250000000000001E-2</v>
      </c>
      <c r="E75" s="254">
        <v>4.8250000000000001E-2</v>
      </c>
      <c r="F75" s="6">
        <f t="shared" si="3"/>
        <v>1805343</v>
      </c>
      <c r="G75" s="6">
        <f t="shared" si="4"/>
        <v>1805343</v>
      </c>
      <c r="H75" s="6">
        <v>1841435.53</v>
      </c>
    </row>
    <row r="76" spans="1:8">
      <c r="A76" s="2">
        <f t="shared" si="5"/>
        <v>75</v>
      </c>
      <c r="B76" s="3" t="s">
        <v>484</v>
      </c>
      <c r="C76" s="6">
        <v>37607852.700000003</v>
      </c>
      <c r="D76" s="254">
        <v>4.9459999999999997E-2</v>
      </c>
      <c r="E76" s="254">
        <v>4.9459999999999997E-2</v>
      </c>
      <c r="F76" s="6">
        <f t="shared" si="3"/>
        <v>1860084</v>
      </c>
      <c r="G76" s="6">
        <f t="shared" si="4"/>
        <v>1860084</v>
      </c>
      <c r="H76" s="6">
        <v>1896769.46</v>
      </c>
    </row>
    <row r="77" spans="1:8">
      <c r="A77" s="2">
        <f t="shared" si="5"/>
        <v>76</v>
      </c>
      <c r="B77" s="3" t="s">
        <v>485</v>
      </c>
      <c r="C77" s="6">
        <v>18574615.260000002</v>
      </c>
      <c r="D77" s="254">
        <v>4.6580000000000003E-2</v>
      </c>
      <c r="E77" s="254">
        <v>4.6580000000000003E-2</v>
      </c>
      <c r="F77" s="6">
        <f t="shared" si="3"/>
        <v>865206</v>
      </c>
      <c r="G77" s="6">
        <f t="shared" si="4"/>
        <v>865206</v>
      </c>
      <c r="H77" s="6">
        <v>882828.69</v>
      </c>
    </row>
    <row r="78" spans="1:8">
      <c r="A78" s="2">
        <f t="shared" si="5"/>
        <v>77</v>
      </c>
      <c r="B78" s="3" t="s">
        <v>486</v>
      </c>
      <c r="C78" s="6">
        <v>18444159.93</v>
      </c>
      <c r="D78" s="254">
        <v>4.4970000000000003E-2</v>
      </c>
      <c r="E78" s="254">
        <v>4.4970000000000003E-2</v>
      </c>
      <c r="F78" s="6">
        <f t="shared" si="3"/>
        <v>829434</v>
      </c>
      <c r="G78" s="6">
        <f t="shared" si="4"/>
        <v>829434</v>
      </c>
      <c r="H78" s="6">
        <v>846634.04</v>
      </c>
    </row>
    <row r="79" spans="1:8">
      <c r="A79" s="2">
        <f t="shared" si="5"/>
        <v>78</v>
      </c>
      <c r="B79" s="3" t="s">
        <v>487</v>
      </c>
      <c r="C79" s="6">
        <v>18612393.43</v>
      </c>
      <c r="D79" s="254">
        <v>4.7050000000000002E-2</v>
      </c>
      <c r="E79" s="254">
        <v>4.7050000000000002E-2</v>
      </c>
      <c r="F79" s="6">
        <f t="shared" si="3"/>
        <v>875713</v>
      </c>
      <c r="G79" s="6">
        <f t="shared" si="4"/>
        <v>875713</v>
      </c>
      <c r="H79" s="6">
        <v>893456.86</v>
      </c>
    </row>
    <row r="80" spans="1:8">
      <c r="A80" s="2">
        <f t="shared" si="5"/>
        <v>79</v>
      </c>
      <c r="B80" s="3" t="s">
        <v>488</v>
      </c>
      <c r="C80" s="6">
        <v>18308805.129999999</v>
      </c>
      <c r="D80" s="254">
        <v>4.3319999999999997E-2</v>
      </c>
      <c r="E80" s="254">
        <v>4.3319999999999997E-2</v>
      </c>
      <c r="F80" s="6">
        <f t="shared" si="3"/>
        <v>793137</v>
      </c>
      <c r="G80" s="6">
        <f t="shared" si="4"/>
        <v>793137</v>
      </c>
      <c r="H80" s="6">
        <v>809888.76</v>
      </c>
    </row>
    <row r="81" spans="1:8">
      <c r="A81" s="2">
        <f t="shared" si="5"/>
        <v>80</v>
      </c>
      <c r="B81" s="3" t="s">
        <v>489</v>
      </c>
      <c r="C81" s="6">
        <v>13909672.1</v>
      </c>
      <c r="D81" s="254">
        <v>4.3240000000000001E-2</v>
      </c>
      <c r="E81" s="254">
        <v>4.3240000000000001E-2</v>
      </c>
      <c r="F81" s="6">
        <f t="shared" si="3"/>
        <v>601454</v>
      </c>
      <c r="G81" s="6">
        <f t="shared" si="4"/>
        <v>601454</v>
      </c>
      <c r="H81" s="6">
        <v>614168.38</v>
      </c>
    </row>
    <row r="82" spans="1:8">
      <c r="A82" s="2">
        <f t="shared" si="5"/>
        <v>81</v>
      </c>
      <c r="B82" s="3" t="s">
        <v>490</v>
      </c>
      <c r="C82" s="6">
        <v>3845908.77</v>
      </c>
      <c r="D82" s="254">
        <v>4.3529999999999999E-2</v>
      </c>
      <c r="E82" s="254">
        <v>4.3529999999999999E-2</v>
      </c>
      <c r="F82" s="6">
        <f t="shared" si="3"/>
        <v>167412</v>
      </c>
      <c r="G82" s="6">
        <f t="shared" si="4"/>
        <v>167412</v>
      </c>
      <c r="H82" s="6">
        <v>191011.54</v>
      </c>
    </row>
    <row r="83" spans="1:8">
      <c r="A83" s="2">
        <f t="shared" si="5"/>
        <v>82</v>
      </c>
      <c r="B83" s="3" t="s">
        <v>491</v>
      </c>
      <c r="C83" s="6">
        <v>22104589.890000001</v>
      </c>
      <c r="D83" s="254">
        <v>4.4679999999999997E-2</v>
      </c>
      <c r="E83" s="254">
        <v>4.4679999999999997E-2</v>
      </c>
      <c r="F83" s="6">
        <f t="shared" si="3"/>
        <v>987633</v>
      </c>
      <c r="G83" s="6">
        <f t="shared" si="4"/>
        <v>987633</v>
      </c>
      <c r="H83" s="6">
        <v>1008179.96</v>
      </c>
    </row>
    <row r="84" spans="1:8">
      <c r="A84" s="2">
        <f t="shared" si="5"/>
        <v>83</v>
      </c>
      <c r="B84" s="3" t="s">
        <v>492</v>
      </c>
      <c r="C84" s="6">
        <v>22106550.449999999</v>
      </c>
      <c r="D84" s="254">
        <v>4.4699999999999997E-2</v>
      </c>
      <c r="E84" s="254">
        <v>4.4699999999999997E-2</v>
      </c>
      <c r="F84" s="6">
        <f t="shared" si="3"/>
        <v>988163</v>
      </c>
      <c r="G84" s="6">
        <f t="shared" si="4"/>
        <v>988163</v>
      </c>
      <c r="H84" s="6">
        <v>1008716.15</v>
      </c>
    </row>
    <row r="85" spans="1:8">
      <c r="A85" s="2">
        <f t="shared" si="5"/>
        <v>84</v>
      </c>
      <c r="B85" s="3" t="s">
        <v>493</v>
      </c>
      <c r="C85" s="6">
        <v>2095281.29</v>
      </c>
      <c r="D85" s="254">
        <v>4.4850000000000001E-2</v>
      </c>
      <c r="E85" s="254">
        <v>4.4850000000000001E-2</v>
      </c>
      <c r="F85" s="6">
        <f t="shared" si="3"/>
        <v>93973</v>
      </c>
      <c r="G85" s="6">
        <f t="shared" si="4"/>
        <v>93973</v>
      </c>
      <c r="H85" s="6">
        <v>98062.35</v>
      </c>
    </row>
    <row r="86" spans="1:8">
      <c r="A86" s="2">
        <f t="shared" si="5"/>
        <v>85</v>
      </c>
      <c r="B86" s="3" t="s">
        <v>494</v>
      </c>
      <c r="C86" s="6">
        <v>22396337.640000001</v>
      </c>
      <c r="D86" s="254">
        <v>4.7690000000000003E-2</v>
      </c>
      <c r="E86" s="254">
        <v>4.7690000000000003E-2</v>
      </c>
      <c r="F86" s="6">
        <f t="shared" si="3"/>
        <v>1068081</v>
      </c>
      <c r="G86" s="6">
        <f t="shared" si="4"/>
        <v>1068081</v>
      </c>
      <c r="H86" s="6">
        <v>1089568.58</v>
      </c>
    </row>
    <row r="87" spans="1:8">
      <c r="A87" s="2">
        <f t="shared" si="5"/>
        <v>86</v>
      </c>
      <c r="B87" s="3" t="s">
        <v>495</v>
      </c>
      <c r="C87" s="6">
        <v>1211790.22</v>
      </c>
      <c r="D87" s="254">
        <v>4.8579999999999998E-2</v>
      </c>
      <c r="E87" s="254">
        <v>4.8579999999999998E-2</v>
      </c>
      <c r="F87" s="6">
        <f t="shared" si="3"/>
        <v>58869</v>
      </c>
      <c r="G87" s="6">
        <f t="shared" si="4"/>
        <v>58869</v>
      </c>
      <c r="H87" s="6">
        <v>61370.91</v>
      </c>
    </row>
    <row r="88" spans="1:8">
      <c r="A88" s="2">
        <f t="shared" si="5"/>
        <v>87</v>
      </c>
      <c r="B88" s="3" t="s">
        <v>496</v>
      </c>
      <c r="C88" s="6">
        <v>199917.67</v>
      </c>
      <c r="D88" s="254">
        <v>4.7890000000000002E-2</v>
      </c>
      <c r="E88" s="254">
        <v>4.7890000000000002E-2</v>
      </c>
      <c r="F88" s="6">
        <f t="shared" si="3"/>
        <v>9574</v>
      </c>
      <c r="G88" s="6">
        <f t="shared" si="4"/>
        <v>9574</v>
      </c>
      <c r="H88" s="6">
        <v>10617.01</v>
      </c>
    </row>
    <row r="89" spans="1:8">
      <c r="A89" s="2">
        <f t="shared" si="5"/>
        <v>88</v>
      </c>
      <c r="B89" s="3" t="s">
        <v>497</v>
      </c>
      <c r="C89" s="6">
        <v>4163202.67</v>
      </c>
      <c r="D89" s="254">
        <v>4.8899999999999999E-2</v>
      </c>
      <c r="E89" s="254">
        <v>4.8899999999999999E-2</v>
      </c>
      <c r="F89" s="6">
        <f t="shared" si="3"/>
        <v>203581</v>
      </c>
      <c r="G89" s="6">
        <f t="shared" si="4"/>
        <v>203581</v>
      </c>
      <c r="H89" s="6">
        <v>210516.56</v>
      </c>
    </row>
    <row r="90" spans="1:8">
      <c r="A90" s="2">
        <f t="shared" si="5"/>
        <v>89</v>
      </c>
      <c r="B90" s="3" t="s">
        <v>498</v>
      </c>
      <c r="C90" s="6">
        <v>0</v>
      </c>
      <c r="D90" s="254">
        <v>5.3449999999999998E-2</v>
      </c>
      <c r="E90" s="254">
        <v>5.3449999999999998E-2</v>
      </c>
      <c r="F90" s="6">
        <f t="shared" si="3"/>
        <v>0</v>
      </c>
      <c r="G90" s="6">
        <f t="shared" si="4"/>
        <v>0</v>
      </c>
      <c r="H90" s="6">
        <v>317448.58</v>
      </c>
    </row>
    <row r="91" spans="1:8">
      <c r="A91" s="2">
        <f t="shared" si="5"/>
        <v>90</v>
      </c>
      <c r="B91" s="3" t="s">
        <v>499</v>
      </c>
      <c r="C91" s="6">
        <v>0</v>
      </c>
      <c r="D91" s="254">
        <v>5.3330000000000002E-2</v>
      </c>
      <c r="E91" s="254">
        <v>5.3330000000000002E-2</v>
      </c>
      <c r="F91" s="6">
        <f t="shared" si="3"/>
        <v>0</v>
      </c>
      <c r="G91" s="6">
        <f t="shared" si="4"/>
        <v>0</v>
      </c>
      <c r="H91" s="6">
        <v>211066.35</v>
      </c>
    </row>
    <row r="92" spans="1:8">
      <c r="A92" s="2">
        <f t="shared" si="5"/>
        <v>91</v>
      </c>
      <c r="B92" s="3" t="s">
        <v>500</v>
      </c>
      <c r="C92" s="6">
        <v>0</v>
      </c>
      <c r="D92" s="254">
        <v>5.0700000000000002E-2</v>
      </c>
      <c r="E92" s="254">
        <v>5.0700000000000002E-2</v>
      </c>
      <c r="F92" s="6">
        <f t="shared" si="3"/>
        <v>0</v>
      </c>
      <c r="G92" s="6">
        <f t="shared" si="4"/>
        <v>0</v>
      </c>
      <c r="H92" s="6">
        <v>278621.90000000002</v>
      </c>
    </row>
    <row r="93" spans="1:8">
      <c r="A93" s="2">
        <f t="shared" si="5"/>
        <v>92</v>
      </c>
      <c r="B93" s="3" t="s">
        <v>501</v>
      </c>
      <c r="C93" s="6">
        <v>0</v>
      </c>
      <c r="D93" s="254">
        <v>5.0610000000000002E-2</v>
      </c>
      <c r="E93" s="254">
        <v>5.0610000000000002E-2</v>
      </c>
      <c r="F93" s="6">
        <f t="shared" si="3"/>
        <v>0</v>
      </c>
      <c r="G93" s="6">
        <f t="shared" si="4"/>
        <v>0</v>
      </c>
      <c r="H93" s="6">
        <v>278032.68</v>
      </c>
    </row>
    <row r="94" spans="1:8">
      <c r="A94" s="2">
        <f t="shared" si="5"/>
        <v>93</v>
      </c>
      <c r="B94" s="3" t="s">
        <v>502</v>
      </c>
      <c r="C94" s="6">
        <v>0</v>
      </c>
      <c r="D94" s="254">
        <v>5.0529999999999999E-2</v>
      </c>
      <c r="E94" s="254">
        <v>5.0529999999999999E-2</v>
      </c>
      <c r="F94" s="6">
        <f t="shared" si="3"/>
        <v>0</v>
      </c>
      <c r="G94" s="6">
        <f t="shared" si="4"/>
        <v>0</v>
      </c>
      <c r="H94" s="6">
        <v>425514.04</v>
      </c>
    </row>
    <row r="95" spans="1:8">
      <c r="A95" s="2">
        <f t="shared" si="5"/>
        <v>94</v>
      </c>
      <c r="B95" s="3" t="s">
        <v>503</v>
      </c>
      <c r="C95" s="6">
        <v>17511060.140000001</v>
      </c>
      <c r="D95" s="254">
        <v>4.7759999999999997E-2</v>
      </c>
      <c r="E95" s="254">
        <v>4.7759999999999997E-2</v>
      </c>
      <c r="F95" s="6">
        <f t="shared" si="3"/>
        <v>836328</v>
      </c>
      <c r="G95" s="6">
        <f t="shared" si="4"/>
        <v>836328</v>
      </c>
      <c r="H95" s="6">
        <v>853139.99</v>
      </c>
    </row>
    <row r="96" spans="1:8">
      <c r="A96" s="2">
        <f t="shared" si="5"/>
        <v>95</v>
      </c>
      <c r="B96" s="3" t="s">
        <v>504</v>
      </c>
      <c r="C96" s="6">
        <v>17723122.690000001</v>
      </c>
      <c r="D96" s="254">
        <v>4.8120000000000003E-2</v>
      </c>
      <c r="E96" s="254">
        <v>4.8120000000000003E-2</v>
      </c>
      <c r="F96" s="6">
        <f t="shared" si="3"/>
        <v>852837</v>
      </c>
      <c r="G96" s="6">
        <f t="shared" si="4"/>
        <v>852837</v>
      </c>
      <c r="H96" s="6">
        <v>869911.3</v>
      </c>
    </row>
    <row r="97" spans="1:8">
      <c r="A97" s="2">
        <f t="shared" si="5"/>
        <v>96</v>
      </c>
      <c r="B97" s="3" t="s">
        <v>505</v>
      </c>
      <c r="C97" s="6">
        <v>40429340.159999996</v>
      </c>
      <c r="D97" s="254">
        <v>4.8210000000000003E-2</v>
      </c>
      <c r="E97" s="254">
        <v>4.8210000000000003E-2</v>
      </c>
      <c r="F97" s="6">
        <f t="shared" si="3"/>
        <v>1949098</v>
      </c>
      <c r="G97" s="6">
        <f t="shared" si="4"/>
        <v>1949098</v>
      </c>
      <c r="H97" s="6">
        <v>1982507.47</v>
      </c>
    </row>
    <row r="98" spans="1:8">
      <c r="A98" s="2">
        <f t="shared" si="5"/>
        <v>97</v>
      </c>
      <c r="B98" s="3" t="s">
        <v>506</v>
      </c>
      <c r="C98" s="6">
        <v>20158716.93</v>
      </c>
      <c r="D98" s="254">
        <v>4.7359999999999999E-2</v>
      </c>
      <c r="E98" s="254">
        <v>4.7359999999999999E-2</v>
      </c>
      <c r="F98" s="6">
        <f t="shared" si="3"/>
        <v>954717</v>
      </c>
      <c r="G98" s="6">
        <f t="shared" si="4"/>
        <v>954717</v>
      </c>
      <c r="H98" s="6">
        <v>971256.07</v>
      </c>
    </row>
    <row r="99" spans="1:8">
      <c r="A99" s="2">
        <f t="shared" si="5"/>
        <v>98</v>
      </c>
      <c r="B99" s="3" t="s">
        <v>507</v>
      </c>
      <c r="C99" s="6">
        <v>40228612.25</v>
      </c>
      <c r="D99" s="254">
        <v>4.6690000000000002E-2</v>
      </c>
      <c r="E99" s="254">
        <v>4.6690000000000002E-2</v>
      </c>
      <c r="F99" s="6">
        <f t="shared" si="3"/>
        <v>1878274</v>
      </c>
      <c r="G99" s="6">
        <f t="shared" si="4"/>
        <v>1878274</v>
      </c>
      <c r="H99" s="6">
        <v>1911085.52</v>
      </c>
    </row>
    <row r="100" spans="1:8">
      <c r="A100" s="2">
        <f t="shared" si="5"/>
        <v>99</v>
      </c>
      <c r="B100" s="3" t="s">
        <v>508</v>
      </c>
      <c r="C100" s="6">
        <v>19922390.73</v>
      </c>
      <c r="D100" s="254">
        <v>4.3839999999999997E-2</v>
      </c>
      <c r="E100" s="254">
        <v>4.3839999999999997E-2</v>
      </c>
      <c r="F100" s="6">
        <f t="shared" si="3"/>
        <v>873398</v>
      </c>
      <c r="G100" s="6">
        <f t="shared" si="4"/>
        <v>873398</v>
      </c>
      <c r="H100" s="6">
        <v>889204.26</v>
      </c>
    </row>
    <row r="101" spans="1:8">
      <c r="A101" s="2">
        <f t="shared" si="5"/>
        <v>100</v>
      </c>
      <c r="B101" s="3" t="s">
        <v>509</v>
      </c>
      <c r="C101" s="6">
        <v>40200661.75</v>
      </c>
      <c r="D101" s="254">
        <v>4.648E-2</v>
      </c>
      <c r="E101" s="254">
        <v>4.648E-2</v>
      </c>
      <c r="F101" s="6">
        <f t="shared" si="3"/>
        <v>1868527</v>
      </c>
      <c r="G101" s="6">
        <f t="shared" si="4"/>
        <v>1868527</v>
      </c>
      <c r="H101" s="6">
        <v>1901253.6</v>
      </c>
    </row>
    <row r="102" spans="1:8">
      <c r="A102" s="2">
        <f t="shared" si="5"/>
        <v>101</v>
      </c>
      <c r="B102" s="3" t="s">
        <v>510</v>
      </c>
      <c r="C102" s="6">
        <v>19863593.5</v>
      </c>
      <c r="D102" s="254">
        <v>4.5109999999999997E-2</v>
      </c>
      <c r="E102" s="254">
        <v>4.5109999999999997E-2</v>
      </c>
      <c r="F102" s="6">
        <f t="shared" si="3"/>
        <v>896047</v>
      </c>
      <c r="G102" s="6">
        <f t="shared" si="4"/>
        <v>896047</v>
      </c>
      <c r="H102" s="6">
        <v>912010.22</v>
      </c>
    </row>
    <row r="103" spans="1:8">
      <c r="A103" s="2">
        <f t="shared" si="5"/>
        <v>102</v>
      </c>
      <c r="B103" s="3" t="s">
        <v>511</v>
      </c>
      <c r="C103" s="6">
        <v>40143264.579999998</v>
      </c>
      <c r="D103" s="254">
        <v>4.6050000000000001E-2</v>
      </c>
      <c r="E103" s="254">
        <v>4.6050000000000001E-2</v>
      </c>
      <c r="F103" s="6">
        <f t="shared" ref="F103:F166" si="6">ROUND(C103*D103,0)</f>
        <v>1848597</v>
      </c>
      <c r="G103" s="6">
        <f t="shared" ref="G103:G166" si="7">ROUND(C103*E103,0)</f>
        <v>1848597</v>
      </c>
      <c r="H103" s="6">
        <v>1881148.78</v>
      </c>
    </row>
    <row r="104" spans="1:8">
      <c r="A104" s="2">
        <f t="shared" si="5"/>
        <v>103</v>
      </c>
      <c r="B104" s="3" t="s">
        <v>512</v>
      </c>
      <c r="C104" s="6">
        <v>7157758.5</v>
      </c>
      <c r="D104" s="254">
        <v>4.3380000000000002E-2</v>
      </c>
      <c r="E104" s="254">
        <v>4.3380000000000002E-2</v>
      </c>
      <c r="F104" s="6">
        <f t="shared" si="6"/>
        <v>310504</v>
      </c>
      <c r="G104" s="6">
        <f t="shared" si="7"/>
        <v>310504</v>
      </c>
      <c r="H104" s="6">
        <v>321526.63</v>
      </c>
    </row>
    <row r="105" spans="1:8">
      <c r="A105" s="2">
        <f t="shared" si="5"/>
        <v>104</v>
      </c>
      <c r="B105" s="3" t="s">
        <v>513</v>
      </c>
      <c r="C105" s="6">
        <v>6377782.29</v>
      </c>
      <c r="D105" s="254">
        <v>4.3959999999999999E-2</v>
      </c>
      <c r="E105" s="254">
        <v>4.3959999999999999E-2</v>
      </c>
      <c r="F105" s="6">
        <f t="shared" si="6"/>
        <v>280367</v>
      </c>
      <c r="G105" s="6">
        <f t="shared" si="7"/>
        <v>280367</v>
      </c>
      <c r="H105" s="6">
        <v>285433.84999999998</v>
      </c>
    </row>
    <row r="106" spans="1:8">
      <c r="A106" s="2">
        <f t="shared" si="5"/>
        <v>105</v>
      </c>
      <c r="B106" s="3" t="s">
        <v>514</v>
      </c>
      <c r="C106" s="6">
        <v>8701141.6199999992</v>
      </c>
      <c r="D106" s="254">
        <v>4.385E-2</v>
      </c>
      <c r="E106" s="254">
        <v>4.385E-2</v>
      </c>
      <c r="F106" s="6">
        <f t="shared" si="6"/>
        <v>381545</v>
      </c>
      <c r="G106" s="6">
        <f t="shared" si="7"/>
        <v>381545</v>
      </c>
      <c r="H106" s="6">
        <v>388449.36</v>
      </c>
    </row>
    <row r="107" spans="1:8">
      <c r="A107" s="2">
        <f t="shared" si="5"/>
        <v>106</v>
      </c>
      <c r="B107" s="3" t="s">
        <v>515</v>
      </c>
      <c r="C107" s="6">
        <v>15922072.98</v>
      </c>
      <c r="D107" s="254">
        <v>4.3549999999999998E-2</v>
      </c>
      <c r="E107" s="254">
        <v>4.3549999999999998E-2</v>
      </c>
      <c r="F107" s="6">
        <f t="shared" si="6"/>
        <v>693406</v>
      </c>
      <c r="G107" s="6">
        <f t="shared" si="7"/>
        <v>693406</v>
      </c>
      <c r="H107" s="6">
        <v>706000.53</v>
      </c>
    </row>
    <row r="108" spans="1:8">
      <c r="A108" s="2">
        <f t="shared" si="5"/>
        <v>107</v>
      </c>
      <c r="B108" s="3" t="s">
        <v>516</v>
      </c>
      <c r="C108" s="6">
        <v>15929178.189999999</v>
      </c>
      <c r="D108" s="254">
        <v>4.3679999999999997E-2</v>
      </c>
      <c r="E108" s="254">
        <v>4.3679999999999997E-2</v>
      </c>
      <c r="F108" s="6">
        <f t="shared" si="6"/>
        <v>695787</v>
      </c>
      <c r="G108" s="6">
        <f t="shared" si="7"/>
        <v>695787</v>
      </c>
      <c r="H108" s="6">
        <v>708403.71</v>
      </c>
    </row>
    <row r="109" spans="1:8">
      <c r="A109" s="2">
        <f t="shared" si="5"/>
        <v>108</v>
      </c>
      <c r="B109" s="3" t="s">
        <v>517</v>
      </c>
      <c r="C109" s="6">
        <v>20019291.760000002</v>
      </c>
      <c r="D109" s="254">
        <v>4.5269999999999998E-2</v>
      </c>
      <c r="E109" s="254">
        <v>4.5269999999999998E-2</v>
      </c>
      <c r="F109" s="6">
        <f t="shared" si="6"/>
        <v>906273</v>
      </c>
      <c r="G109" s="6">
        <f t="shared" si="7"/>
        <v>906273</v>
      </c>
      <c r="H109" s="6">
        <v>922387.04</v>
      </c>
    </row>
    <row r="110" spans="1:8">
      <c r="A110" s="2">
        <f t="shared" si="5"/>
        <v>109</v>
      </c>
      <c r="B110" s="3" t="s">
        <v>518</v>
      </c>
      <c r="C110" s="6">
        <v>20170602.010000002</v>
      </c>
      <c r="D110" s="254">
        <v>4.7539999999999999E-2</v>
      </c>
      <c r="E110" s="254">
        <v>4.7539999999999999E-2</v>
      </c>
      <c r="F110" s="6">
        <f t="shared" si="6"/>
        <v>958910</v>
      </c>
      <c r="G110" s="6">
        <f t="shared" si="7"/>
        <v>958910</v>
      </c>
      <c r="H110" s="6">
        <v>975485.04</v>
      </c>
    </row>
    <row r="111" spans="1:8">
      <c r="A111" s="2">
        <f t="shared" si="5"/>
        <v>110</v>
      </c>
      <c r="B111" s="3" t="s">
        <v>519</v>
      </c>
      <c r="C111" s="6">
        <v>20083659.120000001</v>
      </c>
      <c r="D111" s="254">
        <v>4.623E-2</v>
      </c>
      <c r="E111" s="254">
        <v>4.623E-2</v>
      </c>
      <c r="F111" s="6">
        <f t="shared" si="6"/>
        <v>928468</v>
      </c>
      <c r="G111" s="6">
        <f t="shared" si="7"/>
        <v>928468</v>
      </c>
      <c r="H111" s="6">
        <v>944780.14</v>
      </c>
    </row>
    <row r="112" spans="1:8">
      <c r="A112" s="2">
        <f t="shared" si="5"/>
        <v>111</v>
      </c>
      <c r="B112" s="3" t="s">
        <v>520</v>
      </c>
      <c r="C112" s="6">
        <v>6276875.3499999996</v>
      </c>
      <c r="D112" s="254">
        <v>4.2979999999999997E-2</v>
      </c>
      <c r="E112" s="254">
        <v>4.2979999999999997E-2</v>
      </c>
      <c r="F112" s="6">
        <f t="shared" si="6"/>
        <v>269780</v>
      </c>
      <c r="G112" s="6">
        <f t="shared" si="7"/>
        <v>269780</v>
      </c>
      <c r="H112" s="6">
        <v>274714.67</v>
      </c>
    </row>
    <row r="113" spans="1:8">
      <c r="A113" s="2">
        <f t="shared" si="5"/>
        <v>112</v>
      </c>
      <c r="B113" s="3" t="s">
        <v>521</v>
      </c>
      <c r="C113" s="6">
        <v>2777951.92</v>
      </c>
      <c r="D113" s="254">
        <v>4.3060000000000001E-2</v>
      </c>
      <c r="E113" s="254">
        <v>4.3060000000000001E-2</v>
      </c>
      <c r="F113" s="6">
        <f t="shared" si="6"/>
        <v>119619</v>
      </c>
      <c r="G113" s="6">
        <f t="shared" si="7"/>
        <v>119619</v>
      </c>
      <c r="H113" s="6">
        <v>123875.24</v>
      </c>
    </row>
    <row r="114" spans="1:8">
      <c r="A114" s="2">
        <f t="shared" si="5"/>
        <v>113</v>
      </c>
      <c r="B114" s="3" t="s">
        <v>522</v>
      </c>
      <c r="C114" s="6">
        <v>19897120.219999999</v>
      </c>
      <c r="D114" s="254">
        <v>4.3470000000000002E-2</v>
      </c>
      <c r="E114" s="254">
        <v>4.3470000000000002E-2</v>
      </c>
      <c r="F114" s="6">
        <f t="shared" si="6"/>
        <v>864928</v>
      </c>
      <c r="G114" s="6">
        <f t="shared" si="7"/>
        <v>864928</v>
      </c>
      <c r="H114" s="6">
        <v>880652.91</v>
      </c>
    </row>
    <row r="115" spans="1:8">
      <c r="A115" s="2">
        <f t="shared" si="5"/>
        <v>114</v>
      </c>
      <c r="B115" s="3" t="s">
        <v>523</v>
      </c>
      <c r="C115" s="6">
        <v>19936697.620000001</v>
      </c>
      <c r="D115" s="254">
        <v>4.4049999999999999E-2</v>
      </c>
      <c r="E115" s="254">
        <v>4.4049999999999999E-2</v>
      </c>
      <c r="F115" s="6">
        <f t="shared" si="6"/>
        <v>878212</v>
      </c>
      <c r="G115" s="6">
        <f t="shared" si="7"/>
        <v>878212</v>
      </c>
      <c r="H115" s="6">
        <v>894064.08</v>
      </c>
    </row>
    <row r="116" spans="1:8">
      <c r="A116" s="2">
        <f t="shared" si="5"/>
        <v>115</v>
      </c>
      <c r="B116" s="3" t="s">
        <v>524</v>
      </c>
      <c r="C116" s="6">
        <v>5566338.0499999998</v>
      </c>
      <c r="D116" s="254">
        <v>2.8459999999999999E-2</v>
      </c>
      <c r="E116" s="254">
        <v>2.8459999999999999E-2</v>
      </c>
      <c r="F116" s="6">
        <f t="shared" si="6"/>
        <v>158418</v>
      </c>
      <c r="G116" s="6">
        <f t="shared" si="7"/>
        <v>158418</v>
      </c>
      <c r="H116" s="6">
        <v>161871.69</v>
      </c>
    </row>
    <row r="117" spans="1:8">
      <c r="A117" s="2">
        <f t="shared" si="5"/>
        <v>116</v>
      </c>
      <c r="B117" s="3" t="s">
        <v>525</v>
      </c>
      <c r="C117" s="6">
        <v>2732552.89</v>
      </c>
      <c r="D117" s="254">
        <v>3.8010000000000002E-2</v>
      </c>
      <c r="E117" s="254">
        <v>3.8010000000000002E-2</v>
      </c>
      <c r="F117" s="6">
        <f t="shared" si="6"/>
        <v>103864</v>
      </c>
      <c r="G117" s="6">
        <f t="shared" si="7"/>
        <v>103864</v>
      </c>
      <c r="H117" s="6">
        <v>106189.91</v>
      </c>
    </row>
    <row r="118" spans="1:8">
      <c r="A118" s="2">
        <f t="shared" si="5"/>
        <v>117</v>
      </c>
      <c r="B118" s="3" t="s">
        <v>526</v>
      </c>
      <c r="C118" s="6">
        <v>19377037.91</v>
      </c>
      <c r="D118" s="254">
        <v>3.6510000000000001E-2</v>
      </c>
      <c r="E118" s="254">
        <v>3.6510000000000001E-2</v>
      </c>
      <c r="F118" s="6">
        <f t="shared" si="6"/>
        <v>707456</v>
      </c>
      <c r="G118" s="6">
        <f t="shared" si="7"/>
        <v>707456</v>
      </c>
      <c r="H118" s="6">
        <v>721460.9</v>
      </c>
    </row>
    <row r="119" spans="1:8">
      <c r="A119" s="2">
        <f t="shared" si="5"/>
        <v>118</v>
      </c>
      <c r="B119" s="3" t="s">
        <v>527</v>
      </c>
      <c r="C119" s="6">
        <v>28086405.530000001</v>
      </c>
      <c r="D119" s="254">
        <v>3.9879999999999999E-2</v>
      </c>
      <c r="E119" s="254">
        <v>3.9879999999999999E-2</v>
      </c>
      <c r="F119" s="6">
        <f t="shared" si="6"/>
        <v>1120086</v>
      </c>
      <c r="G119" s="6">
        <f t="shared" si="7"/>
        <v>1120086</v>
      </c>
      <c r="H119" s="6">
        <v>1141368.53</v>
      </c>
    </row>
    <row r="120" spans="1:8">
      <c r="A120" s="2">
        <f t="shared" si="5"/>
        <v>119</v>
      </c>
      <c r="B120" s="3" t="s">
        <v>528</v>
      </c>
      <c r="C120" s="6">
        <v>20306048.32</v>
      </c>
      <c r="D120" s="254">
        <v>4.3740000000000001E-2</v>
      </c>
      <c r="E120" s="254">
        <v>4.3740000000000001E-2</v>
      </c>
      <c r="F120" s="6">
        <f t="shared" si="6"/>
        <v>888187</v>
      </c>
      <c r="G120" s="6">
        <f t="shared" si="7"/>
        <v>888187</v>
      </c>
      <c r="H120" s="6">
        <v>904280.75</v>
      </c>
    </row>
    <row r="121" spans="1:8">
      <c r="A121" s="2">
        <f t="shared" si="5"/>
        <v>120</v>
      </c>
      <c r="B121" s="3" t="s">
        <v>529</v>
      </c>
      <c r="C121" s="6">
        <v>20316623.399999999</v>
      </c>
      <c r="D121" s="254">
        <v>4.3909999999999998E-2</v>
      </c>
      <c r="E121" s="254">
        <v>4.3909999999999998E-2</v>
      </c>
      <c r="F121" s="6">
        <f t="shared" si="6"/>
        <v>892103</v>
      </c>
      <c r="G121" s="6">
        <f t="shared" si="7"/>
        <v>892103</v>
      </c>
      <c r="H121" s="6">
        <v>908234.16</v>
      </c>
    </row>
    <row r="122" spans="1:8">
      <c r="A122" s="2">
        <f t="shared" si="5"/>
        <v>121</v>
      </c>
      <c r="B122" s="3" t="s">
        <v>530</v>
      </c>
      <c r="C122" s="6">
        <v>20448404.68</v>
      </c>
      <c r="D122" s="254">
        <v>4.6050000000000001E-2</v>
      </c>
      <c r="E122" s="254">
        <v>4.6050000000000001E-2</v>
      </c>
      <c r="F122" s="6">
        <f t="shared" si="6"/>
        <v>941649</v>
      </c>
      <c r="G122" s="6">
        <f t="shared" si="7"/>
        <v>941649</v>
      </c>
      <c r="H122" s="6">
        <v>958230.27</v>
      </c>
    </row>
    <row r="123" spans="1:8">
      <c r="A123" s="2">
        <f t="shared" si="5"/>
        <v>122</v>
      </c>
      <c r="B123" s="3" t="s">
        <v>531</v>
      </c>
      <c r="C123" s="6">
        <v>32717447.48</v>
      </c>
      <c r="D123" s="254">
        <v>4.6050000000000001E-2</v>
      </c>
      <c r="E123" s="254">
        <v>4.6050000000000001E-2</v>
      </c>
      <c r="F123" s="6">
        <f t="shared" si="6"/>
        <v>1506638</v>
      </c>
      <c r="G123" s="6">
        <f t="shared" si="7"/>
        <v>1506638</v>
      </c>
      <c r="H123" s="6">
        <v>1533168.44</v>
      </c>
    </row>
    <row r="124" spans="1:8">
      <c r="A124" s="2">
        <f t="shared" si="5"/>
        <v>123</v>
      </c>
      <c r="B124" s="3" t="s">
        <v>532</v>
      </c>
      <c r="C124" s="6">
        <v>20445354.300000001</v>
      </c>
      <c r="D124" s="254">
        <v>4.5999999999999999E-2</v>
      </c>
      <c r="E124" s="254">
        <v>4.5999999999999999E-2</v>
      </c>
      <c r="F124" s="6">
        <f t="shared" si="6"/>
        <v>940486</v>
      </c>
      <c r="G124" s="6">
        <f t="shared" si="7"/>
        <v>940486</v>
      </c>
      <c r="H124" s="6">
        <v>957057.37</v>
      </c>
    </row>
    <row r="125" spans="1:8">
      <c r="A125" s="2">
        <f t="shared" si="5"/>
        <v>124</v>
      </c>
      <c r="B125" s="3" t="s">
        <v>533</v>
      </c>
      <c r="C125" s="6">
        <v>11624991.029999999</v>
      </c>
      <c r="D125" s="254">
        <v>4.2520000000000002E-2</v>
      </c>
      <c r="E125" s="254">
        <v>4.2520000000000002E-2</v>
      </c>
      <c r="F125" s="6">
        <f t="shared" si="6"/>
        <v>494295</v>
      </c>
      <c r="G125" s="6">
        <f t="shared" si="7"/>
        <v>494295</v>
      </c>
      <c r="H125" s="6">
        <v>503387.22</v>
      </c>
    </row>
    <row r="126" spans="1:8">
      <c r="A126" s="2">
        <f t="shared" si="5"/>
        <v>125</v>
      </c>
      <c r="B126" s="3" t="s">
        <v>534</v>
      </c>
      <c r="C126" s="6">
        <v>20235983</v>
      </c>
      <c r="D126" s="254">
        <v>4.2619999999999998E-2</v>
      </c>
      <c r="E126" s="254">
        <v>4.2619999999999998E-2</v>
      </c>
      <c r="F126" s="6">
        <f t="shared" si="6"/>
        <v>862458</v>
      </c>
      <c r="G126" s="6">
        <f t="shared" si="7"/>
        <v>862458</v>
      </c>
      <c r="H126" s="6">
        <v>878303.07</v>
      </c>
    </row>
    <row r="127" spans="1:8">
      <c r="A127" s="2">
        <f t="shared" si="5"/>
        <v>126</v>
      </c>
      <c r="B127" s="3" t="s">
        <v>535</v>
      </c>
      <c r="C127" s="6">
        <v>20133439.039999999</v>
      </c>
      <c r="D127" s="254">
        <v>4.1000000000000002E-2</v>
      </c>
      <c r="E127" s="254">
        <v>4.1000000000000002E-2</v>
      </c>
      <c r="F127" s="6">
        <f t="shared" si="6"/>
        <v>825471</v>
      </c>
      <c r="G127" s="6">
        <f t="shared" si="7"/>
        <v>825471</v>
      </c>
      <c r="H127" s="6">
        <v>840942.03</v>
      </c>
    </row>
    <row r="128" spans="1:8">
      <c r="A128" s="2">
        <f t="shared" si="5"/>
        <v>127</v>
      </c>
      <c r="B128" s="3" t="s">
        <v>536</v>
      </c>
      <c r="C128" s="6">
        <v>10356831.300000001</v>
      </c>
      <c r="D128" s="254">
        <v>4.3819999999999998E-2</v>
      </c>
      <c r="E128" s="254">
        <v>4.3819999999999998E-2</v>
      </c>
      <c r="F128" s="6">
        <f t="shared" si="6"/>
        <v>453836</v>
      </c>
      <c r="G128" s="6">
        <f t="shared" si="7"/>
        <v>453836</v>
      </c>
      <c r="H128" s="6">
        <v>462051.86</v>
      </c>
    </row>
    <row r="129" spans="1:8">
      <c r="A129" s="2">
        <f t="shared" si="5"/>
        <v>128</v>
      </c>
      <c r="B129" s="3" t="s">
        <v>537</v>
      </c>
      <c r="C129" s="6">
        <v>20361857.010000002</v>
      </c>
      <c r="D129" s="254">
        <v>4.4639999999999999E-2</v>
      </c>
      <c r="E129" s="254">
        <v>4.4639999999999999E-2</v>
      </c>
      <c r="F129" s="6">
        <f t="shared" si="6"/>
        <v>908953</v>
      </c>
      <c r="G129" s="6">
        <f t="shared" si="7"/>
        <v>908953</v>
      </c>
      <c r="H129" s="6">
        <v>925241.4</v>
      </c>
    </row>
    <row r="130" spans="1:8">
      <c r="A130" s="2">
        <f t="shared" si="5"/>
        <v>129</v>
      </c>
      <c r="B130" s="3" t="s">
        <v>538</v>
      </c>
      <c r="C130" s="6">
        <v>8014072.8300000001</v>
      </c>
      <c r="D130" s="254">
        <v>4.3959999999999999E-2</v>
      </c>
      <c r="E130" s="254">
        <v>4.3959999999999999E-2</v>
      </c>
      <c r="F130" s="6">
        <f t="shared" si="6"/>
        <v>352299</v>
      </c>
      <c r="G130" s="6">
        <f t="shared" si="7"/>
        <v>352299</v>
      </c>
      <c r="H130" s="6">
        <v>359148.81</v>
      </c>
    </row>
    <row r="131" spans="1:8">
      <c r="A131" s="2">
        <f t="shared" ref="A131:A194" si="8">A130+1</f>
        <v>130</v>
      </c>
      <c r="B131" s="3" t="s">
        <v>539</v>
      </c>
      <c r="C131" s="6">
        <v>20316002.07</v>
      </c>
      <c r="D131" s="254">
        <v>4.3900000000000002E-2</v>
      </c>
      <c r="E131" s="254">
        <v>4.3900000000000002E-2</v>
      </c>
      <c r="F131" s="6">
        <f t="shared" si="6"/>
        <v>891872</v>
      </c>
      <c r="G131" s="6">
        <f t="shared" si="7"/>
        <v>891872</v>
      </c>
      <c r="H131" s="6">
        <v>908001.53</v>
      </c>
    </row>
    <row r="132" spans="1:8">
      <c r="A132" s="2">
        <f t="shared" si="8"/>
        <v>131</v>
      </c>
      <c r="B132" s="3" t="s">
        <v>540</v>
      </c>
      <c r="C132" s="6">
        <v>20426410.550000001</v>
      </c>
      <c r="D132" s="254">
        <v>4.5690000000000001E-2</v>
      </c>
      <c r="E132" s="254">
        <v>4.5690000000000001E-2</v>
      </c>
      <c r="F132" s="6">
        <f t="shared" si="6"/>
        <v>933283</v>
      </c>
      <c r="G132" s="6">
        <f t="shared" si="7"/>
        <v>933283</v>
      </c>
      <c r="H132" s="6">
        <v>949790.33</v>
      </c>
    </row>
    <row r="133" spans="1:8">
      <c r="A133" s="2">
        <f t="shared" si="8"/>
        <v>132</v>
      </c>
      <c r="B133" s="3" t="s">
        <v>541</v>
      </c>
      <c r="C133" s="6">
        <v>16128128.189999999</v>
      </c>
      <c r="D133" s="254">
        <v>4.1419999999999998E-2</v>
      </c>
      <c r="E133" s="254">
        <v>4.1419999999999998E-2</v>
      </c>
      <c r="F133" s="6">
        <f t="shared" si="6"/>
        <v>668027</v>
      </c>
      <c r="G133" s="6">
        <f t="shared" si="7"/>
        <v>668027</v>
      </c>
      <c r="H133" s="6">
        <v>680482.88</v>
      </c>
    </row>
    <row r="134" spans="1:8">
      <c r="A134" s="2">
        <f t="shared" si="8"/>
        <v>133</v>
      </c>
      <c r="B134" s="3" t="s">
        <v>542</v>
      </c>
      <c r="C134" s="6">
        <v>16154489.66</v>
      </c>
      <c r="D134" s="254">
        <v>4.1939999999999998E-2</v>
      </c>
      <c r="E134" s="254">
        <v>4.1939999999999998E-2</v>
      </c>
      <c r="F134" s="6">
        <f t="shared" si="6"/>
        <v>677519</v>
      </c>
      <c r="G134" s="6">
        <f t="shared" si="7"/>
        <v>677519</v>
      </c>
      <c r="H134" s="6">
        <v>690071.62</v>
      </c>
    </row>
    <row r="135" spans="1:8">
      <c r="A135" s="2">
        <f t="shared" si="8"/>
        <v>134</v>
      </c>
      <c r="B135" s="3" t="s">
        <v>543</v>
      </c>
      <c r="C135" s="6">
        <v>16144871.050000001</v>
      </c>
      <c r="D135" s="254">
        <v>4.1750000000000002E-2</v>
      </c>
      <c r="E135" s="254">
        <v>4.1750000000000002E-2</v>
      </c>
      <c r="F135" s="6">
        <f t="shared" si="6"/>
        <v>674048</v>
      </c>
      <c r="G135" s="6">
        <f t="shared" si="7"/>
        <v>674048</v>
      </c>
      <c r="H135" s="6">
        <v>686565.59</v>
      </c>
    </row>
    <row r="136" spans="1:8">
      <c r="A136" s="2">
        <f t="shared" si="8"/>
        <v>135</v>
      </c>
      <c r="B136" s="3" t="s">
        <v>544</v>
      </c>
      <c r="C136" s="6">
        <v>15897383.689999999</v>
      </c>
      <c r="D136" s="254">
        <v>4.1369999999999997E-2</v>
      </c>
      <c r="E136" s="254">
        <v>4.1369999999999997E-2</v>
      </c>
      <c r="F136" s="6">
        <f t="shared" si="6"/>
        <v>657675</v>
      </c>
      <c r="G136" s="6">
        <f t="shared" si="7"/>
        <v>657675</v>
      </c>
      <c r="H136" s="6">
        <v>670855.65</v>
      </c>
    </row>
    <row r="137" spans="1:8">
      <c r="A137" s="2">
        <f t="shared" si="8"/>
        <v>136</v>
      </c>
      <c r="B137" s="3" t="s">
        <v>545</v>
      </c>
      <c r="C137" s="6">
        <v>15024984.41</v>
      </c>
      <c r="D137" s="254">
        <v>3.9780000000000003E-2</v>
      </c>
      <c r="E137" s="254">
        <v>3.9780000000000003E-2</v>
      </c>
      <c r="F137" s="6">
        <f t="shared" si="6"/>
        <v>597694</v>
      </c>
      <c r="G137" s="6">
        <f t="shared" si="7"/>
        <v>597694</v>
      </c>
      <c r="H137" s="6">
        <v>609896.06999999995</v>
      </c>
    </row>
    <row r="138" spans="1:8">
      <c r="A138" s="2">
        <f t="shared" si="8"/>
        <v>137</v>
      </c>
      <c r="B138" s="3" t="s">
        <v>546</v>
      </c>
      <c r="C138" s="6">
        <v>4815121.01</v>
      </c>
      <c r="D138" s="254">
        <v>3.9899999999999998E-2</v>
      </c>
      <c r="E138" s="254">
        <v>3.9899999999999998E-2</v>
      </c>
      <c r="F138" s="6">
        <f t="shared" si="6"/>
        <v>192123</v>
      </c>
      <c r="G138" s="6">
        <f t="shared" si="7"/>
        <v>192123</v>
      </c>
      <c r="H138" s="6">
        <v>195772.94</v>
      </c>
    </row>
    <row r="139" spans="1:8">
      <c r="A139" s="2">
        <f t="shared" si="8"/>
        <v>138</v>
      </c>
      <c r="B139" s="3" t="s">
        <v>547</v>
      </c>
      <c r="C139" s="6">
        <v>19858967</v>
      </c>
      <c r="D139" s="254">
        <v>4.1169999999999998E-2</v>
      </c>
      <c r="E139" s="254">
        <v>4.1169999999999998E-2</v>
      </c>
      <c r="F139" s="6">
        <f t="shared" si="6"/>
        <v>817594</v>
      </c>
      <c r="G139" s="6">
        <f t="shared" si="7"/>
        <v>817594</v>
      </c>
      <c r="H139" s="6">
        <v>834017.8</v>
      </c>
    </row>
    <row r="140" spans="1:8">
      <c r="A140" s="2">
        <f t="shared" si="8"/>
        <v>139</v>
      </c>
      <c r="B140" s="3" t="s">
        <v>548</v>
      </c>
      <c r="C140" s="6">
        <v>19858967</v>
      </c>
      <c r="D140" s="254">
        <v>4.1169999999999998E-2</v>
      </c>
      <c r="E140" s="254">
        <v>4.1169999999999998E-2</v>
      </c>
      <c r="F140" s="6">
        <f t="shared" si="6"/>
        <v>817594</v>
      </c>
      <c r="G140" s="6">
        <f t="shared" si="7"/>
        <v>817594</v>
      </c>
      <c r="H140" s="6">
        <v>834017.8</v>
      </c>
    </row>
    <row r="141" spans="1:8">
      <c r="A141" s="2">
        <f t="shared" si="8"/>
        <v>140</v>
      </c>
      <c r="B141" s="3" t="s">
        <v>549</v>
      </c>
      <c r="C141" s="6">
        <v>19883835.25</v>
      </c>
      <c r="D141" s="254">
        <v>4.156E-2</v>
      </c>
      <c r="E141" s="254">
        <v>4.156E-2</v>
      </c>
      <c r="F141" s="6">
        <f t="shared" si="6"/>
        <v>826372</v>
      </c>
      <c r="G141" s="6">
        <f t="shared" si="7"/>
        <v>826372</v>
      </c>
      <c r="H141" s="6">
        <v>842897.47</v>
      </c>
    </row>
    <row r="142" spans="1:8">
      <c r="A142" s="2">
        <f t="shared" si="8"/>
        <v>141</v>
      </c>
      <c r="B142" s="3" t="s">
        <v>550</v>
      </c>
      <c r="C142" s="6">
        <v>19883835.25</v>
      </c>
      <c r="D142" s="254">
        <v>4.156E-2</v>
      </c>
      <c r="E142" s="254">
        <v>4.156E-2</v>
      </c>
      <c r="F142" s="6">
        <f t="shared" si="6"/>
        <v>826372</v>
      </c>
      <c r="G142" s="6">
        <f t="shared" si="7"/>
        <v>826372</v>
      </c>
      <c r="H142" s="6">
        <v>842897.47</v>
      </c>
    </row>
    <row r="143" spans="1:8">
      <c r="A143" s="2">
        <f t="shared" si="8"/>
        <v>142</v>
      </c>
      <c r="B143" s="3" t="s">
        <v>551</v>
      </c>
      <c r="C143" s="6">
        <v>16018644.77</v>
      </c>
      <c r="D143" s="254">
        <v>4.3770000000000003E-2</v>
      </c>
      <c r="E143" s="254">
        <v>4.3770000000000003E-2</v>
      </c>
      <c r="F143" s="6">
        <f t="shared" si="6"/>
        <v>701136</v>
      </c>
      <c r="G143" s="6">
        <f t="shared" si="7"/>
        <v>701136</v>
      </c>
      <c r="H143" s="6">
        <v>714799.51</v>
      </c>
    </row>
    <row r="144" spans="1:8">
      <c r="A144" s="2">
        <f t="shared" si="8"/>
        <v>143</v>
      </c>
      <c r="B144" s="3" t="s">
        <v>552</v>
      </c>
      <c r="C144" s="6">
        <v>5667141.8200000003</v>
      </c>
      <c r="D144" s="254">
        <v>4.3979999999999998E-2</v>
      </c>
      <c r="E144" s="254">
        <v>4.3979999999999998E-2</v>
      </c>
      <c r="F144" s="6">
        <f t="shared" si="6"/>
        <v>249241</v>
      </c>
      <c r="G144" s="6">
        <f t="shared" si="7"/>
        <v>249241</v>
      </c>
      <c r="H144" s="6">
        <v>253743.82</v>
      </c>
    </row>
    <row r="145" spans="1:8">
      <c r="A145" s="2">
        <f t="shared" si="8"/>
        <v>144</v>
      </c>
      <c r="B145" s="3" t="s">
        <v>553</v>
      </c>
      <c r="C145" s="6">
        <v>7207489.4699999997</v>
      </c>
      <c r="D145" s="254">
        <v>4.3729999999999998E-2</v>
      </c>
      <c r="E145" s="254">
        <v>4.3729999999999998E-2</v>
      </c>
      <c r="F145" s="6">
        <f t="shared" si="6"/>
        <v>315184</v>
      </c>
      <c r="G145" s="6">
        <f t="shared" si="7"/>
        <v>315184</v>
      </c>
      <c r="H145" s="6">
        <v>321328.55</v>
      </c>
    </row>
    <row r="146" spans="1:8">
      <c r="A146" s="2">
        <f t="shared" si="8"/>
        <v>145</v>
      </c>
      <c r="B146" s="3" t="s">
        <v>554</v>
      </c>
      <c r="C146" s="6">
        <v>15495625.720000001</v>
      </c>
      <c r="D146" s="254">
        <v>4.5080000000000002E-2</v>
      </c>
      <c r="E146" s="254">
        <v>4.5080000000000002E-2</v>
      </c>
      <c r="F146" s="6">
        <f t="shared" si="6"/>
        <v>698543</v>
      </c>
      <c r="G146" s="6">
        <f t="shared" si="7"/>
        <v>698543</v>
      </c>
      <c r="H146" s="6">
        <v>710992.33</v>
      </c>
    </row>
    <row r="147" spans="1:8">
      <c r="A147" s="2">
        <f t="shared" si="8"/>
        <v>146</v>
      </c>
      <c r="B147" s="3" t="s">
        <v>555</v>
      </c>
      <c r="C147" s="6">
        <v>927181.59</v>
      </c>
      <c r="D147" s="254">
        <v>3.2239999999999998E-2</v>
      </c>
      <c r="E147" s="254">
        <v>3.2239999999999998E-2</v>
      </c>
      <c r="F147" s="6">
        <f t="shared" si="6"/>
        <v>29892</v>
      </c>
      <c r="G147" s="6">
        <f t="shared" si="7"/>
        <v>29892</v>
      </c>
      <c r="H147" s="6">
        <v>34222.14</v>
      </c>
    </row>
    <row r="148" spans="1:8">
      <c r="A148" s="2">
        <f t="shared" si="8"/>
        <v>147</v>
      </c>
      <c r="B148" s="3" t="s">
        <v>556</v>
      </c>
      <c r="C148" s="6">
        <v>235175.03</v>
      </c>
      <c r="D148" s="254">
        <v>3.943E-2</v>
      </c>
      <c r="E148" s="254">
        <v>3.943E-2</v>
      </c>
      <c r="F148" s="6">
        <f t="shared" si="6"/>
        <v>9273</v>
      </c>
      <c r="G148" s="6">
        <f t="shared" si="7"/>
        <v>9273</v>
      </c>
      <c r="H148" s="6">
        <v>9554.75</v>
      </c>
    </row>
    <row r="149" spans="1:8">
      <c r="A149" s="2">
        <f t="shared" si="8"/>
        <v>148</v>
      </c>
      <c r="B149" s="3" t="s">
        <v>557</v>
      </c>
      <c r="C149" s="6">
        <v>523282.5</v>
      </c>
      <c r="D149" s="254">
        <v>3.9219999999999998E-2</v>
      </c>
      <c r="E149" s="254">
        <v>3.9219999999999998E-2</v>
      </c>
      <c r="F149" s="6">
        <f t="shared" si="6"/>
        <v>20523</v>
      </c>
      <c r="G149" s="6">
        <f t="shared" si="7"/>
        <v>20523</v>
      </c>
      <c r="H149" s="6">
        <v>20916.259999999998</v>
      </c>
    </row>
    <row r="150" spans="1:8">
      <c r="A150" s="2">
        <f t="shared" si="8"/>
        <v>149</v>
      </c>
      <c r="B150" s="3" t="s">
        <v>558</v>
      </c>
      <c r="C150" s="6">
        <v>730348.7</v>
      </c>
      <c r="D150" s="254">
        <v>3.9219999999999998E-2</v>
      </c>
      <c r="E150" s="254">
        <v>3.9219999999999998E-2</v>
      </c>
      <c r="F150" s="6">
        <f t="shared" si="6"/>
        <v>28644</v>
      </c>
      <c r="G150" s="6">
        <f t="shared" si="7"/>
        <v>28644</v>
      </c>
      <c r="H150" s="6">
        <v>29192.95</v>
      </c>
    </row>
    <row r="151" spans="1:8">
      <c r="A151" s="2">
        <f t="shared" si="8"/>
        <v>150</v>
      </c>
      <c r="B151" s="3" t="s">
        <v>559</v>
      </c>
      <c r="C151" s="6">
        <v>987292.89</v>
      </c>
      <c r="D151" s="254">
        <v>3.8969999999999998E-2</v>
      </c>
      <c r="E151" s="254">
        <v>3.8969999999999998E-2</v>
      </c>
      <c r="F151" s="6">
        <f t="shared" si="6"/>
        <v>38475</v>
      </c>
      <c r="G151" s="6">
        <f t="shared" si="7"/>
        <v>38475</v>
      </c>
      <c r="H151" s="6">
        <v>39267.69</v>
      </c>
    </row>
    <row r="152" spans="1:8">
      <c r="A152" s="2">
        <f t="shared" si="8"/>
        <v>151</v>
      </c>
      <c r="B152" s="3" t="s">
        <v>560</v>
      </c>
      <c r="C152" s="6">
        <v>342385.24</v>
      </c>
      <c r="D152" s="254">
        <v>3.9129999999999998E-2</v>
      </c>
      <c r="E152" s="254">
        <v>3.9129999999999998E-2</v>
      </c>
      <c r="F152" s="6">
        <f t="shared" si="6"/>
        <v>13398</v>
      </c>
      <c r="G152" s="6">
        <f t="shared" si="7"/>
        <v>13398</v>
      </c>
      <c r="H152" s="6">
        <v>13673.13</v>
      </c>
    </row>
    <row r="153" spans="1:8">
      <c r="A153" s="2">
        <f t="shared" si="8"/>
        <v>152</v>
      </c>
      <c r="B153" s="3" t="s">
        <v>561</v>
      </c>
      <c r="C153" s="6">
        <v>10035052.66</v>
      </c>
      <c r="D153" s="254">
        <v>4.197E-2</v>
      </c>
      <c r="E153" s="254">
        <v>4.197E-2</v>
      </c>
      <c r="F153" s="6">
        <f t="shared" si="6"/>
        <v>421171</v>
      </c>
      <c r="G153" s="6">
        <f t="shared" si="7"/>
        <v>421171</v>
      </c>
      <c r="H153" s="6">
        <v>429553.3</v>
      </c>
    </row>
    <row r="154" spans="1:8">
      <c r="A154" s="2">
        <f t="shared" si="8"/>
        <v>153</v>
      </c>
      <c r="B154" s="3" t="s">
        <v>562</v>
      </c>
      <c r="C154" s="6">
        <v>20513367.449999999</v>
      </c>
      <c r="D154" s="254">
        <v>4.0669999999999998E-2</v>
      </c>
      <c r="E154" s="254">
        <v>4.0669999999999998E-2</v>
      </c>
      <c r="F154" s="6">
        <f t="shared" si="6"/>
        <v>834279</v>
      </c>
      <c r="G154" s="6">
        <f t="shared" si="7"/>
        <v>834279</v>
      </c>
      <c r="H154" s="6">
        <v>846322.24</v>
      </c>
    </row>
    <row r="155" spans="1:8">
      <c r="A155" s="2">
        <f t="shared" si="8"/>
        <v>154</v>
      </c>
      <c r="B155" s="3" t="s">
        <v>563</v>
      </c>
      <c r="C155" s="6">
        <v>1479441.29</v>
      </c>
      <c r="D155" s="254">
        <v>3.9539999999999999E-2</v>
      </c>
      <c r="E155" s="254">
        <v>3.9539999999999999E-2</v>
      </c>
      <c r="F155" s="6">
        <f t="shared" si="6"/>
        <v>58497</v>
      </c>
      <c r="G155" s="6">
        <f t="shared" si="7"/>
        <v>58497</v>
      </c>
      <c r="H155" s="6">
        <v>59613.23</v>
      </c>
    </row>
    <row r="156" spans="1:8">
      <c r="A156" s="2">
        <f t="shared" si="8"/>
        <v>155</v>
      </c>
      <c r="B156" s="3" t="s">
        <v>564</v>
      </c>
      <c r="C156" s="6">
        <v>10337319.800000001</v>
      </c>
      <c r="D156" s="254">
        <v>3.9539999999999999E-2</v>
      </c>
      <c r="E156" s="254">
        <v>3.9539999999999999E-2</v>
      </c>
      <c r="F156" s="6">
        <f t="shared" si="6"/>
        <v>408738</v>
      </c>
      <c r="G156" s="6">
        <f t="shared" si="7"/>
        <v>408738</v>
      </c>
      <c r="H156" s="6">
        <v>416536.36</v>
      </c>
    </row>
    <row r="157" spans="1:8">
      <c r="A157" s="2">
        <f t="shared" si="8"/>
        <v>156</v>
      </c>
      <c r="B157" s="3" t="s">
        <v>565</v>
      </c>
      <c r="C157" s="6">
        <v>5140689.37</v>
      </c>
      <c r="D157" s="254">
        <v>2.852E-2</v>
      </c>
      <c r="E157" s="254">
        <v>2.852E-2</v>
      </c>
      <c r="F157" s="6">
        <f t="shared" si="6"/>
        <v>146612</v>
      </c>
      <c r="G157" s="6">
        <f t="shared" si="7"/>
        <v>146612</v>
      </c>
      <c r="H157" s="6">
        <v>149806.51</v>
      </c>
    </row>
    <row r="158" spans="1:8">
      <c r="A158" s="2">
        <f t="shared" si="8"/>
        <v>157</v>
      </c>
      <c r="B158" s="3" t="s">
        <v>566</v>
      </c>
      <c r="C158" s="6">
        <v>28806744.02</v>
      </c>
      <c r="D158" s="254">
        <v>2.811E-2</v>
      </c>
      <c r="E158" s="254">
        <v>2.811E-2</v>
      </c>
      <c r="F158" s="6">
        <f t="shared" si="6"/>
        <v>809758</v>
      </c>
      <c r="G158" s="6">
        <f t="shared" si="7"/>
        <v>809758</v>
      </c>
      <c r="H158" s="6">
        <v>828646.02</v>
      </c>
    </row>
    <row r="159" spans="1:8">
      <c r="A159" s="2">
        <f t="shared" si="8"/>
        <v>158</v>
      </c>
      <c r="B159" s="3" t="s">
        <v>567</v>
      </c>
      <c r="C159" s="6">
        <v>21451597.609999999</v>
      </c>
      <c r="D159" s="254">
        <v>2.5899999999999999E-2</v>
      </c>
      <c r="E159" s="254">
        <v>2.5899999999999999E-2</v>
      </c>
      <c r="F159" s="6">
        <f t="shared" si="6"/>
        <v>555596</v>
      </c>
      <c r="G159" s="6">
        <f t="shared" si="7"/>
        <v>555596</v>
      </c>
      <c r="H159" s="6">
        <v>568080.54</v>
      </c>
    </row>
    <row r="160" spans="1:8">
      <c r="A160" s="2">
        <f t="shared" si="8"/>
        <v>159</v>
      </c>
      <c r="B160" s="3" t="s">
        <v>568</v>
      </c>
      <c r="C160" s="6">
        <v>16678739.49</v>
      </c>
      <c r="D160" s="254">
        <v>2.7130000000000001E-2</v>
      </c>
      <c r="E160" s="254">
        <v>2.7130000000000001E-2</v>
      </c>
      <c r="F160" s="6">
        <f t="shared" si="6"/>
        <v>452494</v>
      </c>
      <c r="G160" s="6">
        <f t="shared" si="7"/>
        <v>452494</v>
      </c>
      <c r="H160" s="6">
        <v>462515.42</v>
      </c>
    </row>
    <row r="161" spans="1:8">
      <c r="A161" s="2">
        <f t="shared" si="8"/>
        <v>160</v>
      </c>
      <c r="B161" s="3" t="s">
        <v>569</v>
      </c>
      <c r="C161" s="6">
        <v>25052906.920000002</v>
      </c>
      <c r="D161" s="254">
        <v>2.7910000000000001E-2</v>
      </c>
      <c r="E161" s="254">
        <v>2.7910000000000001E-2</v>
      </c>
      <c r="F161" s="6">
        <f t="shared" si="6"/>
        <v>699227</v>
      </c>
      <c r="G161" s="6">
        <f t="shared" si="7"/>
        <v>699227</v>
      </c>
      <c r="H161" s="6">
        <v>711378.54</v>
      </c>
    </row>
    <row r="162" spans="1:8">
      <c r="A162" s="2">
        <f t="shared" si="8"/>
        <v>161</v>
      </c>
      <c r="B162" s="3" t="s">
        <v>570</v>
      </c>
      <c r="C162" s="6">
        <v>25180650.449999999</v>
      </c>
      <c r="D162" s="254">
        <v>2.9159999999999998E-2</v>
      </c>
      <c r="E162" s="254">
        <v>2.9159999999999998E-2</v>
      </c>
      <c r="F162" s="6">
        <f t="shared" si="6"/>
        <v>734268</v>
      </c>
      <c r="G162" s="6">
        <f t="shared" si="7"/>
        <v>734268</v>
      </c>
      <c r="H162" s="6">
        <v>746803.17</v>
      </c>
    </row>
    <row r="163" spans="1:8">
      <c r="A163" s="2">
        <f t="shared" si="8"/>
        <v>162</v>
      </c>
      <c r="B163" s="3" t="s">
        <v>571</v>
      </c>
      <c r="C163" s="6">
        <v>25280616.579999998</v>
      </c>
      <c r="D163" s="254">
        <v>3.0939999999999999E-2</v>
      </c>
      <c r="E163" s="254">
        <v>3.0939999999999999E-2</v>
      </c>
      <c r="F163" s="6">
        <f t="shared" si="6"/>
        <v>782182</v>
      </c>
      <c r="G163" s="6">
        <f t="shared" si="7"/>
        <v>782182</v>
      </c>
      <c r="H163" s="6">
        <v>795199.21</v>
      </c>
    </row>
    <row r="164" spans="1:8">
      <c r="A164" s="2">
        <f t="shared" si="8"/>
        <v>163</v>
      </c>
      <c r="B164" s="3" t="s">
        <v>572</v>
      </c>
      <c r="C164" s="6">
        <v>8890222.8499999996</v>
      </c>
      <c r="D164" s="254">
        <v>2.8000000000000001E-2</v>
      </c>
      <c r="E164" s="254">
        <v>2.8000000000000001E-2</v>
      </c>
      <c r="F164" s="6">
        <f t="shared" si="6"/>
        <v>248926</v>
      </c>
      <c r="G164" s="6">
        <f t="shared" si="7"/>
        <v>248926</v>
      </c>
      <c r="H164" s="6">
        <v>254382.75</v>
      </c>
    </row>
    <row r="165" spans="1:8">
      <c r="A165" s="2">
        <f t="shared" si="8"/>
        <v>164</v>
      </c>
      <c r="B165" s="3" t="s">
        <v>573</v>
      </c>
      <c r="C165" s="6">
        <v>15972578.82</v>
      </c>
      <c r="D165" s="254">
        <v>2.928E-2</v>
      </c>
      <c r="E165" s="254">
        <v>2.928E-2</v>
      </c>
      <c r="F165" s="6">
        <f t="shared" si="6"/>
        <v>467677</v>
      </c>
      <c r="G165" s="6">
        <f t="shared" si="7"/>
        <v>467677</v>
      </c>
      <c r="H165" s="6">
        <v>475647.59</v>
      </c>
    </row>
    <row r="166" spans="1:8">
      <c r="A166" s="2">
        <f t="shared" si="8"/>
        <v>165</v>
      </c>
      <c r="B166" s="3" t="s">
        <v>574</v>
      </c>
      <c r="C166" s="6">
        <v>24632021.039999999</v>
      </c>
      <c r="D166" s="254">
        <v>2.495E-2</v>
      </c>
      <c r="E166" s="254">
        <v>2.495E-2</v>
      </c>
      <c r="F166" s="6">
        <f t="shared" si="6"/>
        <v>614569</v>
      </c>
      <c r="G166" s="6">
        <f t="shared" si="7"/>
        <v>614569</v>
      </c>
      <c r="H166" s="6">
        <v>625706.75</v>
      </c>
    </row>
    <row r="167" spans="1:8">
      <c r="A167" s="2">
        <f t="shared" si="8"/>
        <v>166</v>
      </c>
      <c r="B167" s="3" t="s">
        <v>575</v>
      </c>
      <c r="C167" s="6">
        <v>1335612.94</v>
      </c>
      <c r="D167" s="254">
        <v>2.3689999999999999E-2</v>
      </c>
      <c r="E167" s="254">
        <v>2.3689999999999999E-2</v>
      </c>
      <c r="F167" s="6">
        <f t="shared" ref="F167:F207" si="9">ROUND(C167*D167,0)</f>
        <v>31641</v>
      </c>
      <c r="G167" s="6">
        <f t="shared" ref="G167:G207" si="10">ROUND(C167*E167,0)</f>
        <v>31641</v>
      </c>
      <c r="H167" s="6">
        <v>32370.28</v>
      </c>
    </row>
    <row r="168" spans="1:8">
      <c r="A168" s="2">
        <f t="shared" si="8"/>
        <v>167</v>
      </c>
      <c r="B168" s="3" t="s">
        <v>576</v>
      </c>
      <c r="C168" s="6">
        <v>19717927.010000002</v>
      </c>
      <c r="D168" s="254">
        <v>2.3019999999999999E-2</v>
      </c>
      <c r="E168" s="254">
        <v>2.3019999999999999E-2</v>
      </c>
      <c r="F168" s="6">
        <f t="shared" si="9"/>
        <v>453907</v>
      </c>
      <c r="G168" s="6">
        <f t="shared" si="10"/>
        <v>453907</v>
      </c>
      <c r="H168" s="6">
        <v>465113.61</v>
      </c>
    </row>
    <row r="169" spans="1:8">
      <c r="A169" s="2">
        <f t="shared" si="8"/>
        <v>168</v>
      </c>
      <c r="B169" s="3" t="s">
        <v>577</v>
      </c>
      <c r="C169" s="6">
        <v>19078144.550000001</v>
      </c>
      <c r="D169" s="254">
        <v>2.3380000000000001E-2</v>
      </c>
      <c r="E169" s="254">
        <v>2.3380000000000001E-2</v>
      </c>
      <c r="F169" s="6">
        <f t="shared" si="9"/>
        <v>446047</v>
      </c>
      <c r="G169" s="6">
        <f t="shared" si="10"/>
        <v>446047</v>
      </c>
      <c r="H169" s="6">
        <v>457016.01</v>
      </c>
    </row>
    <row r="170" spans="1:8">
      <c r="A170" s="2">
        <f t="shared" si="8"/>
        <v>169</v>
      </c>
      <c r="B170" s="3" t="s">
        <v>578</v>
      </c>
      <c r="C170" s="6">
        <v>22841760.59</v>
      </c>
      <c r="D170" s="254">
        <v>2.724E-2</v>
      </c>
      <c r="E170" s="254">
        <v>2.724E-2</v>
      </c>
      <c r="F170" s="6">
        <f t="shared" si="9"/>
        <v>622210</v>
      </c>
      <c r="G170" s="6">
        <f t="shared" si="10"/>
        <v>622210</v>
      </c>
      <c r="H170" s="6">
        <v>633126.48</v>
      </c>
    </row>
    <row r="171" spans="1:8">
      <c r="A171" s="2">
        <f t="shared" si="8"/>
        <v>170</v>
      </c>
      <c r="B171" s="3" t="s">
        <v>579</v>
      </c>
      <c r="C171" s="6">
        <v>985881.55</v>
      </c>
      <c r="D171" s="254">
        <v>2.5489999999999999E-2</v>
      </c>
      <c r="E171" s="254">
        <v>2.5489999999999999E-2</v>
      </c>
      <c r="F171" s="6">
        <f t="shared" si="9"/>
        <v>25130</v>
      </c>
      <c r="G171" s="6">
        <f t="shared" si="10"/>
        <v>25130</v>
      </c>
      <c r="H171" s="6">
        <v>25697.52</v>
      </c>
    </row>
    <row r="172" spans="1:8">
      <c r="A172" s="2">
        <f t="shared" si="8"/>
        <v>171</v>
      </c>
      <c r="B172" s="3" t="s">
        <v>580</v>
      </c>
      <c r="C172" s="6">
        <v>8100915.46</v>
      </c>
      <c r="D172" s="254">
        <v>2.5489999999999999E-2</v>
      </c>
      <c r="E172" s="254">
        <v>2.5489999999999999E-2</v>
      </c>
      <c r="F172" s="6">
        <f t="shared" si="9"/>
        <v>206492</v>
      </c>
      <c r="G172" s="6">
        <f t="shared" si="10"/>
        <v>206492</v>
      </c>
      <c r="H172" s="6">
        <v>211154.59</v>
      </c>
    </row>
    <row r="173" spans="1:8">
      <c r="A173" s="2">
        <f t="shared" si="8"/>
        <v>172</v>
      </c>
      <c r="B173" s="3" t="s">
        <v>581</v>
      </c>
      <c r="C173" s="6">
        <v>10393048.220000001</v>
      </c>
      <c r="D173" s="254">
        <v>2.5100000000000001E-2</v>
      </c>
      <c r="E173" s="254">
        <v>2.5100000000000001E-2</v>
      </c>
      <c r="F173" s="6">
        <f t="shared" si="9"/>
        <v>260866</v>
      </c>
      <c r="G173" s="6">
        <f t="shared" si="10"/>
        <v>260866</v>
      </c>
      <c r="H173" s="6">
        <v>267159.03000000003</v>
      </c>
    </row>
    <row r="174" spans="1:8">
      <c r="A174" s="2">
        <f t="shared" si="8"/>
        <v>173</v>
      </c>
      <c r="B174" s="3" t="s">
        <v>582</v>
      </c>
      <c r="C174" s="6">
        <v>5658665.8799999999</v>
      </c>
      <c r="D174" s="254">
        <v>2.393E-2</v>
      </c>
      <c r="E174" s="254">
        <v>2.393E-2</v>
      </c>
      <c r="F174" s="6">
        <f t="shared" si="9"/>
        <v>135412</v>
      </c>
      <c r="G174" s="6">
        <f t="shared" si="10"/>
        <v>135412</v>
      </c>
      <c r="H174" s="6">
        <v>138721.59</v>
      </c>
    </row>
    <row r="175" spans="1:8">
      <c r="A175" s="2">
        <f t="shared" si="8"/>
        <v>174</v>
      </c>
      <c r="B175" s="3" t="s">
        <v>583</v>
      </c>
      <c r="C175" s="6">
        <v>11650515.43</v>
      </c>
      <c r="D175" s="254">
        <v>2.5729999999999999E-2</v>
      </c>
      <c r="E175" s="254">
        <v>2.5729999999999999E-2</v>
      </c>
      <c r="F175" s="6">
        <f t="shared" si="9"/>
        <v>299768</v>
      </c>
      <c r="G175" s="6">
        <f t="shared" si="10"/>
        <v>299768</v>
      </c>
      <c r="H175" s="6">
        <v>305141</v>
      </c>
    </row>
    <row r="176" spans="1:8">
      <c r="A176" s="2">
        <f t="shared" si="8"/>
        <v>175</v>
      </c>
      <c r="B176" s="3" t="s">
        <v>584</v>
      </c>
      <c r="C176" s="6">
        <v>2599734.66</v>
      </c>
      <c r="D176" s="254">
        <v>2.4320000000000001E-2</v>
      </c>
      <c r="E176" s="254">
        <v>2.4320000000000001E-2</v>
      </c>
      <c r="F176" s="6">
        <f t="shared" si="9"/>
        <v>63226</v>
      </c>
      <c r="G176" s="6">
        <f t="shared" si="10"/>
        <v>63226</v>
      </c>
      <c r="H176" s="6">
        <v>64672.79</v>
      </c>
    </row>
    <row r="177" spans="1:8">
      <c r="A177" s="2">
        <f t="shared" si="8"/>
        <v>176</v>
      </c>
      <c r="B177" s="3" t="s">
        <v>585</v>
      </c>
      <c r="C177" s="6">
        <v>9805187.9499999993</v>
      </c>
      <c r="D177" s="254">
        <v>3.338E-2</v>
      </c>
      <c r="E177" s="254">
        <v>3.338E-2</v>
      </c>
      <c r="F177" s="6">
        <f t="shared" si="9"/>
        <v>327297</v>
      </c>
      <c r="G177" s="6">
        <f t="shared" si="10"/>
        <v>327297</v>
      </c>
      <c r="H177" s="6">
        <v>334489.46999999997</v>
      </c>
    </row>
    <row r="178" spans="1:8">
      <c r="A178" s="2">
        <f t="shared" si="8"/>
        <v>177</v>
      </c>
      <c r="B178" s="3" t="s">
        <v>586</v>
      </c>
      <c r="C178" s="6">
        <v>30297662.800000001</v>
      </c>
      <c r="D178" s="254">
        <v>3.1620000000000002E-2</v>
      </c>
      <c r="E178" s="254">
        <v>3.1620000000000002E-2</v>
      </c>
      <c r="F178" s="6">
        <f t="shared" si="9"/>
        <v>958012</v>
      </c>
      <c r="G178" s="6">
        <f t="shared" si="10"/>
        <v>958012</v>
      </c>
      <c r="H178" s="6">
        <v>979490.05</v>
      </c>
    </row>
    <row r="179" spans="1:8">
      <c r="A179" s="2">
        <f t="shared" si="8"/>
        <v>178</v>
      </c>
      <c r="B179" s="3" t="s">
        <v>587</v>
      </c>
      <c r="C179" s="6">
        <v>9540985.7699999996</v>
      </c>
      <c r="D179" s="254">
        <v>3.202E-2</v>
      </c>
      <c r="E179" s="254">
        <v>3.202E-2</v>
      </c>
      <c r="F179" s="6">
        <f t="shared" si="9"/>
        <v>305502</v>
      </c>
      <c r="G179" s="6">
        <f t="shared" si="10"/>
        <v>305502</v>
      </c>
      <c r="H179" s="6">
        <v>311886.27</v>
      </c>
    </row>
    <row r="180" spans="1:8">
      <c r="A180" s="2">
        <f t="shared" si="8"/>
        <v>179</v>
      </c>
      <c r="B180" s="3" t="s">
        <v>588</v>
      </c>
      <c r="C180" s="6">
        <v>17957984.530000001</v>
      </c>
      <c r="D180" s="254">
        <v>3.3160000000000002E-2</v>
      </c>
      <c r="E180" s="254">
        <v>3.3160000000000002E-2</v>
      </c>
      <c r="F180" s="6">
        <f t="shared" si="9"/>
        <v>595487</v>
      </c>
      <c r="G180" s="6">
        <f t="shared" si="10"/>
        <v>595487</v>
      </c>
      <c r="H180" s="6">
        <v>608605.35</v>
      </c>
    </row>
    <row r="181" spans="1:8">
      <c r="A181" s="2">
        <f t="shared" si="8"/>
        <v>180</v>
      </c>
      <c r="B181" s="3" t="s">
        <v>589</v>
      </c>
      <c r="C181" s="6">
        <v>14227270.25</v>
      </c>
      <c r="D181" s="254">
        <v>3.5130000000000002E-2</v>
      </c>
      <c r="E181" s="254">
        <v>3.5130000000000002E-2</v>
      </c>
      <c r="F181" s="6">
        <f t="shared" si="9"/>
        <v>499804</v>
      </c>
      <c r="G181" s="6">
        <f t="shared" si="10"/>
        <v>499804</v>
      </c>
      <c r="H181" s="6">
        <v>510569.61</v>
      </c>
    </row>
    <row r="182" spans="1:8">
      <c r="A182" s="2">
        <f t="shared" si="8"/>
        <v>181</v>
      </c>
      <c r="B182" s="3" t="s">
        <v>590</v>
      </c>
      <c r="C182" s="6">
        <v>17935060.670000002</v>
      </c>
      <c r="D182" s="254">
        <v>2.563E-2</v>
      </c>
      <c r="E182" s="254">
        <v>2.563E-2</v>
      </c>
      <c r="F182" s="6">
        <f t="shared" si="9"/>
        <v>459676</v>
      </c>
      <c r="G182" s="6">
        <f t="shared" si="10"/>
        <v>459676</v>
      </c>
      <c r="H182" s="6">
        <v>470037.27</v>
      </c>
    </row>
    <row r="183" spans="1:8">
      <c r="A183" s="2">
        <f t="shared" si="8"/>
        <v>182</v>
      </c>
      <c r="B183" s="3" t="s">
        <v>591</v>
      </c>
      <c r="C183" s="6">
        <v>19068882.100000001</v>
      </c>
      <c r="D183" s="254">
        <v>2.656E-2</v>
      </c>
      <c r="E183" s="254">
        <v>2.656E-2</v>
      </c>
      <c r="F183" s="6">
        <f t="shared" si="9"/>
        <v>506470</v>
      </c>
      <c r="G183" s="6">
        <f t="shared" si="10"/>
        <v>506470</v>
      </c>
      <c r="H183" s="6">
        <v>515441.84</v>
      </c>
    </row>
    <row r="184" spans="1:8">
      <c r="A184" s="2">
        <f t="shared" si="8"/>
        <v>183</v>
      </c>
      <c r="B184" s="3" t="s">
        <v>592</v>
      </c>
      <c r="C184" s="6">
        <v>569585.4</v>
      </c>
      <c r="D184" s="254">
        <v>2.3779999999999999E-2</v>
      </c>
      <c r="E184" s="254">
        <v>2.3779999999999999E-2</v>
      </c>
      <c r="F184" s="6">
        <f t="shared" si="9"/>
        <v>13545</v>
      </c>
      <c r="G184" s="6">
        <f t="shared" si="10"/>
        <v>13545</v>
      </c>
      <c r="H184" s="6">
        <v>13856.74</v>
      </c>
    </row>
    <row r="185" spans="1:8">
      <c r="A185" s="2">
        <f t="shared" si="8"/>
        <v>184</v>
      </c>
      <c r="B185" s="3" t="s">
        <v>593</v>
      </c>
      <c r="C185" s="6">
        <v>30848228.120000001</v>
      </c>
      <c r="D185" s="254">
        <v>2.9819999999999999E-2</v>
      </c>
      <c r="E185" s="254">
        <v>2.9819999999999999E-2</v>
      </c>
      <c r="F185" s="6">
        <f t="shared" si="9"/>
        <v>919894</v>
      </c>
      <c r="G185" s="6">
        <f t="shared" si="10"/>
        <v>919894</v>
      </c>
      <c r="H185" s="6">
        <v>931850.93</v>
      </c>
    </row>
    <row r="186" spans="1:8">
      <c r="A186" s="2">
        <f t="shared" si="8"/>
        <v>185</v>
      </c>
      <c r="B186" s="3" t="s">
        <v>594</v>
      </c>
      <c r="C186" s="6">
        <v>22682794.59</v>
      </c>
      <c r="D186" s="254">
        <v>2.9420000000000002E-2</v>
      </c>
      <c r="E186" s="254">
        <v>2.9420000000000002E-2</v>
      </c>
      <c r="F186" s="6">
        <f t="shared" si="9"/>
        <v>667328</v>
      </c>
      <c r="G186" s="6">
        <f t="shared" si="10"/>
        <v>667328</v>
      </c>
      <c r="H186" s="6">
        <v>676062.53</v>
      </c>
    </row>
    <row r="187" spans="1:8">
      <c r="A187" s="2">
        <f t="shared" si="8"/>
        <v>186</v>
      </c>
      <c r="B187" s="3" t="s">
        <v>595</v>
      </c>
      <c r="C187" s="6">
        <v>122621794.14</v>
      </c>
      <c r="D187" s="254">
        <v>2.683E-2</v>
      </c>
      <c r="E187" s="254">
        <v>2.683E-2</v>
      </c>
      <c r="F187" s="6">
        <f t="shared" si="9"/>
        <v>3289943</v>
      </c>
      <c r="G187" s="6">
        <f t="shared" si="10"/>
        <v>3289943</v>
      </c>
      <c r="H187" s="6">
        <v>3392775.65</v>
      </c>
    </row>
    <row r="188" spans="1:8">
      <c r="A188" s="2">
        <f t="shared" si="8"/>
        <v>187</v>
      </c>
      <c r="B188" s="3" t="s">
        <v>596</v>
      </c>
      <c r="C188" s="6">
        <v>10608550.66</v>
      </c>
      <c r="D188" s="254">
        <v>2.6339999999999999E-2</v>
      </c>
      <c r="E188" s="254">
        <v>2.6339999999999999E-2</v>
      </c>
      <c r="F188" s="6">
        <f t="shared" si="9"/>
        <v>279429</v>
      </c>
      <c r="G188" s="6">
        <f t="shared" si="10"/>
        <v>279429</v>
      </c>
      <c r="H188" s="6">
        <v>283287.32</v>
      </c>
    </row>
    <row r="189" spans="1:8">
      <c r="A189" s="2">
        <f t="shared" si="8"/>
        <v>188</v>
      </c>
      <c r="B189" s="3" t="s">
        <v>597</v>
      </c>
      <c r="C189" s="6">
        <v>4166911.14</v>
      </c>
      <c r="D189" s="254">
        <v>2.6339999999999999E-2</v>
      </c>
      <c r="E189" s="254">
        <v>2.6339999999999999E-2</v>
      </c>
      <c r="F189" s="6">
        <f t="shared" si="9"/>
        <v>109756</v>
      </c>
      <c r="G189" s="6">
        <f t="shared" si="10"/>
        <v>109756</v>
      </c>
      <c r="H189" s="6">
        <v>111271.86</v>
      </c>
    </row>
    <row r="190" spans="1:8">
      <c r="A190" s="2">
        <f t="shared" si="8"/>
        <v>189</v>
      </c>
      <c r="B190" s="3" t="s">
        <v>598</v>
      </c>
      <c r="C190" s="6">
        <v>7883130.5999999996</v>
      </c>
      <c r="D190" s="254">
        <v>2.6790000000000001E-2</v>
      </c>
      <c r="E190" s="254">
        <v>2.6790000000000001E-2</v>
      </c>
      <c r="F190" s="6">
        <f t="shared" si="9"/>
        <v>211189</v>
      </c>
      <c r="G190" s="6">
        <f t="shared" si="10"/>
        <v>211189</v>
      </c>
      <c r="H190" s="6">
        <v>214082.43</v>
      </c>
    </row>
    <row r="191" spans="1:8">
      <c r="A191" s="2">
        <f t="shared" si="8"/>
        <v>190</v>
      </c>
      <c r="B191" s="3" t="s">
        <v>599</v>
      </c>
      <c r="C191" s="6">
        <v>28669309.780000001</v>
      </c>
      <c r="D191" s="254">
        <v>2.6790000000000001E-2</v>
      </c>
      <c r="E191" s="254">
        <v>2.6790000000000001E-2</v>
      </c>
      <c r="F191" s="6">
        <f t="shared" si="9"/>
        <v>768051</v>
      </c>
      <c r="G191" s="6">
        <f t="shared" si="10"/>
        <v>768051</v>
      </c>
      <c r="H191" s="6">
        <v>778573.35</v>
      </c>
    </row>
    <row r="192" spans="1:8">
      <c r="A192" s="2">
        <f t="shared" si="8"/>
        <v>191</v>
      </c>
      <c r="B192" s="3" t="s">
        <v>600</v>
      </c>
      <c r="C192" s="6">
        <v>7924493.5700000003</v>
      </c>
      <c r="D192" s="254">
        <v>2.6880000000000001E-2</v>
      </c>
      <c r="E192" s="254">
        <v>2.6880000000000001E-2</v>
      </c>
      <c r="F192" s="6">
        <f t="shared" si="9"/>
        <v>213010</v>
      </c>
      <c r="G192" s="6">
        <f t="shared" si="10"/>
        <v>213010</v>
      </c>
      <c r="H192" s="6">
        <v>215924.16</v>
      </c>
    </row>
    <row r="193" spans="1:8">
      <c r="A193" s="2">
        <f t="shared" si="8"/>
        <v>192</v>
      </c>
      <c r="B193" s="3" t="s">
        <v>601</v>
      </c>
      <c r="C193" s="6">
        <v>6474246.6500000004</v>
      </c>
      <c r="D193" s="254">
        <v>2.6880000000000001E-2</v>
      </c>
      <c r="E193" s="254">
        <v>2.6880000000000001E-2</v>
      </c>
      <c r="F193" s="6">
        <f t="shared" si="9"/>
        <v>174028</v>
      </c>
      <c r="G193" s="6">
        <f t="shared" si="10"/>
        <v>174028</v>
      </c>
      <c r="H193" s="6">
        <v>176408.29</v>
      </c>
    </row>
    <row r="194" spans="1:8">
      <c r="A194" s="2">
        <f t="shared" si="8"/>
        <v>193</v>
      </c>
      <c r="B194" s="3" t="s">
        <v>602</v>
      </c>
      <c r="C194" s="6">
        <v>2214003.86</v>
      </c>
      <c r="D194" s="254">
        <v>2.9899999999999999E-2</v>
      </c>
      <c r="E194" s="254">
        <v>2.9899999999999999E-2</v>
      </c>
      <c r="F194" s="6">
        <f t="shared" si="9"/>
        <v>66199</v>
      </c>
      <c r="G194" s="6">
        <f t="shared" si="10"/>
        <v>66199</v>
      </c>
      <c r="H194" s="6">
        <v>67057.97</v>
      </c>
    </row>
    <row r="195" spans="1:8">
      <c r="A195" s="2">
        <f t="shared" ref="A195:A228" si="11">A194+1</f>
        <v>194</v>
      </c>
      <c r="B195" s="3" t="s">
        <v>603</v>
      </c>
      <c r="C195" s="6">
        <v>10428350.039999999</v>
      </c>
      <c r="D195" s="254">
        <v>2.9899999999999999E-2</v>
      </c>
      <c r="E195" s="254">
        <v>2.9899999999999999E-2</v>
      </c>
      <c r="F195" s="6">
        <f t="shared" si="9"/>
        <v>311808</v>
      </c>
      <c r="G195" s="6">
        <f t="shared" si="10"/>
        <v>311808</v>
      </c>
      <c r="H195" s="6">
        <v>315854.88</v>
      </c>
    </row>
    <row r="196" spans="1:8">
      <c r="A196" s="2">
        <f t="shared" si="11"/>
        <v>195</v>
      </c>
      <c r="B196" s="3" t="s">
        <v>604</v>
      </c>
      <c r="C196" s="6">
        <v>2068084.47</v>
      </c>
      <c r="D196" s="254">
        <v>3.1309999999999998E-2</v>
      </c>
      <c r="E196" s="254">
        <v>3.1309999999999998E-2</v>
      </c>
      <c r="F196" s="6">
        <f t="shared" si="9"/>
        <v>64752</v>
      </c>
      <c r="G196" s="6">
        <f t="shared" si="10"/>
        <v>64752</v>
      </c>
      <c r="H196" s="6">
        <v>65571.67</v>
      </c>
    </row>
    <row r="197" spans="1:8">
      <c r="A197" s="2">
        <f t="shared" si="11"/>
        <v>196</v>
      </c>
      <c r="B197" s="3" t="s">
        <v>605</v>
      </c>
      <c r="C197" s="6">
        <v>2460138.41</v>
      </c>
      <c r="D197" s="254">
        <v>3.1309999999999998E-2</v>
      </c>
      <c r="E197" s="254">
        <v>3.1309999999999998E-2</v>
      </c>
      <c r="F197" s="6">
        <f t="shared" si="9"/>
        <v>77027</v>
      </c>
      <c r="G197" s="6">
        <f t="shared" si="10"/>
        <v>77027</v>
      </c>
      <c r="H197" s="6">
        <v>78002.33</v>
      </c>
    </row>
    <row r="198" spans="1:8">
      <c r="A198" s="2">
        <f t="shared" si="11"/>
        <v>197</v>
      </c>
      <c r="B198" s="3" t="s">
        <v>606</v>
      </c>
      <c r="C198" s="6">
        <v>27254259.510000002</v>
      </c>
      <c r="D198" s="254">
        <v>3.2809999999999999E-2</v>
      </c>
      <c r="E198" s="254">
        <v>3.2809999999999999E-2</v>
      </c>
      <c r="F198" s="6">
        <f t="shared" si="9"/>
        <v>894212</v>
      </c>
      <c r="G198" s="6">
        <f t="shared" si="10"/>
        <v>894212</v>
      </c>
      <c r="H198" s="6">
        <v>904714.66</v>
      </c>
    </row>
    <row r="199" spans="1:8">
      <c r="A199" s="2">
        <f t="shared" si="11"/>
        <v>198</v>
      </c>
      <c r="B199" s="3" t="s">
        <v>607</v>
      </c>
      <c r="C199" s="6">
        <v>2902209.55</v>
      </c>
      <c r="D199" s="254">
        <v>3.1179999999999999E-2</v>
      </c>
      <c r="E199" s="254">
        <v>3.1179999999999999E-2</v>
      </c>
      <c r="F199" s="6">
        <f t="shared" si="9"/>
        <v>90491</v>
      </c>
      <c r="G199" s="6">
        <f t="shared" si="10"/>
        <v>90491</v>
      </c>
      <c r="H199" s="6">
        <v>93159.61</v>
      </c>
    </row>
    <row r="200" spans="1:8">
      <c r="A200" s="2">
        <f t="shared" si="11"/>
        <v>199</v>
      </c>
      <c r="B200" s="3" t="s">
        <v>608</v>
      </c>
      <c r="C200" s="6">
        <v>64982305.840000004</v>
      </c>
      <c r="D200" s="254">
        <v>3.056E-2</v>
      </c>
      <c r="E200" s="254">
        <v>3.056E-2</v>
      </c>
      <c r="F200" s="6">
        <f t="shared" si="9"/>
        <v>1985859</v>
      </c>
      <c r="G200" s="6">
        <f t="shared" si="10"/>
        <v>1985859</v>
      </c>
      <c r="H200" s="6">
        <v>2004160.45</v>
      </c>
    </row>
    <row r="201" spans="1:8">
      <c r="A201" s="2">
        <f t="shared" si="11"/>
        <v>200</v>
      </c>
      <c r="B201" s="3" t="s">
        <v>609</v>
      </c>
      <c r="C201" s="6">
        <v>2496400.89</v>
      </c>
      <c r="D201" s="254">
        <v>3.056E-2</v>
      </c>
      <c r="E201" s="254">
        <v>3.056E-2</v>
      </c>
      <c r="F201" s="6">
        <f t="shared" si="9"/>
        <v>76290</v>
      </c>
      <c r="G201" s="6">
        <f t="shared" si="10"/>
        <v>76290</v>
      </c>
      <c r="H201" s="6">
        <v>76993.08</v>
      </c>
    </row>
    <row r="202" spans="1:8">
      <c r="A202" s="2">
        <f t="shared" si="11"/>
        <v>201</v>
      </c>
      <c r="B202" s="3" t="s">
        <v>610</v>
      </c>
      <c r="C202" s="6">
        <v>1778851.59</v>
      </c>
      <c r="D202" s="254">
        <v>2.8039999999999999E-2</v>
      </c>
      <c r="E202" s="254">
        <v>2.8039999999999999E-2</v>
      </c>
      <c r="F202" s="6">
        <f t="shared" si="9"/>
        <v>49879</v>
      </c>
      <c r="G202" s="6">
        <f t="shared" si="10"/>
        <v>49879</v>
      </c>
      <c r="H202" s="6">
        <v>31701.03</v>
      </c>
    </row>
    <row r="203" spans="1:8">
      <c r="A203" s="2">
        <f t="shared" si="11"/>
        <v>202</v>
      </c>
      <c r="B203" s="3" t="s">
        <v>611</v>
      </c>
      <c r="C203" s="6">
        <v>2672234.7999999998</v>
      </c>
      <c r="D203" s="254">
        <v>2.8039999999999999E-2</v>
      </c>
      <c r="E203" s="254">
        <v>2.8039999999999999E-2</v>
      </c>
      <c r="F203" s="6">
        <f t="shared" si="9"/>
        <v>74929</v>
      </c>
      <c r="G203" s="6">
        <f t="shared" si="10"/>
        <v>74929</v>
      </c>
      <c r="H203" s="6">
        <v>47622.07</v>
      </c>
    </row>
    <row r="204" spans="1:8">
      <c r="A204" s="2">
        <f t="shared" si="11"/>
        <v>203</v>
      </c>
      <c r="B204" s="3" t="s">
        <v>612</v>
      </c>
      <c r="C204" s="6">
        <v>5902115.9000000004</v>
      </c>
      <c r="D204" s="254">
        <v>1.9140000000000001E-2</v>
      </c>
      <c r="E204" s="254">
        <v>1.9140000000000001E-2</v>
      </c>
      <c r="F204" s="6">
        <f t="shared" si="9"/>
        <v>112966</v>
      </c>
      <c r="G204" s="6">
        <f t="shared" si="10"/>
        <v>112966</v>
      </c>
      <c r="H204" s="6">
        <v>38306.06</v>
      </c>
    </row>
    <row r="205" spans="1:8">
      <c r="A205" s="2">
        <f t="shared" si="11"/>
        <v>204</v>
      </c>
      <c r="B205" s="3" t="s">
        <v>613</v>
      </c>
      <c r="C205" s="6">
        <v>18394050.02</v>
      </c>
      <c r="D205" s="254">
        <v>1.9140000000000001E-2</v>
      </c>
      <c r="E205" s="254">
        <v>1.9140000000000001E-2</v>
      </c>
      <c r="F205" s="6">
        <f t="shared" si="9"/>
        <v>352062</v>
      </c>
      <c r="G205" s="6">
        <f t="shared" si="10"/>
        <v>352062</v>
      </c>
      <c r="H205" s="6">
        <v>119381.53</v>
      </c>
    </row>
    <row r="206" spans="1:8">
      <c r="A206" s="2">
        <f t="shared" si="11"/>
        <v>205</v>
      </c>
      <c r="B206" s="3" t="s">
        <v>614</v>
      </c>
      <c r="C206" s="6">
        <v>3726000</v>
      </c>
      <c r="D206" s="254">
        <v>2.222E-2</v>
      </c>
      <c r="E206" s="254">
        <v>2.222E-2</v>
      </c>
      <c r="F206" s="6">
        <f t="shared" si="9"/>
        <v>82792</v>
      </c>
      <c r="G206" s="6">
        <f t="shared" si="10"/>
        <v>82792</v>
      </c>
      <c r="H206" s="6">
        <v>3415.15</v>
      </c>
    </row>
    <row r="207" spans="1:8">
      <c r="A207" s="2">
        <f t="shared" si="11"/>
        <v>206</v>
      </c>
      <c r="B207" s="3" t="s">
        <v>615</v>
      </c>
      <c r="C207" s="255">
        <v>4210000</v>
      </c>
      <c r="D207" s="254">
        <v>2.222E-2</v>
      </c>
      <c r="E207" s="254">
        <v>2.222E-2</v>
      </c>
      <c r="F207" s="255">
        <f t="shared" si="9"/>
        <v>93546</v>
      </c>
      <c r="G207" s="255">
        <f t="shared" si="10"/>
        <v>93546</v>
      </c>
      <c r="H207" s="255">
        <v>3858.78</v>
      </c>
    </row>
    <row r="208" spans="1:8">
      <c r="A208" s="2">
        <f t="shared" si="11"/>
        <v>207</v>
      </c>
      <c r="C208" s="6"/>
      <c r="D208" s="254"/>
      <c r="E208" s="254"/>
      <c r="F208" s="6"/>
      <c r="G208" s="6"/>
      <c r="H208" s="6"/>
    </row>
    <row r="209" spans="1:10">
      <c r="A209" s="2">
        <f t="shared" si="11"/>
        <v>208</v>
      </c>
      <c r="B209" s="3" t="s">
        <v>616</v>
      </c>
      <c r="C209" s="255">
        <f>SUM(C39:C207)</f>
        <v>2171906967.02</v>
      </c>
      <c r="D209" s="254"/>
      <c r="E209" s="254"/>
      <c r="F209" s="255">
        <f>SUM(F39:F207)</f>
        <v>83489065</v>
      </c>
      <c r="G209" s="255">
        <f>SUM(G39:G207)</f>
        <v>83489065</v>
      </c>
      <c r="H209" s="255">
        <f>SUM(H39:H207)</f>
        <v>89373503.769999981</v>
      </c>
    </row>
    <row r="210" spans="1:10">
      <c r="A210" s="2">
        <f t="shared" si="11"/>
        <v>209</v>
      </c>
      <c r="C210" s="6"/>
      <c r="D210" s="254"/>
      <c r="E210" s="254"/>
      <c r="F210" s="6"/>
      <c r="G210" s="6"/>
      <c r="H210" s="6"/>
    </row>
    <row r="211" spans="1:10">
      <c r="A211" s="2">
        <f t="shared" si="11"/>
        <v>210</v>
      </c>
      <c r="B211" s="3" t="s">
        <v>617</v>
      </c>
      <c r="C211" s="6">
        <f>C16+C30+C36+C209</f>
        <v>2628355473.1399999</v>
      </c>
      <c r="D211" s="254"/>
      <c r="E211" s="254"/>
      <c r="F211" s="6">
        <f>F16+F30+F36+F209</f>
        <v>103318967</v>
      </c>
      <c r="G211" s="6">
        <f>G16+G30+G36+G209</f>
        <v>103318967</v>
      </c>
      <c r="H211" s="6">
        <f>H16+H30+H36+H209</f>
        <v>106117307.73999998</v>
      </c>
    </row>
    <row r="212" spans="1:10">
      <c r="A212" s="2">
        <f t="shared" si="11"/>
        <v>211</v>
      </c>
      <c r="C212" s="6"/>
      <c r="D212" s="254"/>
      <c r="E212" s="254"/>
      <c r="F212" s="6"/>
      <c r="G212" s="6"/>
      <c r="H212" s="6"/>
    </row>
    <row r="213" spans="1:10">
      <c r="A213" s="2">
        <f t="shared" si="11"/>
        <v>212</v>
      </c>
      <c r="B213" s="3" t="s">
        <v>618</v>
      </c>
      <c r="C213" s="255">
        <v>185000000</v>
      </c>
      <c r="D213" s="254">
        <v>2.7E-2</v>
      </c>
      <c r="E213" s="254">
        <v>1.14E-2</v>
      </c>
      <c r="F213" s="255">
        <f>ROUND(C213*D213,0)</f>
        <v>4995000</v>
      </c>
      <c r="G213" s="255">
        <f>ROUND(C213*E213,0)</f>
        <v>2109000</v>
      </c>
      <c r="H213" s="255">
        <v>6244332</v>
      </c>
    </row>
    <row r="214" spans="1:10">
      <c r="A214" s="2">
        <f t="shared" si="11"/>
        <v>213</v>
      </c>
      <c r="C214" s="6"/>
      <c r="D214" s="254"/>
      <c r="E214" s="254"/>
      <c r="F214" s="6"/>
      <c r="G214" s="6"/>
      <c r="H214" s="6"/>
    </row>
    <row r="215" spans="1:10" ht="15" thickBot="1">
      <c r="A215" s="2">
        <f t="shared" si="11"/>
        <v>214</v>
      </c>
      <c r="B215" s="3" t="s">
        <v>236</v>
      </c>
      <c r="C215" s="263">
        <f>C211+C213</f>
        <v>2813355473.1399999</v>
      </c>
      <c r="F215" s="263">
        <f>F211+F213</f>
        <v>108313967</v>
      </c>
      <c r="G215" s="263">
        <f>G211+G213</f>
        <v>105427967</v>
      </c>
      <c r="H215" s="263">
        <f>H211+H213</f>
        <v>112361639.73999998</v>
      </c>
    </row>
    <row r="216" spans="1:10" ht="15" thickTop="1">
      <c r="A216" s="2">
        <f t="shared" si="11"/>
        <v>215</v>
      </c>
    </row>
    <row r="217" spans="1:10" ht="15" thickBot="1">
      <c r="A217" s="2">
        <f t="shared" si="11"/>
        <v>216</v>
      </c>
      <c r="B217" s="3" t="s">
        <v>619</v>
      </c>
      <c r="F217" s="263">
        <v>24035391</v>
      </c>
      <c r="G217" s="263">
        <v>24035391</v>
      </c>
      <c r="H217" s="263">
        <v>24450841</v>
      </c>
    </row>
    <row r="218" spans="1:10" ht="15" thickTop="1">
      <c r="A218" s="2">
        <f t="shared" si="11"/>
        <v>217</v>
      </c>
    </row>
    <row r="219" spans="1:10" ht="15">
      <c r="A219" s="2">
        <f t="shared" si="11"/>
        <v>218</v>
      </c>
      <c r="B219" s="3" t="s">
        <v>620</v>
      </c>
      <c r="J219" s="266" t="s">
        <v>629</v>
      </c>
    </row>
    <row r="220" spans="1:10" ht="15">
      <c r="A220" s="2">
        <f t="shared" si="11"/>
        <v>219</v>
      </c>
      <c r="B220" s="3" t="s">
        <v>621</v>
      </c>
      <c r="F220" s="6"/>
      <c r="G220" s="6"/>
      <c r="H220" s="6"/>
      <c r="J220" s="266"/>
    </row>
    <row r="221" spans="1:10" ht="15">
      <c r="A221" s="2">
        <f t="shared" si="11"/>
        <v>220</v>
      </c>
      <c r="B221" s="3" t="s">
        <v>622</v>
      </c>
      <c r="F221" s="6"/>
      <c r="G221" s="6">
        <f>G215</f>
        <v>105427967</v>
      </c>
      <c r="H221" s="6"/>
      <c r="J221" s="267">
        <f>G221/C215</f>
        <v>3.7474100946913516E-2</v>
      </c>
    </row>
    <row r="222" spans="1:10">
      <c r="A222" s="2">
        <f t="shared" si="11"/>
        <v>221</v>
      </c>
      <c r="B222" s="3" t="s">
        <v>623</v>
      </c>
      <c r="F222" s="6"/>
      <c r="G222" s="255">
        <f>G217</f>
        <v>24035391</v>
      </c>
      <c r="H222" s="6"/>
    </row>
    <row r="223" spans="1:10">
      <c r="A223" s="2">
        <f t="shared" si="11"/>
        <v>222</v>
      </c>
      <c r="B223" s="3" t="s">
        <v>624</v>
      </c>
      <c r="F223" s="6"/>
      <c r="G223" s="6"/>
      <c r="H223" s="255">
        <f>G221-G222</f>
        <v>81392576</v>
      </c>
    </row>
    <row r="224" spans="1:10">
      <c r="A224" s="2">
        <f t="shared" si="11"/>
        <v>223</v>
      </c>
      <c r="B224" s="3" t="s">
        <v>625</v>
      </c>
      <c r="F224" s="6"/>
      <c r="G224" s="6">
        <f>H215</f>
        <v>112361639.73999998</v>
      </c>
      <c r="H224" s="6"/>
    </row>
    <row r="225" spans="1:8">
      <c r="A225" s="2">
        <f t="shared" si="11"/>
        <v>224</v>
      </c>
      <c r="B225" s="3" t="s">
        <v>626</v>
      </c>
      <c r="F225" s="6"/>
      <c r="G225" s="255">
        <f>H217</f>
        <v>24450841</v>
      </c>
      <c r="H225" s="6"/>
    </row>
    <row r="226" spans="1:8">
      <c r="A226" s="2">
        <f t="shared" si="11"/>
        <v>225</v>
      </c>
      <c r="B226" s="3" t="s">
        <v>627</v>
      </c>
      <c r="F226" s="6"/>
      <c r="G226" s="6"/>
      <c r="H226" s="6">
        <f>G224-G225</f>
        <v>87910798.73999998</v>
      </c>
    </row>
    <row r="227" spans="1:8" ht="15" thickBot="1">
      <c r="A227" s="2">
        <f t="shared" si="11"/>
        <v>226</v>
      </c>
      <c r="B227" s="3" t="s">
        <v>628</v>
      </c>
      <c r="F227" s="6"/>
      <c r="G227" s="6"/>
      <c r="H227" s="264">
        <f>H223-H226</f>
        <v>-6518222.7399999797</v>
      </c>
    </row>
    <row r="228" spans="1:8" ht="15" thickTop="1">
      <c r="A228" s="2">
        <f t="shared" si="11"/>
        <v>227</v>
      </c>
      <c r="F228" s="6"/>
      <c r="G228" s="6"/>
      <c r="H228" s="6"/>
    </row>
  </sheetData>
  <mergeCells count="4">
    <mergeCell ref="B3:H3"/>
    <mergeCell ref="B4:H4"/>
    <mergeCell ref="D7:E7"/>
    <mergeCell ref="F7:G7"/>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workbookViewId="0">
      <selection activeCell="I7" sqref="I7"/>
    </sheetView>
  </sheetViews>
  <sheetFormatPr defaultRowHeight="12.75"/>
  <cols>
    <col min="1" max="1" width="14.7109375" customWidth="1"/>
    <col min="2" max="2" width="16.5703125" customWidth="1"/>
    <col min="3" max="3" width="16.85546875" customWidth="1"/>
    <col min="4" max="4" width="11.7109375" customWidth="1"/>
    <col min="5" max="5" width="7.28515625" customWidth="1"/>
    <col min="6" max="6" width="4.42578125" customWidth="1"/>
    <col min="7" max="7" width="12.5703125" customWidth="1"/>
    <col min="8" max="8" width="11.28515625" customWidth="1"/>
    <col min="9" max="9" width="12.28515625" customWidth="1"/>
  </cols>
  <sheetData>
    <row r="1" spans="1:9">
      <c r="A1" s="403" t="s">
        <v>0</v>
      </c>
      <c r="B1" s="403"/>
      <c r="C1" s="403"/>
      <c r="D1" s="403"/>
      <c r="E1" s="403"/>
      <c r="F1" s="403"/>
      <c r="G1" s="403"/>
      <c r="H1" s="403"/>
      <c r="I1" s="403"/>
    </row>
    <row r="2" spans="1:9">
      <c r="A2" s="403" t="s">
        <v>694</v>
      </c>
      <c r="B2" s="403"/>
      <c r="C2" s="403"/>
      <c r="D2" s="403"/>
      <c r="E2" s="403"/>
      <c r="F2" s="403"/>
      <c r="G2" s="403"/>
      <c r="H2" s="403"/>
      <c r="I2" s="403"/>
    </row>
    <row r="3" spans="1:9">
      <c r="A3" s="403" t="s">
        <v>22</v>
      </c>
      <c r="B3" s="403"/>
      <c r="C3" s="403"/>
      <c r="D3" s="403"/>
      <c r="E3" s="403"/>
      <c r="F3" s="403"/>
      <c r="G3" s="403"/>
      <c r="H3" s="403"/>
      <c r="I3" s="403"/>
    </row>
    <row r="4" spans="1:9">
      <c r="A4" s="403" t="s">
        <v>638</v>
      </c>
      <c r="B4" s="403"/>
      <c r="C4" s="403"/>
      <c r="D4" s="403"/>
      <c r="E4" s="403"/>
      <c r="F4" s="403"/>
      <c r="G4" s="403"/>
      <c r="H4" s="403"/>
      <c r="I4" s="403"/>
    </row>
    <row r="5" spans="1:9">
      <c r="A5" s="286"/>
      <c r="B5" s="286"/>
      <c r="C5" s="286"/>
      <c r="D5" s="286"/>
      <c r="E5" s="286"/>
      <c r="F5" s="286"/>
      <c r="G5" s="286"/>
      <c r="H5" s="286"/>
      <c r="I5" s="286"/>
    </row>
    <row r="6" spans="1:9">
      <c r="A6" s="286"/>
      <c r="B6" s="286"/>
      <c r="C6" s="286"/>
      <c r="D6" s="286"/>
      <c r="E6" s="286"/>
      <c r="F6" s="286"/>
      <c r="G6" s="286"/>
      <c r="H6" s="286"/>
      <c r="I6" s="335" t="s">
        <v>786</v>
      </c>
    </row>
    <row r="7" spans="1:9">
      <c r="A7" s="286"/>
      <c r="B7" s="286"/>
      <c r="C7" s="286"/>
      <c r="D7" s="286"/>
      <c r="E7" s="286"/>
      <c r="F7" s="286"/>
      <c r="G7" s="286"/>
      <c r="H7" s="286"/>
      <c r="I7" s="335">
        <v>84</v>
      </c>
    </row>
    <row r="8" spans="1:9">
      <c r="A8" s="273"/>
      <c r="B8" s="273"/>
      <c r="C8" s="273"/>
      <c r="D8" s="273"/>
      <c r="E8" s="273"/>
      <c r="F8" s="273"/>
      <c r="G8" s="324" t="s">
        <v>18</v>
      </c>
      <c r="H8" s="324"/>
      <c r="I8" s="324" t="s">
        <v>755</v>
      </c>
    </row>
    <row r="9" spans="1:9">
      <c r="A9" s="273"/>
      <c r="B9" s="273"/>
      <c r="C9" s="273"/>
      <c r="D9" s="273"/>
      <c r="E9" s="273"/>
      <c r="F9" s="273"/>
      <c r="G9" s="309" t="s">
        <v>706</v>
      </c>
      <c r="H9" s="324"/>
      <c r="I9" s="309" t="s">
        <v>710</v>
      </c>
    </row>
    <row r="10" spans="1:9">
      <c r="A10" s="273"/>
      <c r="B10" s="273"/>
      <c r="C10" s="273"/>
      <c r="D10" s="273"/>
      <c r="E10" s="273"/>
      <c r="F10" s="273"/>
      <c r="G10" s="324"/>
      <c r="H10" s="324"/>
      <c r="I10" s="324"/>
    </row>
    <row r="11" spans="1:9">
      <c r="A11" s="328" t="s">
        <v>709</v>
      </c>
      <c r="E11" s="314"/>
      <c r="F11" s="314"/>
      <c r="G11" s="325">
        <v>73220693</v>
      </c>
      <c r="H11" s="325"/>
      <c r="I11" s="277">
        <v>73220693</v>
      </c>
    </row>
    <row r="12" spans="1:9">
      <c r="E12" s="314"/>
      <c r="F12" s="314"/>
      <c r="G12" s="325"/>
      <c r="H12" s="325"/>
      <c r="I12" s="277"/>
    </row>
    <row r="13" spans="1:9">
      <c r="E13" s="315"/>
      <c r="F13" s="315"/>
      <c r="G13" s="315"/>
      <c r="H13" s="315"/>
      <c r="I13" s="315"/>
    </row>
    <row r="14" spans="1:9" ht="14.25">
      <c r="A14" s="316" t="s">
        <v>696</v>
      </c>
      <c r="E14" s="315"/>
      <c r="F14" s="315"/>
      <c r="G14" s="315"/>
      <c r="H14" s="315"/>
      <c r="I14" s="315"/>
    </row>
    <row r="15" spans="1:9">
      <c r="D15" s="353" t="s">
        <v>18</v>
      </c>
      <c r="E15" s="315"/>
      <c r="F15" s="315"/>
      <c r="G15" s="315"/>
      <c r="H15" s="315"/>
      <c r="I15" s="315"/>
    </row>
    <row r="16" spans="1:9">
      <c r="A16" t="s">
        <v>697</v>
      </c>
      <c r="D16" s="317">
        <v>120</v>
      </c>
      <c r="E16" s="315" t="s">
        <v>698</v>
      </c>
      <c r="F16" s="315"/>
      <c r="G16" s="315"/>
      <c r="H16" s="315"/>
      <c r="I16" s="315"/>
    </row>
    <row r="17" spans="1:22">
      <c r="A17" t="s">
        <v>699</v>
      </c>
      <c r="D17" s="317">
        <v>36</v>
      </c>
      <c r="E17" s="315" t="s">
        <v>698</v>
      </c>
      <c r="F17" s="315"/>
      <c r="G17" s="315"/>
      <c r="H17" s="315"/>
      <c r="I17" s="315"/>
    </row>
    <row r="18" spans="1:22">
      <c r="A18" t="s">
        <v>700</v>
      </c>
      <c r="G18" s="315"/>
      <c r="H18" s="315"/>
      <c r="I18" s="315"/>
    </row>
    <row r="19" spans="1:22">
      <c r="A19" t="s">
        <v>701</v>
      </c>
      <c r="D19" s="318">
        <v>21</v>
      </c>
      <c r="E19" s="315" t="s">
        <v>698</v>
      </c>
      <c r="F19" s="315"/>
      <c r="G19" s="315"/>
      <c r="H19" s="315"/>
      <c r="I19" s="315"/>
    </row>
    <row r="20" spans="1:22" ht="13.5" thickBot="1">
      <c r="A20" t="s">
        <v>702</v>
      </c>
      <c r="D20" s="319">
        <f>D16-D17-D19</f>
        <v>63</v>
      </c>
      <c r="E20" s="315" t="s">
        <v>698</v>
      </c>
      <c r="F20" s="315"/>
      <c r="G20" s="315"/>
      <c r="H20" s="315"/>
      <c r="I20" s="315"/>
    </row>
    <row r="21" spans="1:22" ht="13.5" thickTop="1">
      <c r="D21" s="317"/>
      <c r="E21" s="315"/>
      <c r="F21" s="315"/>
      <c r="G21" s="315"/>
      <c r="H21" s="315"/>
      <c r="I21" s="315"/>
    </row>
    <row r="22" spans="1:22">
      <c r="A22" t="s">
        <v>695</v>
      </c>
      <c r="B22" s="1"/>
      <c r="C22" s="1"/>
      <c r="D22" s="1"/>
      <c r="E22" s="314"/>
      <c r="F22" s="314"/>
      <c r="G22" s="326">
        <f>G11</f>
        <v>73220693</v>
      </c>
      <c r="H22" s="314"/>
      <c r="I22" s="326">
        <f>I11</f>
        <v>73220693</v>
      </c>
    </row>
    <row r="23" spans="1:22">
      <c r="A23" t="s">
        <v>702</v>
      </c>
      <c r="B23" s="1"/>
      <c r="C23" s="1"/>
      <c r="D23" s="1"/>
      <c r="E23" s="314"/>
      <c r="F23" s="314"/>
      <c r="G23" s="318">
        <f>D20</f>
        <v>63</v>
      </c>
      <c r="H23" s="320"/>
      <c r="I23" s="318">
        <f>D20+D19</f>
        <v>84</v>
      </c>
    </row>
    <row r="24" spans="1:22">
      <c r="A24" s="1"/>
      <c r="B24" s="1"/>
      <c r="C24" s="1"/>
      <c r="D24" s="320"/>
      <c r="E24" s="314"/>
      <c r="F24" s="314"/>
      <c r="G24" s="314"/>
      <c r="H24" s="314"/>
      <c r="I24" s="314"/>
    </row>
    <row r="25" spans="1:22">
      <c r="A25" s="308" t="s">
        <v>756</v>
      </c>
      <c r="B25" s="1"/>
      <c r="C25" s="1"/>
      <c r="D25" s="320"/>
      <c r="E25" s="314"/>
      <c r="F25" s="314"/>
      <c r="G25" s="314">
        <f>ROUND(G22/G23,0)</f>
        <v>1162233</v>
      </c>
      <c r="H25" s="314"/>
      <c r="I25" s="314">
        <f>ROUND(I22/I23,0)</f>
        <v>871675</v>
      </c>
    </row>
    <row r="26" spans="1:22">
      <c r="A26" s="272" t="s">
        <v>703</v>
      </c>
      <c r="B26" s="1"/>
      <c r="C26" s="1"/>
      <c r="D26" s="320"/>
      <c r="E26" s="314"/>
      <c r="F26" s="314"/>
      <c r="G26" s="321">
        <v>1002960</v>
      </c>
      <c r="H26" s="314"/>
      <c r="I26" s="321">
        <v>1002960</v>
      </c>
    </row>
    <row r="27" spans="1:22">
      <c r="A27" s="1"/>
      <c r="B27" s="1"/>
      <c r="C27" s="1"/>
      <c r="D27" s="320"/>
      <c r="E27" s="314"/>
      <c r="F27" s="314"/>
      <c r="G27" s="314"/>
      <c r="H27" s="314"/>
      <c r="I27" s="314"/>
    </row>
    <row r="28" spans="1:22" ht="13.5" thickBot="1">
      <c r="A28" s="272" t="s">
        <v>704</v>
      </c>
      <c r="B28" s="1"/>
      <c r="C28" s="1"/>
      <c r="D28" s="320"/>
      <c r="E28" s="314"/>
      <c r="F28" s="314"/>
      <c r="G28" s="299">
        <f>G25-G26</f>
        <v>159273</v>
      </c>
      <c r="H28" s="314"/>
      <c r="I28" s="299">
        <f>I25-I26</f>
        <v>-131285</v>
      </c>
      <c r="J28" s="1"/>
    </row>
    <row r="29" spans="1:22" ht="13.5" thickTop="1">
      <c r="A29" s="1"/>
      <c r="B29" s="1"/>
      <c r="C29" s="1"/>
      <c r="D29" s="1"/>
      <c r="E29" s="314"/>
      <c r="F29" s="314"/>
      <c r="G29" s="314"/>
      <c r="H29" s="314"/>
      <c r="I29" s="314"/>
      <c r="J29" s="272"/>
      <c r="K29" s="273"/>
      <c r="L29" s="273"/>
      <c r="M29" s="273"/>
      <c r="N29" s="273"/>
      <c r="O29" s="273"/>
      <c r="P29" s="273"/>
      <c r="Q29" s="273"/>
      <c r="R29" s="273"/>
      <c r="S29" s="273"/>
      <c r="T29" s="273"/>
      <c r="U29" s="273"/>
      <c r="V29" s="273"/>
    </row>
    <row r="30" spans="1:22" ht="13.5" thickBot="1">
      <c r="A30" s="272" t="s">
        <v>705</v>
      </c>
      <c r="B30" s="1"/>
      <c r="C30" s="1"/>
      <c r="D30" s="1"/>
      <c r="E30" s="314"/>
      <c r="F30" s="314"/>
      <c r="G30" s="299">
        <f>ROUND(G28*12,0)</f>
        <v>1911276</v>
      </c>
      <c r="H30" s="314"/>
      <c r="I30" s="299">
        <f>ROUND(I28*12,0)</f>
        <v>-1575420</v>
      </c>
      <c r="J30" s="308"/>
      <c r="K30" s="273"/>
      <c r="L30" s="273"/>
      <c r="M30" s="273"/>
      <c r="N30" s="273"/>
      <c r="O30" s="273"/>
      <c r="P30" s="273"/>
      <c r="Q30" s="273"/>
      <c r="R30" s="273"/>
      <c r="S30" s="273"/>
      <c r="T30" s="273"/>
      <c r="U30" s="273"/>
      <c r="V30" s="273"/>
    </row>
    <row r="31" spans="1:22" ht="13.5" thickTop="1">
      <c r="A31" s="272"/>
      <c r="B31" s="1"/>
      <c r="C31" s="1"/>
      <c r="D31" s="1"/>
      <c r="E31" s="314"/>
      <c r="F31" s="314"/>
      <c r="G31" s="314"/>
      <c r="H31" s="314"/>
      <c r="I31" s="314"/>
      <c r="J31" s="308"/>
      <c r="K31" s="273"/>
      <c r="L31" s="273"/>
      <c r="M31" s="273"/>
      <c r="N31" s="273"/>
      <c r="O31" s="273"/>
      <c r="P31" s="273"/>
      <c r="Q31" s="273"/>
      <c r="R31" s="273"/>
      <c r="S31" s="273"/>
      <c r="T31" s="273"/>
      <c r="U31" s="273"/>
      <c r="V31" s="273"/>
    </row>
    <row r="32" spans="1:22">
      <c r="A32" s="272"/>
      <c r="B32" s="1"/>
      <c r="C32" s="1"/>
      <c r="D32" s="1"/>
      <c r="E32" s="314"/>
      <c r="F32" s="314"/>
      <c r="G32" s="314"/>
      <c r="H32" s="314"/>
      <c r="I32" s="314"/>
      <c r="J32" s="308"/>
      <c r="K32" s="273"/>
      <c r="L32" s="273"/>
      <c r="M32" s="273"/>
      <c r="N32" s="273"/>
      <c r="O32" s="273"/>
      <c r="P32" s="273"/>
      <c r="Q32" s="273"/>
      <c r="R32" s="273"/>
      <c r="S32" s="273"/>
      <c r="T32" s="273"/>
      <c r="U32" s="273"/>
      <c r="V32" s="273"/>
    </row>
    <row r="33" spans="1:22" ht="13.5" thickBot="1">
      <c r="A33" s="308" t="s">
        <v>707</v>
      </c>
      <c r="B33" s="1"/>
      <c r="C33" s="1"/>
      <c r="D33" s="1"/>
      <c r="E33" s="314"/>
      <c r="F33" s="314"/>
      <c r="G33" s="322">
        <f>G25*12</f>
        <v>13946796</v>
      </c>
      <c r="H33" s="314"/>
      <c r="I33" s="322">
        <f>I25*12</f>
        <v>10460100</v>
      </c>
      <c r="J33" s="308"/>
      <c r="K33" s="273"/>
      <c r="L33" s="273"/>
      <c r="M33" s="273"/>
      <c r="N33" s="273"/>
      <c r="O33" s="273"/>
      <c r="P33" s="273"/>
      <c r="Q33" s="273"/>
      <c r="R33" s="273"/>
      <c r="S33" s="273"/>
      <c r="T33" s="273"/>
      <c r="U33" s="273"/>
      <c r="V33" s="273"/>
    </row>
    <row r="34" spans="1:22" ht="13.5" thickTop="1">
      <c r="A34" s="272"/>
      <c r="B34" s="1"/>
      <c r="C34" s="1"/>
      <c r="D34" s="1"/>
      <c r="E34" s="314"/>
      <c r="F34" s="314"/>
      <c r="G34" s="314"/>
      <c r="H34" s="314"/>
      <c r="I34" s="314"/>
      <c r="J34" s="308"/>
      <c r="K34" s="273"/>
      <c r="L34" s="273"/>
      <c r="M34" s="273"/>
      <c r="N34" s="273"/>
      <c r="O34" s="273"/>
      <c r="P34" s="273"/>
      <c r="Q34" s="273"/>
      <c r="R34" s="273"/>
      <c r="S34" s="273"/>
      <c r="T34" s="273"/>
      <c r="U34" s="273"/>
      <c r="V34" s="273"/>
    </row>
    <row r="35" spans="1:22">
      <c r="A35" s="272"/>
      <c r="B35" s="1"/>
      <c r="C35" s="1"/>
      <c r="D35" s="1"/>
      <c r="E35" s="314"/>
      <c r="F35" s="314"/>
      <c r="G35" s="314"/>
      <c r="H35" s="314"/>
      <c r="I35" s="314"/>
      <c r="J35" s="308"/>
      <c r="K35" s="273"/>
      <c r="L35" s="273"/>
      <c r="M35" s="273"/>
      <c r="N35" s="273"/>
      <c r="O35" s="273"/>
      <c r="P35" s="273"/>
      <c r="Q35" s="273"/>
      <c r="R35" s="273"/>
      <c r="S35" s="273"/>
      <c r="T35" s="273"/>
      <c r="U35" s="273"/>
      <c r="V35" s="273"/>
    </row>
    <row r="36" spans="1:22" ht="13.5" thickBot="1">
      <c r="A36" s="308" t="s">
        <v>708</v>
      </c>
      <c r="B36" s="272"/>
      <c r="C36" s="272"/>
      <c r="D36" s="272"/>
      <c r="E36" s="272"/>
      <c r="F36" s="272"/>
      <c r="G36" s="272"/>
      <c r="H36" s="272"/>
      <c r="I36" s="288">
        <f>I33-G33</f>
        <v>-3486696</v>
      </c>
      <c r="J36" s="272"/>
      <c r="K36" s="273"/>
      <c r="L36" s="273"/>
      <c r="M36" s="273"/>
      <c r="N36" s="273"/>
      <c r="O36" s="273"/>
      <c r="P36" s="273"/>
      <c r="Q36" s="273"/>
      <c r="R36" s="273"/>
      <c r="S36" s="273"/>
      <c r="T36" s="273"/>
      <c r="U36" s="273"/>
      <c r="V36" s="273"/>
    </row>
    <row r="37" spans="1:22" ht="13.5" thickTop="1">
      <c r="A37" s="272"/>
      <c r="B37" s="272"/>
      <c r="C37" s="272"/>
      <c r="D37" s="272"/>
      <c r="E37" s="272"/>
      <c r="F37" s="272"/>
      <c r="G37" s="272"/>
      <c r="H37" s="272"/>
      <c r="I37" s="272"/>
      <c r="J37" s="1"/>
    </row>
    <row r="38" spans="1:22">
      <c r="A38" s="308"/>
      <c r="B38" s="272"/>
      <c r="C38" s="272"/>
      <c r="D38" s="272"/>
      <c r="E38" s="272"/>
      <c r="F38" s="272"/>
      <c r="G38" s="272"/>
      <c r="H38" s="272"/>
      <c r="I38" s="272"/>
      <c r="J38" s="1"/>
    </row>
    <row r="39" spans="1:22">
      <c r="A39" s="1"/>
      <c r="B39" s="1"/>
      <c r="C39" s="1"/>
      <c r="D39" s="1"/>
      <c r="E39" s="1"/>
      <c r="F39" s="1"/>
      <c r="G39" s="1"/>
      <c r="H39" s="1"/>
      <c r="I39" s="1"/>
      <c r="J39" s="1"/>
    </row>
    <row r="40" spans="1:22">
      <c r="A40" s="1"/>
      <c r="B40" s="1"/>
      <c r="C40" s="1"/>
      <c r="D40" s="1"/>
      <c r="E40" s="1"/>
      <c r="F40" s="1"/>
      <c r="G40" s="1"/>
      <c r="H40" s="1"/>
      <c r="I40" s="1"/>
      <c r="J40" s="1"/>
    </row>
    <row r="41" spans="1:22">
      <c r="A41" s="1"/>
      <c r="B41" s="1"/>
      <c r="C41" s="1"/>
      <c r="D41" s="1"/>
      <c r="E41" s="1"/>
      <c r="F41" s="1"/>
      <c r="G41" s="1"/>
      <c r="H41" s="1"/>
      <c r="I41" s="1"/>
      <c r="J41" s="1"/>
    </row>
    <row r="42" spans="1:22">
      <c r="A42" s="1"/>
      <c r="B42" s="1"/>
      <c r="C42" s="1"/>
      <c r="D42" s="1"/>
      <c r="E42" s="1"/>
      <c r="F42" s="1"/>
      <c r="G42" s="1"/>
      <c r="H42" s="1"/>
      <c r="I42" s="1"/>
      <c r="J42" s="1"/>
    </row>
    <row r="43" spans="1:22">
      <c r="A43" s="1"/>
      <c r="B43" s="1"/>
      <c r="C43" s="1"/>
      <c r="D43" s="1"/>
      <c r="E43" s="1"/>
      <c r="F43" s="1"/>
      <c r="G43" s="1"/>
      <c r="H43" s="1"/>
      <c r="I43" s="1"/>
      <c r="J43" s="1"/>
    </row>
    <row r="44" spans="1:22">
      <c r="A44" s="1"/>
      <c r="B44" s="1"/>
      <c r="C44" s="1"/>
      <c r="D44" s="1"/>
      <c r="E44" s="1"/>
      <c r="F44" s="1"/>
      <c r="G44" s="1"/>
      <c r="H44" s="1"/>
      <c r="I44" s="1"/>
      <c r="J44" s="1"/>
    </row>
    <row r="45" spans="1:22">
      <c r="A45" s="1"/>
      <c r="B45" s="1"/>
      <c r="C45" s="1"/>
      <c r="D45" s="1"/>
      <c r="E45" s="1"/>
      <c r="F45" s="1"/>
      <c r="G45" s="1"/>
      <c r="H45" s="1"/>
      <c r="I45" s="1"/>
      <c r="J45" s="1"/>
    </row>
    <row r="46" spans="1:22">
      <c r="A46" s="1"/>
      <c r="B46" s="1"/>
      <c r="C46" s="1"/>
      <c r="D46" s="1"/>
      <c r="E46" s="1"/>
      <c r="F46" s="1"/>
      <c r="G46" s="1"/>
      <c r="H46" s="1"/>
      <c r="I46" s="1"/>
      <c r="J46" s="1"/>
    </row>
    <row r="47" spans="1:22">
      <c r="A47" s="1"/>
      <c r="B47" s="1"/>
      <c r="C47" s="1"/>
      <c r="D47" s="1"/>
      <c r="E47" s="1"/>
      <c r="F47" s="1"/>
      <c r="G47" s="1"/>
      <c r="H47" s="1"/>
      <c r="I47" s="1"/>
      <c r="J47" s="1"/>
    </row>
    <row r="48" spans="1:22">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sheetData>
  <mergeCells count="4">
    <mergeCell ref="A1:I1"/>
    <mergeCell ref="A2:I2"/>
    <mergeCell ref="A3:I3"/>
    <mergeCell ref="A4:I4"/>
  </mergeCells>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defaultRowHeight="12.75"/>
  <sheetData>
    <row r="1" spans="1:8">
      <c r="F1" t="s">
        <v>790</v>
      </c>
      <c r="G1" t="s">
        <v>792</v>
      </c>
    </row>
    <row r="2" spans="1:8">
      <c r="F2" t="s">
        <v>791</v>
      </c>
      <c r="G2" t="s">
        <v>793</v>
      </c>
    </row>
    <row r="4" spans="1:8">
      <c r="A4" t="s">
        <v>788</v>
      </c>
      <c r="E4" s="395">
        <v>-9.7123989999999996</v>
      </c>
      <c r="F4" s="395">
        <f>E4*1.5</f>
        <v>-14.5685985</v>
      </c>
      <c r="G4" s="395">
        <f>F4*1.002</f>
        <v>-14.597735697000001</v>
      </c>
      <c r="H4" s="395"/>
    </row>
    <row r="5" spans="1:8">
      <c r="E5" s="395"/>
      <c r="F5" s="395"/>
      <c r="G5" s="395"/>
      <c r="H5" s="395"/>
    </row>
    <row r="6" spans="1:8">
      <c r="A6" t="s">
        <v>794</v>
      </c>
      <c r="E6" s="395">
        <f>17.451755</f>
        <v>17.451754999999999</v>
      </c>
      <c r="F6" s="395"/>
      <c r="G6" s="395">
        <f>E6*1.002</f>
        <v>17.486658509999998</v>
      </c>
      <c r="H6" s="395"/>
    </row>
    <row r="7" spans="1:8">
      <c r="E7" s="395"/>
      <c r="F7" s="395"/>
      <c r="G7" s="395"/>
      <c r="H7" s="395"/>
    </row>
    <row r="8" spans="1:8">
      <c r="E8" s="395"/>
      <c r="F8" s="395"/>
      <c r="G8" s="395"/>
      <c r="H8" s="395"/>
    </row>
    <row r="9" spans="1:8">
      <c r="A9" t="s">
        <v>789</v>
      </c>
      <c r="E9" s="395">
        <v>-1.190183</v>
      </c>
      <c r="F9" s="395"/>
      <c r="G9" s="395">
        <f>E9*1.002</f>
        <v>-1.1925633659999999</v>
      </c>
      <c r="H9" s="395"/>
    </row>
    <row r="10" spans="1:8">
      <c r="E10" s="395"/>
      <c r="F10" s="395"/>
      <c r="G10" s="395"/>
      <c r="H10" s="395"/>
    </row>
    <row r="11" spans="1:8">
      <c r="A11" t="s">
        <v>795</v>
      </c>
      <c r="E11" s="395">
        <f>4.261906+0.404848</f>
        <v>4.6667540000000001</v>
      </c>
      <c r="F11" s="395"/>
      <c r="G11" s="395">
        <f>E11*1.002</f>
        <v>4.6760875080000002</v>
      </c>
      <c r="H11" s="395"/>
    </row>
    <row r="12" spans="1:8">
      <c r="E12" s="395"/>
      <c r="F12" s="395"/>
      <c r="G12" s="395"/>
      <c r="H12" s="395"/>
    </row>
    <row r="13" spans="1:8">
      <c r="A13" t="s">
        <v>798</v>
      </c>
      <c r="E13" s="395">
        <v>0.32181199999999999</v>
      </c>
      <c r="F13" s="395"/>
      <c r="G13" s="395">
        <f>E13*1.002</f>
        <v>0.322455624</v>
      </c>
      <c r="H13" s="395"/>
    </row>
    <row r="14" spans="1:8">
      <c r="E14" s="395"/>
      <c r="F14" s="395"/>
      <c r="G14" s="395"/>
      <c r="H14" s="395"/>
    </row>
    <row r="15" spans="1:8">
      <c r="A15" t="s">
        <v>799</v>
      </c>
      <c r="E15" s="395">
        <v>0.47322199999999998</v>
      </c>
      <c r="F15" s="395"/>
      <c r="G15" s="395">
        <f>E15*1.002</f>
        <v>0.47416844399999997</v>
      </c>
      <c r="H15" s="395"/>
    </row>
    <row r="16" spans="1:8">
      <c r="E16" s="395"/>
      <c r="F16" s="395"/>
      <c r="G16" s="395"/>
      <c r="H16" s="395"/>
    </row>
    <row r="17" spans="1:8">
      <c r="A17" t="s">
        <v>796</v>
      </c>
      <c r="E17" s="395">
        <v>9.3438009999999991</v>
      </c>
      <c r="F17" s="395"/>
      <c r="G17" s="395">
        <f>E17*1.002</f>
        <v>9.3624886019999991</v>
      </c>
      <c r="H17" s="395"/>
    </row>
    <row r="18" spans="1:8">
      <c r="E18" s="395"/>
      <c r="F18" s="395"/>
      <c r="G18" s="395"/>
      <c r="H18" s="395"/>
    </row>
    <row r="19" spans="1:8">
      <c r="E19" s="395"/>
      <c r="F19" s="395"/>
      <c r="G19" s="395"/>
      <c r="H19" s="395"/>
    </row>
    <row r="20" spans="1:8">
      <c r="A20" t="s">
        <v>797</v>
      </c>
      <c r="E20" s="395"/>
      <c r="F20" s="395"/>
      <c r="G20" s="395">
        <f>SUM(G4:G19)</f>
        <v>16.531559624999996</v>
      </c>
      <c r="H20" s="395"/>
    </row>
    <row r="21" spans="1:8">
      <c r="E21" s="395"/>
      <c r="F21" s="395"/>
      <c r="G21" s="395"/>
      <c r="H21" s="39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H23" sqref="H23"/>
    </sheetView>
  </sheetViews>
  <sheetFormatPr defaultRowHeight="12.75"/>
  <cols>
    <col min="1" max="3" width="10.7109375" customWidth="1"/>
    <col min="4" max="4" width="17.5703125" customWidth="1"/>
    <col min="5" max="5" width="10.7109375" customWidth="1"/>
    <col min="6" max="6" width="11.7109375" customWidth="1"/>
  </cols>
  <sheetData>
    <row r="1" spans="1:13">
      <c r="A1" s="403" t="s">
        <v>0</v>
      </c>
      <c r="B1" s="403"/>
      <c r="C1" s="403"/>
      <c r="D1" s="403"/>
      <c r="E1" s="403"/>
      <c r="F1" s="403"/>
    </row>
    <row r="2" spans="1:13">
      <c r="A2" s="403" t="s">
        <v>651</v>
      </c>
      <c r="B2" s="403"/>
      <c r="C2" s="403"/>
      <c r="D2" s="403"/>
      <c r="E2" s="403"/>
      <c r="F2" s="403"/>
    </row>
    <row r="3" spans="1:13">
      <c r="A3" s="403" t="s">
        <v>22</v>
      </c>
      <c r="B3" s="403"/>
      <c r="C3" s="403"/>
      <c r="D3" s="403"/>
      <c r="E3" s="403"/>
      <c r="F3" s="403"/>
    </row>
    <row r="4" spans="1:13">
      <c r="A4" s="403" t="s">
        <v>638</v>
      </c>
      <c r="B4" s="403"/>
      <c r="C4" s="403"/>
      <c r="D4" s="403"/>
      <c r="E4" s="403"/>
      <c r="F4" s="403"/>
    </row>
    <row r="5" spans="1:13">
      <c r="A5" s="273"/>
      <c r="B5" s="273"/>
      <c r="C5" s="273"/>
      <c r="D5" s="273"/>
      <c r="E5" s="273"/>
      <c r="F5" s="273"/>
    </row>
    <row r="6" spans="1:13">
      <c r="A6" s="273"/>
      <c r="B6" s="273"/>
      <c r="C6" s="273"/>
      <c r="D6" s="273"/>
      <c r="E6" s="273"/>
      <c r="F6" s="273"/>
    </row>
    <row r="7" spans="1:13">
      <c r="A7" s="281" t="s">
        <v>652</v>
      </c>
      <c r="B7" s="273"/>
      <c r="C7" s="273"/>
      <c r="D7" s="273"/>
      <c r="E7" s="268"/>
      <c r="F7" s="268"/>
    </row>
    <row r="8" spans="1:13">
      <c r="A8" s="281"/>
      <c r="B8" s="273"/>
      <c r="C8" s="273"/>
      <c r="D8" s="273"/>
      <c r="E8" s="268"/>
      <c r="F8" s="268"/>
    </row>
    <row r="9" spans="1:13">
      <c r="A9" s="281"/>
      <c r="B9" s="273"/>
      <c r="C9" s="273"/>
      <c r="D9" s="273"/>
      <c r="E9" s="268"/>
      <c r="F9" s="268"/>
    </row>
    <row r="10" spans="1:13">
      <c r="A10" s="273"/>
      <c r="B10" s="273"/>
      <c r="C10" s="273"/>
      <c r="D10" s="273"/>
      <c r="E10" s="287">
        <v>2019</v>
      </c>
      <c r="F10" s="287">
        <v>2020</v>
      </c>
    </row>
    <row r="11" spans="1:13">
      <c r="A11" s="273"/>
      <c r="B11" s="273"/>
      <c r="C11" s="273"/>
      <c r="D11" s="273"/>
      <c r="E11" s="273"/>
      <c r="F11" s="273"/>
    </row>
    <row r="12" spans="1:13">
      <c r="A12" s="271" t="s">
        <v>653</v>
      </c>
      <c r="B12" s="272"/>
      <c r="C12" s="272"/>
      <c r="D12" s="272"/>
      <c r="E12" s="277">
        <v>6330056</v>
      </c>
      <c r="F12" s="277">
        <v>10865180</v>
      </c>
      <c r="G12" s="1"/>
    </row>
    <row r="13" spans="1:13">
      <c r="A13" s="272"/>
      <c r="B13" s="272"/>
      <c r="C13" s="272"/>
      <c r="D13" s="272"/>
      <c r="E13" s="272"/>
      <c r="F13" s="272"/>
      <c r="G13" s="1"/>
    </row>
    <row r="14" spans="1:13">
      <c r="A14" s="272"/>
      <c r="B14" s="272"/>
      <c r="C14" s="272"/>
      <c r="D14" s="272"/>
      <c r="E14" s="272"/>
      <c r="F14" s="272"/>
      <c r="G14" s="1"/>
    </row>
    <row r="15" spans="1:13">
      <c r="A15" s="272"/>
      <c r="B15" s="272"/>
      <c r="C15" s="272"/>
      <c r="D15" s="272"/>
      <c r="E15" s="272"/>
      <c r="F15" s="272"/>
      <c r="G15" s="271"/>
      <c r="H15" s="273"/>
      <c r="I15" s="273"/>
      <c r="J15" s="273"/>
      <c r="K15" s="273"/>
      <c r="L15" s="273"/>
      <c r="M15" s="273"/>
    </row>
    <row r="16" spans="1:13">
      <c r="A16" s="272"/>
      <c r="B16" s="272"/>
      <c r="C16" s="272"/>
      <c r="D16" s="272"/>
      <c r="E16" s="272"/>
      <c r="F16" s="272"/>
      <c r="G16" s="272"/>
      <c r="H16" s="273"/>
      <c r="I16" s="273"/>
      <c r="J16" s="273"/>
      <c r="K16" s="273"/>
      <c r="L16" s="273"/>
      <c r="M16" s="273"/>
    </row>
    <row r="17" spans="1:7" ht="13.5" thickBot="1">
      <c r="A17" s="271" t="s">
        <v>654</v>
      </c>
      <c r="B17" s="272"/>
      <c r="C17" s="272"/>
      <c r="D17" s="272"/>
      <c r="E17" s="272"/>
      <c r="F17" s="288">
        <f>F12-E12</f>
        <v>4535124</v>
      </c>
      <c r="G17" s="1"/>
    </row>
    <row r="18" spans="1:7" ht="13.5" thickTop="1">
      <c r="A18" s="272"/>
      <c r="B18" s="272"/>
      <c r="C18" s="272"/>
      <c r="D18" s="272"/>
      <c r="E18" s="272"/>
      <c r="F18" s="272"/>
      <c r="G18" s="1"/>
    </row>
    <row r="19" spans="1:7">
      <c r="A19" s="272"/>
      <c r="B19" s="272"/>
      <c r="C19" s="272"/>
      <c r="D19" s="272"/>
      <c r="E19" s="272"/>
      <c r="F19" s="272"/>
      <c r="G19" s="1"/>
    </row>
    <row r="20" spans="1:7">
      <c r="A20" s="1"/>
      <c r="B20" s="1"/>
      <c r="C20" s="1"/>
      <c r="D20" s="1"/>
      <c r="E20" s="1"/>
      <c r="F20" s="1"/>
      <c r="G20" s="1"/>
    </row>
    <row r="21" spans="1:7">
      <c r="A21" s="1"/>
      <c r="B21" s="1"/>
      <c r="C21" s="1"/>
      <c r="D21" s="1"/>
      <c r="E21" s="1"/>
      <c r="F21" s="1"/>
      <c r="G21" s="1"/>
    </row>
    <row r="22" spans="1:7">
      <c r="A22" s="1"/>
      <c r="B22" s="1"/>
      <c r="C22" s="1"/>
      <c r="D22" s="1"/>
      <c r="E22" s="1"/>
      <c r="F22" s="1"/>
      <c r="G22" s="1"/>
    </row>
    <row r="23" spans="1:7">
      <c r="A23" s="1"/>
      <c r="B23" s="1"/>
      <c r="C23" s="1"/>
      <c r="D23" s="1"/>
      <c r="E23" s="1"/>
      <c r="F23" s="1"/>
      <c r="G23" s="1"/>
    </row>
    <row r="24" spans="1:7">
      <c r="A24" s="1"/>
      <c r="B24" s="1"/>
      <c r="C24" s="1"/>
      <c r="D24" s="1"/>
      <c r="E24" s="1"/>
      <c r="F24" s="1"/>
      <c r="G24" s="1"/>
    </row>
    <row r="25" spans="1:7">
      <c r="A25" s="1"/>
      <c r="B25" s="1"/>
      <c r="C25" s="1"/>
      <c r="D25" s="1"/>
      <c r="E25" s="1"/>
      <c r="F25" s="1"/>
      <c r="G25" s="1"/>
    </row>
    <row r="26" spans="1:7">
      <c r="A26" s="1"/>
      <c r="B26" s="1"/>
      <c r="C26" s="1"/>
      <c r="D26" s="1"/>
      <c r="E26" s="1"/>
      <c r="F26" s="1"/>
      <c r="G26" s="1"/>
    </row>
    <row r="27" spans="1:7">
      <c r="A27" s="1"/>
      <c r="B27" s="1"/>
      <c r="C27" s="1"/>
      <c r="D27" s="1"/>
      <c r="E27" s="1"/>
      <c r="F27" s="1"/>
      <c r="G27" s="1"/>
    </row>
    <row r="28" spans="1:7">
      <c r="A28" s="1"/>
      <c r="B28" s="1"/>
      <c r="C28" s="1"/>
      <c r="D28" s="1"/>
      <c r="E28" s="1"/>
      <c r="F28" s="1"/>
      <c r="G28" s="1"/>
    </row>
    <row r="29" spans="1:7">
      <c r="A29" s="1"/>
      <c r="B29" s="1"/>
      <c r="C29" s="1"/>
      <c r="D29" s="1"/>
      <c r="E29" s="1"/>
      <c r="F29" s="1"/>
      <c r="G29" s="1"/>
    </row>
    <row r="30" spans="1:7">
      <c r="A30" s="1"/>
      <c r="B30" s="1"/>
      <c r="C30" s="1"/>
      <c r="D30" s="1"/>
      <c r="E30" s="1"/>
      <c r="F30" s="1"/>
      <c r="G30" s="1"/>
    </row>
    <row r="31" spans="1:7">
      <c r="A31" s="1"/>
      <c r="B31" s="1"/>
      <c r="C31" s="1"/>
      <c r="D31" s="1"/>
      <c r="E31" s="1"/>
      <c r="F31" s="1"/>
      <c r="G31" s="1"/>
    </row>
    <row r="32" spans="1:7">
      <c r="A32" s="1"/>
      <c r="B32" s="1"/>
      <c r="C32" s="1"/>
      <c r="D32" s="1"/>
      <c r="E32" s="1"/>
      <c r="F32" s="1"/>
      <c r="G32" s="1"/>
    </row>
    <row r="33" spans="1:7">
      <c r="A33" s="1"/>
      <c r="B33" s="1"/>
      <c r="C33" s="1"/>
      <c r="D33" s="1"/>
      <c r="E33" s="1"/>
      <c r="F33" s="1"/>
      <c r="G33" s="1"/>
    </row>
    <row r="34" spans="1:7">
      <c r="A34" s="1"/>
      <c r="B34" s="1"/>
      <c r="C34" s="1"/>
      <c r="D34" s="1"/>
      <c r="E34" s="1"/>
      <c r="F34" s="1"/>
      <c r="G34" s="1"/>
    </row>
  </sheetData>
  <mergeCells count="4">
    <mergeCell ref="A1:F1"/>
    <mergeCell ref="A2:F2"/>
    <mergeCell ref="A3:F3"/>
    <mergeCell ref="A4:F4"/>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G28" sqref="G28"/>
    </sheetView>
  </sheetViews>
  <sheetFormatPr defaultRowHeight="12.75"/>
  <cols>
    <col min="1" max="4" width="13.7109375" customWidth="1"/>
    <col min="5" max="5" width="10.7109375" customWidth="1"/>
    <col min="6" max="6" width="11.7109375" customWidth="1"/>
  </cols>
  <sheetData>
    <row r="1" spans="1:12">
      <c r="A1" s="403" t="s">
        <v>0</v>
      </c>
      <c r="B1" s="403"/>
      <c r="C1" s="403"/>
      <c r="D1" s="403"/>
      <c r="E1" s="403"/>
      <c r="F1" s="403"/>
    </row>
    <row r="2" spans="1:12">
      <c r="A2" s="403" t="s">
        <v>711</v>
      </c>
      <c r="B2" s="403"/>
      <c r="C2" s="403"/>
      <c r="D2" s="403"/>
      <c r="E2" s="403"/>
      <c r="F2" s="403"/>
    </row>
    <row r="3" spans="1:12">
      <c r="A3" s="403" t="s">
        <v>22</v>
      </c>
      <c r="B3" s="403"/>
      <c r="C3" s="403"/>
      <c r="D3" s="403"/>
      <c r="E3" s="403"/>
      <c r="F3" s="403"/>
    </row>
    <row r="4" spans="1:12">
      <c r="A4" s="403" t="s">
        <v>638</v>
      </c>
      <c r="B4" s="403"/>
      <c r="C4" s="403"/>
      <c r="D4" s="403"/>
      <c r="E4" s="403"/>
      <c r="F4" s="403"/>
    </row>
    <row r="5" spans="1:12">
      <c r="A5" s="273"/>
      <c r="B5" s="273"/>
      <c r="C5" s="273"/>
      <c r="D5" s="273"/>
      <c r="E5" s="273"/>
      <c r="F5" s="273"/>
    </row>
    <row r="6" spans="1:12">
      <c r="A6" s="273"/>
      <c r="B6" s="273"/>
      <c r="C6" s="273"/>
      <c r="D6" s="273"/>
      <c r="E6" s="273"/>
      <c r="F6" s="273"/>
    </row>
    <row r="7" spans="1:12">
      <c r="A7" s="323"/>
      <c r="B7" s="273"/>
      <c r="C7" s="273"/>
      <c r="D7" s="273"/>
      <c r="E7" s="329"/>
      <c r="F7" s="329"/>
    </row>
    <row r="8" spans="1:12">
      <c r="A8" s="323"/>
      <c r="B8" s="273"/>
      <c r="C8" s="273"/>
      <c r="D8" s="273"/>
      <c r="E8" s="329"/>
      <c r="F8" s="329"/>
    </row>
    <row r="9" spans="1:12">
      <c r="A9" s="323"/>
      <c r="B9" s="273"/>
      <c r="C9" s="273"/>
      <c r="D9" s="273"/>
      <c r="E9" s="329"/>
      <c r="F9" s="329"/>
    </row>
    <row r="10" spans="1:12">
      <c r="A10" s="273"/>
      <c r="B10" s="273"/>
      <c r="C10" s="273"/>
      <c r="D10" s="273"/>
      <c r="E10" s="287">
        <v>2019</v>
      </c>
      <c r="F10" s="287">
        <v>2020</v>
      </c>
    </row>
    <row r="11" spans="1:12">
      <c r="A11" s="273"/>
      <c r="B11" s="273"/>
      <c r="C11" s="273"/>
      <c r="D11" s="273"/>
      <c r="E11" s="273"/>
      <c r="F11" s="273"/>
    </row>
    <row r="12" spans="1:12">
      <c r="A12" s="308" t="s">
        <v>712</v>
      </c>
      <c r="B12" s="272"/>
      <c r="C12" s="272"/>
      <c r="D12" s="272"/>
      <c r="E12" s="277">
        <v>4008204</v>
      </c>
      <c r="F12" s="277">
        <v>590777</v>
      </c>
      <c r="G12" s="1"/>
    </row>
    <row r="13" spans="1:12">
      <c r="A13" s="272"/>
      <c r="B13" s="272"/>
      <c r="C13" s="272"/>
      <c r="D13" s="272"/>
      <c r="E13" s="272"/>
      <c r="F13" s="272"/>
      <c r="G13" s="1"/>
    </row>
    <row r="14" spans="1:12">
      <c r="A14" s="308" t="s">
        <v>713</v>
      </c>
      <c r="B14" s="272"/>
      <c r="C14" s="272"/>
      <c r="D14" s="272"/>
      <c r="E14" s="277">
        <v>2418758</v>
      </c>
      <c r="F14" s="272"/>
      <c r="G14" s="1"/>
    </row>
    <row r="15" spans="1:12">
      <c r="A15" s="272"/>
      <c r="B15" s="272" t="s">
        <v>714</v>
      </c>
      <c r="C15" s="272"/>
      <c r="D15" s="272"/>
      <c r="E15" s="272"/>
      <c r="F15" s="272"/>
      <c r="G15" s="308"/>
      <c r="H15" s="273"/>
      <c r="I15" s="273"/>
      <c r="J15" s="273"/>
      <c r="K15" s="273"/>
      <c r="L15" s="273"/>
    </row>
    <row r="16" spans="1:12">
      <c r="A16" s="272"/>
      <c r="B16" s="272"/>
      <c r="C16" s="272"/>
      <c r="D16" s="272"/>
      <c r="E16" s="272"/>
      <c r="F16" s="272"/>
      <c r="G16" s="308"/>
      <c r="H16" s="273"/>
      <c r="I16" s="273"/>
      <c r="J16" s="273"/>
      <c r="K16" s="273"/>
      <c r="L16" s="273"/>
    </row>
    <row r="17" spans="1:13">
      <c r="A17" s="272" t="s">
        <v>715</v>
      </c>
      <c r="B17" s="272"/>
      <c r="C17" s="272"/>
      <c r="D17" s="272"/>
      <c r="E17" s="330">
        <f>E14/E12</f>
        <v>0.60345182031653077</v>
      </c>
      <c r="F17" s="331"/>
      <c r="G17" s="308"/>
      <c r="H17" s="273"/>
      <c r="I17" s="273"/>
      <c r="J17" s="273"/>
      <c r="K17" s="273"/>
      <c r="L17" s="273"/>
    </row>
    <row r="18" spans="1:13">
      <c r="A18" s="272"/>
      <c r="B18" s="272"/>
      <c r="C18" s="272"/>
      <c r="D18" s="272"/>
      <c r="E18" s="272"/>
      <c r="F18" s="272"/>
      <c r="G18" s="308"/>
      <c r="H18" s="273"/>
      <c r="I18" s="273"/>
      <c r="J18" s="273"/>
      <c r="K18" s="273"/>
      <c r="L18" s="273"/>
    </row>
    <row r="19" spans="1:13">
      <c r="A19" s="272" t="s">
        <v>716</v>
      </c>
      <c r="B19" s="272"/>
      <c r="C19" s="272"/>
      <c r="D19" s="272"/>
      <c r="E19" s="272"/>
      <c r="F19" s="332">
        <f>F12*E17</f>
        <v>356505.4560511391</v>
      </c>
      <c r="G19" s="308"/>
      <c r="H19" s="273"/>
      <c r="I19" s="273"/>
      <c r="J19" s="273"/>
      <c r="K19" s="273"/>
      <c r="L19" s="273"/>
    </row>
    <row r="20" spans="1:13">
      <c r="A20" s="272"/>
      <c r="B20" s="272"/>
      <c r="C20" s="272"/>
      <c r="D20" s="272"/>
      <c r="E20" s="272"/>
      <c r="F20" s="272"/>
      <c r="G20" s="272"/>
      <c r="H20" s="273"/>
      <c r="I20" s="273"/>
      <c r="J20" s="273"/>
      <c r="K20" s="273"/>
      <c r="L20" s="273"/>
      <c r="M20" s="273"/>
    </row>
    <row r="21" spans="1:13" ht="13.5" thickBot="1">
      <c r="A21" s="308" t="s">
        <v>717</v>
      </c>
      <c r="B21" s="272"/>
      <c r="C21" s="272"/>
      <c r="D21" s="272"/>
      <c r="E21" s="272"/>
      <c r="F21" s="288">
        <f>F19-E14</f>
        <v>-2062252.5439488608</v>
      </c>
      <c r="G21" s="272"/>
      <c r="H21" s="273"/>
      <c r="I21" s="273"/>
      <c r="J21" s="273"/>
      <c r="K21" s="273"/>
      <c r="L21" s="273"/>
    </row>
    <row r="22" spans="1:13" ht="13.5" thickTop="1">
      <c r="A22" s="272"/>
      <c r="B22" s="272"/>
      <c r="C22" s="272"/>
      <c r="D22" s="272"/>
      <c r="E22" s="272"/>
      <c r="F22" s="272"/>
      <c r="G22" s="1"/>
    </row>
    <row r="23" spans="1:13">
      <c r="A23" s="272"/>
      <c r="B23" s="272"/>
      <c r="C23" s="272"/>
      <c r="D23" s="272"/>
      <c r="E23" s="272"/>
      <c r="F23" s="272"/>
      <c r="G23" s="1"/>
    </row>
    <row r="24" spans="1:13">
      <c r="A24" s="1"/>
      <c r="B24" s="1"/>
      <c r="C24" s="1"/>
      <c r="D24" s="1"/>
      <c r="E24" s="1"/>
      <c r="F24" s="1"/>
      <c r="G24" s="1"/>
    </row>
    <row r="25" spans="1:13">
      <c r="A25" s="1"/>
      <c r="B25" s="1"/>
      <c r="C25" s="1"/>
      <c r="D25" s="1"/>
      <c r="E25" s="1"/>
      <c r="F25" s="1"/>
      <c r="G25" s="1"/>
    </row>
    <row r="26" spans="1:13">
      <c r="A26" s="1"/>
      <c r="B26" s="1"/>
      <c r="C26" s="1"/>
      <c r="D26" s="1"/>
      <c r="E26" s="1"/>
      <c r="F26" s="1"/>
      <c r="G26" s="1"/>
    </row>
    <row r="27" spans="1:13">
      <c r="A27" s="1"/>
      <c r="B27" s="1"/>
      <c r="C27" s="1"/>
      <c r="D27" s="1"/>
      <c r="E27" s="1"/>
      <c r="F27" s="1"/>
      <c r="G27" s="1"/>
    </row>
    <row r="28" spans="1:13">
      <c r="A28" s="1"/>
      <c r="B28" s="1"/>
      <c r="C28" s="1"/>
      <c r="D28" s="1"/>
      <c r="E28" s="1"/>
      <c r="F28" s="1"/>
      <c r="G28" s="1"/>
    </row>
    <row r="29" spans="1:13">
      <c r="A29" s="1"/>
      <c r="B29" s="1"/>
      <c r="C29" s="1"/>
      <c r="D29" s="1"/>
      <c r="E29" s="1"/>
      <c r="F29" s="1"/>
      <c r="G29" s="1"/>
    </row>
    <row r="30" spans="1:13">
      <c r="A30" s="1"/>
      <c r="B30" s="1"/>
      <c r="C30" s="1"/>
      <c r="D30" s="1"/>
      <c r="E30" s="1"/>
      <c r="F30" s="1"/>
      <c r="G30" s="1"/>
    </row>
    <row r="31" spans="1:13">
      <c r="A31" s="1"/>
      <c r="B31" s="1"/>
      <c r="C31" s="1"/>
      <c r="D31" s="1"/>
      <c r="E31" s="1"/>
      <c r="F31" s="1"/>
      <c r="G31" s="1"/>
    </row>
    <row r="32" spans="1:13">
      <c r="A32" s="1"/>
      <c r="B32" s="1"/>
      <c r="C32" s="1"/>
      <c r="D32" s="1"/>
      <c r="E32" s="1"/>
      <c r="F32" s="1"/>
      <c r="G32" s="1"/>
    </row>
    <row r="33" spans="1:7">
      <c r="A33" s="1"/>
      <c r="B33" s="1"/>
      <c r="C33" s="1"/>
      <c r="D33" s="1"/>
      <c r="E33" s="1"/>
      <c r="F33" s="1"/>
      <c r="G33" s="1"/>
    </row>
    <row r="34" spans="1:7">
      <c r="A34" s="1"/>
      <c r="B34" s="1"/>
      <c r="C34" s="1"/>
      <c r="D34" s="1"/>
      <c r="E34" s="1"/>
      <c r="F34" s="1"/>
      <c r="G34" s="1"/>
    </row>
    <row r="35" spans="1:7">
      <c r="A35" s="1"/>
      <c r="B35" s="1"/>
      <c r="C35" s="1"/>
      <c r="D35" s="1"/>
      <c r="E35" s="1"/>
      <c r="F35" s="1"/>
      <c r="G35" s="1"/>
    </row>
    <row r="36" spans="1:7">
      <c r="A36" s="1"/>
      <c r="B36" s="1"/>
      <c r="C36" s="1"/>
      <c r="D36" s="1"/>
      <c r="E36" s="1"/>
      <c r="F36" s="1"/>
      <c r="G36" s="1"/>
    </row>
    <row r="37" spans="1:7">
      <c r="A37" s="1"/>
      <c r="B37" s="1"/>
      <c r="C37" s="1"/>
      <c r="D37" s="1"/>
      <c r="E37" s="1"/>
      <c r="F37" s="1"/>
      <c r="G37" s="1"/>
    </row>
    <row r="38" spans="1:7">
      <c r="A38" s="1"/>
      <c r="B38" s="1"/>
      <c r="C38" s="1"/>
      <c r="D38" s="1"/>
      <c r="E38" s="1"/>
      <c r="F38" s="1"/>
      <c r="G38" s="1"/>
    </row>
  </sheetData>
  <mergeCells count="4">
    <mergeCell ref="A1:F1"/>
    <mergeCell ref="A2:F2"/>
    <mergeCell ref="A3:F3"/>
    <mergeCell ref="A4:F4"/>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A5" sqref="A5"/>
    </sheetView>
  </sheetViews>
  <sheetFormatPr defaultRowHeight="12.75"/>
  <cols>
    <col min="1" max="6" width="10.7109375" customWidth="1"/>
    <col min="7" max="7" width="17.5703125" customWidth="1"/>
    <col min="8" max="8" width="10.7109375" customWidth="1"/>
    <col min="9" max="9" width="13.5703125" customWidth="1"/>
    <col min="10" max="10" width="11.7109375" customWidth="1"/>
  </cols>
  <sheetData>
    <row r="1" spans="1:17">
      <c r="A1" s="403" t="s">
        <v>0</v>
      </c>
      <c r="B1" s="403"/>
      <c r="C1" s="403"/>
      <c r="D1" s="403"/>
      <c r="E1" s="403"/>
      <c r="F1" s="403"/>
      <c r="G1" s="403"/>
      <c r="H1" s="403"/>
      <c r="I1" s="403"/>
      <c r="J1" s="403"/>
    </row>
    <row r="2" spans="1:17">
      <c r="A2" s="403" t="s">
        <v>743</v>
      </c>
      <c r="B2" s="403"/>
      <c r="C2" s="403"/>
      <c r="D2" s="403"/>
      <c r="E2" s="403"/>
      <c r="F2" s="403"/>
      <c r="G2" s="403"/>
      <c r="H2" s="403"/>
      <c r="I2" s="403"/>
      <c r="J2" s="403"/>
    </row>
    <row r="3" spans="1:17">
      <c r="A3" s="403" t="s">
        <v>22</v>
      </c>
      <c r="B3" s="403"/>
      <c r="C3" s="403"/>
      <c r="D3" s="403"/>
      <c r="E3" s="403"/>
      <c r="F3" s="403"/>
      <c r="G3" s="403"/>
      <c r="H3" s="403"/>
      <c r="I3" s="403"/>
      <c r="J3" s="403"/>
    </row>
    <row r="4" spans="1:17">
      <c r="A4" s="403" t="s">
        <v>3</v>
      </c>
      <c r="B4" s="403"/>
      <c r="C4" s="403"/>
      <c r="D4" s="403"/>
      <c r="E4" s="403"/>
      <c r="F4" s="403"/>
      <c r="G4" s="403"/>
      <c r="H4" s="403"/>
      <c r="I4" s="403"/>
      <c r="J4" s="403"/>
    </row>
    <row r="5" spans="1:17">
      <c r="A5" s="273"/>
      <c r="B5" s="273"/>
      <c r="C5" s="273"/>
      <c r="D5" s="273"/>
      <c r="E5" s="273"/>
      <c r="F5" s="273"/>
      <c r="G5" s="273"/>
      <c r="H5" s="273"/>
      <c r="I5" s="273"/>
      <c r="J5" s="273"/>
    </row>
    <row r="6" spans="1:17">
      <c r="A6" s="273"/>
      <c r="B6" s="273"/>
      <c r="C6" s="273"/>
      <c r="D6" s="273"/>
      <c r="E6" s="273"/>
      <c r="F6" s="273"/>
      <c r="G6" s="273"/>
      <c r="H6" s="273"/>
      <c r="I6" s="273"/>
      <c r="J6" s="273"/>
    </row>
    <row r="7" spans="1:17">
      <c r="A7" s="281"/>
      <c r="B7" s="281"/>
      <c r="C7" s="281"/>
      <c r="D7" s="281"/>
      <c r="E7" s="273"/>
      <c r="F7" s="273"/>
      <c r="G7" s="273"/>
      <c r="H7" s="334"/>
      <c r="I7" s="334"/>
      <c r="J7" s="334"/>
    </row>
    <row r="8" spans="1:17">
      <c r="A8" s="281"/>
      <c r="B8" s="281"/>
      <c r="C8" s="281"/>
      <c r="D8" s="281"/>
      <c r="E8" s="273"/>
      <c r="F8" s="273"/>
      <c r="G8" s="273"/>
      <c r="H8" s="334"/>
      <c r="J8" s="335"/>
    </row>
    <row r="9" spans="1:17">
      <c r="A9" s="281"/>
      <c r="B9" s="281"/>
      <c r="C9" s="281"/>
      <c r="D9" s="281"/>
      <c r="E9" s="273"/>
      <c r="F9" s="273"/>
      <c r="G9" s="273"/>
      <c r="H9" s="335" t="s">
        <v>419</v>
      </c>
      <c r="I9" s="324" t="s">
        <v>731</v>
      </c>
      <c r="J9" s="335" t="s">
        <v>734</v>
      </c>
    </row>
    <row r="10" spans="1:17">
      <c r="A10" s="273"/>
      <c r="B10" s="273"/>
      <c r="C10" s="273"/>
      <c r="D10" s="273"/>
      <c r="E10" s="273"/>
      <c r="F10" s="273"/>
      <c r="G10" s="273"/>
      <c r="H10" s="287">
        <v>2019</v>
      </c>
      <c r="I10" s="309" t="s">
        <v>732</v>
      </c>
      <c r="J10" s="309" t="s">
        <v>735</v>
      </c>
    </row>
    <row r="11" spans="1:17">
      <c r="A11" s="323" t="s">
        <v>739</v>
      </c>
      <c r="B11" s="273"/>
      <c r="C11" s="273"/>
      <c r="D11" s="273"/>
      <c r="E11" s="273"/>
      <c r="F11" s="273"/>
      <c r="G11" s="273"/>
      <c r="H11" s="270"/>
      <c r="I11" s="270"/>
      <c r="J11" s="324"/>
    </row>
    <row r="12" spans="1:17" ht="16.5" customHeight="1">
      <c r="A12" s="337" t="s">
        <v>729</v>
      </c>
      <c r="B12" s="337"/>
      <c r="C12" s="337"/>
      <c r="D12" s="337"/>
      <c r="E12" s="273"/>
      <c r="F12" s="273"/>
      <c r="G12" s="273"/>
      <c r="H12" s="273"/>
      <c r="I12" s="273"/>
      <c r="J12" s="273"/>
    </row>
    <row r="13" spans="1:17">
      <c r="A13" s="308" t="s">
        <v>733</v>
      </c>
      <c r="B13" s="271"/>
      <c r="C13" s="271"/>
      <c r="D13" s="271"/>
      <c r="E13" s="272"/>
      <c r="F13" s="272"/>
      <c r="G13" s="272"/>
      <c r="H13" s="339">
        <v>65.185314000000005</v>
      </c>
      <c r="I13" s="339">
        <v>69.447219000000004</v>
      </c>
      <c r="J13" s="340">
        <f>(I13-H13)/H13</f>
        <v>6.5381367956592162E-2</v>
      </c>
      <c r="K13" s="1"/>
      <c r="M13" s="341"/>
    </row>
    <row r="14" spans="1:17">
      <c r="A14" s="272"/>
      <c r="B14" s="272"/>
      <c r="C14" s="272"/>
      <c r="D14" s="272"/>
      <c r="E14" s="272"/>
      <c r="F14" s="272"/>
      <c r="G14" s="272"/>
      <c r="H14" s="272"/>
      <c r="I14" s="272"/>
      <c r="J14" s="272"/>
      <c r="K14" s="1"/>
      <c r="M14" s="341"/>
    </row>
    <row r="15" spans="1:17">
      <c r="A15" s="308" t="s">
        <v>736</v>
      </c>
      <c r="B15" s="272"/>
      <c r="C15" s="272"/>
      <c r="D15" s="272"/>
      <c r="E15" s="272"/>
      <c r="F15" s="272"/>
      <c r="G15" s="272"/>
      <c r="H15" s="272"/>
      <c r="I15" s="272"/>
      <c r="J15" s="342">
        <v>2.5000000000000001E-2</v>
      </c>
      <c r="K15" s="1"/>
    </row>
    <row r="16" spans="1:17">
      <c r="A16" s="272"/>
      <c r="B16" s="272"/>
      <c r="C16" s="272"/>
      <c r="D16" s="272"/>
      <c r="E16" s="272"/>
      <c r="F16" s="272"/>
      <c r="G16" s="272"/>
      <c r="H16" s="272"/>
      <c r="I16" s="272"/>
      <c r="J16" s="272"/>
      <c r="K16" s="271"/>
      <c r="L16" s="273"/>
      <c r="M16" s="273"/>
      <c r="N16" s="273"/>
      <c r="O16" s="273"/>
      <c r="P16" s="273"/>
      <c r="Q16" s="273"/>
    </row>
    <row r="17" spans="1:17">
      <c r="A17" s="308" t="s">
        <v>737</v>
      </c>
      <c r="B17" s="272"/>
      <c r="C17" s="272"/>
      <c r="D17" s="272"/>
      <c r="E17" s="272"/>
      <c r="F17" s="272"/>
      <c r="G17" s="272"/>
      <c r="H17" s="272"/>
      <c r="I17" s="272"/>
      <c r="J17" s="340">
        <f>J15-J13</f>
        <v>-4.0381367956592161E-2</v>
      </c>
      <c r="K17" s="271"/>
      <c r="L17" s="273"/>
      <c r="M17" s="273"/>
      <c r="N17" s="273"/>
      <c r="O17" s="273"/>
      <c r="P17" s="273"/>
      <c r="Q17" s="273"/>
    </row>
    <row r="18" spans="1:17">
      <c r="A18" s="272"/>
      <c r="B18" s="272"/>
      <c r="C18" s="272"/>
      <c r="D18" s="272"/>
      <c r="E18" s="272"/>
      <c r="F18" s="272"/>
      <c r="G18" s="272"/>
      <c r="H18" s="272"/>
      <c r="I18" s="272"/>
      <c r="J18" s="272"/>
      <c r="K18" s="271"/>
      <c r="L18" s="273"/>
      <c r="M18" s="273"/>
      <c r="N18" s="273"/>
      <c r="O18" s="273"/>
      <c r="P18" s="273"/>
      <c r="Q18" s="273"/>
    </row>
    <row r="19" spans="1:17" ht="13.5" thickBot="1">
      <c r="A19" s="308" t="s">
        <v>738</v>
      </c>
      <c r="B19" s="272"/>
      <c r="C19" s="272"/>
      <c r="D19" s="272"/>
      <c r="E19" s="272"/>
      <c r="F19" s="272"/>
      <c r="G19" s="272"/>
      <c r="H19" s="272"/>
      <c r="I19" s="272"/>
      <c r="J19" s="343">
        <f>H13*J17</f>
        <v>-2.6322721499999986</v>
      </c>
      <c r="K19" s="271"/>
      <c r="L19" s="273"/>
      <c r="M19" s="273"/>
      <c r="N19" s="273"/>
      <c r="O19" s="273"/>
      <c r="P19" s="273"/>
      <c r="Q19" s="273"/>
    </row>
    <row r="20" spans="1:17" ht="13.5" thickTop="1">
      <c r="A20" s="308"/>
      <c r="B20" s="272"/>
      <c r="C20" s="272"/>
      <c r="D20" s="272"/>
      <c r="E20" s="272"/>
      <c r="F20" s="272"/>
      <c r="G20" s="272"/>
      <c r="H20" s="272"/>
      <c r="I20" s="272"/>
      <c r="J20" s="339"/>
      <c r="K20" s="271"/>
      <c r="L20" s="273"/>
      <c r="M20" s="273"/>
      <c r="N20" s="273"/>
      <c r="O20" s="273"/>
      <c r="P20" s="273"/>
      <c r="Q20" s="273"/>
    </row>
    <row r="21" spans="1:17">
      <c r="A21" s="308"/>
      <c r="B21" s="272"/>
      <c r="C21" s="272"/>
      <c r="D21" s="272"/>
      <c r="E21" s="272"/>
      <c r="F21" s="272"/>
      <c r="G21" s="272"/>
      <c r="H21" s="272"/>
      <c r="I21" s="272"/>
      <c r="J21" s="339"/>
      <c r="K21" s="271"/>
      <c r="L21" s="273"/>
      <c r="M21" s="273"/>
      <c r="N21" s="273"/>
      <c r="O21" s="273"/>
      <c r="P21" s="273"/>
      <c r="Q21" s="273"/>
    </row>
    <row r="22" spans="1:17">
      <c r="A22" s="308"/>
      <c r="B22" s="272"/>
      <c r="C22" s="272"/>
      <c r="D22" s="272"/>
      <c r="E22" s="272"/>
      <c r="F22" s="272"/>
      <c r="G22" s="272"/>
      <c r="H22" s="272"/>
      <c r="I22" s="272"/>
      <c r="J22" s="339"/>
      <c r="K22" s="271"/>
      <c r="L22" s="273"/>
      <c r="M22" s="273"/>
      <c r="N22" s="273"/>
      <c r="O22" s="273"/>
      <c r="P22" s="273"/>
      <c r="Q22" s="273"/>
    </row>
    <row r="23" spans="1:17">
      <c r="A23" s="323" t="s">
        <v>740</v>
      </c>
      <c r="B23" s="272"/>
      <c r="C23" s="272"/>
      <c r="D23" s="272"/>
      <c r="E23" s="272"/>
      <c r="F23" s="272"/>
      <c r="G23" s="272"/>
      <c r="H23" s="272"/>
      <c r="I23" s="272"/>
      <c r="J23" s="272"/>
      <c r="K23" s="271"/>
      <c r="L23" s="273"/>
      <c r="M23" s="273"/>
      <c r="N23" s="273"/>
      <c r="O23" s="273"/>
      <c r="P23" s="273"/>
      <c r="Q23" s="273"/>
    </row>
    <row r="24" spans="1:17">
      <c r="A24" s="328" t="s">
        <v>730</v>
      </c>
      <c r="B24" s="272"/>
      <c r="C24" s="272"/>
      <c r="D24" s="272"/>
      <c r="E24" s="272"/>
      <c r="F24" s="272"/>
      <c r="G24" s="272"/>
      <c r="H24" s="272"/>
      <c r="I24" s="272"/>
      <c r="J24" s="272"/>
      <c r="K24" s="272"/>
      <c r="L24" s="273"/>
      <c r="M24" s="273"/>
      <c r="N24" s="273"/>
      <c r="O24" s="273"/>
      <c r="P24" s="273"/>
      <c r="Q24" s="273"/>
    </row>
    <row r="25" spans="1:17">
      <c r="A25" s="308" t="s">
        <v>741</v>
      </c>
      <c r="B25" s="271"/>
      <c r="C25" s="271"/>
      <c r="D25" s="271"/>
      <c r="E25" s="272"/>
      <c r="F25" s="272"/>
      <c r="G25" s="272"/>
      <c r="H25" s="339">
        <v>4.730181</v>
      </c>
      <c r="I25" s="339">
        <v>5.1350290000000003</v>
      </c>
      <c r="J25" s="340">
        <f>(I25-H25)/H25</f>
        <v>8.55882681867777E-2</v>
      </c>
      <c r="K25" s="1"/>
    </row>
    <row r="26" spans="1:17">
      <c r="A26" s="272"/>
      <c r="B26" s="272"/>
      <c r="C26" s="272"/>
      <c r="D26" s="272"/>
      <c r="E26" s="272"/>
      <c r="F26" s="272"/>
      <c r="G26" s="272"/>
      <c r="H26" s="272"/>
      <c r="I26" s="272"/>
      <c r="J26" s="272"/>
      <c r="K26" s="1"/>
    </row>
    <row r="27" spans="1:17">
      <c r="A27" s="308" t="s">
        <v>736</v>
      </c>
      <c r="B27" s="272"/>
      <c r="C27" s="272"/>
      <c r="D27" s="272"/>
      <c r="E27" s="272"/>
      <c r="F27" s="272"/>
      <c r="G27" s="272"/>
      <c r="H27" s="272"/>
      <c r="I27" s="272"/>
      <c r="J27" s="342">
        <v>3.3000000000000002E-2</v>
      </c>
      <c r="K27" s="1"/>
    </row>
    <row r="28" spans="1:17">
      <c r="A28" s="272"/>
      <c r="B28" s="272"/>
      <c r="C28" s="272"/>
      <c r="D28" s="272"/>
      <c r="E28" s="272"/>
      <c r="F28" s="272"/>
      <c r="G28" s="272"/>
      <c r="H28" s="272"/>
      <c r="I28" s="272"/>
      <c r="J28" s="272"/>
      <c r="K28" s="1"/>
    </row>
    <row r="29" spans="1:17">
      <c r="A29" s="308" t="s">
        <v>737</v>
      </c>
      <c r="B29" s="272"/>
      <c r="C29" s="272"/>
      <c r="D29" s="272"/>
      <c r="E29" s="272"/>
      <c r="F29" s="272"/>
      <c r="G29" s="272"/>
      <c r="H29" s="272"/>
      <c r="I29" s="272"/>
      <c r="J29" s="340">
        <f>J27-J25</f>
        <v>-5.2588268186777698E-2</v>
      </c>
      <c r="K29" s="1"/>
    </row>
    <row r="30" spans="1:17">
      <c r="A30" s="272"/>
      <c r="B30" s="272"/>
      <c r="C30" s="272"/>
      <c r="D30" s="272"/>
      <c r="E30" s="272"/>
      <c r="F30" s="272"/>
      <c r="G30" s="272"/>
      <c r="H30" s="272"/>
      <c r="I30" s="272"/>
      <c r="J30" s="272"/>
      <c r="K30" s="1"/>
    </row>
    <row r="31" spans="1:17" ht="13.5" thickBot="1">
      <c r="A31" s="308" t="s">
        <v>742</v>
      </c>
      <c r="B31" s="272"/>
      <c r="C31" s="272"/>
      <c r="D31" s="272"/>
      <c r="E31" s="272"/>
      <c r="F31" s="272"/>
      <c r="G31" s="272"/>
      <c r="H31" s="272"/>
      <c r="I31" s="272"/>
      <c r="J31" s="343">
        <f>H25*J29</f>
        <v>-0.24875202700000032</v>
      </c>
      <c r="K31" s="1"/>
    </row>
    <row r="32" spans="1:17" ht="13.5" thickTop="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sheetData>
  <mergeCells count="4">
    <mergeCell ref="A1:J1"/>
    <mergeCell ref="A2:J2"/>
    <mergeCell ref="A3:J3"/>
    <mergeCell ref="A4:J4"/>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workbookViewId="0">
      <selection activeCell="A2" sqref="A2:I2"/>
    </sheetView>
  </sheetViews>
  <sheetFormatPr defaultRowHeight="12.75"/>
  <cols>
    <col min="1" max="4" width="10.7109375" customWidth="1"/>
    <col min="5" max="5" width="12.5703125" customWidth="1"/>
    <col min="6" max="9" width="10.7109375" customWidth="1"/>
  </cols>
  <sheetData>
    <row r="1" spans="1:22">
      <c r="A1" s="403" t="s">
        <v>0</v>
      </c>
      <c r="B1" s="403"/>
      <c r="C1" s="403"/>
      <c r="D1" s="403"/>
      <c r="E1" s="403"/>
      <c r="F1" s="403"/>
      <c r="G1" s="403"/>
      <c r="H1" s="403"/>
      <c r="I1" s="403"/>
    </row>
    <row r="2" spans="1:22">
      <c r="A2" s="403" t="s">
        <v>648</v>
      </c>
      <c r="B2" s="403"/>
      <c r="C2" s="403"/>
      <c r="D2" s="403"/>
      <c r="E2" s="403"/>
      <c r="F2" s="403"/>
      <c r="G2" s="403"/>
      <c r="H2" s="403"/>
      <c r="I2" s="403"/>
    </row>
    <row r="3" spans="1:22">
      <c r="A3" s="403" t="s">
        <v>22</v>
      </c>
      <c r="B3" s="403"/>
      <c r="C3" s="403"/>
      <c r="D3" s="403"/>
      <c r="E3" s="403"/>
      <c r="F3" s="403"/>
      <c r="G3" s="403"/>
      <c r="H3" s="403"/>
      <c r="I3" s="403"/>
    </row>
    <row r="4" spans="1:22">
      <c r="A4" s="403" t="s">
        <v>638</v>
      </c>
      <c r="B4" s="403"/>
      <c r="C4" s="403"/>
      <c r="D4" s="403"/>
      <c r="E4" s="403"/>
      <c r="F4" s="403"/>
      <c r="G4" s="403"/>
      <c r="H4" s="403"/>
      <c r="I4" s="403"/>
    </row>
    <row r="5" spans="1:22">
      <c r="A5" s="273"/>
      <c r="B5" s="273"/>
      <c r="C5" s="273"/>
      <c r="D5" s="273"/>
      <c r="E5" s="273"/>
      <c r="F5" s="273"/>
      <c r="G5" s="273"/>
      <c r="H5" s="273"/>
      <c r="I5" s="273"/>
    </row>
    <row r="6" spans="1:22">
      <c r="A6" s="273"/>
      <c r="B6" s="273"/>
      <c r="C6" s="273"/>
      <c r="D6" s="273"/>
      <c r="E6" s="273"/>
      <c r="F6" s="273"/>
      <c r="G6" s="273"/>
      <c r="H6" s="273"/>
      <c r="I6" s="273"/>
    </row>
    <row r="7" spans="1:22">
      <c r="A7" s="281" t="s">
        <v>649</v>
      </c>
      <c r="B7" s="273"/>
      <c r="C7" s="273"/>
      <c r="D7" s="273"/>
      <c r="E7" s="273"/>
      <c r="F7" s="273"/>
      <c r="G7" s="268"/>
      <c r="H7" s="268"/>
      <c r="I7" s="270"/>
    </row>
    <row r="8" spans="1:22">
      <c r="A8" s="273"/>
      <c r="B8" s="273"/>
      <c r="C8" s="273"/>
      <c r="D8" s="273"/>
      <c r="E8" s="273"/>
      <c r="F8" s="273"/>
      <c r="G8" s="287">
        <v>2019</v>
      </c>
      <c r="H8" s="287">
        <v>2020</v>
      </c>
      <c r="I8" s="270"/>
    </row>
    <row r="9" spans="1:22">
      <c r="A9" s="273"/>
      <c r="B9" s="273"/>
      <c r="C9" s="273"/>
      <c r="D9" s="273"/>
      <c r="E9" s="273"/>
      <c r="F9" s="273"/>
      <c r="G9" s="273"/>
      <c r="H9" s="273"/>
      <c r="I9" s="273"/>
    </row>
    <row r="10" spans="1:22">
      <c r="A10" s="308" t="s">
        <v>722</v>
      </c>
      <c r="B10" s="272"/>
      <c r="C10" s="272"/>
      <c r="D10" s="272"/>
      <c r="E10" s="272"/>
      <c r="F10" s="272"/>
      <c r="G10" s="277">
        <v>3280634</v>
      </c>
      <c r="H10" s="277">
        <v>1057933</v>
      </c>
      <c r="I10" s="277"/>
      <c r="J10" s="1"/>
    </row>
    <row r="11" spans="1:22">
      <c r="A11" s="308"/>
      <c r="B11" s="272"/>
      <c r="C11" s="272"/>
      <c r="D11" s="272"/>
      <c r="E11" s="272"/>
      <c r="F11" s="272"/>
      <c r="G11" s="277"/>
      <c r="H11" s="277"/>
      <c r="I11" s="277"/>
      <c r="J11" s="1"/>
    </row>
    <row r="12" spans="1:22">
      <c r="A12" s="272" t="s">
        <v>723</v>
      </c>
      <c r="B12" s="272"/>
      <c r="C12" s="272"/>
      <c r="D12" s="272"/>
      <c r="E12" s="272"/>
      <c r="F12" s="272"/>
      <c r="G12" s="272"/>
      <c r="H12" s="327"/>
      <c r="I12" s="327">
        <f>H10-G10</f>
        <v>-2222701</v>
      </c>
      <c r="J12" s="272"/>
      <c r="K12" s="273"/>
      <c r="L12" s="273"/>
      <c r="M12" s="273"/>
      <c r="N12" s="273"/>
      <c r="O12" s="273"/>
      <c r="P12" s="273"/>
      <c r="Q12" s="273"/>
      <c r="R12" s="273"/>
      <c r="S12" s="273"/>
      <c r="T12" s="273"/>
      <c r="U12" s="273"/>
      <c r="V12" s="273"/>
    </row>
    <row r="13" spans="1:22">
      <c r="A13" s="272"/>
      <c r="B13" s="272"/>
      <c r="C13" s="272"/>
      <c r="D13" s="272"/>
      <c r="E13" s="272"/>
      <c r="F13" s="272"/>
      <c r="G13" s="272"/>
      <c r="H13" s="272"/>
      <c r="I13" s="272"/>
      <c r="J13" s="308"/>
      <c r="K13" s="273"/>
      <c r="L13" s="273"/>
      <c r="M13" s="273"/>
      <c r="N13" s="273"/>
      <c r="O13" s="273"/>
      <c r="P13" s="273"/>
      <c r="Q13" s="273"/>
      <c r="R13" s="273"/>
      <c r="S13" s="273"/>
      <c r="T13" s="273"/>
      <c r="U13" s="273"/>
      <c r="V13" s="273"/>
    </row>
    <row r="14" spans="1:22">
      <c r="A14" s="272" t="s">
        <v>725</v>
      </c>
      <c r="B14" s="272"/>
      <c r="C14" s="272"/>
      <c r="D14" s="272"/>
      <c r="E14" s="272"/>
      <c r="F14" s="272"/>
      <c r="G14" s="272"/>
      <c r="H14" s="272"/>
      <c r="I14" s="332">
        <v>-1190183</v>
      </c>
      <c r="J14" s="308"/>
      <c r="K14" s="273"/>
      <c r="L14" s="273"/>
      <c r="M14" s="273"/>
      <c r="N14" s="273"/>
      <c r="O14" s="273"/>
      <c r="P14" s="273"/>
      <c r="Q14" s="273"/>
      <c r="R14" s="273"/>
      <c r="S14" s="273"/>
      <c r="T14" s="273"/>
      <c r="U14" s="273"/>
      <c r="V14" s="273"/>
    </row>
    <row r="15" spans="1:22">
      <c r="A15" s="272"/>
      <c r="B15" s="272"/>
      <c r="C15" s="272"/>
      <c r="D15" s="272"/>
      <c r="E15" s="272"/>
      <c r="F15" s="272"/>
      <c r="G15" s="272"/>
      <c r="H15" s="272"/>
      <c r="I15" s="272"/>
      <c r="J15" s="308"/>
      <c r="K15" s="273"/>
      <c r="L15" s="273"/>
      <c r="M15" s="273"/>
      <c r="N15" s="273"/>
      <c r="O15" s="273"/>
      <c r="P15" s="273"/>
      <c r="Q15" s="273"/>
      <c r="R15" s="273"/>
      <c r="S15" s="273"/>
      <c r="T15" s="273"/>
      <c r="U15" s="273"/>
      <c r="V15" s="273"/>
    </row>
    <row r="16" spans="1:22">
      <c r="A16" s="272"/>
      <c r="B16" s="272"/>
      <c r="C16" s="272"/>
      <c r="D16" s="272"/>
      <c r="E16" s="272"/>
      <c r="F16" s="272"/>
      <c r="G16" s="272"/>
      <c r="H16" s="272"/>
      <c r="I16" s="272"/>
      <c r="J16" s="308"/>
      <c r="K16" s="273"/>
      <c r="L16" s="273"/>
      <c r="M16" s="273"/>
      <c r="N16" s="273"/>
      <c r="O16" s="273"/>
      <c r="P16" s="273"/>
      <c r="Q16" s="273"/>
      <c r="R16" s="273"/>
      <c r="S16" s="273"/>
      <c r="T16" s="273"/>
      <c r="U16" s="273"/>
      <c r="V16" s="273"/>
    </row>
    <row r="17" spans="1:22" ht="13.5" thickBot="1">
      <c r="A17" s="272" t="s">
        <v>724</v>
      </c>
      <c r="B17" s="272"/>
      <c r="C17" s="272"/>
      <c r="D17" s="272"/>
      <c r="E17" s="272"/>
      <c r="F17" s="272"/>
      <c r="G17" s="272"/>
      <c r="H17" s="272"/>
      <c r="I17" s="288">
        <f>-I14--I12</f>
        <v>-1032518</v>
      </c>
      <c r="J17" s="272"/>
      <c r="K17" s="273"/>
      <c r="L17" s="273"/>
      <c r="M17" s="273"/>
      <c r="N17" s="273"/>
      <c r="O17" s="273"/>
      <c r="P17" s="273"/>
      <c r="Q17" s="273"/>
      <c r="R17" s="273"/>
      <c r="S17" s="273"/>
      <c r="T17" s="273"/>
      <c r="U17" s="273"/>
      <c r="V17" s="273"/>
    </row>
    <row r="18" spans="1:22" ht="13.5" thickTop="1">
      <c r="A18" s="272"/>
      <c r="B18" s="272"/>
      <c r="C18" s="272"/>
      <c r="D18" s="272"/>
      <c r="E18" s="272"/>
      <c r="F18" s="272"/>
      <c r="G18" s="272"/>
      <c r="H18" s="272"/>
      <c r="I18" s="272"/>
      <c r="J18" s="1"/>
    </row>
    <row r="19" spans="1:22">
      <c r="A19" s="1"/>
      <c r="B19" s="1"/>
      <c r="C19" s="1"/>
      <c r="D19" s="1"/>
      <c r="E19" s="1"/>
      <c r="F19" s="1"/>
      <c r="G19" s="1"/>
      <c r="H19" s="1"/>
      <c r="I19" s="1"/>
      <c r="J19" s="1"/>
    </row>
    <row r="20" spans="1:22">
      <c r="A20" s="1"/>
      <c r="B20" s="1"/>
      <c r="C20" s="1"/>
      <c r="D20" s="1"/>
      <c r="E20" s="1"/>
      <c r="F20" s="1"/>
      <c r="G20" s="1"/>
      <c r="H20" s="1"/>
      <c r="I20" s="1"/>
      <c r="J20" s="1"/>
    </row>
    <row r="21" spans="1:22">
      <c r="A21" s="1"/>
      <c r="B21" s="1"/>
      <c r="C21" s="1"/>
      <c r="D21" s="1"/>
      <c r="E21" s="1"/>
      <c r="F21" s="1"/>
      <c r="G21" s="1"/>
      <c r="H21" s="1"/>
      <c r="I21" s="1"/>
      <c r="J21" s="1"/>
    </row>
    <row r="22" spans="1:22">
      <c r="A22" s="1"/>
      <c r="B22" s="1"/>
      <c r="C22" s="1"/>
      <c r="D22" s="1"/>
      <c r="E22" s="1"/>
      <c r="F22" s="1"/>
      <c r="G22" s="1"/>
      <c r="H22" s="1"/>
      <c r="I22" s="1"/>
      <c r="J22" s="1"/>
    </row>
    <row r="23" spans="1:22">
      <c r="A23" s="1"/>
      <c r="B23" s="1"/>
      <c r="C23" s="1"/>
      <c r="D23" s="1"/>
      <c r="E23" s="1"/>
      <c r="F23" s="1"/>
      <c r="G23" s="1"/>
      <c r="H23" s="1"/>
      <c r="I23" s="1"/>
      <c r="J23" s="1"/>
    </row>
    <row r="24" spans="1:22">
      <c r="A24" s="1"/>
      <c r="B24" s="1"/>
      <c r="C24" s="1"/>
      <c r="D24" s="1"/>
      <c r="E24" s="1"/>
      <c r="F24" s="1"/>
      <c r="G24" s="1"/>
      <c r="H24" s="1"/>
      <c r="I24" s="1"/>
      <c r="J24" s="1"/>
    </row>
    <row r="25" spans="1:22">
      <c r="A25" s="1"/>
      <c r="B25" s="1"/>
      <c r="C25" s="1"/>
      <c r="D25" s="1"/>
      <c r="E25" s="1"/>
      <c r="F25" s="1"/>
      <c r="G25" s="1"/>
      <c r="H25" s="1"/>
      <c r="I25" s="1"/>
      <c r="J25" s="1"/>
    </row>
    <row r="26" spans="1:22">
      <c r="A26" s="1"/>
      <c r="B26" s="1"/>
      <c r="C26" s="1"/>
      <c r="D26" s="1"/>
      <c r="E26" s="1"/>
      <c r="F26" s="1"/>
      <c r="G26" s="1"/>
      <c r="H26" s="1"/>
      <c r="I26" s="1"/>
      <c r="J26" s="1"/>
    </row>
    <row r="27" spans="1:22">
      <c r="A27" s="1"/>
      <c r="B27" s="1"/>
      <c r="C27" s="1"/>
      <c r="D27" s="1"/>
      <c r="E27" s="1"/>
      <c r="F27" s="1"/>
      <c r="G27" s="1"/>
      <c r="H27" s="1"/>
      <c r="I27" s="1"/>
      <c r="J27" s="1"/>
    </row>
    <row r="28" spans="1:22">
      <c r="A28" s="1"/>
      <c r="B28" s="1"/>
      <c r="C28" s="1"/>
      <c r="D28" s="1"/>
      <c r="E28" s="1"/>
      <c r="F28" s="1"/>
      <c r="G28" s="1"/>
      <c r="H28" s="1"/>
      <c r="I28" s="1"/>
      <c r="J28" s="1"/>
    </row>
    <row r="29" spans="1:22">
      <c r="A29" s="1"/>
      <c r="B29" s="1"/>
      <c r="C29" s="1"/>
      <c r="D29" s="1"/>
      <c r="E29" s="1"/>
      <c r="F29" s="1"/>
      <c r="G29" s="1"/>
      <c r="H29" s="1"/>
      <c r="I29" s="1"/>
      <c r="J29" s="1"/>
    </row>
    <row r="30" spans="1:22">
      <c r="A30" s="1"/>
      <c r="B30" s="1"/>
      <c r="C30" s="1"/>
      <c r="D30" s="1"/>
      <c r="E30" s="1"/>
      <c r="F30" s="1"/>
      <c r="G30" s="1"/>
      <c r="H30" s="1"/>
      <c r="I30" s="1"/>
      <c r="J30" s="1"/>
    </row>
    <row r="31" spans="1:22">
      <c r="A31" s="1"/>
      <c r="B31" s="1"/>
      <c r="C31" s="1"/>
      <c r="D31" s="1"/>
      <c r="E31" s="1"/>
      <c r="F31" s="1"/>
      <c r="G31" s="1"/>
      <c r="H31" s="1"/>
      <c r="I31" s="1"/>
      <c r="J31" s="1"/>
    </row>
    <row r="32" spans="1:22">
      <c r="A32" s="1"/>
      <c r="B32" s="1"/>
      <c r="C32" s="1"/>
      <c r="D32" s="1"/>
      <c r="E32" s="1"/>
      <c r="F32" s="1"/>
      <c r="G32" s="1"/>
      <c r="H32" s="1"/>
      <c r="I32" s="1"/>
      <c r="J32" s="1"/>
    </row>
    <row r="33" spans="1:10">
      <c r="A33" s="1"/>
      <c r="B33" s="1"/>
      <c r="C33" s="1"/>
      <c r="D33" s="1"/>
      <c r="E33" s="1"/>
      <c r="F33" s="1"/>
      <c r="G33" s="1"/>
      <c r="H33" s="1"/>
      <c r="I33" s="1"/>
      <c r="J33" s="1"/>
    </row>
  </sheetData>
  <mergeCells count="4">
    <mergeCell ref="A1:I1"/>
    <mergeCell ref="A3:I3"/>
    <mergeCell ref="A4:I4"/>
    <mergeCell ref="A2:I2"/>
  </mergeCells>
  <phoneticPr fontId="5" type="noConversion"/>
  <pageMargins left="0.75" right="0.75" top="1" bottom="1" header="0.5" footer="0.5"/>
  <pageSetup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8"/>
  <sheetViews>
    <sheetView workbookViewId="0">
      <selection sqref="A1:E1"/>
    </sheetView>
  </sheetViews>
  <sheetFormatPr defaultRowHeight="12.75"/>
  <cols>
    <col min="1" max="1" width="59.28515625" style="355" customWidth="1"/>
    <col min="2" max="2" width="2.42578125" style="355" customWidth="1"/>
    <col min="3" max="3" width="9.140625" style="355"/>
    <col min="4" max="4" width="11.28515625" style="355" customWidth="1"/>
    <col min="5" max="16384" width="9.140625" style="355"/>
  </cols>
  <sheetData>
    <row r="1" spans="1:9">
      <c r="A1" s="404" t="s">
        <v>0</v>
      </c>
      <c r="B1" s="404"/>
      <c r="C1" s="404"/>
      <c r="D1" s="404"/>
      <c r="E1" s="404"/>
    </row>
    <row r="2" spans="1:9">
      <c r="A2" s="404" t="s">
        <v>765</v>
      </c>
      <c r="B2" s="404"/>
      <c r="C2" s="404"/>
      <c r="D2" s="404"/>
      <c r="E2" s="404"/>
    </row>
    <row r="3" spans="1:9">
      <c r="A3" s="404" t="s">
        <v>764</v>
      </c>
      <c r="B3" s="404"/>
      <c r="C3" s="404"/>
      <c r="D3" s="404"/>
      <c r="E3" s="404"/>
    </row>
    <row r="4" spans="1:9">
      <c r="A4" s="404" t="s">
        <v>763</v>
      </c>
      <c r="B4" s="404"/>
      <c r="C4" s="404"/>
      <c r="D4" s="404"/>
      <c r="E4" s="404"/>
    </row>
    <row r="5" spans="1:9">
      <c r="A5" s="356"/>
      <c r="B5" s="356"/>
      <c r="C5" s="356"/>
      <c r="D5" s="356"/>
      <c r="E5" s="356"/>
    </row>
    <row r="6" spans="1:9">
      <c r="A6" s="357"/>
      <c r="B6" s="357"/>
      <c r="C6" s="356"/>
      <c r="D6" s="356"/>
      <c r="E6" s="356"/>
    </row>
    <row r="7" spans="1:9">
      <c r="A7" s="358" t="s">
        <v>766</v>
      </c>
      <c r="B7" s="358"/>
      <c r="C7" s="358"/>
      <c r="D7" s="358"/>
      <c r="E7" s="358"/>
    </row>
    <row r="8" spans="1:9">
      <c r="A8" s="358"/>
      <c r="B8" s="358"/>
      <c r="C8" s="358"/>
      <c r="D8" s="358"/>
      <c r="E8" s="358"/>
      <c r="I8" s="359"/>
    </row>
    <row r="9" spans="1:9">
      <c r="A9" s="358" t="s">
        <v>767</v>
      </c>
      <c r="B9" s="358"/>
      <c r="C9" s="360"/>
      <c r="D9" s="360"/>
      <c r="E9" s="360">
        <v>87.646566000000007</v>
      </c>
      <c r="I9" s="359"/>
    </row>
    <row r="10" spans="1:9">
      <c r="A10" s="358"/>
      <c r="B10" s="358"/>
      <c r="C10" s="360"/>
      <c r="D10" s="360"/>
      <c r="E10" s="360"/>
      <c r="I10" s="359"/>
    </row>
    <row r="11" spans="1:9">
      <c r="A11" s="358"/>
      <c r="B11" s="358"/>
      <c r="C11" s="360"/>
      <c r="D11" s="360"/>
      <c r="E11" s="360"/>
      <c r="I11" s="359"/>
    </row>
    <row r="12" spans="1:9">
      <c r="A12" s="358"/>
      <c r="B12" s="358"/>
      <c r="C12" s="366" t="s">
        <v>634</v>
      </c>
      <c r="D12" s="366" t="s">
        <v>773</v>
      </c>
      <c r="E12" s="366" t="s">
        <v>634</v>
      </c>
      <c r="I12" s="359"/>
    </row>
    <row r="13" spans="1:9">
      <c r="A13" s="358"/>
      <c r="B13" s="358"/>
      <c r="C13" s="366" t="s">
        <v>776</v>
      </c>
      <c r="D13" s="366" t="s">
        <v>774</v>
      </c>
      <c r="E13" s="366" t="s">
        <v>778</v>
      </c>
      <c r="I13" s="359"/>
    </row>
    <row r="14" spans="1:9">
      <c r="A14" s="358"/>
      <c r="B14" s="358"/>
      <c r="C14" s="367" t="s">
        <v>777</v>
      </c>
      <c r="D14" s="367" t="s">
        <v>775</v>
      </c>
      <c r="E14" s="367" t="s">
        <v>777</v>
      </c>
      <c r="I14" s="359"/>
    </row>
    <row r="15" spans="1:9">
      <c r="A15" s="358" t="s">
        <v>768</v>
      </c>
      <c r="B15" s="358"/>
      <c r="C15" s="360">
        <v>70.744073999999998</v>
      </c>
      <c r="D15" s="360">
        <v>-8.7487999999999996E-2</v>
      </c>
      <c r="E15" s="360">
        <f>SUM(C15:D15)</f>
        <v>70.656586000000004</v>
      </c>
      <c r="I15" s="359"/>
    </row>
    <row r="16" spans="1:9">
      <c r="A16" s="358" t="s">
        <v>769</v>
      </c>
      <c r="B16" s="358"/>
      <c r="C16" s="360">
        <v>83.337328999999997</v>
      </c>
      <c r="D16" s="360"/>
      <c r="E16" s="360">
        <f>SUM(C16:D16)</f>
        <v>83.337328999999997</v>
      </c>
      <c r="I16" s="359"/>
    </row>
    <row r="17" spans="1:9">
      <c r="A17" s="358" t="s">
        <v>770</v>
      </c>
      <c r="B17" s="358"/>
      <c r="C17" s="360">
        <v>87.276747999999998</v>
      </c>
      <c r="D17" s="360"/>
      <c r="E17" s="360">
        <f>SUM(C17:D17)</f>
        <v>87.276747999999998</v>
      </c>
      <c r="I17" s="359"/>
    </row>
    <row r="18" spans="1:9">
      <c r="A18" s="358" t="s">
        <v>771</v>
      </c>
      <c r="B18" s="358"/>
      <c r="C18" s="360">
        <f>E9</f>
        <v>87.646566000000007</v>
      </c>
      <c r="D18" s="360"/>
      <c r="E18" s="360">
        <f>SUM(C18:D18)</f>
        <v>87.646566000000007</v>
      </c>
      <c r="I18" s="359"/>
    </row>
    <row r="19" spans="1:9">
      <c r="A19" s="358" t="s">
        <v>772</v>
      </c>
      <c r="B19" s="358"/>
      <c r="C19" s="361">
        <v>76.334481999999994</v>
      </c>
      <c r="D19" s="362"/>
      <c r="E19" s="361">
        <f>SUM(C19:D19)</f>
        <v>76.334481999999994</v>
      </c>
      <c r="I19" s="359"/>
    </row>
    <row r="20" spans="1:9">
      <c r="A20" s="358"/>
      <c r="B20" s="358"/>
      <c r="C20" s="362"/>
      <c r="D20" s="362"/>
      <c r="E20" s="362"/>
      <c r="I20" s="359"/>
    </row>
    <row r="21" spans="1:9">
      <c r="A21" s="358" t="s">
        <v>779</v>
      </c>
      <c r="B21" s="358"/>
      <c r="C21" s="360"/>
      <c r="D21" s="360"/>
      <c r="E21" s="361">
        <f>AVERAGE(C15:C19)</f>
        <v>81.067839800000002</v>
      </c>
      <c r="I21" s="359"/>
    </row>
    <row r="22" spans="1:9">
      <c r="A22" s="358"/>
      <c r="B22" s="358"/>
      <c r="C22" s="360"/>
      <c r="D22" s="360"/>
      <c r="E22" s="362"/>
      <c r="I22" s="359"/>
    </row>
    <row r="23" spans="1:9" ht="13.5" thickBot="1">
      <c r="A23" s="358" t="s">
        <v>780</v>
      </c>
      <c r="B23" s="358"/>
      <c r="C23" s="360"/>
      <c r="D23" s="360"/>
      <c r="E23" s="363">
        <f>E21-E9</f>
        <v>-6.5787262000000055</v>
      </c>
      <c r="I23" s="359"/>
    </row>
    <row r="24" spans="1:9" ht="13.5" thickTop="1">
      <c r="A24" s="357"/>
      <c r="B24" s="357"/>
      <c r="C24" s="356"/>
      <c r="D24" s="356"/>
      <c r="E24" s="356"/>
      <c r="I24" s="359"/>
    </row>
    <row r="25" spans="1:9">
      <c r="A25" s="364"/>
      <c r="B25" s="365"/>
      <c r="I25" s="359"/>
    </row>
    <row r="26" spans="1:9">
      <c r="A26" s="364"/>
      <c r="B26" s="365"/>
      <c r="I26" s="359"/>
    </row>
    <row r="27" spans="1:9">
      <c r="A27" s="364"/>
      <c r="B27" s="365"/>
      <c r="I27" s="359"/>
    </row>
    <row r="28" spans="1:9">
      <c r="A28" s="364"/>
      <c r="B28" s="365"/>
      <c r="I28" s="359"/>
    </row>
    <row r="29" spans="1:9">
      <c r="A29" s="364"/>
      <c r="B29" s="365"/>
      <c r="I29" s="359"/>
    </row>
    <row r="30" spans="1:9">
      <c r="A30" s="364"/>
      <c r="B30" s="365"/>
      <c r="I30" s="359"/>
    </row>
    <row r="31" spans="1:9">
      <c r="A31" s="364"/>
      <c r="B31" s="365"/>
      <c r="I31" s="359"/>
    </row>
    <row r="32" spans="1:9">
      <c r="A32" s="364"/>
      <c r="B32" s="365"/>
      <c r="I32" s="359"/>
    </row>
    <row r="33" spans="1:9">
      <c r="A33" s="364"/>
      <c r="B33" s="365"/>
      <c r="I33" s="359"/>
    </row>
    <row r="34" spans="1:9">
      <c r="A34" s="364"/>
      <c r="B34" s="365"/>
      <c r="I34" s="359"/>
    </row>
    <row r="35" spans="1:9">
      <c r="A35" s="365"/>
      <c r="B35" s="365"/>
      <c r="I35" s="359"/>
    </row>
    <row r="36" spans="1:9">
      <c r="A36" s="365"/>
      <c r="B36" s="365"/>
      <c r="I36" s="359"/>
    </row>
    <row r="37" spans="1:9">
      <c r="A37" s="365"/>
      <c r="B37" s="365"/>
      <c r="I37" s="359"/>
    </row>
    <row r="38" spans="1:9">
      <c r="A38" s="365"/>
      <c r="B38" s="365"/>
      <c r="I38" s="359"/>
    </row>
    <row r="39" spans="1:9">
      <c r="A39" s="365"/>
      <c r="B39" s="365"/>
      <c r="I39" s="359"/>
    </row>
    <row r="40" spans="1:9">
      <c r="A40" s="365"/>
      <c r="B40" s="365"/>
      <c r="I40" s="359"/>
    </row>
    <row r="41" spans="1:9">
      <c r="A41" s="365"/>
      <c r="B41" s="365"/>
      <c r="I41" s="359"/>
    </row>
    <row r="42" spans="1:9">
      <c r="A42" s="365"/>
      <c r="B42" s="365"/>
      <c r="I42" s="359"/>
    </row>
    <row r="43" spans="1:9">
      <c r="A43" s="364"/>
      <c r="B43" s="365"/>
      <c r="I43" s="359"/>
    </row>
    <row r="44" spans="1:9">
      <c r="A44" s="364"/>
      <c r="B44" s="365"/>
      <c r="I44" s="359"/>
    </row>
    <row r="45" spans="1:9">
      <c r="A45" s="365"/>
      <c r="B45" s="365"/>
      <c r="I45" s="359"/>
    </row>
    <row r="46" spans="1:9">
      <c r="A46" s="365"/>
      <c r="B46" s="365"/>
      <c r="I46" s="359"/>
    </row>
    <row r="47" spans="1:9">
      <c r="I47" s="359"/>
    </row>
    <row r="48" spans="1:9">
      <c r="I48" s="359"/>
    </row>
    <row r="49" spans="9:9">
      <c r="I49" s="359"/>
    </row>
    <row r="50" spans="9:9">
      <c r="I50" s="359"/>
    </row>
    <row r="51" spans="9:9">
      <c r="I51" s="359"/>
    </row>
    <row r="52" spans="9:9">
      <c r="I52" s="359"/>
    </row>
    <row r="53" spans="9:9">
      <c r="I53" s="359"/>
    </row>
    <row r="54" spans="9:9">
      <c r="I54" s="359"/>
    </row>
    <row r="55" spans="9:9">
      <c r="I55" s="359"/>
    </row>
    <row r="56" spans="9:9">
      <c r="I56" s="359"/>
    </row>
    <row r="57" spans="9:9">
      <c r="I57" s="359"/>
    </row>
    <row r="58" spans="9:9">
      <c r="I58" s="359"/>
    </row>
    <row r="59" spans="9:9">
      <c r="I59" s="359"/>
    </row>
    <row r="60" spans="9:9">
      <c r="I60" s="359"/>
    </row>
    <row r="61" spans="9:9">
      <c r="I61" s="359"/>
    </row>
    <row r="62" spans="9:9">
      <c r="I62" s="359"/>
    </row>
    <row r="63" spans="9:9">
      <c r="I63" s="359"/>
    </row>
    <row r="64" spans="9:9">
      <c r="I64" s="359"/>
    </row>
    <row r="65" spans="9:9">
      <c r="I65" s="359"/>
    </row>
    <row r="66" spans="9:9">
      <c r="I66" s="359"/>
    </row>
    <row r="67" spans="9:9">
      <c r="I67" s="359"/>
    </row>
    <row r="68" spans="9:9">
      <c r="I68" s="359"/>
    </row>
    <row r="69" spans="9:9">
      <c r="I69" s="359"/>
    </row>
    <row r="70" spans="9:9">
      <c r="I70" s="359"/>
    </row>
    <row r="71" spans="9:9">
      <c r="I71" s="359"/>
    </row>
    <row r="72" spans="9:9">
      <c r="I72" s="359"/>
    </row>
    <row r="73" spans="9:9">
      <c r="I73" s="359"/>
    </row>
    <row r="74" spans="9:9">
      <c r="I74" s="359"/>
    </row>
    <row r="75" spans="9:9">
      <c r="I75" s="359"/>
    </row>
    <row r="76" spans="9:9">
      <c r="I76" s="359"/>
    </row>
    <row r="77" spans="9:9">
      <c r="I77" s="359"/>
    </row>
    <row r="78" spans="9:9">
      <c r="I78" s="359"/>
    </row>
    <row r="79" spans="9:9">
      <c r="I79" s="359"/>
    </row>
    <row r="80" spans="9:9">
      <c r="I80" s="359"/>
    </row>
    <row r="81" spans="9:9">
      <c r="I81" s="359"/>
    </row>
    <row r="82" spans="9:9">
      <c r="I82" s="359"/>
    </row>
    <row r="83" spans="9:9">
      <c r="I83" s="359"/>
    </row>
    <row r="84" spans="9:9">
      <c r="I84" s="359"/>
    </row>
    <row r="85" spans="9:9">
      <c r="I85" s="359"/>
    </row>
    <row r="86" spans="9:9">
      <c r="I86" s="359"/>
    </row>
    <row r="87" spans="9:9">
      <c r="I87" s="359"/>
    </row>
    <row r="88" spans="9:9">
      <c r="I88" s="359"/>
    </row>
    <row r="89" spans="9:9">
      <c r="I89" s="359"/>
    </row>
    <row r="90" spans="9:9">
      <c r="I90" s="359"/>
    </row>
    <row r="91" spans="9:9">
      <c r="I91" s="359"/>
    </row>
    <row r="92" spans="9:9">
      <c r="I92" s="359"/>
    </row>
    <row r="93" spans="9:9">
      <c r="I93" s="359"/>
    </row>
    <row r="94" spans="9:9">
      <c r="I94" s="359"/>
    </row>
    <row r="95" spans="9:9">
      <c r="I95" s="359"/>
    </row>
    <row r="96" spans="9:9">
      <c r="I96" s="359"/>
    </row>
    <row r="97" spans="9:9">
      <c r="I97" s="359"/>
    </row>
    <row r="98" spans="9:9">
      <c r="I98" s="359"/>
    </row>
    <row r="99" spans="9:9">
      <c r="I99" s="359"/>
    </row>
    <row r="100" spans="9:9">
      <c r="I100" s="359"/>
    </row>
    <row r="101" spans="9:9">
      <c r="I101" s="359"/>
    </row>
    <row r="102" spans="9:9">
      <c r="I102" s="359"/>
    </row>
    <row r="103" spans="9:9">
      <c r="I103" s="359"/>
    </row>
    <row r="104" spans="9:9">
      <c r="I104" s="359"/>
    </row>
    <row r="105" spans="9:9">
      <c r="I105" s="359"/>
    </row>
    <row r="106" spans="9:9">
      <c r="I106" s="359"/>
    </row>
    <row r="107" spans="9:9">
      <c r="I107" s="359"/>
    </row>
    <row r="108" spans="9:9">
      <c r="I108" s="359"/>
    </row>
    <row r="109" spans="9:9">
      <c r="I109" s="359"/>
    </row>
    <row r="110" spans="9:9">
      <c r="I110" s="359"/>
    </row>
    <row r="111" spans="9:9">
      <c r="I111" s="359"/>
    </row>
    <row r="112" spans="9:9">
      <c r="I112" s="359"/>
    </row>
    <row r="113" spans="9:9">
      <c r="I113" s="359"/>
    </row>
    <row r="114" spans="9:9">
      <c r="I114" s="359"/>
    </row>
    <row r="115" spans="9:9">
      <c r="I115" s="359"/>
    </row>
    <row r="116" spans="9:9">
      <c r="I116" s="359"/>
    </row>
    <row r="117" spans="9:9">
      <c r="I117" s="359"/>
    </row>
    <row r="118" spans="9:9">
      <c r="I118" s="359"/>
    </row>
    <row r="119" spans="9:9">
      <c r="I119" s="359"/>
    </row>
    <row r="120" spans="9:9">
      <c r="I120" s="359"/>
    </row>
    <row r="121" spans="9:9">
      <c r="I121" s="359"/>
    </row>
    <row r="122" spans="9:9">
      <c r="I122" s="359"/>
    </row>
    <row r="123" spans="9:9">
      <c r="I123" s="359"/>
    </row>
    <row r="124" spans="9:9">
      <c r="I124" s="359"/>
    </row>
    <row r="125" spans="9:9">
      <c r="I125" s="359"/>
    </row>
    <row r="126" spans="9:9">
      <c r="I126" s="359"/>
    </row>
    <row r="127" spans="9:9">
      <c r="I127" s="359"/>
    </row>
    <row r="128" spans="9:9">
      <c r="I128" s="359"/>
    </row>
    <row r="129" spans="9:9">
      <c r="I129" s="359"/>
    </row>
    <row r="130" spans="9:9">
      <c r="I130" s="359"/>
    </row>
    <row r="131" spans="9:9">
      <c r="I131" s="359"/>
    </row>
    <row r="132" spans="9:9">
      <c r="I132" s="359"/>
    </row>
    <row r="133" spans="9:9">
      <c r="I133" s="359"/>
    </row>
    <row r="134" spans="9:9">
      <c r="I134" s="359"/>
    </row>
    <row r="135" spans="9:9">
      <c r="I135" s="359"/>
    </row>
    <row r="136" spans="9:9">
      <c r="I136" s="359"/>
    </row>
    <row r="137" spans="9:9">
      <c r="I137" s="359"/>
    </row>
    <row r="138" spans="9:9">
      <c r="I138" s="359"/>
    </row>
    <row r="139" spans="9:9">
      <c r="I139" s="359"/>
    </row>
    <row r="140" spans="9:9">
      <c r="I140" s="359"/>
    </row>
    <row r="141" spans="9:9">
      <c r="I141" s="359"/>
    </row>
    <row r="142" spans="9:9">
      <c r="I142" s="359"/>
    </row>
    <row r="143" spans="9:9">
      <c r="I143" s="359"/>
    </row>
    <row r="144" spans="9:9">
      <c r="I144" s="359"/>
    </row>
    <row r="145" spans="9:9">
      <c r="I145" s="359"/>
    </row>
    <row r="146" spans="9:9">
      <c r="I146" s="359"/>
    </row>
    <row r="147" spans="9:9">
      <c r="I147" s="359"/>
    </row>
    <row r="148" spans="9:9">
      <c r="I148" s="359"/>
    </row>
    <row r="149" spans="9:9">
      <c r="I149" s="359"/>
    </row>
    <row r="150" spans="9:9">
      <c r="I150" s="359"/>
    </row>
    <row r="151" spans="9:9">
      <c r="I151" s="359"/>
    </row>
    <row r="152" spans="9:9">
      <c r="I152" s="359"/>
    </row>
    <row r="153" spans="9:9">
      <c r="I153" s="359"/>
    </row>
    <row r="154" spans="9:9">
      <c r="I154" s="359"/>
    </row>
    <row r="155" spans="9:9">
      <c r="I155" s="359"/>
    </row>
    <row r="156" spans="9:9">
      <c r="I156" s="359"/>
    </row>
    <row r="157" spans="9:9">
      <c r="I157" s="359"/>
    </row>
    <row r="158" spans="9:9">
      <c r="I158" s="359"/>
    </row>
    <row r="159" spans="9:9">
      <c r="I159" s="359"/>
    </row>
    <row r="160" spans="9:9">
      <c r="I160" s="359"/>
    </row>
    <row r="161" spans="9:9">
      <c r="I161" s="359"/>
    </row>
    <row r="162" spans="9:9">
      <c r="I162" s="359"/>
    </row>
    <row r="163" spans="9:9">
      <c r="I163" s="359"/>
    </row>
    <row r="164" spans="9:9">
      <c r="I164" s="359"/>
    </row>
    <row r="165" spans="9:9">
      <c r="I165" s="359"/>
    </row>
    <row r="166" spans="9:9">
      <c r="I166" s="359"/>
    </row>
    <row r="167" spans="9:9">
      <c r="I167" s="359"/>
    </row>
    <row r="168" spans="9:9">
      <c r="I168" s="359"/>
    </row>
    <row r="169" spans="9:9">
      <c r="I169" s="359"/>
    </row>
    <row r="170" spans="9:9">
      <c r="I170" s="359"/>
    </row>
    <row r="171" spans="9:9">
      <c r="I171" s="359"/>
    </row>
    <row r="172" spans="9:9">
      <c r="I172" s="359"/>
    </row>
    <row r="173" spans="9:9">
      <c r="I173" s="359"/>
    </row>
    <row r="174" spans="9:9">
      <c r="I174" s="359"/>
    </row>
    <row r="175" spans="9:9">
      <c r="I175" s="359"/>
    </row>
    <row r="176" spans="9:9">
      <c r="I176" s="359"/>
    </row>
    <row r="177" spans="9:9">
      <c r="I177" s="359"/>
    </row>
    <row r="178" spans="9:9">
      <c r="I178" s="359"/>
    </row>
    <row r="179" spans="9:9">
      <c r="I179" s="359"/>
    </row>
    <row r="180" spans="9:9">
      <c r="I180" s="359"/>
    </row>
    <row r="181" spans="9:9">
      <c r="I181" s="359"/>
    </row>
    <row r="182" spans="9:9">
      <c r="I182" s="359"/>
    </row>
    <row r="183" spans="9:9">
      <c r="I183" s="359"/>
    </row>
    <row r="184" spans="9:9">
      <c r="I184" s="359"/>
    </row>
    <row r="185" spans="9:9">
      <c r="I185" s="359"/>
    </row>
    <row r="186" spans="9:9">
      <c r="I186" s="359"/>
    </row>
    <row r="187" spans="9:9">
      <c r="I187" s="359"/>
    </row>
    <row r="188" spans="9:9">
      <c r="I188" s="359"/>
    </row>
    <row r="189" spans="9:9">
      <c r="I189" s="359"/>
    </row>
    <row r="190" spans="9:9">
      <c r="I190" s="359"/>
    </row>
    <row r="191" spans="9:9">
      <c r="I191" s="359"/>
    </row>
    <row r="192" spans="9:9">
      <c r="I192" s="359"/>
    </row>
    <row r="193" spans="9:9">
      <c r="I193" s="359"/>
    </row>
    <row r="194" spans="9:9">
      <c r="I194" s="359"/>
    </row>
    <row r="195" spans="9:9">
      <c r="I195" s="359"/>
    </row>
    <row r="196" spans="9:9">
      <c r="I196" s="359"/>
    </row>
    <row r="197" spans="9:9">
      <c r="I197" s="359"/>
    </row>
    <row r="198" spans="9:9">
      <c r="I198" s="359"/>
    </row>
    <row r="199" spans="9:9">
      <c r="I199" s="359"/>
    </row>
    <row r="200" spans="9:9">
      <c r="I200" s="359"/>
    </row>
    <row r="201" spans="9:9">
      <c r="I201" s="359"/>
    </row>
    <row r="202" spans="9:9">
      <c r="I202" s="359"/>
    </row>
    <row r="203" spans="9:9">
      <c r="I203" s="359"/>
    </row>
    <row r="204" spans="9:9">
      <c r="I204" s="359"/>
    </row>
    <row r="205" spans="9:9">
      <c r="I205" s="359"/>
    </row>
    <row r="206" spans="9:9">
      <c r="I206" s="359"/>
    </row>
    <row r="207" spans="9:9">
      <c r="I207" s="359"/>
    </row>
    <row r="208" spans="9:9">
      <c r="I208" s="359"/>
    </row>
    <row r="209" spans="9:9">
      <c r="I209" s="359"/>
    </row>
    <row r="210" spans="9:9">
      <c r="I210" s="359"/>
    </row>
    <row r="211" spans="9:9">
      <c r="I211" s="359"/>
    </row>
    <row r="212" spans="9:9">
      <c r="I212" s="359"/>
    </row>
    <row r="213" spans="9:9">
      <c r="I213" s="359"/>
    </row>
    <row r="214" spans="9:9">
      <c r="I214" s="359"/>
    </row>
    <row r="215" spans="9:9">
      <c r="I215" s="359"/>
    </row>
    <row r="216" spans="9:9">
      <c r="I216" s="359"/>
    </row>
    <row r="217" spans="9:9">
      <c r="I217" s="359"/>
    </row>
    <row r="218" spans="9:9">
      <c r="I218" s="359"/>
    </row>
    <row r="219" spans="9:9">
      <c r="I219" s="359"/>
    </row>
    <row r="220" spans="9:9">
      <c r="I220" s="359"/>
    </row>
    <row r="221" spans="9:9">
      <c r="I221" s="359"/>
    </row>
    <row r="222" spans="9:9">
      <c r="I222" s="359"/>
    </row>
    <row r="223" spans="9:9">
      <c r="I223" s="359"/>
    </row>
    <row r="224" spans="9:9">
      <c r="I224" s="359"/>
    </row>
    <row r="225" spans="9:9">
      <c r="I225" s="359"/>
    </row>
    <row r="226" spans="9:9">
      <c r="I226" s="359"/>
    </row>
    <row r="227" spans="9:9">
      <c r="I227" s="359"/>
    </row>
    <row r="228" spans="9:9">
      <c r="I228" s="359"/>
    </row>
    <row r="229" spans="9:9">
      <c r="I229" s="359"/>
    </row>
    <row r="230" spans="9:9">
      <c r="I230" s="359"/>
    </row>
    <row r="231" spans="9:9">
      <c r="I231" s="359"/>
    </row>
    <row r="232" spans="9:9">
      <c r="I232" s="359"/>
    </row>
    <row r="233" spans="9:9">
      <c r="I233" s="359"/>
    </row>
    <row r="234" spans="9:9">
      <c r="I234" s="359"/>
    </row>
    <row r="235" spans="9:9">
      <c r="I235" s="359"/>
    </row>
    <row r="236" spans="9:9">
      <c r="I236" s="359"/>
    </row>
    <row r="237" spans="9:9">
      <c r="I237" s="359"/>
    </row>
    <row r="238" spans="9:9">
      <c r="I238" s="359"/>
    </row>
    <row r="239" spans="9:9">
      <c r="I239" s="359"/>
    </row>
    <row r="240" spans="9:9">
      <c r="I240" s="359"/>
    </row>
    <row r="241" spans="9:9">
      <c r="I241" s="359"/>
    </row>
    <row r="242" spans="9:9">
      <c r="I242" s="359"/>
    </row>
    <row r="243" spans="9:9">
      <c r="I243" s="359"/>
    </row>
    <row r="244" spans="9:9">
      <c r="I244" s="359"/>
    </row>
    <row r="245" spans="9:9">
      <c r="I245" s="359"/>
    </row>
    <row r="246" spans="9:9">
      <c r="I246" s="359"/>
    </row>
    <row r="247" spans="9:9">
      <c r="I247" s="359"/>
    </row>
    <row r="248" spans="9:9">
      <c r="I248" s="359"/>
    </row>
    <row r="249" spans="9:9">
      <c r="I249" s="359"/>
    </row>
    <row r="250" spans="9:9">
      <c r="I250" s="359"/>
    </row>
    <row r="251" spans="9:9">
      <c r="I251" s="359"/>
    </row>
    <row r="252" spans="9:9">
      <c r="I252" s="359"/>
    </row>
    <row r="253" spans="9:9">
      <c r="I253" s="359"/>
    </row>
    <row r="254" spans="9:9">
      <c r="I254" s="359"/>
    </row>
    <row r="255" spans="9:9">
      <c r="I255" s="359"/>
    </row>
    <row r="256" spans="9:9">
      <c r="I256" s="359"/>
    </row>
    <row r="257" spans="9:9">
      <c r="I257" s="359"/>
    </row>
    <row r="258" spans="9:9">
      <c r="I258" s="359"/>
    </row>
    <row r="259" spans="9:9">
      <c r="I259" s="359"/>
    </row>
    <row r="260" spans="9:9">
      <c r="I260" s="359"/>
    </row>
    <row r="261" spans="9:9">
      <c r="I261" s="359"/>
    </row>
    <row r="262" spans="9:9">
      <c r="I262" s="359"/>
    </row>
    <row r="263" spans="9:9">
      <c r="I263" s="359"/>
    </row>
    <row r="264" spans="9:9">
      <c r="I264" s="359"/>
    </row>
    <row r="265" spans="9:9">
      <c r="I265" s="359"/>
    </row>
    <row r="266" spans="9:9">
      <c r="I266" s="359"/>
    </row>
    <row r="267" spans="9:9">
      <c r="I267" s="359"/>
    </row>
    <row r="268" spans="9:9">
      <c r="I268" s="359"/>
    </row>
    <row r="269" spans="9:9">
      <c r="I269" s="359"/>
    </row>
    <row r="270" spans="9:9">
      <c r="I270" s="359"/>
    </row>
    <row r="271" spans="9:9">
      <c r="I271" s="359"/>
    </row>
    <row r="272" spans="9:9">
      <c r="I272" s="359"/>
    </row>
    <row r="273" spans="9:9">
      <c r="I273" s="359"/>
    </row>
    <row r="274" spans="9:9">
      <c r="I274" s="359"/>
    </row>
    <row r="275" spans="9:9">
      <c r="I275" s="359"/>
    </row>
    <row r="276" spans="9:9">
      <c r="I276" s="359"/>
    </row>
    <row r="277" spans="9:9">
      <c r="I277" s="359"/>
    </row>
    <row r="278" spans="9:9">
      <c r="I278" s="359"/>
    </row>
    <row r="279" spans="9:9">
      <c r="I279" s="359"/>
    </row>
    <row r="280" spans="9:9">
      <c r="I280" s="359"/>
    </row>
    <row r="281" spans="9:9">
      <c r="I281" s="359"/>
    </row>
    <row r="282" spans="9:9">
      <c r="I282" s="359"/>
    </row>
    <row r="283" spans="9:9">
      <c r="I283" s="359"/>
    </row>
    <row r="284" spans="9:9">
      <c r="I284" s="359"/>
    </row>
    <row r="285" spans="9:9">
      <c r="I285" s="359"/>
    </row>
    <row r="286" spans="9:9">
      <c r="I286" s="359"/>
    </row>
    <row r="287" spans="9:9">
      <c r="I287" s="359"/>
    </row>
    <row r="288" spans="9:9">
      <c r="I288" s="359"/>
    </row>
  </sheetData>
  <mergeCells count="4">
    <mergeCell ref="A1:E1"/>
    <mergeCell ref="A2:E2"/>
    <mergeCell ref="A3:E3"/>
    <mergeCell ref="A4:E4"/>
  </mergeCells>
  <pageMargins left="0.56999999999999995" right="0.23"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B32"/>
  <sheetViews>
    <sheetView workbookViewId="0">
      <selection activeCell="B23" sqref="B23:B32"/>
    </sheetView>
  </sheetViews>
  <sheetFormatPr defaultRowHeight="12.75"/>
  <cols>
    <col min="2" max="2" width="14" bestFit="1" customWidth="1"/>
  </cols>
  <sheetData>
    <row r="23" spans="1:2">
      <c r="A23">
        <v>2011</v>
      </c>
      <c r="B23" s="359">
        <f>53874047.6/1000000</f>
        <v>53.874047600000004</v>
      </c>
    </row>
    <row r="24" spans="1:2">
      <c r="A24">
        <v>2012</v>
      </c>
      <c r="B24" s="359">
        <f>63554379.2/1000000</f>
        <v>63.5543792</v>
      </c>
    </row>
    <row r="25" spans="1:2">
      <c r="A25">
        <v>2013</v>
      </c>
      <c r="B25" s="359">
        <f>64573277.76/1000000</f>
        <v>64.573277759999996</v>
      </c>
    </row>
    <row r="26" spans="1:2">
      <c r="A26">
        <v>2014</v>
      </c>
      <c r="B26" s="359">
        <f>71839840.45/1000000</f>
        <v>71.839840449999997</v>
      </c>
    </row>
    <row r="27" spans="1:2">
      <c r="A27">
        <v>2015</v>
      </c>
      <c r="B27" s="359">
        <f>76142696.07/1000000</f>
        <v>76.14269607</v>
      </c>
    </row>
    <row r="28" spans="1:2">
      <c r="A28">
        <v>2016</v>
      </c>
      <c r="B28" s="359">
        <f>70744074.06/1000000</f>
        <v>70.744074060000003</v>
      </c>
    </row>
    <row r="29" spans="1:2">
      <c r="A29">
        <v>2017</v>
      </c>
      <c r="B29" s="359">
        <f>83337329.42/1000000</f>
        <v>83.337329420000003</v>
      </c>
    </row>
    <row r="30" spans="1:2">
      <c r="A30">
        <v>2018</v>
      </c>
      <c r="B30" s="359">
        <f>87276748.19/1000000</f>
        <v>87.276748189999992</v>
      </c>
    </row>
    <row r="31" spans="1:2">
      <c r="A31">
        <v>2019</v>
      </c>
      <c r="B31" s="359">
        <f>87646565.68/1000000</f>
        <v>87.646565680000009</v>
      </c>
    </row>
    <row r="32" spans="1:2">
      <c r="A32">
        <v>2020</v>
      </c>
      <c r="B32" s="359">
        <f>76334481.89/1000000</f>
        <v>76.334481890000006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topLeftCell="A88" workbookViewId="0">
      <selection activeCell="H88" sqref="H88"/>
    </sheetView>
  </sheetViews>
  <sheetFormatPr defaultRowHeight="12.75"/>
  <cols>
    <col min="1" max="1" width="27.42578125" customWidth="1"/>
    <col min="2" max="2" width="10.85546875" customWidth="1"/>
    <col min="3" max="3" width="17.42578125" customWidth="1"/>
    <col min="4" max="4" width="15.7109375" customWidth="1"/>
    <col min="5" max="5" width="18.28515625" customWidth="1"/>
    <col min="8" max="8" width="11.28515625" bestFit="1" customWidth="1"/>
    <col min="10" max="10" width="12" customWidth="1"/>
  </cols>
  <sheetData>
    <row r="1" spans="1:6">
      <c r="A1" s="403" t="s">
        <v>0</v>
      </c>
      <c r="B1" s="403"/>
      <c r="C1" s="403"/>
      <c r="D1" s="403"/>
      <c r="E1" s="403"/>
    </row>
    <row r="2" spans="1:6">
      <c r="A2" s="403" t="s">
        <v>22</v>
      </c>
      <c r="B2" s="403"/>
      <c r="C2" s="403"/>
      <c r="D2" s="403"/>
      <c r="E2" s="403"/>
    </row>
    <row r="3" spans="1:6">
      <c r="A3" s="403" t="s">
        <v>674</v>
      </c>
      <c r="B3" s="403"/>
      <c r="C3" s="403"/>
      <c r="D3" s="403"/>
      <c r="E3" s="403"/>
    </row>
    <row r="4" spans="1:6">
      <c r="A4" s="405" t="s">
        <v>693</v>
      </c>
      <c r="B4" s="405"/>
      <c r="C4" s="405"/>
      <c r="D4" s="405"/>
      <c r="E4" s="405"/>
    </row>
    <row r="5" spans="1:6">
      <c r="A5" s="403" t="s">
        <v>638</v>
      </c>
      <c r="B5" s="403"/>
      <c r="C5" s="403"/>
      <c r="D5" s="403"/>
      <c r="E5" s="403"/>
    </row>
    <row r="6" spans="1:6" ht="13.5" thickBot="1">
      <c r="A6" s="273"/>
      <c r="B6" s="273"/>
      <c r="C6" s="273"/>
      <c r="D6" s="273"/>
      <c r="E6" s="273"/>
    </row>
    <row r="7" spans="1:6" ht="13.5" thickBot="1">
      <c r="A7" s="290" t="s">
        <v>675</v>
      </c>
      <c r="B7" s="272"/>
      <c r="C7" s="273"/>
      <c r="D7" s="273"/>
      <c r="E7" s="273"/>
    </row>
    <row r="8" spans="1:6">
      <c r="A8" s="405" t="s">
        <v>658</v>
      </c>
      <c r="B8" s="405"/>
      <c r="C8" s="405"/>
      <c r="D8" s="405"/>
      <c r="E8" s="405"/>
    </row>
    <row r="9" spans="1:6">
      <c r="A9" s="291"/>
      <c r="B9" s="291"/>
      <c r="C9" s="291"/>
      <c r="D9" s="291"/>
      <c r="E9" s="291"/>
      <c r="F9" s="1"/>
    </row>
    <row r="10" spans="1:6">
      <c r="A10" s="291"/>
      <c r="B10" s="291"/>
      <c r="C10" s="291"/>
      <c r="D10" s="291"/>
      <c r="E10" s="291"/>
      <c r="F10" s="1"/>
    </row>
    <row r="11" spans="1:6">
      <c r="A11" s="292"/>
      <c r="B11" s="292"/>
      <c r="C11" s="292" t="s">
        <v>659</v>
      </c>
      <c r="D11" s="292"/>
      <c r="E11" s="292" t="s">
        <v>660</v>
      </c>
      <c r="F11" s="1"/>
    </row>
    <row r="12" spans="1:6" ht="13.5" thickBot="1">
      <c r="A12" s="293" t="s">
        <v>661</v>
      </c>
      <c r="B12" s="293"/>
      <c r="C12" s="293" t="s">
        <v>662</v>
      </c>
      <c r="D12" s="293"/>
      <c r="E12" s="293" t="s">
        <v>663</v>
      </c>
      <c r="F12" s="1"/>
    </row>
    <row r="13" spans="1:6">
      <c r="A13" s="291"/>
      <c r="B13" s="291"/>
      <c r="C13" s="291"/>
      <c r="D13" s="291"/>
      <c r="E13" s="291"/>
      <c r="F13" s="1"/>
    </row>
    <row r="14" spans="1:6">
      <c r="A14" s="294" t="s">
        <v>664</v>
      </c>
      <c r="B14" s="291"/>
      <c r="C14" s="295">
        <v>6757298</v>
      </c>
      <c r="D14" s="295"/>
      <c r="E14" s="295">
        <v>441598</v>
      </c>
      <c r="F14" s="1"/>
    </row>
    <row r="15" spans="1:6">
      <c r="A15" s="294"/>
      <c r="B15" s="291"/>
      <c r="C15" s="295"/>
      <c r="D15" s="295"/>
      <c r="E15" s="295"/>
      <c r="F15" s="1"/>
    </row>
    <row r="16" spans="1:6">
      <c r="A16" s="294" t="s">
        <v>665</v>
      </c>
      <c r="B16" s="291"/>
      <c r="C16" s="295">
        <v>3494376</v>
      </c>
      <c r="D16" s="295"/>
      <c r="E16" s="295">
        <v>445000</v>
      </c>
      <c r="F16" s="1"/>
    </row>
    <row r="17" spans="1:6">
      <c r="A17" s="294"/>
      <c r="B17" s="291"/>
      <c r="C17" s="295"/>
      <c r="D17" s="295"/>
      <c r="E17" s="295"/>
      <c r="F17" s="1"/>
    </row>
    <row r="18" spans="1:6">
      <c r="A18" s="294" t="s">
        <v>666</v>
      </c>
      <c r="B18" s="291"/>
      <c r="C18" s="296">
        <v>1720480</v>
      </c>
      <c r="D18" s="296"/>
      <c r="E18" s="296">
        <v>5004309</v>
      </c>
      <c r="F18" s="1"/>
    </row>
    <row r="19" spans="1:6">
      <c r="A19" s="294"/>
      <c r="B19" s="291"/>
      <c r="C19" s="295"/>
      <c r="D19" s="295"/>
      <c r="E19" s="295"/>
      <c r="F19" s="1"/>
    </row>
    <row r="20" spans="1:6">
      <c r="A20" s="294" t="s">
        <v>667</v>
      </c>
      <c r="B20" s="291"/>
      <c r="C20" s="295">
        <v>3610893</v>
      </c>
      <c r="D20" s="295"/>
      <c r="E20" s="295">
        <v>2664484</v>
      </c>
    </row>
    <row r="21" spans="1:6">
      <c r="A21" s="294"/>
      <c r="B21" s="291"/>
      <c r="C21" s="295"/>
      <c r="D21" s="295"/>
      <c r="E21" s="295"/>
    </row>
    <row r="22" spans="1:6">
      <c r="A22" s="294" t="s">
        <v>668</v>
      </c>
      <c r="B22" s="291"/>
      <c r="C22" s="297">
        <v>492122</v>
      </c>
      <c r="D22" s="295"/>
      <c r="E22" s="297">
        <v>1236831</v>
      </c>
    </row>
    <row r="23" spans="1:6">
      <c r="A23" s="291"/>
      <c r="B23" s="291"/>
      <c r="C23" s="295"/>
      <c r="D23" s="295"/>
      <c r="E23" s="295"/>
    </row>
    <row r="24" spans="1:6" ht="13.5" thickBot="1">
      <c r="A24" s="291" t="s">
        <v>669</v>
      </c>
      <c r="B24" s="291"/>
      <c r="C24" s="298">
        <f>SUM(C14:C22)</f>
        <v>16075169</v>
      </c>
      <c r="D24" s="295"/>
      <c r="E24" s="298">
        <f>SUM(E14:E22)</f>
        <v>9792222</v>
      </c>
    </row>
    <row r="25" spans="1:6" ht="13.5" thickTop="1">
      <c r="A25" s="291"/>
      <c r="B25" s="291"/>
      <c r="C25" s="295"/>
      <c r="D25" s="295"/>
      <c r="E25" s="295"/>
    </row>
    <row r="26" spans="1:6">
      <c r="A26" s="291" t="s">
        <v>670</v>
      </c>
      <c r="B26" s="291"/>
      <c r="C26" s="295">
        <f>ROUND(C24/5,0)</f>
        <v>3215034</v>
      </c>
      <c r="D26" s="295"/>
      <c r="E26" s="295">
        <f>ROUND(E24/5,0)</f>
        <v>1958444</v>
      </c>
    </row>
    <row r="27" spans="1:6">
      <c r="A27" s="291"/>
      <c r="B27" s="291"/>
      <c r="C27" s="295"/>
      <c r="D27" s="295"/>
      <c r="E27" s="295"/>
    </row>
    <row r="28" spans="1:6">
      <c r="A28" s="291" t="s">
        <v>671</v>
      </c>
      <c r="B28" s="291"/>
      <c r="C28" s="297">
        <f>C22</f>
        <v>492122</v>
      </c>
      <c r="D28" s="295"/>
      <c r="E28" s="297">
        <f>E22</f>
        <v>1236831</v>
      </c>
    </row>
    <row r="29" spans="1:6">
      <c r="A29" s="291"/>
      <c r="B29" s="291"/>
      <c r="C29" s="291"/>
      <c r="D29" s="291"/>
      <c r="E29" s="291"/>
    </row>
    <row r="30" spans="1:6" ht="13.5" thickBot="1">
      <c r="A30" s="291" t="s">
        <v>672</v>
      </c>
      <c r="B30" s="291"/>
      <c r="C30" s="298">
        <f>C26-C28</f>
        <v>2722912</v>
      </c>
      <c r="D30" s="291"/>
      <c r="E30" s="298">
        <f>E26-E28</f>
        <v>721613</v>
      </c>
    </row>
    <row r="31" spans="1:6" ht="13.5" thickTop="1">
      <c r="A31" s="291"/>
      <c r="B31" s="291"/>
      <c r="C31" s="291"/>
      <c r="D31" s="291"/>
      <c r="E31" s="291"/>
    </row>
    <row r="32" spans="1:6" ht="13.5" thickBot="1">
      <c r="A32" s="291" t="s">
        <v>673</v>
      </c>
      <c r="B32" s="291"/>
      <c r="C32" s="291"/>
      <c r="D32" s="291"/>
      <c r="E32" s="298">
        <f>C30+E30</f>
        <v>3444525</v>
      </c>
    </row>
    <row r="33" spans="1:7" ht="13.5" thickTop="1">
      <c r="A33" s="285"/>
      <c r="B33" s="285"/>
      <c r="C33" s="285"/>
      <c r="D33" s="285"/>
      <c r="E33" s="285"/>
    </row>
    <row r="35" spans="1:7" ht="13.5" thickBot="1"/>
    <row r="36" spans="1:7" ht="13.5" thickBot="1">
      <c r="A36" s="290" t="s">
        <v>676</v>
      </c>
      <c r="B36" s="272"/>
      <c r="C36" s="273"/>
      <c r="D36" s="273"/>
      <c r="E36" s="273"/>
    </row>
    <row r="37" spans="1:7">
      <c r="A37" s="405" t="s">
        <v>658</v>
      </c>
      <c r="B37" s="405"/>
      <c r="C37" s="405"/>
      <c r="D37" s="405"/>
      <c r="E37" s="405"/>
    </row>
    <row r="38" spans="1:7">
      <c r="A38" s="291"/>
      <c r="B38" s="291"/>
      <c r="C38" s="291"/>
      <c r="D38" s="291"/>
      <c r="E38" s="291"/>
    </row>
    <row r="39" spans="1:7">
      <c r="A39" s="291"/>
      <c r="B39" s="291"/>
      <c r="C39" s="291"/>
      <c r="D39" s="291"/>
      <c r="E39" s="291"/>
    </row>
    <row r="40" spans="1:7">
      <c r="A40" s="292"/>
      <c r="B40" s="292"/>
      <c r="C40" s="292" t="s">
        <v>659</v>
      </c>
      <c r="D40" s="292"/>
      <c r="E40" s="292" t="s">
        <v>660</v>
      </c>
    </row>
    <row r="41" spans="1:7" ht="13.5" thickBot="1">
      <c r="A41" s="293" t="s">
        <v>661</v>
      </c>
      <c r="B41" s="293"/>
      <c r="C41" s="293" t="s">
        <v>662</v>
      </c>
      <c r="D41" s="293"/>
      <c r="E41" s="293" t="s">
        <v>663</v>
      </c>
    </row>
    <row r="42" spans="1:7">
      <c r="A42" s="291"/>
      <c r="B42" s="291"/>
      <c r="C42" s="291"/>
      <c r="D42" s="291"/>
      <c r="E42" s="291"/>
    </row>
    <row r="43" spans="1:7">
      <c r="A43" s="294" t="s">
        <v>665</v>
      </c>
      <c r="B43" s="291"/>
      <c r="C43" s="295">
        <v>3494376</v>
      </c>
      <c r="D43" s="295"/>
      <c r="E43" s="295">
        <v>445000</v>
      </c>
    </row>
    <row r="44" spans="1:7">
      <c r="A44" s="294"/>
      <c r="B44" s="291"/>
      <c r="C44" s="295"/>
      <c r="D44" s="295"/>
      <c r="E44" s="295"/>
    </row>
    <row r="45" spans="1:7">
      <c r="A45" s="294" t="s">
        <v>666</v>
      </c>
      <c r="B45" s="291"/>
      <c r="C45" s="296">
        <v>1720480</v>
      </c>
      <c r="D45" s="296"/>
      <c r="E45" s="300">
        <f>E18-2800000</f>
        <v>2204309</v>
      </c>
      <c r="G45" t="s">
        <v>782</v>
      </c>
    </row>
    <row r="46" spans="1:7">
      <c r="A46" s="294"/>
      <c r="B46" s="291"/>
      <c r="C46" s="295"/>
      <c r="D46" s="295"/>
      <c r="E46" s="295"/>
    </row>
    <row r="47" spans="1:7">
      <c r="A47" s="294" t="s">
        <v>667</v>
      </c>
      <c r="B47" s="291"/>
      <c r="C47" s="295">
        <v>3610893</v>
      </c>
      <c r="D47" s="295"/>
      <c r="E47" s="295">
        <v>2664484</v>
      </c>
    </row>
    <row r="48" spans="1:7">
      <c r="A48" s="294"/>
      <c r="B48" s="291"/>
      <c r="C48" s="295"/>
      <c r="D48" s="295"/>
      <c r="E48" s="295"/>
    </row>
    <row r="49" spans="1:10">
      <c r="A49" s="294" t="s">
        <v>668</v>
      </c>
      <c r="B49" s="291"/>
      <c r="C49" s="296">
        <v>492122</v>
      </c>
      <c r="D49" s="296"/>
      <c r="E49" s="296">
        <v>1236831</v>
      </c>
    </row>
    <row r="50" spans="1:10">
      <c r="A50" s="294"/>
      <c r="B50" s="291"/>
      <c r="C50" s="296"/>
      <c r="D50" s="296"/>
      <c r="E50" s="296"/>
    </row>
    <row r="51" spans="1:10">
      <c r="A51" s="294" t="s">
        <v>678</v>
      </c>
      <c r="B51" s="291"/>
      <c r="C51" s="296">
        <v>308974</v>
      </c>
      <c r="D51" s="295"/>
      <c r="E51" s="296">
        <v>68386</v>
      </c>
    </row>
    <row r="52" spans="1:10">
      <c r="A52" s="291"/>
      <c r="B52" s="291"/>
      <c r="C52" s="295"/>
      <c r="D52" s="295"/>
      <c r="E52" s="295"/>
    </row>
    <row r="53" spans="1:10" ht="13.5" thickBot="1">
      <c r="A53" s="369" t="s">
        <v>669</v>
      </c>
      <c r="B53" s="291"/>
      <c r="C53" s="298">
        <f>SUM(C43:C51)</f>
        <v>9626845</v>
      </c>
      <c r="D53" s="295"/>
      <c r="E53" s="298">
        <f>SUM(E43:E51)</f>
        <v>6619010</v>
      </c>
    </row>
    <row r="54" spans="1:10" ht="13.5" thickTop="1">
      <c r="A54" s="291"/>
      <c r="B54" s="291"/>
      <c r="C54" s="295"/>
      <c r="D54" s="295"/>
      <c r="E54" s="295"/>
    </row>
    <row r="55" spans="1:10">
      <c r="A55" s="291" t="s">
        <v>670</v>
      </c>
      <c r="B55" s="291"/>
      <c r="C55" s="295">
        <f>ROUND(C53/5,0)</f>
        <v>1925369</v>
      </c>
      <c r="D55" s="295"/>
      <c r="E55" s="295">
        <f>ROUND(E53/5,0)</f>
        <v>1323802</v>
      </c>
      <c r="H55" s="315">
        <f>C55-C26</f>
        <v>-1289665</v>
      </c>
      <c r="J55" s="315">
        <f>E55-E26</f>
        <v>-634642</v>
      </c>
    </row>
    <row r="56" spans="1:10">
      <c r="A56" s="291"/>
      <c r="B56" s="291"/>
      <c r="C56" s="295"/>
      <c r="D56" s="295"/>
      <c r="E56" s="295"/>
    </row>
    <row r="57" spans="1:10">
      <c r="A57" s="291" t="s">
        <v>671</v>
      </c>
      <c r="B57" s="291"/>
      <c r="C57" s="297">
        <f>C49</f>
        <v>492122</v>
      </c>
      <c r="D57" s="295"/>
      <c r="E57" s="297">
        <f>E49</f>
        <v>1236831</v>
      </c>
    </row>
    <row r="58" spans="1:10">
      <c r="A58" s="291"/>
      <c r="B58" s="291"/>
      <c r="C58" s="291"/>
      <c r="D58" s="291"/>
      <c r="E58" s="291"/>
    </row>
    <row r="59" spans="1:10" ht="13.5" thickBot="1">
      <c r="A59" s="291" t="s">
        <v>672</v>
      </c>
      <c r="B59" s="291"/>
      <c r="C59" s="298">
        <f>C55-C57</f>
        <v>1433247</v>
      </c>
      <c r="D59" s="291"/>
      <c r="E59" s="298">
        <f>E55-E57</f>
        <v>86971</v>
      </c>
    </row>
    <row r="60" spans="1:10" ht="13.5" thickTop="1">
      <c r="A60" s="291"/>
      <c r="B60" s="291"/>
      <c r="C60" s="291"/>
      <c r="D60" s="291"/>
      <c r="E60" s="291"/>
    </row>
    <row r="61" spans="1:10" ht="13.5" thickBot="1">
      <c r="A61" s="291" t="s">
        <v>673</v>
      </c>
      <c r="B61" s="291"/>
      <c r="C61" s="291"/>
      <c r="D61" s="291"/>
      <c r="E61" s="298">
        <f>C59+E59</f>
        <v>1520218</v>
      </c>
    </row>
    <row r="62" spans="1:10" ht="13.5" thickTop="1">
      <c r="A62" s="285"/>
      <c r="B62" s="285"/>
      <c r="C62" s="285"/>
      <c r="D62" s="285"/>
      <c r="E62" s="285"/>
    </row>
    <row r="64" spans="1:10" ht="13.5" thickBot="1">
      <c r="A64" s="285" t="s">
        <v>677</v>
      </c>
      <c r="E64" s="299">
        <f>E61-E32</f>
        <v>-1924307</v>
      </c>
    </row>
    <row r="65" spans="1:7" ht="13.5" thickTop="1"/>
    <row r="69" spans="1:7" ht="13.5" thickBot="1"/>
    <row r="70" spans="1:7" ht="13.5" thickBot="1">
      <c r="A70" s="290" t="s">
        <v>781</v>
      </c>
      <c r="B70" s="368"/>
      <c r="C70" s="273"/>
      <c r="D70" s="273"/>
      <c r="E70" s="273"/>
    </row>
    <row r="71" spans="1:7">
      <c r="A71" s="405" t="s">
        <v>658</v>
      </c>
      <c r="B71" s="405"/>
      <c r="C71" s="405"/>
      <c r="D71" s="405"/>
      <c r="E71" s="405"/>
    </row>
    <row r="72" spans="1:7">
      <c r="A72" s="291"/>
      <c r="B72" s="291"/>
      <c r="C72" s="291"/>
      <c r="D72" s="291"/>
      <c r="E72" s="291"/>
    </row>
    <row r="73" spans="1:7">
      <c r="A73" s="291"/>
      <c r="B73" s="291"/>
      <c r="C73" s="291"/>
      <c r="D73" s="291"/>
      <c r="E73" s="291"/>
    </row>
    <row r="74" spans="1:7">
      <c r="A74" s="292"/>
      <c r="B74" s="292"/>
      <c r="C74" s="292" t="s">
        <v>659</v>
      </c>
      <c r="D74" s="292"/>
      <c r="E74" s="292" t="s">
        <v>660</v>
      </c>
    </row>
    <row r="75" spans="1:7" ht="13.5" thickBot="1">
      <c r="A75" s="293" t="s">
        <v>661</v>
      </c>
      <c r="B75" s="293"/>
      <c r="C75" s="293" t="s">
        <v>662</v>
      </c>
      <c r="D75" s="293"/>
      <c r="E75" s="293" t="s">
        <v>663</v>
      </c>
    </row>
    <row r="76" spans="1:7">
      <c r="A76" s="291"/>
      <c r="B76" s="291"/>
      <c r="C76" s="291"/>
      <c r="D76" s="291"/>
      <c r="E76" s="291"/>
    </row>
    <row r="77" spans="1:7">
      <c r="A77" s="294" t="s">
        <v>664</v>
      </c>
      <c r="B77" s="291"/>
      <c r="C77" s="295">
        <f>6757298*0.5</f>
        <v>3378649</v>
      </c>
      <c r="D77" s="295"/>
      <c r="E77" s="295">
        <v>441598</v>
      </c>
      <c r="G77" t="s">
        <v>783</v>
      </c>
    </row>
    <row r="78" spans="1:7">
      <c r="A78" s="294"/>
      <c r="B78" s="291"/>
      <c r="C78" s="295"/>
      <c r="D78" s="295"/>
      <c r="E78" s="295"/>
    </row>
    <row r="79" spans="1:7">
      <c r="A79" s="294" t="s">
        <v>665</v>
      </c>
      <c r="B79" s="291"/>
      <c r="C79" s="295">
        <v>3494376</v>
      </c>
      <c r="D79" s="295"/>
      <c r="E79" s="295">
        <v>445000</v>
      </c>
    </row>
    <row r="80" spans="1:7">
      <c r="A80" s="294"/>
      <c r="B80" s="291"/>
      <c r="C80" s="295"/>
      <c r="D80" s="295"/>
      <c r="E80" s="295"/>
    </row>
    <row r="81" spans="1:10">
      <c r="A81" s="294" t="s">
        <v>666</v>
      </c>
      <c r="B81" s="291"/>
      <c r="C81" s="296">
        <v>1720480</v>
      </c>
      <c r="D81" s="296"/>
      <c r="E81" s="300">
        <f>E45</f>
        <v>2204309</v>
      </c>
      <c r="G81" t="s">
        <v>782</v>
      </c>
    </row>
    <row r="82" spans="1:10">
      <c r="A82" s="294"/>
      <c r="B82" s="291"/>
      <c r="C82" s="295"/>
      <c r="D82" s="295"/>
      <c r="E82" s="295"/>
    </row>
    <row r="83" spans="1:10">
      <c r="A83" s="294" t="s">
        <v>667</v>
      </c>
      <c r="B83" s="291"/>
      <c r="C83" s="295">
        <v>3610893</v>
      </c>
      <c r="D83" s="295"/>
      <c r="E83" s="295">
        <v>2664484</v>
      </c>
    </row>
    <row r="84" spans="1:10">
      <c r="A84" s="294"/>
      <c r="B84" s="291"/>
      <c r="C84" s="295"/>
      <c r="D84" s="295"/>
      <c r="E84" s="295"/>
    </row>
    <row r="85" spans="1:10">
      <c r="A85" s="294" t="s">
        <v>668</v>
      </c>
      <c r="B85" s="291"/>
      <c r="C85" s="296">
        <v>492122</v>
      </c>
      <c r="D85" s="296"/>
      <c r="E85" s="296">
        <v>1236831</v>
      </c>
    </row>
    <row r="86" spans="1:10">
      <c r="A86" s="291"/>
      <c r="B86" s="291"/>
      <c r="C86" s="295"/>
      <c r="D86" s="295"/>
      <c r="E86" s="295"/>
    </row>
    <row r="87" spans="1:10" ht="13.5" thickBot="1">
      <c r="A87" s="369" t="s">
        <v>669</v>
      </c>
      <c r="B87" s="291"/>
      <c r="C87" s="298">
        <f>SUM(C77:C85)</f>
        <v>12696520</v>
      </c>
      <c r="D87" s="295"/>
      <c r="E87" s="298">
        <f>SUM(E77:E85)</f>
        <v>6992222</v>
      </c>
    </row>
    <row r="88" spans="1:10" ht="13.5" thickTop="1">
      <c r="A88" s="291"/>
      <c r="B88" s="291"/>
      <c r="C88" s="295"/>
      <c r="D88" s="295"/>
      <c r="E88" s="295"/>
    </row>
    <row r="89" spans="1:10">
      <c r="A89" s="291" t="s">
        <v>670</v>
      </c>
      <c r="B89" s="291"/>
      <c r="C89" s="295">
        <f>ROUND(C87/5,0)</f>
        <v>2539304</v>
      </c>
      <c r="D89" s="295"/>
      <c r="E89" s="295">
        <f>ROUND(E87/5,0)</f>
        <v>1398444</v>
      </c>
      <c r="H89" s="315">
        <f>C89-C26</f>
        <v>-675730</v>
      </c>
      <c r="J89" s="315">
        <f>E89-E26</f>
        <v>-560000</v>
      </c>
    </row>
    <row r="90" spans="1:10">
      <c r="A90" s="291"/>
      <c r="B90" s="291"/>
      <c r="C90" s="295"/>
      <c r="D90" s="295"/>
      <c r="E90" s="295"/>
    </row>
    <row r="91" spans="1:10">
      <c r="A91" s="291" t="s">
        <v>671</v>
      </c>
      <c r="B91" s="291"/>
      <c r="C91" s="297">
        <f>C85</f>
        <v>492122</v>
      </c>
      <c r="D91" s="295"/>
      <c r="E91" s="297">
        <f>E85</f>
        <v>1236831</v>
      </c>
    </row>
    <row r="92" spans="1:10">
      <c r="A92" s="291"/>
      <c r="B92" s="291"/>
      <c r="C92" s="291"/>
      <c r="D92" s="291"/>
      <c r="E92" s="291"/>
    </row>
    <row r="93" spans="1:10" ht="13.5" thickBot="1">
      <c r="A93" s="291" t="s">
        <v>672</v>
      </c>
      <c r="B93" s="291"/>
      <c r="C93" s="298">
        <f>C89-C91</f>
        <v>2047182</v>
      </c>
      <c r="D93" s="291"/>
      <c r="E93" s="298">
        <f>E89-E91</f>
        <v>161613</v>
      </c>
    </row>
    <row r="94" spans="1:10" ht="13.5" thickTop="1">
      <c r="A94" s="291"/>
      <c r="B94" s="291"/>
      <c r="C94" s="291"/>
      <c r="D94" s="291"/>
      <c r="E94" s="291"/>
    </row>
    <row r="95" spans="1:10" ht="13.5" thickBot="1">
      <c r="A95" s="291" t="s">
        <v>673</v>
      </c>
      <c r="B95" s="291"/>
      <c r="C95" s="291"/>
      <c r="D95" s="291"/>
      <c r="E95" s="298">
        <f>C93+E93</f>
        <v>2208795</v>
      </c>
    </row>
    <row r="96" spans="1:10" ht="13.5" thickTop="1">
      <c r="A96" s="285"/>
      <c r="B96" s="285"/>
      <c r="C96" s="285"/>
      <c r="D96" s="285"/>
      <c r="E96" s="285"/>
    </row>
    <row r="98" spans="1:5" ht="13.5" thickBot="1">
      <c r="A98" s="285" t="s">
        <v>677</v>
      </c>
      <c r="E98" s="299">
        <f>E95-E32</f>
        <v>-1235730</v>
      </c>
    </row>
    <row r="99" spans="1:5" ht="13.5" thickTop="1"/>
  </sheetData>
  <mergeCells count="8">
    <mergeCell ref="A71:E71"/>
    <mergeCell ref="A8:E8"/>
    <mergeCell ref="A37:E37"/>
    <mergeCell ref="A1:E1"/>
    <mergeCell ref="A2:E2"/>
    <mergeCell ref="A3:E3"/>
    <mergeCell ref="A5:E5"/>
    <mergeCell ref="A4:E4"/>
  </mergeCells>
  <phoneticPr fontId="5"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Revenue Requirement</vt:lpstr>
      <vt:lpstr>1.30 - As Filed And Adj Rev Inc</vt:lpstr>
      <vt:lpstr>Capacity Revenues</vt:lpstr>
      <vt:lpstr>Net Leased Property Income</vt:lpstr>
      <vt:lpstr>Payroll &amp; PR Expenses</vt:lpstr>
      <vt:lpstr>OPEB</vt:lpstr>
      <vt:lpstr>Generation Outage Exp Normal</vt:lpstr>
      <vt:lpstr>Gen Maint Bar Chart</vt:lpstr>
      <vt:lpstr>PP Exp Due to Forced Outages</vt:lpstr>
      <vt:lpstr>Depr Exp-Adj 1 </vt:lpstr>
      <vt:lpstr>Depr Exp-Adj 2</vt:lpstr>
      <vt:lpstr>Depr Exp-Adj 3</vt:lpstr>
      <vt:lpstr>Depr Exp-Adj  General Res Surp</vt:lpstr>
      <vt:lpstr>As Filed Depr Table 1</vt:lpstr>
      <vt:lpstr>Adjust Depr Table 1</vt:lpstr>
      <vt:lpstr>Adjust Depr Table 2</vt:lpstr>
      <vt:lpstr>Adjust Depr Table 3</vt:lpstr>
      <vt:lpstr>Interest Exp - ST Investments</vt:lpstr>
      <vt:lpstr>Interest Expense ES Removal</vt:lpstr>
      <vt:lpstr>WP 1.02 Plant</vt:lpstr>
      <vt:lpstr>WP 1.02 Interest &amp; Principal</vt:lpstr>
      <vt:lpstr>1.04 - LTD Interest Expense</vt:lpstr>
      <vt:lpstr>Smith 1 Reg Asset</vt:lpstr>
      <vt:lpstr>Select Post Test Adjust</vt:lpstr>
      <vt:lpstr>'Revenue Requirement'!Print_Area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dc:creator>
  <cp:lastModifiedBy>michael.west</cp:lastModifiedBy>
  <cp:lastPrinted>2021-06-28T16:45:36Z</cp:lastPrinted>
  <dcterms:created xsi:type="dcterms:W3CDTF">2007-02-19T14:00:53Z</dcterms:created>
  <dcterms:modified xsi:type="dcterms:W3CDTF">2021-06-28T17:55:24Z</dcterms:modified>
</cp:coreProperties>
</file>