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DB6CDC69-1F66-4EBE-98AD-7FB149765B64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Table 1" sheetId="3" r:id="rId1"/>
  </sheets>
  <definedNames>
    <definedName name="_xlnm.Print_Area" localSheetId="0">'Table 1'!$A$2:$G$270</definedName>
    <definedName name="_xlnm.Print_Titles" localSheetId="0">'Table 1'!$2:$5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7" i="3" l="1"/>
  <c r="H63" i="3"/>
  <c r="H62" i="3"/>
  <c r="H43" i="3" l="1"/>
  <c r="H42" i="3"/>
  <c r="H30" i="3"/>
  <c r="H29" i="3"/>
  <c r="H250" i="3" l="1"/>
  <c r="H249" i="3"/>
  <c r="H248" i="3"/>
  <c r="H247" i="3"/>
  <c r="H246" i="3"/>
  <c r="H245" i="3"/>
  <c r="H244" i="3"/>
  <c r="H236" i="3"/>
  <c r="I236" i="3" s="1"/>
  <c r="H235" i="3"/>
  <c r="I235" i="3" s="1"/>
  <c r="E237" i="3"/>
  <c r="C237" i="3"/>
  <c r="D237" i="3"/>
  <c r="H233" i="3"/>
  <c r="I233" i="3" s="1"/>
  <c r="H231" i="3"/>
  <c r="I231" i="3" s="1"/>
  <c r="H230" i="3"/>
  <c r="I230" i="3" s="1"/>
  <c r="H228" i="3"/>
  <c r="I228" i="3" s="1"/>
  <c r="H226" i="3"/>
  <c r="I226" i="3" s="1"/>
  <c r="H225" i="3"/>
  <c r="I225" i="3" s="1"/>
  <c r="I227" i="3" s="1"/>
  <c r="E232" i="3"/>
  <c r="E227" i="3"/>
  <c r="C232" i="3"/>
  <c r="C227" i="3"/>
  <c r="D232" i="3"/>
  <c r="D227" i="3"/>
  <c r="H222" i="3"/>
  <c r="I222" i="3" s="1"/>
  <c r="H221" i="3"/>
  <c r="I221" i="3" s="1"/>
  <c r="H219" i="3"/>
  <c r="I219" i="3" s="1"/>
  <c r="H218" i="3"/>
  <c r="I218" i="3" s="1"/>
  <c r="H216" i="3"/>
  <c r="I216" i="3" s="1"/>
  <c r="H215" i="3"/>
  <c r="I215" i="3" s="1"/>
  <c r="E223" i="3"/>
  <c r="E217" i="3"/>
  <c r="C223" i="3"/>
  <c r="C217" i="3"/>
  <c r="D223" i="3"/>
  <c r="D217" i="3"/>
  <c r="H212" i="3"/>
  <c r="I212" i="3" s="1"/>
  <c r="H211" i="3"/>
  <c r="I211" i="3" s="1"/>
  <c r="H209" i="3"/>
  <c r="I209" i="3" s="1"/>
  <c r="E213" i="3"/>
  <c r="C213" i="3"/>
  <c r="D213" i="3"/>
  <c r="H203" i="3"/>
  <c r="I203" i="3" s="1"/>
  <c r="H202" i="3"/>
  <c r="I202" i="3" s="1"/>
  <c r="H201" i="3"/>
  <c r="I201" i="3" s="1"/>
  <c r="E205" i="3"/>
  <c r="D205" i="3"/>
  <c r="C205" i="3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E197" i="3"/>
  <c r="D197" i="3"/>
  <c r="C197" i="3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E184" i="3"/>
  <c r="D184" i="3"/>
  <c r="C184" i="3"/>
  <c r="H175" i="3"/>
  <c r="I175" i="3" s="1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H157" i="3"/>
  <c r="I157" i="3" s="1"/>
  <c r="H156" i="3"/>
  <c r="I156" i="3" s="1"/>
  <c r="E176" i="3"/>
  <c r="D176" i="3"/>
  <c r="C176" i="3"/>
  <c r="H153" i="3"/>
  <c r="I153" i="3" s="1"/>
  <c r="H152" i="3"/>
  <c r="I152" i="3" s="1"/>
  <c r="H151" i="3"/>
  <c r="I151" i="3" s="1"/>
  <c r="H150" i="3"/>
  <c r="I150" i="3" s="1"/>
  <c r="H149" i="3"/>
  <c r="I149" i="3" s="1"/>
  <c r="H148" i="3"/>
  <c r="I148" i="3" s="1"/>
  <c r="H147" i="3"/>
  <c r="I147" i="3" s="1"/>
  <c r="H146" i="3"/>
  <c r="I146" i="3" s="1"/>
  <c r="H145" i="3"/>
  <c r="I145" i="3" s="1"/>
  <c r="H144" i="3"/>
  <c r="I144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3" i="3"/>
  <c r="I133" i="3" s="1"/>
  <c r="E154" i="3"/>
  <c r="D154" i="3"/>
  <c r="C154" i="3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H114" i="3"/>
  <c r="I114" i="3" s="1"/>
  <c r="H113" i="3"/>
  <c r="I113" i="3" s="1"/>
  <c r="H112" i="3"/>
  <c r="I112" i="3" s="1"/>
  <c r="E131" i="3"/>
  <c r="D131" i="3"/>
  <c r="C131" i="3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E110" i="3"/>
  <c r="D110" i="3"/>
  <c r="C110" i="3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H83" i="3"/>
  <c r="I83" i="3" s="1"/>
  <c r="H82" i="3"/>
  <c r="I82" i="3" s="1"/>
  <c r="H81" i="3"/>
  <c r="I81" i="3" s="1"/>
  <c r="H80" i="3"/>
  <c r="I80" i="3" s="1"/>
  <c r="E100" i="3"/>
  <c r="D100" i="3"/>
  <c r="C100" i="3"/>
  <c r="H68" i="3"/>
  <c r="I68" i="3" s="1"/>
  <c r="H72" i="3"/>
  <c r="I72" i="3" s="1"/>
  <c r="H71" i="3"/>
  <c r="I71" i="3" s="1"/>
  <c r="H70" i="3"/>
  <c r="I70" i="3" s="1"/>
  <c r="H69" i="3"/>
  <c r="I69" i="3" s="1"/>
  <c r="H67" i="3"/>
  <c r="I67" i="3" s="1"/>
  <c r="H66" i="3"/>
  <c r="I66" i="3" s="1"/>
  <c r="E73" i="3"/>
  <c r="C73" i="3"/>
  <c r="D73" i="3"/>
  <c r="I63" i="3"/>
  <c r="I62" i="3"/>
  <c r="H56" i="3"/>
  <c r="I56" i="3" s="1"/>
  <c r="H61" i="3"/>
  <c r="I61" i="3" s="1"/>
  <c r="H60" i="3"/>
  <c r="I60" i="3" s="1"/>
  <c r="H59" i="3"/>
  <c r="I59" i="3" s="1"/>
  <c r="H58" i="3"/>
  <c r="I58" i="3" s="1"/>
  <c r="H57" i="3"/>
  <c r="I57" i="3" s="1"/>
  <c r="H55" i="3"/>
  <c r="I55" i="3" s="1"/>
  <c r="H54" i="3"/>
  <c r="I54" i="3" s="1"/>
  <c r="H53" i="3"/>
  <c r="I53" i="3" s="1"/>
  <c r="E64" i="3"/>
  <c r="C64" i="3"/>
  <c r="D64" i="3"/>
  <c r="H50" i="3"/>
  <c r="I50" i="3" s="1"/>
  <c r="H49" i="3"/>
  <c r="I49" i="3" s="1"/>
  <c r="H48" i="3"/>
  <c r="I48" i="3" s="1"/>
  <c r="H47" i="3"/>
  <c r="I47" i="3" s="1"/>
  <c r="H46" i="3"/>
  <c r="I46" i="3" s="1"/>
  <c r="E51" i="3"/>
  <c r="D51" i="3"/>
  <c r="C51" i="3"/>
  <c r="I43" i="3"/>
  <c r="I42" i="3"/>
  <c r="H34" i="3"/>
  <c r="I34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3" i="3"/>
  <c r="I33" i="3" s="1"/>
  <c r="E44" i="3"/>
  <c r="C44" i="3"/>
  <c r="D44" i="3"/>
  <c r="I30" i="3"/>
  <c r="I29" i="3"/>
  <c r="H28" i="3"/>
  <c r="I28" i="3" s="1"/>
  <c r="H27" i="3"/>
  <c r="I27" i="3" s="1"/>
  <c r="H26" i="3"/>
  <c r="I26" i="3" s="1"/>
  <c r="H25" i="3"/>
  <c r="I25" i="3" s="1"/>
  <c r="H22" i="3"/>
  <c r="I22" i="3" s="1"/>
  <c r="H24" i="3"/>
  <c r="I24" i="3" s="1"/>
  <c r="H23" i="3"/>
  <c r="H21" i="3"/>
  <c r="I21" i="3" s="1"/>
  <c r="E31" i="3"/>
  <c r="C31" i="3"/>
  <c r="D31" i="3"/>
  <c r="H17" i="3"/>
  <c r="I17" i="3" s="1"/>
  <c r="D16" i="3"/>
  <c r="H16" i="3" s="1"/>
  <c r="I16" i="3" s="1"/>
  <c r="E19" i="3"/>
  <c r="C19" i="3"/>
  <c r="H18" i="3"/>
  <c r="I18" i="3" s="1"/>
  <c r="H15" i="3"/>
  <c r="I15" i="3" s="1"/>
  <c r="H14" i="3"/>
  <c r="I14" i="3" s="1"/>
  <c r="H9" i="3"/>
  <c r="I9" i="3" s="1"/>
  <c r="E250" i="3"/>
  <c r="E249" i="3"/>
  <c r="E248" i="3"/>
  <c r="E247" i="3"/>
  <c r="E246" i="3"/>
  <c r="E245" i="3"/>
  <c r="E244" i="3"/>
  <c r="D252" i="3"/>
  <c r="I244" i="3" l="1"/>
  <c r="I245" i="3"/>
  <c r="D239" i="3"/>
  <c r="E239" i="3"/>
  <c r="I237" i="3"/>
  <c r="I246" i="3"/>
  <c r="I247" i="3"/>
  <c r="I248" i="3"/>
  <c r="I249" i="3"/>
  <c r="I250" i="3"/>
  <c r="H252" i="3"/>
  <c r="C239" i="3"/>
  <c r="H217" i="3"/>
  <c r="H232" i="3"/>
  <c r="H237" i="3"/>
  <c r="I223" i="3"/>
  <c r="H227" i="3"/>
  <c r="I205" i="3"/>
  <c r="I232" i="3"/>
  <c r="H223" i="3"/>
  <c r="D19" i="3"/>
  <c r="D75" i="3" s="1"/>
  <c r="I217" i="3"/>
  <c r="H213" i="3"/>
  <c r="I213" i="3"/>
  <c r="H184" i="3"/>
  <c r="H205" i="3"/>
  <c r="E186" i="3"/>
  <c r="I197" i="3"/>
  <c r="D186" i="3"/>
  <c r="I184" i="3"/>
  <c r="C186" i="3"/>
  <c r="H197" i="3"/>
  <c r="I176" i="3"/>
  <c r="H176" i="3"/>
  <c r="H110" i="3"/>
  <c r="I154" i="3"/>
  <c r="H154" i="3"/>
  <c r="H131" i="3"/>
  <c r="I115" i="3"/>
  <c r="I131" i="3" s="1"/>
  <c r="I51" i="3"/>
  <c r="C75" i="3"/>
  <c r="I102" i="3"/>
  <c r="I110" i="3" s="1"/>
  <c r="E75" i="3"/>
  <c r="H73" i="3"/>
  <c r="H100" i="3"/>
  <c r="I84" i="3"/>
  <c r="I100" i="3" s="1"/>
  <c r="I73" i="3"/>
  <c r="I64" i="3"/>
  <c r="H64" i="3"/>
  <c r="I44" i="3"/>
  <c r="H51" i="3"/>
  <c r="H44" i="3"/>
  <c r="H31" i="3"/>
  <c r="I23" i="3"/>
  <c r="I31" i="3" s="1"/>
  <c r="I19" i="3"/>
  <c r="H19" i="3"/>
  <c r="C254" i="3" l="1"/>
  <c r="C269" i="3" s="1"/>
  <c r="D240" i="3"/>
  <c r="I239" i="3"/>
  <c r="H239" i="3"/>
  <c r="I252" i="3"/>
  <c r="H186" i="3"/>
  <c r="I186" i="3"/>
  <c r="H75" i="3"/>
  <c r="H254" i="3" s="1"/>
  <c r="I75" i="3"/>
  <c r="I254" i="3" s="1"/>
  <c r="G19" i="3" l="1"/>
  <c r="G237" i="3" l="1"/>
  <c r="G217" i="3"/>
  <c r="G232" i="3"/>
  <c r="E252" i="3"/>
  <c r="E254" i="3" s="1"/>
  <c r="G223" i="3"/>
  <c r="G213" i="3"/>
  <c r="G227" i="3"/>
  <c r="G131" i="3" l="1"/>
  <c r="G51" i="3" l="1"/>
  <c r="G64" i="3"/>
  <c r="G44" i="3"/>
  <c r="G110" i="3"/>
  <c r="G154" i="3"/>
  <c r="G176" i="3"/>
  <c r="G31" i="3"/>
  <c r="G100" i="3"/>
  <c r="G73" i="3"/>
  <c r="G75" i="3" l="1"/>
  <c r="G239" i="3" l="1"/>
  <c r="G184" i="3" l="1"/>
  <c r="G205" i="3"/>
  <c r="G186" i="3" l="1"/>
  <c r="G197" i="3"/>
  <c r="G254" i="3" l="1"/>
</calcChain>
</file>

<file path=xl/sharedStrings.xml><?xml version="1.0" encoding="utf-8"?>
<sst xmlns="http://schemas.openxmlformats.org/spreadsheetml/2006/main" count="258" uniqueCount="119">
  <si>
    <t>ACCOUNT</t>
  </si>
  <si>
    <t xml:space="preserve">STEAM PRODUCTION PLANT </t>
  </si>
  <si>
    <t>STRUCTURES AND IMPROVEMENTS</t>
  </si>
  <si>
    <t xml:space="preserve">TRANSMISSION PLANT </t>
  </si>
  <si>
    <t xml:space="preserve">DISTRIBUTION PLANT </t>
  </si>
  <si>
    <t xml:space="preserve">GENERAL PLANT </t>
  </si>
  <si>
    <t>ACCESSORY ELECTRIC EQUIPMENT</t>
  </si>
  <si>
    <t>MISCELLANEOUS POWER PLANT EQUIPMENT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</si>
  <si>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</si>
  <si>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</si>
  <si>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</si>
  <si>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</si>
  <si>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>BOILER PLANT EQUIPMENT</t>
  </si>
  <si>
    <t>TURBOGENERATOR UNITS</t>
  </si>
  <si>
    <t>LAND</t>
  </si>
  <si>
    <t>FUEL HOLDERS AND ACCESSORIES</t>
  </si>
  <si>
    <t>GENERATORS</t>
  </si>
  <si>
    <t xml:space="preserve">OTHER PRODUCTION PLANT </t>
  </si>
  <si>
    <t>ROADS AND TRAILS</t>
  </si>
  <si>
    <t>PRIME MOVERS</t>
  </si>
  <si>
    <t xml:space="preserve">STATION EQUIPMENT - ECS                   </t>
  </si>
  <si>
    <t>STATION EQUIPMENT - SCADA</t>
  </si>
  <si>
    <t>LINE TRANSFORMERS</t>
  </si>
  <si>
    <t xml:space="preserve">OFFICE FURNITURE AND EQUIPMENT             </t>
  </si>
  <si>
    <t>OFFICE FURNITURE AND EQUIPMENT - PEOPLESOFT</t>
  </si>
  <si>
    <t xml:space="preserve">TRANSPORTATION EQUIPMENT                   </t>
  </si>
  <si>
    <t xml:space="preserve">STORES EQUIPMENT                           </t>
  </si>
  <si>
    <t xml:space="preserve">TOOLS, SHOP, AND GARAGE EQUIPMENT          </t>
  </si>
  <si>
    <t xml:space="preserve">LABORATORY EQUIPMENT                       </t>
  </si>
  <si>
    <t xml:space="preserve">POWER OPERATED EQUIPMENT                   </t>
  </si>
  <si>
    <t xml:space="preserve">COMMUNICATION EQUIPMENT                    </t>
  </si>
  <si>
    <t xml:space="preserve">COMMUNICATION EQUIPMENT - ECS              </t>
  </si>
  <si>
    <t xml:space="preserve">MISCELLANEOUS EQUIPMENT                    </t>
  </si>
  <si>
    <t>OFFICE STRUCTURES AND IMPROVEMENTS</t>
  </si>
  <si>
    <t>ORGANIZATION</t>
  </si>
  <si>
    <t>MISCELLANEOUS INTANGIBLE PLANT</t>
  </si>
  <si>
    <t>LAND AND LAND RIGHTS</t>
  </si>
  <si>
    <t>COOPER COMMON</t>
  </si>
  <si>
    <t>CENTRAL LAB</t>
  </si>
  <si>
    <t>SPURLOCK COMMON</t>
  </si>
  <si>
    <t>SPURLOCK UNIT 1</t>
  </si>
  <si>
    <t>SPURLOCK UNIT 2</t>
  </si>
  <si>
    <t>SPURLOCK UNIT 3</t>
  </si>
  <si>
    <t>SPURLOCK UNIT 4</t>
  </si>
  <si>
    <t>SPURLOCK UNIT 1 SCRUBBER</t>
  </si>
  <si>
    <t>SPURLOCK UNIT 2 SCRUBBER</t>
  </si>
  <si>
    <t>COOPER UNIT 2 SCRUBBER</t>
  </si>
  <si>
    <t>TOTAL STRUCTURES AND IMPROVEMENTS</t>
  </si>
  <si>
    <t>COOPER UNIT 1</t>
  </si>
  <si>
    <t>COOPER UNIT 2</t>
  </si>
  <si>
    <t>TOTAL BOILER PLANT EQUIPMENT</t>
  </si>
  <si>
    <t>TOTAL TURBOGENERATOR UNITS</t>
  </si>
  <si>
    <t>TOTAL ACCESSORY ELECTRIC EQUIPMENT</t>
  </si>
  <si>
    <t>TOTAL MISCELLANEOUS POWER PLANT EQUIPMENT</t>
  </si>
  <si>
    <t xml:space="preserve">TOTAL STEAM PRODUCTION PLANT </t>
  </si>
  <si>
    <t>BLUEGRASS OLDHAM COMMON</t>
  </si>
  <si>
    <t>BLUEGRASS OLDHAM UNIT 1</t>
  </si>
  <si>
    <t>BLUEGRASS OLDHAM UNIT 2</t>
  </si>
  <si>
    <t>BLUEGRASS OLDHAM UNIT 3</t>
  </si>
  <si>
    <t>SMITH CT COMMON</t>
  </si>
  <si>
    <t>SMITH CT UNIT 2</t>
  </si>
  <si>
    <t>SMITH CT UNIT 1</t>
  </si>
  <si>
    <t>SMITH CT UNIT 3</t>
  </si>
  <si>
    <t>SMITH CT UNIT 4</t>
  </si>
  <si>
    <t>SMITH CT UNIT 5</t>
  </si>
  <si>
    <t>SMITH CT UNIT 6</t>
  </si>
  <si>
    <t>SMITH CT UNIT 7</t>
  </si>
  <si>
    <t>SMITH CT UNIT 9</t>
  </si>
  <si>
    <t>SMITH CT UNIT 10</t>
  </si>
  <si>
    <t>GREEN VALLEY LANDFILL</t>
  </si>
  <si>
    <t>LAUREL RIDGE LANDFILL</t>
  </si>
  <si>
    <t>BAVARIAN LANDFILL</t>
  </si>
  <si>
    <t>PEARL HOLLOW LANDFILL</t>
  </si>
  <si>
    <t>TOTAL FUEL HOLDERS AND ACCESSORIES</t>
  </si>
  <si>
    <t>PENDLETON COUNTY LANDFILL</t>
  </si>
  <si>
    <t>TOTAL PRIME MOVERS</t>
  </si>
  <si>
    <t>GLASGOW LANDFILL</t>
  </si>
  <si>
    <t>TOTAL GENERATORS</t>
  </si>
  <si>
    <t xml:space="preserve">TOTAL OTHER PRODUCTION PLANT </t>
  </si>
  <si>
    <t xml:space="preserve">TOTAL TRANSMISSION PLANT </t>
  </si>
  <si>
    <t xml:space="preserve">TOTAL DISTRIBUTION PLANT </t>
  </si>
  <si>
    <t xml:space="preserve">TOTAL GENERAL PLANT </t>
  </si>
  <si>
    <t xml:space="preserve">TOTAL DEPRECIABLE PLANT </t>
  </si>
  <si>
    <t xml:space="preserve">TOTAL ELECTRIC PLANT </t>
  </si>
  <si>
    <t>NONDEPRECIABLE PLANT AND ACCOUNTS NOT STUDIED</t>
  </si>
  <si>
    <t>TOTAL NONDEPRECIABLE PLANT AND ACCOUNTS NOT STUDIED</t>
  </si>
  <si>
    <t>FULLY ACCRUED</t>
  </si>
  <si>
    <t>AMORTIZED</t>
  </si>
  <si>
    <t>TOTAL OFFICE FURNITURE AND EQUIPMENT</t>
  </si>
  <si>
    <t>TOTAL OFFICE FURNITURE AND EQUIPMENT - PEOPLESOFT</t>
  </si>
  <si>
    <t>TOTAL TOOLS, SHOP AND GARAGE EQUIPMENT</t>
  </si>
  <si>
    <t>TOTAL LABORATORY EQUIPMENT</t>
  </si>
  <si>
    <t>TOTAL COMMUNICATION EQUIPMENT</t>
  </si>
  <si>
    <t>TOTAL MISCELLANEOUS EQUIPMENT</t>
  </si>
  <si>
    <t>TOTAL RESERVE ADJUSTMENT FOR AMORTIZATION</t>
  </si>
  <si>
    <t>INTANGIBLE PLANT</t>
  </si>
  <si>
    <t>COOPER COMMON - LANDFILL</t>
  </si>
  <si>
    <t>SPURLOCK COMMON - LANDFILL</t>
  </si>
  <si>
    <t>SMITH COMMON - LANDFILL</t>
  </si>
  <si>
    <t>TOTAL LAND AND LAND RIGHTS</t>
  </si>
  <si>
    <t>COOPER COMMON - ACCESS ROAD</t>
  </si>
  <si>
    <t>SPURLOCK COMMON - AMMONIA CONTAINMENT</t>
  </si>
  <si>
    <t>COOPERATIVE SOLAR</t>
  </si>
  <si>
    <t>Original Cost</t>
  </si>
  <si>
    <t>as of</t>
  </si>
  <si>
    <t>December 31, 2019</t>
  </si>
  <si>
    <t>Excluded</t>
  </si>
  <si>
    <t>Surcharge</t>
  </si>
  <si>
    <t>Plant in Service</t>
  </si>
  <si>
    <t>Calculated</t>
  </si>
  <si>
    <t>Annual Accrual</t>
  </si>
  <si>
    <t>Amount - Total</t>
  </si>
  <si>
    <t>Depreciation</t>
  </si>
  <si>
    <t>Rate</t>
  </si>
  <si>
    <t>Amount - Surcharge</t>
  </si>
  <si>
    <t>Amount - Net</t>
  </si>
  <si>
    <t>RESERVE ADJUSTMENT FOR AMORTIZATION - Not Surcharge Related</t>
  </si>
  <si>
    <t>Total Excluded Surcharge Plant in Service</t>
  </si>
  <si>
    <t>Workpaper 1.19 Depreciation ES FINAL.xlsx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</si>
</sst>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" fillId="0" borderId="0"/>
  </cellStyleXfs>
  <cellXfs count="127">
    <xf numFmtId="0" fontId="0" fillId="0" borderId="0" xfId="0" applyAlignment="1"/>
    <xf numFmtId="37" fontId="10" fillId="0" borderId="0" xfId="1" applyNumberFormat="1" applyFont="1" applyFill="1" applyBorder="1"/>
    <xf numFmtId="39" fontId="10" fillId="0" borderId="0" xfId="1" applyNumberFormat="1" applyFont="1" applyFill="1" applyBorder="1"/>
    <xf numFmtId="2" fontId="0" fillId="0" borderId="0" xfId="0" applyNumberFormat="1" applyFill="1"/>
    <xf numFmtId="0" fontId="0" fillId="0" borderId="0" xfId="0" applyFill="1" applyAlignment="1"/>
    <xf numFmtId="0" fontId="3" fillId="0" borderId="0" xfId="0" applyNumberFormat="1" applyFont="1" applyFill="1" applyAlignment="1">
      <alignment horizontal="center"/>
    </xf>
    <xf numFmtId="39" fontId="2" fillId="0" borderId="0" xfId="1" applyNumberFormat="1" applyFont="1" applyFill="1"/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/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39" fontId="8" fillId="0" borderId="0" xfId="1" applyNumberFormat="1" applyFont="1" applyFill="1"/>
    <xf numFmtId="37" fontId="5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/>
    </xf>
    <xf numFmtId="37" fontId="10" fillId="0" borderId="2" xfId="1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/>
    <xf numFmtId="3" fontId="3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/>
    <xf numFmtId="37" fontId="10" fillId="0" borderId="0" xfId="0" applyNumberFormat="1" applyFont="1" applyFill="1" applyBorder="1"/>
    <xf numFmtId="2" fontId="10" fillId="0" borderId="0" xfId="0" applyNumberFormat="1" applyFont="1" applyFill="1"/>
    <xf numFmtId="39" fontId="10" fillId="0" borderId="2" xfId="1" applyNumberFormat="1" applyFont="1" applyFill="1" applyBorder="1"/>
    <xf numFmtId="0" fontId="10" fillId="0" borderId="0" xfId="0" applyNumberFormat="1" applyFont="1" applyFill="1" applyAlignment="1">
      <alignment horizontal="left"/>
    </xf>
    <xf numFmtId="39" fontId="10" fillId="0" borderId="0" xfId="1" applyNumberFormat="1" applyFont="1" applyFill="1"/>
    <xf numFmtId="37" fontId="10" fillId="0" borderId="0" xfId="0" applyNumberFormat="1" applyFont="1" applyFill="1" applyAlignment="1"/>
    <xf numFmtId="0" fontId="2" fillId="0" borderId="0" xfId="0" applyFont="1" applyFill="1" applyAlignment="1"/>
    <xf numFmtId="39" fontId="2" fillId="0" borderId="2" xfId="1" applyNumberFormat="1" applyFont="1" applyFill="1" applyBorder="1"/>
    <xf numFmtId="39" fontId="8" fillId="0" borderId="3" xfId="1" applyNumberFormat="1" applyFont="1" applyFill="1" applyBorder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9" fontId="2" fillId="0" borderId="4" xfId="1" applyNumberFormat="1" applyFont="1" applyFill="1" applyBorder="1"/>
    <xf numFmtId="0" fontId="3" fillId="0" borderId="0" xfId="0" applyNumberFormat="1" applyFont="1" applyFill="1" applyAlignment="1">
      <alignment horizontal="left"/>
    </xf>
    <xf numFmtId="37" fontId="5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indent="1"/>
    </xf>
    <xf numFmtId="43" fontId="0" fillId="0" borderId="0" xfId="0" applyNumberFormat="1" applyFill="1"/>
    <xf numFmtId="43" fontId="10" fillId="0" borderId="0" xfId="0" applyNumberFormat="1" applyFont="1" applyFill="1" applyAlignment="1"/>
    <xf numFmtId="43" fontId="10" fillId="0" borderId="0" xfId="0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/>
    <xf numFmtId="39" fontId="8" fillId="0" borderId="2" xfId="1" applyNumberFormat="1" applyFont="1" applyFill="1" applyBorder="1"/>
    <xf numFmtId="3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/>
    <xf numFmtId="39" fontId="2" fillId="0" borderId="0" xfId="1" applyNumberFormat="1" applyFont="1"/>
    <xf numFmtId="37" fontId="2" fillId="0" borderId="0" xfId="1" applyNumberFormat="1" applyFont="1"/>
    <xf numFmtId="43" fontId="2" fillId="0" borderId="0" xfId="0" applyNumberFormat="1" applyFont="1"/>
    <xf numFmtId="39" fontId="2" fillId="0" borderId="2" xfId="1" applyNumberFormat="1" applyFont="1" applyBorder="1"/>
    <xf numFmtId="37" fontId="2" fillId="0" borderId="2" xfId="1" applyNumberFormat="1" applyFont="1" applyBorder="1"/>
    <xf numFmtId="39" fontId="8" fillId="0" borderId="0" xfId="1" applyNumberFormat="1" applyFont="1" applyFill="1" applyBorder="1"/>
    <xf numFmtId="0" fontId="3" fillId="0" borderId="2" xfId="0" applyFont="1" applyBorder="1" applyAlignment="1">
      <alignment horizontal="center"/>
    </xf>
    <xf numFmtId="39" fontId="3" fillId="0" borderId="0" xfId="1" applyNumberFormat="1" applyFont="1"/>
    <xf numFmtId="0" fontId="3" fillId="0" borderId="0" xfId="0" applyFont="1"/>
    <xf numFmtId="37" fontId="3" fillId="0" borderId="0" xfId="0" applyNumberFormat="1" applyFont="1"/>
    <xf numFmtId="0" fontId="3" fillId="0" borderId="0" xfId="0" applyFont="1" applyAlignment="1">
      <alignment horizontal="left"/>
    </xf>
    <xf numFmtId="2" fontId="0" fillId="0" borderId="0" xfId="0" applyNumberFormat="1"/>
    <xf numFmtId="37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7" fontId="2" fillId="0" borderId="2" xfId="0" applyNumberFormat="1" applyFont="1" applyBorder="1"/>
    <xf numFmtId="37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2" fontId="2" fillId="0" borderId="0" xfId="0" applyNumberFormat="1" applyFont="1"/>
    <xf numFmtId="43" fontId="3" fillId="0" borderId="0" xfId="0" applyNumberFormat="1" applyFont="1"/>
    <xf numFmtId="37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left" indent="1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39" fontId="2" fillId="0" borderId="0" xfId="1" applyNumberFormat="1" applyFont="1" applyFill="1" applyBorder="1"/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2" fillId="0" borderId="2" xfId="1" applyNumberFormat="1" applyFont="1" applyBorder="1"/>
    <xf numFmtId="38" fontId="3" fillId="0" borderId="0" xfId="1" applyNumberFormat="1" applyFont="1"/>
    <xf numFmtId="38" fontId="0" fillId="0" borderId="0" xfId="0" applyNumberFormat="1" applyFill="1" applyAlignment="1"/>
    <xf numFmtId="38" fontId="0" fillId="0" borderId="0" xfId="0" applyNumberFormat="1"/>
    <xf numFmtId="38" fontId="2" fillId="0" borderId="0" xfId="1" applyNumberFormat="1" applyFont="1"/>
    <xf numFmtId="38" fontId="10" fillId="0" borderId="0" xfId="0" applyNumberFormat="1" applyFont="1" applyFill="1" applyBorder="1" applyAlignment="1"/>
    <xf numFmtId="38" fontId="10" fillId="0" borderId="0" xfId="1" applyNumberFormat="1" applyFont="1" applyFill="1" applyBorder="1"/>
    <xf numFmtId="38" fontId="10" fillId="0" borderId="2" xfId="1" applyNumberFormat="1" applyFont="1" applyFill="1" applyBorder="1"/>
    <xf numFmtId="38" fontId="8" fillId="0" borderId="0" xfId="1" applyNumberFormat="1" applyFont="1" applyFill="1"/>
    <xf numFmtId="38" fontId="10" fillId="0" borderId="0" xfId="1" applyNumberFormat="1" applyFont="1" applyFill="1"/>
    <xf numFmtId="38" fontId="2" fillId="0" borderId="0" xfId="1" applyNumberFormat="1" applyFont="1" applyFill="1"/>
    <xf numFmtId="38" fontId="2" fillId="0" borderId="0" xfId="1" applyNumberFormat="1" applyFont="1" applyFill="1" applyBorder="1"/>
    <xf numFmtId="38" fontId="8" fillId="0" borderId="0" xfId="1" applyNumberFormat="1" applyFont="1" applyFill="1" applyBorder="1"/>
    <xf numFmtId="38" fontId="8" fillId="0" borderId="3" xfId="1" applyNumberFormat="1" applyFont="1" applyFill="1" applyBorder="1"/>
    <xf numFmtId="38" fontId="0" fillId="0" borderId="0" xfId="0" applyNumberFormat="1" applyFill="1"/>
    <xf numFmtId="38" fontId="10" fillId="0" borderId="0" xfId="0" applyNumberFormat="1" applyFont="1" applyFill="1"/>
    <xf numFmtId="0" fontId="0" fillId="0" borderId="5" xfId="0" applyFill="1" applyBorder="1"/>
    <xf numFmtId="0" fontId="3" fillId="0" borderId="5" xfId="0" applyNumberFormat="1" applyFont="1" applyFill="1" applyBorder="1" applyAlignment="1">
      <alignment horizontal="left"/>
    </xf>
    <xf numFmtId="39" fontId="8" fillId="0" borderId="5" xfId="1" applyNumberFormat="1" applyFont="1" applyFill="1" applyBorder="1"/>
    <xf numFmtId="38" fontId="8" fillId="0" borderId="5" xfId="1" applyNumberFormat="1" applyFont="1" applyFill="1" applyBorder="1"/>
    <xf numFmtId="37" fontId="2" fillId="0" borderId="0" xfId="0" applyNumberFormat="1" applyFont="1" applyBorder="1"/>
    <xf numFmtId="38" fontId="2" fillId="0" borderId="0" xfId="0" applyNumberFormat="1" applyFont="1" applyFill="1"/>
    <xf numFmtId="38" fontId="3" fillId="0" borderId="2" xfId="0" applyNumberFormat="1" applyFont="1" applyFill="1" applyBorder="1"/>
    <xf numFmtId="39" fontId="3" fillId="0" borderId="2" xfId="1" applyNumberFormat="1" applyFont="1" applyBorder="1"/>
    <xf numFmtId="38" fontId="3" fillId="0" borderId="2" xfId="1" applyNumberFormat="1" applyFont="1" applyBorder="1"/>
    <xf numFmtId="37" fontId="3" fillId="0" borderId="2" xfId="1" applyNumberFormat="1" applyFont="1" applyBorder="1"/>
    <xf numFmtId="38" fontId="2" fillId="0" borderId="2" xfId="0" applyNumberFormat="1" applyFont="1" applyFill="1" applyBorder="1"/>
    <xf numFmtId="38" fontId="2" fillId="0" borderId="0" xfId="0" applyNumberFormat="1" applyFont="1" applyFill="1" applyBorder="1"/>
    <xf numFmtId="37" fontId="8" fillId="0" borderId="2" xfId="1" applyNumberFormat="1" applyFont="1" applyFill="1" applyBorder="1"/>
    <xf numFmtId="38" fontId="8" fillId="0" borderId="2" xfId="1" applyNumberFormat="1" applyFont="1" applyFill="1" applyBorder="1"/>
    <xf numFmtId="37" fontId="8" fillId="0" borderId="0" xfId="1" applyNumberFormat="1" applyFont="1" applyFill="1" applyBorder="1"/>
    <xf numFmtId="37" fontId="8" fillId="0" borderId="6" xfId="1" applyNumberFormat="1" applyFont="1" applyFill="1" applyBorder="1"/>
    <xf numFmtId="37" fontId="2" fillId="0" borderId="0" xfId="0" applyNumberFormat="1" applyFont="1" applyFill="1" applyBorder="1"/>
    <xf numFmtId="37" fontId="2" fillId="0" borderId="2" xfId="0" applyNumberFormat="1" applyFont="1" applyFill="1" applyBorder="1"/>
    <xf numFmtId="38" fontId="3" fillId="0" borderId="3" xfId="1" applyNumberFormat="1" applyFont="1" applyBorder="1"/>
  </cellXfs>
  <cellStyles count="5">
    <cellStyle name="Normal" xfId="0" builtinId="0"/>
    <cellStyle name="Normal 2" xfId="4" xr:uid="{00000000-0005-0000-0000-000001000000}"/>
    <cellStyle name="Normal_Iowa ASL GPAMORT" xfId="1" xr:uid="{00000000-0005-0000-0000-000002000000}"/>
    <cellStyle name="PSChar" xfId="2" xr:uid="{00000000-0005-0000-0000-000003000000}"/>
    <cellStyle name="PSDec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0"/>
  <sheetViews>
    <sheetView tabSelected="1" zoomScale="80" zoomScaleNormal="80" workbookViewId="0">
      <selection activeCell="B2" sqref="B2"/>
    </sheetView>
  </sheetViews>
  <sheetFormatPr defaultColWidth="9.77734375" defaultRowHeight="15" x14ac:dyDescent="0.4"/>
  <cols>
    <col min="1" max="1" width="7.77734375" style="4" customWidth="1"/>
    <col min="2" max="2" width="60.44140625" style="4" customWidth="1"/>
    <col min="3" max="4" width="18.77734375" style="4" customWidth="1"/>
    <col min="5" max="5" width="18.77734375" style="27" customWidth="1"/>
    <col min="6" max="6" width="3.33203125" style="4" customWidth="1"/>
    <col min="7" max="7" width="13.77734375" style="4" customWidth="1"/>
    <col min="8" max="9" width="18.77734375" style="4" customWidth="1"/>
    <col min="10" max="16384" width="9.77734375" style="4"/>
  </cols>
  <sheetData>
    <row r="1" spans="1:9" x14ac:dyDescent="0.4">
      <c r="B1" s="47" t="s">
        <v>118</v>
      </c>
    </row>
    <row r="2" spans="1:9" x14ac:dyDescent="0.4">
      <c r="A2" s="25"/>
      <c r="B2" s="26"/>
      <c r="C2" s="26"/>
      <c r="D2" s="26"/>
      <c r="H2" s="9"/>
      <c r="I2" s="9"/>
    </row>
    <row r="3" spans="1:9" x14ac:dyDescent="0.4">
      <c r="A3" s="9"/>
      <c r="B3" s="5"/>
      <c r="C3" s="48" t="s">
        <v>103</v>
      </c>
      <c r="D3" s="48" t="s">
        <v>106</v>
      </c>
      <c r="E3" s="88" t="s">
        <v>109</v>
      </c>
      <c r="F3" s="89"/>
      <c r="G3" s="88"/>
      <c r="H3" s="48" t="s">
        <v>109</v>
      </c>
      <c r="I3" s="48" t="s">
        <v>109</v>
      </c>
    </row>
    <row r="4" spans="1:9" x14ac:dyDescent="0.4">
      <c r="A4" s="9"/>
      <c r="B4" s="14"/>
      <c r="C4" s="48" t="s">
        <v>104</v>
      </c>
      <c r="D4" s="48" t="s">
        <v>107</v>
      </c>
      <c r="E4" s="88" t="s">
        <v>110</v>
      </c>
      <c r="F4" s="89"/>
      <c r="G4" s="88" t="s">
        <v>112</v>
      </c>
      <c r="H4" s="48" t="s">
        <v>110</v>
      </c>
      <c r="I4" s="48" t="s">
        <v>110</v>
      </c>
    </row>
    <row r="5" spans="1:9" x14ac:dyDescent="0.4">
      <c r="A5" s="83"/>
      <c r="B5" s="84" t="s">
        <v>0</v>
      </c>
      <c r="C5" s="85" t="s">
        <v>105</v>
      </c>
      <c r="D5" s="85" t="s">
        <v>108</v>
      </c>
      <c r="E5" s="87" t="s">
        <v>111</v>
      </c>
      <c r="F5" s="84"/>
      <c r="G5" s="90" t="s">
        <v>113</v>
      </c>
      <c r="H5" s="84" t="s">
        <v>114</v>
      </c>
      <c r="I5" s="84" t="s">
        <v>115</v>
      </c>
    </row>
    <row r="6" spans="1:9" x14ac:dyDescent="0.4">
      <c r="A6" s="9"/>
      <c r="B6" s="56"/>
      <c r="C6" s="28"/>
      <c r="D6" s="28"/>
      <c r="E6" s="46"/>
      <c r="F6" s="28"/>
      <c r="G6" s="28"/>
      <c r="H6" s="9"/>
      <c r="I6" s="9"/>
    </row>
    <row r="7" spans="1:9" x14ac:dyDescent="0.4">
      <c r="A7" s="58"/>
      <c r="B7" s="66" t="s">
        <v>95</v>
      </c>
      <c r="C7" s="28"/>
      <c r="D7" s="28"/>
      <c r="E7" s="46"/>
      <c r="F7" s="28"/>
      <c r="G7" s="28"/>
      <c r="H7" s="9"/>
      <c r="I7" s="9"/>
    </row>
    <row r="8" spans="1:9" x14ac:dyDescent="0.4">
      <c r="A8" s="58"/>
      <c r="B8" s="77"/>
      <c r="C8" s="28"/>
      <c r="D8" s="91"/>
      <c r="E8" s="46"/>
      <c r="F8" s="28"/>
      <c r="G8" s="28"/>
      <c r="H8" s="9"/>
      <c r="I8" s="9"/>
    </row>
    <row r="9" spans="1:9" x14ac:dyDescent="0.4">
      <c r="A9" s="78">
        <v>303</v>
      </c>
      <c r="B9" s="68" t="s">
        <v>35</v>
      </c>
      <c r="C9" s="115">
        <v>2333311.0499999998</v>
      </c>
      <c r="D9" s="116">
        <v>0</v>
      </c>
      <c r="E9" s="117">
        <v>266398</v>
      </c>
      <c r="F9" s="68"/>
      <c r="G9" s="79">
        <v>11.42</v>
      </c>
      <c r="H9" s="114">
        <f>ROUND(D9*(G9/100),0)</f>
        <v>0</v>
      </c>
      <c r="I9" s="114">
        <f>E9-H9</f>
        <v>266398</v>
      </c>
    </row>
    <row r="10" spans="1:9" x14ac:dyDescent="0.4">
      <c r="A10" s="58"/>
      <c r="B10" s="77"/>
      <c r="C10" s="28"/>
      <c r="D10" s="91"/>
      <c r="E10" s="46"/>
      <c r="F10" s="28"/>
      <c r="G10" s="28"/>
      <c r="H10" s="106"/>
      <c r="I10" s="106"/>
    </row>
    <row r="11" spans="1:9" x14ac:dyDescent="0.4">
      <c r="A11" s="9"/>
      <c r="B11" s="5" t="s">
        <v>1</v>
      </c>
      <c r="D11" s="94"/>
      <c r="E11" s="7"/>
      <c r="G11" s="8"/>
      <c r="H11" s="106"/>
      <c r="I11" s="106"/>
    </row>
    <row r="12" spans="1:9" x14ac:dyDescent="0.4">
      <c r="A12" s="9"/>
      <c r="B12" s="10"/>
      <c r="D12" s="94"/>
      <c r="E12" s="7"/>
      <c r="G12" s="50"/>
      <c r="H12" s="106"/>
      <c r="I12" s="106"/>
    </row>
    <row r="13" spans="1:9" x14ac:dyDescent="0.4">
      <c r="A13" s="78">
        <v>310.10000000000002</v>
      </c>
      <c r="B13" s="59" t="s">
        <v>36</v>
      </c>
      <c r="C13" s="58"/>
      <c r="D13" s="95"/>
      <c r="E13" s="80"/>
      <c r="F13" s="58"/>
      <c r="G13" s="81"/>
      <c r="H13" s="106"/>
      <c r="I13" s="106"/>
    </row>
    <row r="14" spans="1:9" x14ac:dyDescent="0.4">
      <c r="A14" s="58"/>
      <c r="B14" s="82" t="s">
        <v>96</v>
      </c>
      <c r="C14" s="60">
        <v>5325571.5599999996</v>
      </c>
      <c r="D14" s="96">
        <v>5325572</v>
      </c>
      <c r="E14" s="61">
        <v>507197</v>
      </c>
      <c r="F14" s="59"/>
      <c r="G14" s="62">
        <v>9.52</v>
      </c>
      <c r="H14" s="119">
        <f>ROUND(D14*(G14/100),0)+203</f>
        <v>507197</v>
      </c>
      <c r="I14" s="119">
        <f>E14-H14</f>
        <v>0</v>
      </c>
    </row>
    <row r="15" spans="1:9" x14ac:dyDescent="0.4">
      <c r="A15" s="58"/>
      <c r="B15" s="82" t="s">
        <v>100</v>
      </c>
      <c r="C15" s="60">
        <v>480134.08</v>
      </c>
      <c r="D15" s="96">
        <v>0</v>
      </c>
      <c r="E15" s="61">
        <v>45727</v>
      </c>
      <c r="F15" s="59"/>
      <c r="G15" s="62">
        <v>9.52</v>
      </c>
      <c r="H15" s="119">
        <f>ROUND(D15*(G15/100),0)</f>
        <v>0</v>
      </c>
      <c r="I15" s="119">
        <f>E15-H15</f>
        <v>45727</v>
      </c>
    </row>
    <row r="16" spans="1:9" x14ac:dyDescent="0.4">
      <c r="A16" s="58"/>
      <c r="B16" s="82" t="s">
        <v>97</v>
      </c>
      <c r="C16" s="60">
        <v>20170029.309999999</v>
      </c>
      <c r="D16" s="96">
        <f>6046318.51+3382670.46+3272456.82+4743885.04-2321.29</f>
        <v>17443009.539999999</v>
      </c>
      <c r="E16" s="61">
        <v>683730</v>
      </c>
      <c r="F16" s="59"/>
      <c r="G16" s="62">
        <v>3.39</v>
      </c>
      <c r="H16" s="119">
        <f t="shared" ref="H16" si="0">ROUND(D16*(G16/100),0)</f>
        <v>591318</v>
      </c>
      <c r="I16" s="119">
        <f t="shared" ref="I16:I18" si="1">E16-H16</f>
        <v>92412</v>
      </c>
    </row>
    <row r="17" spans="1:9" x14ac:dyDescent="0.4">
      <c r="A17" s="58"/>
      <c r="B17" s="82" t="s">
        <v>101</v>
      </c>
      <c r="C17" s="60">
        <v>1050779.8600000001</v>
      </c>
      <c r="D17" s="96">
        <v>1050780</v>
      </c>
      <c r="E17" s="61">
        <v>35620</v>
      </c>
      <c r="F17" s="59"/>
      <c r="G17" s="62">
        <v>3.39</v>
      </c>
      <c r="H17" s="119">
        <f>ROUND(D17*(G17/100),0)-1</f>
        <v>35620</v>
      </c>
      <c r="I17" s="119">
        <f t="shared" si="1"/>
        <v>0</v>
      </c>
    </row>
    <row r="18" spans="1:9" x14ac:dyDescent="0.4">
      <c r="A18" s="58"/>
      <c r="B18" s="82" t="s">
        <v>98</v>
      </c>
      <c r="C18" s="63">
        <v>6050424.8700000001</v>
      </c>
      <c r="D18" s="92">
        <v>6050425</v>
      </c>
      <c r="E18" s="64">
        <v>705883</v>
      </c>
      <c r="F18" s="59"/>
      <c r="G18" s="62">
        <v>11.67</v>
      </c>
      <c r="H18" s="118">
        <f>ROUND(D18*(G18/100),0)-202</f>
        <v>705883</v>
      </c>
      <c r="I18" s="118">
        <f t="shared" si="1"/>
        <v>0</v>
      </c>
    </row>
    <row r="19" spans="1:9" x14ac:dyDescent="0.4">
      <c r="A19" s="9"/>
      <c r="B19" s="59" t="s">
        <v>99</v>
      </c>
      <c r="C19" s="60">
        <f>SUM(C14:C18)</f>
        <v>33076939.68</v>
      </c>
      <c r="D19" s="61">
        <f>SUM(D14:D18)</f>
        <v>29869786.539999999</v>
      </c>
      <c r="E19" s="61">
        <f>SUM(E14:E18)</f>
        <v>1978157</v>
      </c>
      <c r="F19" s="59"/>
      <c r="G19" s="62">
        <f>+ROUND(E19/C19*100,2)</f>
        <v>5.98</v>
      </c>
      <c r="H19" s="61">
        <f>SUM(H14:H18)</f>
        <v>1840018</v>
      </c>
      <c r="I19" s="61">
        <f>SUM(I14:I18)</f>
        <v>138139</v>
      </c>
    </row>
    <row r="20" spans="1:9" s="11" customFormat="1" x14ac:dyDescent="0.4">
      <c r="A20" s="29">
        <v>311</v>
      </c>
      <c r="B20" s="41" t="s">
        <v>2</v>
      </c>
      <c r="C20" s="20"/>
      <c r="D20" s="97"/>
      <c r="E20" s="30"/>
      <c r="G20" s="51"/>
      <c r="H20" s="107"/>
      <c r="I20" s="107"/>
    </row>
    <row r="21" spans="1:9" s="11" customFormat="1" x14ac:dyDescent="0.4">
      <c r="A21" s="29"/>
      <c r="B21" s="49" t="s">
        <v>38</v>
      </c>
      <c r="C21" s="2">
        <v>619445.56000000006</v>
      </c>
      <c r="D21" s="98">
        <v>0</v>
      </c>
      <c r="E21" s="1">
        <v>11477</v>
      </c>
      <c r="G21" s="52">
        <v>1.85</v>
      </c>
      <c r="H21" s="119">
        <f>ROUND(D21*(G21/100),0)</f>
        <v>0</v>
      </c>
      <c r="I21" s="119">
        <f t="shared" ref="I21:I30" si="2">E21-H21</f>
        <v>11477</v>
      </c>
    </row>
    <row r="22" spans="1:9" s="11" customFormat="1" x14ac:dyDescent="0.4">
      <c r="A22" s="29"/>
      <c r="B22" s="49" t="s">
        <v>37</v>
      </c>
      <c r="C22" s="2">
        <v>11599889.130000001</v>
      </c>
      <c r="D22" s="98">
        <v>1242055</v>
      </c>
      <c r="E22" s="1">
        <v>372847</v>
      </c>
      <c r="G22" s="52">
        <v>3.21</v>
      </c>
      <c r="H22" s="119">
        <f>ROUND(D22*(G22/100),0)</f>
        <v>39870</v>
      </c>
      <c r="I22" s="119">
        <f t="shared" si="2"/>
        <v>332977</v>
      </c>
    </row>
    <row r="23" spans="1:9" s="11" customFormat="1" x14ac:dyDescent="0.4">
      <c r="A23" s="29"/>
      <c r="B23" s="49" t="s">
        <v>46</v>
      </c>
      <c r="C23" s="2">
        <v>16839214.859999999</v>
      </c>
      <c r="D23" s="98">
        <v>16839215</v>
      </c>
      <c r="E23" s="1">
        <v>969322</v>
      </c>
      <c r="G23" s="52">
        <v>5.76</v>
      </c>
      <c r="H23" s="119">
        <f>ROUND(D23*(G23/100),0)-617</f>
        <v>969322</v>
      </c>
      <c r="I23" s="119">
        <f t="shared" si="2"/>
        <v>0</v>
      </c>
    </row>
    <row r="24" spans="1:9" s="11" customFormat="1" x14ac:dyDescent="0.4">
      <c r="A24" s="29"/>
      <c r="B24" s="49" t="s">
        <v>39</v>
      </c>
      <c r="C24" s="2">
        <v>29901164.98</v>
      </c>
      <c r="D24" s="98">
        <v>13126964</v>
      </c>
      <c r="E24" s="1">
        <v>945554</v>
      </c>
      <c r="G24" s="52">
        <v>3.16</v>
      </c>
      <c r="H24" s="119">
        <f>ROUND(D24*(G24/100),0)</f>
        <v>414812</v>
      </c>
      <c r="I24" s="119">
        <f t="shared" si="2"/>
        <v>530742</v>
      </c>
    </row>
    <row r="25" spans="1:9" s="11" customFormat="1" x14ac:dyDescent="0.4">
      <c r="A25" s="29"/>
      <c r="B25" s="49" t="s">
        <v>40</v>
      </c>
      <c r="C25" s="2">
        <v>27841989</v>
      </c>
      <c r="D25" s="98">
        <v>728752</v>
      </c>
      <c r="E25" s="1">
        <v>614994</v>
      </c>
      <c r="G25" s="52">
        <v>2.21</v>
      </c>
      <c r="H25" s="119">
        <f>ROUND(D25*(G25/100),0)</f>
        <v>16105</v>
      </c>
      <c r="I25" s="119">
        <f t="shared" si="2"/>
        <v>598889</v>
      </c>
    </row>
    <row r="26" spans="1:9" s="11" customFormat="1" x14ac:dyDescent="0.4">
      <c r="A26" s="29"/>
      <c r="B26" s="49" t="s">
        <v>41</v>
      </c>
      <c r="C26" s="2">
        <v>34657321.799999997</v>
      </c>
      <c r="D26" s="98">
        <v>145128</v>
      </c>
      <c r="E26" s="1">
        <v>627228</v>
      </c>
      <c r="G26" s="52">
        <v>1.81</v>
      </c>
      <c r="H26" s="119">
        <f>ROUND(D26*(G26/100),0)</f>
        <v>2627</v>
      </c>
      <c r="I26" s="119">
        <f t="shared" si="2"/>
        <v>624601</v>
      </c>
    </row>
    <row r="27" spans="1:9" s="11" customFormat="1" x14ac:dyDescent="0.4">
      <c r="A27" s="29"/>
      <c r="B27" s="49" t="s">
        <v>42</v>
      </c>
      <c r="C27" s="2">
        <v>135424737.28999999</v>
      </c>
      <c r="D27" s="98">
        <v>0</v>
      </c>
      <c r="E27" s="1">
        <v>4087225</v>
      </c>
      <c r="G27" s="52">
        <v>3.02</v>
      </c>
      <c r="H27" s="119">
        <f>ROUND(D27*(G27/100),0)</f>
        <v>0</v>
      </c>
      <c r="I27" s="119">
        <f t="shared" si="2"/>
        <v>4087225</v>
      </c>
    </row>
    <row r="28" spans="1:9" s="11" customFormat="1" x14ac:dyDescent="0.4">
      <c r="A28" s="29"/>
      <c r="B28" s="49" t="s">
        <v>43</v>
      </c>
      <c r="C28" s="2">
        <v>91915875.079999998</v>
      </c>
      <c r="D28" s="98">
        <v>14959428</v>
      </c>
      <c r="E28" s="1">
        <v>3069934</v>
      </c>
      <c r="G28" s="52">
        <v>3.34</v>
      </c>
      <c r="H28" s="119">
        <f>ROUND(D28*(G28/100),0)</f>
        <v>499645</v>
      </c>
      <c r="I28" s="119">
        <f t="shared" si="2"/>
        <v>2570289</v>
      </c>
    </row>
    <row r="29" spans="1:9" s="11" customFormat="1" x14ac:dyDescent="0.4">
      <c r="A29" s="29"/>
      <c r="B29" s="49" t="s">
        <v>44</v>
      </c>
      <c r="C29" s="2">
        <v>25289573.359999999</v>
      </c>
      <c r="D29" s="98">
        <v>25289574</v>
      </c>
      <c r="E29" s="1">
        <v>890592</v>
      </c>
      <c r="G29" s="52">
        <v>3.52</v>
      </c>
      <c r="H29" s="119">
        <f>ROUND(D29*(G29/100),0)+399</f>
        <v>890592</v>
      </c>
      <c r="I29" s="119">
        <f t="shared" si="2"/>
        <v>0</v>
      </c>
    </row>
    <row r="30" spans="1:9" s="11" customFormat="1" x14ac:dyDescent="0.4">
      <c r="A30" s="29"/>
      <c r="B30" s="49" t="s">
        <v>45</v>
      </c>
      <c r="C30" s="32">
        <v>22341947.210000001</v>
      </c>
      <c r="D30" s="99">
        <v>22341947</v>
      </c>
      <c r="E30" s="23">
        <v>714438</v>
      </c>
      <c r="G30" s="52">
        <v>3.2</v>
      </c>
      <c r="H30" s="118">
        <f>ROUND(D30*(G30/100),0)-504</f>
        <v>714438</v>
      </c>
      <c r="I30" s="118">
        <f t="shared" si="2"/>
        <v>0</v>
      </c>
    </row>
    <row r="31" spans="1:9" s="11" customFormat="1" x14ac:dyDescent="0.4">
      <c r="A31" s="29"/>
      <c r="B31" s="39" t="s">
        <v>47</v>
      </c>
      <c r="C31" s="2">
        <f>SUM(C21:C30)</f>
        <v>396431158.26999998</v>
      </c>
      <c r="D31" s="98">
        <f>SUM(D21:D30)</f>
        <v>94673063</v>
      </c>
      <c r="E31" s="98">
        <f>SUM(E21:E30)</f>
        <v>12303611</v>
      </c>
      <c r="G31" s="53">
        <f>+ROUND(E31/C31*100,2)</f>
        <v>3.1</v>
      </c>
      <c r="H31" s="98">
        <f t="shared" ref="H31:I31" si="3">SUM(H21:H30)</f>
        <v>3547411</v>
      </c>
      <c r="I31" s="98">
        <f t="shared" si="3"/>
        <v>8756200</v>
      </c>
    </row>
    <row r="32" spans="1:9" s="11" customFormat="1" x14ac:dyDescent="0.4">
      <c r="A32" s="29">
        <v>312</v>
      </c>
      <c r="B32" s="39" t="s">
        <v>12</v>
      </c>
      <c r="C32" s="2"/>
      <c r="D32" s="98"/>
      <c r="E32" s="1"/>
      <c r="G32" s="52"/>
      <c r="H32" s="107"/>
      <c r="I32" s="107"/>
    </row>
    <row r="33" spans="1:9" s="11" customFormat="1" x14ac:dyDescent="0.4">
      <c r="A33" s="29"/>
      <c r="B33" s="49" t="s">
        <v>37</v>
      </c>
      <c r="C33" s="2">
        <v>102794003.59</v>
      </c>
      <c r="D33" s="98">
        <v>3716549</v>
      </c>
      <c r="E33" s="1">
        <v>4110747</v>
      </c>
      <c r="G33" s="52">
        <v>4</v>
      </c>
      <c r="H33" s="119">
        <f t="shared" ref="H33:H41" si="4">ROUND(D33*(G33/100),0)</f>
        <v>148662</v>
      </c>
      <c r="I33" s="119">
        <f t="shared" ref="I33:I43" si="5">E33-H33</f>
        <v>3962085</v>
      </c>
    </row>
    <row r="34" spans="1:9" s="11" customFormat="1" x14ac:dyDescent="0.4">
      <c r="A34" s="29"/>
      <c r="B34" s="49" t="s">
        <v>48</v>
      </c>
      <c r="C34" s="2">
        <v>14959125.039999999</v>
      </c>
      <c r="D34" s="98">
        <v>14959125</v>
      </c>
      <c r="E34" s="1">
        <v>1053970</v>
      </c>
      <c r="G34" s="52">
        <v>7.05</v>
      </c>
      <c r="H34" s="119">
        <f>ROUND(D34*(G34/100),0)-648</f>
        <v>1053970</v>
      </c>
      <c r="I34" s="119">
        <f t="shared" si="5"/>
        <v>0</v>
      </c>
    </row>
    <row r="35" spans="1:9" s="11" customFormat="1" x14ac:dyDescent="0.4">
      <c r="A35" s="29"/>
      <c r="B35" s="49" t="s">
        <v>49</v>
      </c>
      <c r="C35" s="2">
        <v>1476057.99</v>
      </c>
      <c r="D35" s="98">
        <v>0</v>
      </c>
      <c r="E35" s="1">
        <v>118541</v>
      </c>
      <c r="G35" s="52">
        <v>8.0299999999999994</v>
      </c>
      <c r="H35" s="119">
        <f t="shared" si="4"/>
        <v>0</v>
      </c>
      <c r="I35" s="119">
        <f t="shared" si="5"/>
        <v>118541</v>
      </c>
    </row>
    <row r="36" spans="1:9" s="11" customFormat="1" x14ac:dyDescent="0.4">
      <c r="A36" s="29"/>
      <c r="B36" s="49" t="s">
        <v>46</v>
      </c>
      <c r="C36" s="2">
        <v>194151378.75</v>
      </c>
      <c r="D36" s="98">
        <v>193023683</v>
      </c>
      <c r="E36" s="1">
        <v>11404356</v>
      </c>
      <c r="G36" s="52">
        <v>5.87</v>
      </c>
      <c r="H36" s="119">
        <f t="shared" si="4"/>
        <v>11330490</v>
      </c>
      <c r="I36" s="119">
        <f t="shared" si="5"/>
        <v>73866</v>
      </c>
    </row>
    <row r="37" spans="1:9" s="11" customFormat="1" x14ac:dyDescent="0.4">
      <c r="A37" s="29"/>
      <c r="B37" s="49" t="s">
        <v>39</v>
      </c>
      <c r="C37" s="2">
        <v>47303061.5</v>
      </c>
      <c r="D37" s="98">
        <v>10265259</v>
      </c>
      <c r="E37" s="1">
        <v>1487587</v>
      </c>
      <c r="G37" s="52">
        <v>3.14</v>
      </c>
      <c r="H37" s="119">
        <f t="shared" si="4"/>
        <v>322329</v>
      </c>
      <c r="I37" s="119">
        <f t="shared" si="5"/>
        <v>1165258</v>
      </c>
    </row>
    <row r="38" spans="1:9" s="11" customFormat="1" x14ac:dyDescent="0.4">
      <c r="A38" s="29"/>
      <c r="B38" s="49" t="s">
        <v>40</v>
      </c>
      <c r="C38" s="2">
        <v>207072332.59</v>
      </c>
      <c r="D38" s="98">
        <v>105703771</v>
      </c>
      <c r="E38" s="1">
        <v>6574732</v>
      </c>
      <c r="G38" s="52">
        <v>3.18</v>
      </c>
      <c r="H38" s="119">
        <f t="shared" si="4"/>
        <v>3361380</v>
      </c>
      <c r="I38" s="119">
        <f t="shared" si="5"/>
        <v>3213352</v>
      </c>
    </row>
    <row r="39" spans="1:9" s="11" customFormat="1" x14ac:dyDescent="0.4">
      <c r="A39" s="29"/>
      <c r="B39" s="49" t="s">
        <v>41</v>
      </c>
      <c r="C39" s="2">
        <v>264954492.52000001</v>
      </c>
      <c r="D39" s="98">
        <v>49395487</v>
      </c>
      <c r="E39" s="1">
        <v>6988909</v>
      </c>
      <c r="G39" s="52">
        <v>2.64</v>
      </c>
      <c r="H39" s="119">
        <f t="shared" si="4"/>
        <v>1304041</v>
      </c>
      <c r="I39" s="119">
        <f t="shared" si="5"/>
        <v>5684868</v>
      </c>
    </row>
    <row r="40" spans="1:9" s="11" customFormat="1" x14ac:dyDescent="0.4">
      <c r="A40" s="29"/>
      <c r="B40" s="49" t="s">
        <v>42</v>
      </c>
      <c r="C40" s="2">
        <v>182163077.56</v>
      </c>
      <c r="D40" s="98">
        <v>69612000</v>
      </c>
      <c r="E40" s="1">
        <v>6110529</v>
      </c>
      <c r="G40" s="52">
        <v>3.35</v>
      </c>
      <c r="H40" s="119">
        <f t="shared" si="4"/>
        <v>2332002</v>
      </c>
      <c r="I40" s="119">
        <f t="shared" si="5"/>
        <v>3778527</v>
      </c>
    </row>
    <row r="41" spans="1:9" s="11" customFormat="1" x14ac:dyDescent="0.4">
      <c r="A41" s="29"/>
      <c r="B41" s="49" t="s">
        <v>43</v>
      </c>
      <c r="C41" s="2">
        <v>310905410.86000001</v>
      </c>
      <c r="D41" s="98">
        <v>79956647</v>
      </c>
      <c r="E41" s="1">
        <v>11408395</v>
      </c>
      <c r="G41" s="52">
        <v>3.67</v>
      </c>
      <c r="H41" s="119">
        <f t="shared" si="4"/>
        <v>2934409</v>
      </c>
      <c r="I41" s="119">
        <f t="shared" si="5"/>
        <v>8473986</v>
      </c>
    </row>
    <row r="42" spans="1:9" s="11" customFormat="1" x14ac:dyDescent="0.4">
      <c r="A42" s="29"/>
      <c r="B42" s="49" t="s">
        <v>44</v>
      </c>
      <c r="C42" s="2">
        <v>102930250.29000001</v>
      </c>
      <c r="D42" s="98">
        <v>102930250</v>
      </c>
      <c r="E42" s="1">
        <v>3829676</v>
      </c>
      <c r="G42" s="52">
        <v>3.72</v>
      </c>
      <c r="H42" s="119">
        <f>ROUND(D42*(G42/100),0)+671</f>
        <v>3829676</v>
      </c>
      <c r="I42" s="119">
        <f t="shared" si="5"/>
        <v>0</v>
      </c>
    </row>
    <row r="43" spans="1:9" s="11" customFormat="1" x14ac:dyDescent="0.4">
      <c r="A43" s="29"/>
      <c r="B43" s="49" t="s">
        <v>45</v>
      </c>
      <c r="C43" s="32">
        <v>157598866.33000001</v>
      </c>
      <c r="D43" s="99">
        <v>157598866</v>
      </c>
      <c r="E43" s="23">
        <v>5355461</v>
      </c>
      <c r="G43" s="52">
        <v>3.4</v>
      </c>
      <c r="H43" s="118">
        <f>ROUND(D43*(G43/100),0)-2900</f>
        <v>5355461</v>
      </c>
      <c r="I43" s="118">
        <f t="shared" si="5"/>
        <v>0</v>
      </c>
    </row>
    <row r="44" spans="1:9" s="11" customFormat="1" x14ac:dyDescent="0.4">
      <c r="A44" s="29"/>
      <c r="B44" s="39" t="s">
        <v>50</v>
      </c>
      <c r="C44" s="2">
        <f>SUM(C33:C43)</f>
        <v>1586308057.02</v>
      </c>
      <c r="D44" s="98">
        <f>SUM(D33:D43)</f>
        <v>787161637</v>
      </c>
      <c r="E44" s="98">
        <f>SUM(E33:E43)</f>
        <v>58442903</v>
      </c>
      <c r="G44" s="53">
        <f>+ROUND(E44/C44*100,2)</f>
        <v>3.68</v>
      </c>
      <c r="H44" s="98">
        <f t="shared" ref="H44:I44" si="6">SUM(H33:H43)</f>
        <v>31972420</v>
      </c>
      <c r="I44" s="98">
        <f t="shared" si="6"/>
        <v>26470483</v>
      </c>
    </row>
    <row r="45" spans="1:9" s="11" customFormat="1" x14ac:dyDescent="0.4">
      <c r="A45" s="29">
        <v>314</v>
      </c>
      <c r="B45" s="39" t="s">
        <v>13</v>
      </c>
      <c r="C45" s="2"/>
      <c r="D45" s="98"/>
      <c r="E45" s="1"/>
      <c r="G45" s="52"/>
      <c r="H45" s="107"/>
      <c r="I45" s="107"/>
    </row>
    <row r="46" spans="1:9" s="11" customFormat="1" x14ac:dyDescent="0.4">
      <c r="A46" s="29"/>
      <c r="B46" s="49" t="s">
        <v>37</v>
      </c>
      <c r="C46" s="2">
        <v>23714956.780000001</v>
      </c>
      <c r="D46" s="98">
        <v>0</v>
      </c>
      <c r="E46" s="1">
        <v>812009</v>
      </c>
      <c r="G46" s="52">
        <v>3.42</v>
      </c>
      <c r="H46" s="119">
        <f t="shared" ref="H46:H50" si="7">ROUND(D46*(G46/100),0)</f>
        <v>0</v>
      </c>
      <c r="I46" s="119">
        <f t="shared" ref="I46:I50" si="8">E46-H46</f>
        <v>812009</v>
      </c>
    </row>
    <row r="47" spans="1:9" s="11" customFormat="1" x14ac:dyDescent="0.4">
      <c r="A47" s="29"/>
      <c r="B47" s="49" t="s">
        <v>40</v>
      </c>
      <c r="C47" s="2">
        <v>33699815.289999999</v>
      </c>
      <c r="D47" s="98">
        <v>0</v>
      </c>
      <c r="E47" s="1">
        <v>884400</v>
      </c>
      <c r="G47" s="52">
        <v>2.62</v>
      </c>
      <c r="H47" s="119">
        <f t="shared" si="7"/>
        <v>0</v>
      </c>
      <c r="I47" s="119">
        <f t="shared" si="8"/>
        <v>884400</v>
      </c>
    </row>
    <row r="48" spans="1:9" s="11" customFormat="1" x14ac:dyDescent="0.4">
      <c r="A48" s="29"/>
      <c r="B48" s="49" t="s">
        <v>41</v>
      </c>
      <c r="C48" s="2">
        <v>60137136.600000001</v>
      </c>
      <c r="D48" s="98">
        <v>0</v>
      </c>
      <c r="E48" s="1">
        <v>1606261</v>
      </c>
      <c r="G48" s="52">
        <v>2.67</v>
      </c>
      <c r="H48" s="119">
        <f t="shared" si="7"/>
        <v>0</v>
      </c>
      <c r="I48" s="119">
        <f t="shared" si="8"/>
        <v>1606261</v>
      </c>
    </row>
    <row r="49" spans="1:9" s="11" customFormat="1" x14ac:dyDescent="0.4">
      <c r="A49" s="29"/>
      <c r="B49" s="49" t="s">
        <v>42</v>
      </c>
      <c r="C49" s="2">
        <v>80408959.549999997</v>
      </c>
      <c r="D49" s="98">
        <v>0</v>
      </c>
      <c r="E49" s="1">
        <v>2646915</v>
      </c>
      <c r="G49" s="52">
        <v>3.29</v>
      </c>
      <c r="H49" s="119">
        <f t="shared" si="7"/>
        <v>0</v>
      </c>
      <c r="I49" s="119">
        <f t="shared" si="8"/>
        <v>2646915</v>
      </c>
    </row>
    <row r="50" spans="1:9" s="11" customFormat="1" x14ac:dyDescent="0.4">
      <c r="A50" s="29"/>
      <c r="B50" s="49" t="s">
        <v>43</v>
      </c>
      <c r="C50" s="32">
        <v>80239064.25</v>
      </c>
      <c r="D50" s="99">
        <v>0</v>
      </c>
      <c r="E50" s="23">
        <v>2960611</v>
      </c>
      <c r="G50" s="52">
        <v>3.69</v>
      </c>
      <c r="H50" s="118">
        <f t="shared" si="7"/>
        <v>0</v>
      </c>
      <c r="I50" s="118">
        <f t="shared" si="8"/>
        <v>2960611</v>
      </c>
    </row>
    <row r="51" spans="1:9" s="11" customFormat="1" x14ac:dyDescent="0.4">
      <c r="A51" s="29"/>
      <c r="B51" s="39" t="s">
        <v>51</v>
      </c>
      <c r="C51" s="2">
        <f>SUM(C46:C50)</f>
        <v>278199932.47000003</v>
      </c>
      <c r="D51" s="98">
        <f>SUM(D46:D50)</f>
        <v>0</v>
      </c>
      <c r="E51" s="98">
        <f>SUM(E46:E50)</f>
        <v>8910196</v>
      </c>
      <c r="G51" s="53">
        <f>+ROUND(E51/C51*100,2)</f>
        <v>3.2</v>
      </c>
      <c r="H51" s="98">
        <f t="shared" ref="H51:I51" si="9">SUM(H46:H50)</f>
        <v>0</v>
      </c>
      <c r="I51" s="98">
        <f t="shared" si="9"/>
        <v>8910196</v>
      </c>
    </row>
    <row r="52" spans="1:9" s="11" customFormat="1" x14ac:dyDescent="0.4">
      <c r="A52" s="29">
        <v>315</v>
      </c>
      <c r="B52" s="39" t="s">
        <v>6</v>
      </c>
      <c r="C52" s="2"/>
      <c r="D52" s="98"/>
      <c r="E52" s="1"/>
      <c r="G52" s="52"/>
      <c r="H52" s="107"/>
      <c r="I52" s="107"/>
    </row>
    <row r="53" spans="1:9" s="11" customFormat="1" x14ac:dyDescent="0.4">
      <c r="A53" s="29"/>
      <c r="B53" s="49" t="s">
        <v>37</v>
      </c>
      <c r="C53" s="2">
        <v>3362383.45</v>
      </c>
      <c r="D53" s="98">
        <v>0</v>
      </c>
      <c r="E53" s="1">
        <v>88268</v>
      </c>
      <c r="G53" s="52">
        <v>2.63</v>
      </c>
      <c r="H53" s="119">
        <f t="shared" ref="H53:H61" si="10">ROUND(D53*(G53/100),0)</f>
        <v>0</v>
      </c>
      <c r="I53" s="119">
        <f t="shared" ref="I53:I63" si="11">E53-H53</f>
        <v>88268</v>
      </c>
    </row>
    <row r="54" spans="1:9" s="11" customFormat="1" x14ac:dyDescent="0.4">
      <c r="A54" s="29"/>
      <c r="B54" s="49" t="s">
        <v>48</v>
      </c>
      <c r="C54" s="2">
        <v>108139.1</v>
      </c>
      <c r="D54" s="98">
        <v>0</v>
      </c>
      <c r="E54" s="1">
        <v>9139</v>
      </c>
      <c r="G54" s="52">
        <v>8.4499999999999993</v>
      </c>
      <c r="H54" s="119">
        <f t="shared" si="10"/>
        <v>0</v>
      </c>
      <c r="I54" s="119">
        <f t="shared" si="11"/>
        <v>9139</v>
      </c>
    </row>
    <row r="55" spans="1:9" s="11" customFormat="1" x14ac:dyDescent="0.4">
      <c r="A55" s="29"/>
      <c r="B55" s="49" t="s">
        <v>49</v>
      </c>
      <c r="C55" s="2">
        <v>108269.09</v>
      </c>
      <c r="D55" s="98">
        <v>0</v>
      </c>
      <c r="E55" s="1">
        <v>9150</v>
      </c>
      <c r="G55" s="52">
        <v>8.4499999999999993</v>
      </c>
      <c r="H55" s="119">
        <f t="shared" si="10"/>
        <v>0</v>
      </c>
      <c r="I55" s="119">
        <f t="shared" si="11"/>
        <v>9150</v>
      </c>
    </row>
    <row r="56" spans="1:9" s="11" customFormat="1" x14ac:dyDescent="0.4">
      <c r="A56" s="29"/>
      <c r="B56" s="49" t="s">
        <v>46</v>
      </c>
      <c r="C56" s="2">
        <v>12060627.85</v>
      </c>
      <c r="D56" s="98">
        <v>12060628</v>
      </c>
      <c r="E56" s="1">
        <v>693494</v>
      </c>
      <c r="G56" s="52">
        <v>5.75</v>
      </c>
      <c r="H56" s="119">
        <f>ROUND(D56*(G56/100),0)+8</f>
        <v>693494</v>
      </c>
      <c r="I56" s="119">
        <f t="shared" si="11"/>
        <v>0</v>
      </c>
    </row>
    <row r="57" spans="1:9" s="11" customFormat="1" x14ac:dyDescent="0.4">
      <c r="A57" s="29"/>
      <c r="B57" s="49" t="s">
        <v>39</v>
      </c>
      <c r="C57" s="2">
        <v>657912.36</v>
      </c>
      <c r="D57" s="98">
        <v>0</v>
      </c>
      <c r="E57" s="1">
        <v>23693</v>
      </c>
      <c r="G57" s="52">
        <v>3.6</v>
      </c>
      <c r="H57" s="119">
        <f t="shared" si="10"/>
        <v>0</v>
      </c>
      <c r="I57" s="119">
        <f t="shared" si="11"/>
        <v>23693</v>
      </c>
    </row>
    <row r="58" spans="1:9" s="11" customFormat="1" x14ac:dyDescent="0.4">
      <c r="A58" s="29"/>
      <c r="B58" s="49" t="s">
        <v>40</v>
      </c>
      <c r="C58" s="2">
        <v>10670855.65</v>
      </c>
      <c r="D58" s="98">
        <v>3643763</v>
      </c>
      <c r="E58" s="1">
        <v>255913</v>
      </c>
      <c r="G58" s="52">
        <v>2.4</v>
      </c>
      <c r="H58" s="119">
        <f t="shared" si="10"/>
        <v>87450</v>
      </c>
      <c r="I58" s="119">
        <f t="shared" si="11"/>
        <v>168463</v>
      </c>
    </row>
    <row r="59" spans="1:9" s="11" customFormat="1" x14ac:dyDescent="0.4">
      <c r="A59" s="29"/>
      <c r="B59" s="49" t="s">
        <v>41</v>
      </c>
      <c r="C59" s="2">
        <v>21783326.510000002</v>
      </c>
      <c r="D59" s="98">
        <v>0</v>
      </c>
      <c r="E59" s="1">
        <v>421018</v>
      </c>
      <c r="G59" s="52">
        <v>1.93</v>
      </c>
      <c r="H59" s="119">
        <f t="shared" si="10"/>
        <v>0</v>
      </c>
      <c r="I59" s="119">
        <f t="shared" si="11"/>
        <v>421018</v>
      </c>
    </row>
    <row r="60" spans="1:9" s="11" customFormat="1" x14ac:dyDescent="0.4">
      <c r="A60" s="29"/>
      <c r="B60" s="49" t="s">
        <v>42</v>
      </c>
      <c r="C60" s="2">
        <v>23764302.84</v>
      </c>
      <c r="D60" s="98">
        <v>0</v>
      </c>
      <c r="E60" s="1">
        <v>715699</v>
      </c>
      <c r="G60" s="52">
        <v>3.01</v>
      </c>
      <c r="H60" s="119">
        <f t="shared" si="10"/>
        <v>0</v>
      </c>
      <c r="I60" s="119">
        <f t="shared" si="11"/>
        <v>715699</v>
      </c>
    </row>
    <row r="61" spans="1:9" s="11" customFormat="1" x14ac:dyDescent="0.4">
      <c r="A61" s="29"/>
      <c r="B61" s="49" t="s">
        <v>43</v>
      </c>
      <c r="C61" s="2">
        <v>12751242.41</v>
      </c>
      <c r="D61" s="98">
        <v>50263</v>
      </c>
      <c r="E61" s="1">
        <v>422962</v>
      </c>
      <c r="G61" s="52">
        <v>3.32</v>
      </c>
      <c r="H61" s="119">
        <f t="shared" si="10"/>
        <v>1669</v>
      </c>
      <c r="I61" s="119">
        <f t="shared" si="11"/>
        <v>421293</v>
      </c>
    </row>
    <row r="62" spans="1:9" s="11" customFormat="1" x14ac:dyDescent="0.4">
      <c r="A62" s="29"/>
      <c r="B62" s="49" t="s">
        <v>44</v>
      </c>
      <c r="C62" s="2">
        <v>12520715.15</v>
      </c>
      <c r="D62" s="98">
        <v>12520715</v>
      </c>
      <c r="E62" s="1">
        <v>439199</v>
      </c>
      <c r="G62" s="52">
        <v>3.51</v>
      </c>
      <c r="H62" s="119">
        <f>ROUND(D62*(G62/100),0)-278</f>
        <v>439199</v>
      </c>
      <c r="I62" s="119">
        <f t="shared" si="11"/>
        <v>0</v>
      </c>
    </row>
    <row r="63" spans="1:9" s="11" customFormat="1" x14ac:dyDescent="0.4">
      <c r="A63" s="29"/>
      <c r="B63" s="49" t="s">
        <v>45</v>
      </c>
      <c r="C63" s="32">
        <v>17731988.489999998</v>
      </c>
      <c r="D63" s="99">
        <v>17731989</v>
      </c>
      <c r="E63" s="23">
        <v>564466</v>
      </c>
      <c r="G63" s="52">
        <v>3.18</v>
      </c>
      <c r="H63" s="118">
        <f>ROUND(D63*(G63/100),0)+589</f>
        <v>564466</v>
      </c>
      <c r="I63" s="118">
        <f t="shared" si="11"/>
        <v>0</v>
      </c>
    </row>
    <row r="64" spans="1:9" s="11" customFormat="1" x14ac:dyDescent="0.4">
      <c r="A64" s="29"/>
      <c r="B64" s="39" t="s">
        <v>52</v>
      </c>
      <c r="C64" s="2">
        <f>SUM(C53:C63)</f>
        <v>115519762.90000001</v>
      </c>
      <c r="D64" s="98">
        <f>SUM(D53:D63)</f>
        <v>46007358</v>
      </c>
      <c r="E64" s="98">
        <f>SUM(E53:E63)</f>
        <v>3643001</v>
      </c>
      <c r="G64" s="53">
        <f>+ROUND(E64/C64*100,2)</f>
        <v>3.15</v>
      </c>
      <c r="H64" s="98">
        <f t="shared" ref="H64:I64" si="12">SUM(H53:H63)</f>
        <v>1786278</v>
      </c>
      <c r="I64" s="98">
        <f t="shared" si="12"/>
        <v>1856723</v>
      </c>
    </row>
    <row r="65" spans="1:9" s="11" customFormat="1" x14ac:dyDescent="0.4">
      <c r="A65" s="29">
        <v>316</v>
      </c>
      <c r="B65" s="39" t="s">
        <v>7</v>
      </c>
      <c r="C65" s="2"/>
      <c r="D65" s="98"/>
      <c r="E65" s="30"/>
      <c r="G65" s="52"/>
      <c r="H65" s="107"/>
      <c r="I65" s="107"/>
    </row>
    <row r="66" spans="1:9" s="11" customFormat="1" x14ac:dyDescent="0.4">
      <c r="A66" s="29"/>
      <c r="B66" s="49" t="s">
        <v>38</v>
      </c>
      <c r="C66" s="2">
        <v>1111554.28</v>
      </c>
      <c r="D66" s="98">
        <v>0</v>
      </c>
      <c r="E66" s="1">
        <v>46409</v>
      </c>
      <c r="G66" s="52">
        <v>4.18</v>
      </c>
      <c r="H66" s="119">
        <f t="shared" ref="H66:H72" si="13">ROUND(D66*(G66/100),0)</f>
        <v>0</v>
      </c>
      <c r="I66" s="119">
        <f t="shared" ref="I66:I72" si="14">E66-H66</f>
        <v>46409</v>
      </c>
    </row>
    <row r="67" spans="1:9" s="11" customFormat="1" x14ac:dyDescent="0.4">
      <c r="A67" s="29"/>
      <c r="B67" s="49" t="s">
        <v>37</v>
      </c>
      <c r="C67" s="2">
        <v>2706566.34</v>
      </c>
      <c r="D67" s="98">
        <v>0</v>
      </c>
      <c r="E67" s="1">
        <v>165029</v>
      </c>
      <c r="G67" s="52">
        <v>6.1</v>
      </c>
      <c r="H67" s="119">
        <f t="shared" si="13"/>
        <v>0</v>
      </c>
      <c r="I67" s="119">
        <f t="shared" si="14"/>
        <v>165029</v>
      </c>
    </row>
    <row r="68" spans="1:9" s="11" customFormat="1" x14ac:dyDescent="0.4">
      <c r="A68" s="29"/>
      <c r="B68" s="49" t="s">
        <v>46</v>
      </c>
      <c r="C68" s="2">
        <v>2139985.1800000002</v>
      </c>
      <c r="D68" s="98">
        <v>2139985</v>
      </c>
      <c r="E68" s="1">
        <v>134767</v>
      </c>
      <c r="G68" s="52">
        <v>6.3</v>
      </c>
      <c r="H68" s="119">
        <f>ROUND(D68*(G68/100),0)-52</f>
        <v>134767</v>
      </c>
      <c r="I68" s="119">
        <f t="shared" si="14"/>
        <v>0</v>
      </c>
    </row>
    <row r="69" spans="1:9" s="11" customFormat="1" x14ac:dyDescent="0.4">
      <c r="A69" s="29"/>
      <c r="B69" s="49" t="s">
        <v>39</v>
      </c>
      <c r="C69" s="2">
        <v>4774642.05</v>
      </c>
      <c r="D69" s="98">
        <v>0</v>
      </c>
      <c r="E69" s="1">
        <v>180210</v>
      </c>
      <c r="G69" s="52">
        <v>3.77</v>
      </c>
      <c r="H69" s="119">
        <f t="shared" si="13"/>
        <v>0</v>
      </c>
      <c r="I69" s="119">
        <f t="shared" si="14"/>
        <v>180210</v>
      </c>
    </row>
    <row r="70" spans="1:9" s="11" customFormat="1" x14ac:dyDescent="0.4">
      <c r="A70" s="29"/>
      <c r="B70" s="49" t="s">
        <v>40</v>
      </c>
      <c r="C70" s="2">
        <v>182562.7</v>
      </c>
      <c r="D70" s="98">
        <v>0</v>
      </c>
      <c r="E70" s="1">
        <v>6978</v>
      </c>
      <c r="G70" s="52">
        <v>3.82</v>
      </c>
      <c r="H70" s="119">
        <f t="shared" si="13"/>
        <v>0</v>
      </c>
      <c r="I70" s="119">
        <f t="shared" si="14"/>
        <v>6978</v>
      </c>
    </row>
    <row r="71" spans="1:9" s="11" customFormat="1" x14ac:dyDescent="0.4">
      <c r="A71" s="29"/>
      <c r="B71" s="49" t="s">
        <v>42</v>
      </c>
      <c r="C71" s="2">
        <v>2192469.65</v>
      </c>
      <c r="D71" s="98">
        <v>0</v>
      </c>
      <c r="E71" s="1">
        <v>105158</v>
      </c>
      <c r="G71" s="52">
        <v>4.8</v>
      </c>
      <c r="H71" s="119">
        <f t="shared" si="13"/>
        <v>0</v>
      </c>
      <c r="I71" s="119">
        <f t="shared" si="14"/>
        <v>105158</v>
      </c>
    </row>
    <row r="72" spans="1:9" s="11" customFormat="1" x14ac:dyDescent="0.4">
      <c r="A72" s="29"/>
      <c r="B72" s="49" t="s">
        <v>43</v>
      </c>
      <c r="C72" s="32">
        <v>3964220.82</v>
      </c>
      <c r="D72" s="99">
        <v>1536289</v>
      </c>
      <c r="E72" s="23">
        <v>191731</v>
      </c>
      <c r="G72" s="52">
        <v>4.84</v>
      </c>
      <c r="H72" s="118">
        <f t="shared" si="13"/>
        <v>74356</v>
      </c>
      <c r="I72" s="118">
        <f t="shared" si="14"/>
        <v>117375</v>
      </c>
    </row>
    <row r="73" spans="1:9" s="11" customFormat="1" x14ac:dyDescent="0.4">
      <c r="A73" s="29"/>
      <c r="B73" s="39" t="s">
        <v>53</v>
      </c>
      <c r="C73" s="32">
        <f>SUM(C66:C72)</f>
        <v>17072001.02</v>
      </c>
      <c r="D73" s="99">
        <f>SUM(D66:D72)</f>
        <v>3676274</v>
      </c>
      <c r="E73" s="99">
        <f>SUM(E66:E72)</f>
        <v>830282</v>
      </c>
      <c r="G73" s="53">
        <f>+ROUND(E73/C73*100,2)</f>
        <v>4.8600000000000003</v>
      </c>
      <c r="H73" s="99">
        <f t="shared" ref="H73:I73" si="15">SUM(H66:H72)</f>
        <v>209123</v>
      </c>
      <c r="I73" s="99">
        <f t="shared" si="15"/>
        <v>621159</v>
      </c>
    </row>
    <row r="74" spans="1:9" x14ac:dyDescent="0.4">
      <c r="A74" s="9"/>
      <c r="B74" s="40"/>
      <c r="C74" s="2"/>
      <c r="D74" s="98"/>
      <c r="E74" s="1"/>
      <c r="G74" s="50"/>
      <c r="H74" s="106"/>
      <c r="I74" s="106"/>
    </row>
    <row r="75" spans="1:9" x14ac:dyDescent="0.4">
      <c r="A75" s="3"/>
      <c r="B75" s="43" t="s">
        <v>54</v>
      </c>
      <c r="C75" s="55">
        <f>C19+C31+C44+C51+C64+C73</f>
        <v>2426607851.3600001</v>
      </c>
      <c r="D75" s="120">
        <f t="shared" ref="D75:E75" si="16">D19+D31+D44+D51+D64+D73</f>
        <v>961388118.53999996</v>
      </c>
      <c r="E75" s="120">
        <f t="shared" si="16"/>
        <v>86108150</v>
      </c>
      <c r="G75" s="54">
        <f>+ROUND(E75/C75*100,2)</f>
        <v>3.55</v>
      </c>
      <c r="H75" s="120">
        <f t="shared" ref="H75:I75" si="17">H19+H31+H44+H51+H64+H73</f>
        <v>39355250</v>
      </c>
      <c r="I75" s="120">
        <f t="shared" si="17"/>
        <v>46752900</v>
      </c>
    </row>
    <row r="76" spans="1:9" s="11" customFormat="1" x14ac:dyDescent="0.4">
      <c r="A76" s="31"/>
      <c r="B76" s="33"/>
      <c r="C76" s="34"/>
      <c r="D76" s="101"/>
      <c r="E76" s="35"/>
      <c r="G76" s="52"/>
      <c r="H76" s="107"/>
      <c r="I76" s="107"/>
    </row>
    <row r="77" spans="1:9" x14ac:dyDescent="0.4">
      <c r="A77" s="9"/>
      <c r="B77" s="5" t="s">
        <v>17</v>
      </c>
      <c r="D77" s="94"/>
      <c r="E77" s="7"/>
      <c r="G77" s="50"/>
      <c r="H77" s="106"/>
      <c r="I77" s="106"/>
    </row>
    <row r="78" spans="1:9" x14ac:dyDescent="0.4">
      <c r="A78" s="9"/>
      <c r="B78" s="10"/>
      <c r="D78" s="94"/>
      <c r="E78" s="7"/>
      <c r="G78" s="50"/>
      <c r="H78" s="106"/>
      <c r="I78" s="106"/>
    </row>
    <row r="79" spans="1:9" s="11" customFormat="1" x14ac:dyDescent="0.4">
      <c r="A79" s="29">
        <v>341</v>
      </c>
      <c r="B79" s="41" t="s">
        <v>2</v>
      </c>
      <c r="C79" s="20"/>
      <c r="D79" s="97"/>
      <c r="E79" s="30"/>
      <c r="G79" s="51"/>
      <c r="H79" s="107"/>
      <c r="I79" s="107"/>
    </row>
    <row r="80" spans="1:9" s="11" customFormat="1" x14ac:dyDescent="0.4">
      <c r="A80" s="29"/>
      <c r="B80" s="49" t="s">
        <v>59</v>
      </c>
      <c r="C80" s="2">
        <v>19534021.23</v>
      </c>
      <c r="D80" s="98">
        <v>0</v>
      </c>
      <c r="E80" s="1">
        <v>461876</v>
      </c>
      <c r="G80" s="52">
        <v>2.36</v>
      </c>
      <c r="H80" s="119">
        <f t="shared" ref="H80:H99" si="18">ROUND(D80*(G80/100),0)</f>
        <v>0</v>
      </c>
      <c r="I80" s="119">
        <f t="shared" ref="I80:I99" si="19">E80-H80</f>
        <v>461876</v>
      </c>
    </row>
    <row r="81" spans="1:9" s="11" customFormat="1" x14ac:dyDescent="0.4">
      <c r="A81" s="29"/>
      <c r="B81" s="49" t="s">
        <v>61</v>
      </c>
      <c r="C81" s="2">
        <v>2666719.81</v>
      </c>
      <c r="D81" s="98">
        <v>0</v>
      </c>
      <c r="E81" s="1">
        <v>91600</v>
      </c>
      <c r="G81" s="52">
        <v>3.43</v>
      </c>
      <c r="H81" s="119">
        <f t="shared" si="18"/>
        <v>0</v>
      </c>
      <c r="I81" s="119">
        <f t="shared" si="19"/>
        <v>91600</v>
      </c>
    </row>
    <row r="82" spans="1:9" s="11" customFormat="1" x14ac:dyDescent="0.4">
      <c r="A82" s="29"/>
      <c r="B82" s="49" t="s">
        <v>60</v>
      </c>
      <c r="C82" s="2">
        <v>2666719.81</v>
      </c>
      <c r="D82" s="98">
        <v>0</v>
      </c>
      <c r="E82" s="1">
        <v>90097</v>
      </c>
      <c r="G82" s="52">
        <v>3.38</v>
      </c>
      <c r="H82" s="119">
        <f t="shared" si="18"/>
        <v>0</v>
      </c>
      <c r="I82" s="119">
        <f t="shared" si="19"/>
        <v>90097</v>
      </c>
    </row>
    <row r="83" spans="1:9" s="11" customFormat="1" x14ac:dyDescent="0.4">
      <c r="A83" s="29"/>
      <c r="B83" s="49" t="s">
        <v>62</v>
      </c>
      <c r="C83" s="2">
        <v>2666719.81</v>
      </c>
      <c r="D83" s="98">
        <v>0</v>
      </c>
      <c r="E83" s="1">
        <v>90824</v>
      </c>
      <c r="G83" s="52">
        <v>3.41</v>
      </c>
      <c r="H83" s="119">
        <f t="shared" si="18"/>
        <v>0</v>
      </c>
      <c r="I83" s="119">
        <f t="shared" si="19"/>
        <v>90824</v>
      </c>
    </row>
    <row r="84" spans="1:9" s="11" customFormat="1" x14ac:dyDescent="0.4">
      <c r="A84" s="29"/>
      <c r="B84" s="49" t="s">
        <v>63</v>
      </c>
      <c r="C84" s="2">
        <v>1937757.41</v>
      </c>
      <c r="D84" s="98">
        <v>0</v>
      </c>
      <c r="E84" s="1">
        <v>56828</v>
      </c>
      <c r="G84" s="52">
        <v>2.93</v>
      </c>
      <c r="H84" s="119">
        <f t="shared" si="18"/>
        <v>0</v>
      </c>
      <c r="I84" s="119">
        <f t="shared" si="19"/>
        <v>56828</v>
      </c>
    </row>
    <row r="85" spans="1:9" s="11" customFormat="1" x14ac:dyDescent="0.4">
      <c r="A85" s="29"/>
      <c r="B85" s="49" t="s">
        <v>64</v>
      </c>
      <c r="C85" s="2">
        <v>1599135.43</v>
      </c>
      <c r="D85" s="98">
        <v>0</v>
      </c>
      <c r="E85" s="1">
        <v>47190</v>
      </c>
      <c r="G85" s="52">
        <v>2.95</v>
      </c>
      <c r="H85" s="119">
        <f t="shared" si="18"/>
        <v>0</v>
      </c>
      <c r="I85" s="119">
        <f t="shared" si="19"/>
        <v>47190</v>
      </c>
    </row>
    <row r="86" spans="1:9" s="11" customFormat="1" x14ac:dyDescent="0.4">
      <c r="A86" s="29"/>
      <c r="B86" s="49" t="s">
        <v>65</v>
      </c>
      <c r="C86" s="2">
        <v>303524.78000000003</v>
      </c>
      <c r="D86" s="98">
        <v>0</v>
      </c>
      <c r="E86" s="1">
        <v>8882</v>
      </c>
      <c r="G86" s="52">
        <v>2.93</v>
      </c>
      <c r="H86" s="119">
        <f t="shared" si="18"/>
        <v>0</v>
      </c>
      <c r="I86" s="119">
        <f t="shared" si="19"/>
        <v>8882</v>
      </c>
    </row>
    <row r="87" spans="1:9" s="11" customFormat="1" x14ac:dyDescent="0.4">
      <c r="A87" s="29"/>
      <c r="B87" s="49" t="s">
        <v>66</v>
      </c>
      <c r="C87" s="2">
        <v>303524.78000000003</v>
      </c>
      <c r="D87" s="98">
        <v>0</v>
      </c>
      <c r="E87" s="1">
        <v>8882</v>
      </c>
      <c r="G87" s="52">
        <v>2.93</v>
      </c>
      <c r="H87" s="119">
        <f t="shared" si="18"/>
        <v>0</v>
      </c>
      <c r="I87" s="119">
        <f t="shared" si="19"/>
        <v>8882</v>
      </c>
    </row>
    <row r="88" spans="1:9" s="11" customFormat="1" x14ac:dyDescent="0.4">
      <c r="A88" s="29"/>
      <c r="B88" s="49" t="s">
        <v>67</v>
      </c>
      <c r="C88" s="2">
        <v>4500637.37</v>
      </c>
      <c r="D88" s="98">
        <v>0</v>
      </c>
      <c r="E88" s="1">
        <v>137706</v>
      </c>
      <c r="G88" s="52">
        <v>3.06</v>
      </c>
      <c r="H88" s="119">
        <f t="shared" si="18"/>
        <v>0</v>
      </c>
      <c r="I88" s="119">
        <f t="shared" si="19"/>
        <v>137706</v>
      </c>
    </row>
    <row r="89" spans="1:9" s="11" customFormat="1" x14ac:dyDescent="0.4">
      <c r="A89" s="29"/>
      <c r="B89" s="49" t="s">
        <v>68</v>
      </c>
      <c r="C89" s="2">
        <v>88846.57</v>
      </c>
      <c r="D89" s="98">
        <v>0</v>
      </c>
      <c r="E89" s="1">
        <v>2541</v>
      </c>
      <c r="G89" s="52">
        <v>2.86</v>
      </c>
      <c r="H89" s="119">
        <f t="shared" si="18"/>
        <v>0</v>
      </c>
      <c r="I89" s="119">
        <f t="shared" si="19"/>
        <v>2541</v>
      </c>
    </row>
    <row r="90" spans="1:9" s="11" customFormat="1" x14ac:dyDescent="0.4">
      <c r="A90" s="29"/>
      <c r="B90" s="49" t="s">
        <v>69</v>
      </c>
      <c r="C90" s="2">
        <v>1119860.8</v>
      </c>
      <c r="D90" s="98">
        <v>0</v>
      </c>
      <c r="E90" s="1">
        <v>37693</v>
      </c>
      <c r="G90" s="52">
        <v>3.37</v>
      </c>
      <c r="H90" s="119">
        <f t="shared" si="18"/>
        <v>0</v>
      </c>
      <c r="I90" s="119">
        <f t="shared" si="19"/>
        <v>37693</v>
      </c>
    </row>
    <row r="91" spans="1:9" s="11" customFormat="1" x14ac:dyDescent="0.4">
      <c r="A91" s="29"/>
      <c r="B91" s="49" t="s">
        <v>70</v>
      </c>
      <c r="C91" s="2">
        <v>1200486.53</v>
      </c>
      <c r="D91" s="98">
        <v>0</v>
      </c>
      <c r="E91" s="1">
        <v>40406</v>
      </c>
      <c r="G91" s="52">
        <v>3.37</v>
      </c>
      <c r="H91" s="119">
        <f t="shared" si="18"/>
        <v>0</v>
      </c>
      <c r="I91" s="119">
        <f t="shared" si="19"/>
        <v>40406</v>
      </c>
    </row>
    <row r="92" spans="1:9" s="11" customFormat="1" x14ac:dyDescent="0.4">
      <c r="A92" s="29"/>
      <c r="B92" s="49" t="s">
        <v>71</v>
      </c>
      <c r="C92" s="2">
        <v>1135966.24</v>
      </c>
      <c r="D92" s="98">
        <v>0</v>
      </c>
      <c r="E92" s="1">
        <v>38235</v>
      </c>
      <c r="G92" s="52">
        <v>3.37</v>
      </c>
      <c r="H92" s="119">
        <f t="shared" si="18"/>
        <v>0</v>
      </c>
      <c r="I92" s="119">
        <f t="shared" si="19"/>
        <v>38235</v>
      </c>
    </row>
    <row r="93" spans="1:9" s="11" customFormat="1" x14ac:dyDescent="0.4">
      <c r="A93" s="29"/>
      <c r="B93" s="49" t="s">
        <v>72</v>
      </c>
      <c r="C93" s="2">
        <v>1465228.09</v>
      </c>
      <c r="D93" s="98">
        <v>0</v>
      </c>
      <c r="E93" s="1">
        <v>48151</v>
      </c>
      <c r="G93" s="52">
        <v>3.29</v>
      </c>
      <c r="H93" s="119">
        <f t="shared" si="18"/>
        <v>0</v>
      </c>
      <c r="I93" s="119">
        <f t="shared" si="19"/>
        <v>48151</v>
      </c>
    </row>
    <row r="94" spans="1:9" s="11" customFormat="1" x14ac:dyDescent="0.4">
      <c r="A94" s="29"/>
      <c r="B94" s="49" t="s">
        <v>74</v>
      </c>
      <c r="C94" s="2">
        <v>2033652.36</v>
      </c>
      <c r="D94" s="98">
        <v>0</v>
      </c>
      <c r="E94" s="1">
        <v>88263</v>
      </c>
      <c r="G94" s="52">
        <v>4.34</v>
      </c>
      <c r="H94" s="119">
        <f t="shared" si="18"/>
        <v>0</v>
      </c>
      <c r="I94" s="119">
        <f t="shared" si="19"/>
        <v>88263</v>
      </c>
    </row>
    <row r="95" spans="1:9" s="11" customFormat="1" x14ac:dyDescent="0.4">
      <c r="A95" s="29"/>
      <c r="B95" s="49" t="s">
        <v>55</v>
      </c>
      <c r="C95" s="2">
        <v>7229721.6399999997</v>
      </c>
      <c r="D95" s="98">
        <v>0</v>
      </c>
      <c r="E95" s="1">
        <v>200136</v>
      </c>
      <c r="G95" s="52">
        <v>2.77</v>
      </c>
      <c r="H95" s="119">
        <f t="shared" si="18"/>
        <v>0</v>
      </c>
      <c r="I95" s="119">
        <f t="shared" si="19"/>
        <v>200136</v>
      </c>
    </row>
    <row r="96" spans="1:9" s="11" customFormat="1" x14ac:dyDescent="0.4">
      <c r="A96" s="29"/>
      <c r="B96" s="49" t="s">
        <v>56</v>
      </c>
      <c r="C96" s="2">
        <v>933680.4</v>
      </c>
      <c r="D96" s="98">
        <v>0</v>
      </c>
      <c r="E96" s="1">
        <v>24483</v>
      </c>
      <c r="G96" s="52">
        <v>2.62</v>
      </c>
      <c r="H96" s="119">
        <f t="shared" si="18"/>
        <v>0</v>
      </c>
      <c r="I96" s="119">
        <f t="shared" si="19"/>
        <v>24483</v>
      </c>
    </row>
    <row r="97" spans="1:9" s="11" customFormat="1" x14ac:dyDescent="0.4">
      <c r="A97" s="29"/>
      <c r="B97" s="49" t="s">
        <v>57</v>
      </c>
      <c r="C97" s="2">
        <v>933680.4</v>
      </c>
      <c r="D97" s="98">
        <v>0</v>
      </c>
      <c r="E97" s="1">
        <v>24700</v>
      </c>
      <c r="G97" s="52">
        <v>2.65</v>
      </c>
      <c r="H97" s="119">
        <f t="shared" si="18"/>
        <v>0</v>
      </c>
      <c r="I97" s="119">
        <f t="shared" si="19"/>
        <v>24700</v>
      </c>
    </row>
    <row r="98" spans="1:9" s="11" customFormat="1" x14ac:dyDescent="0.4">
      <c r="A98" s="29"/>
      <c r="B98" s="49" t="s">
        <v>58</v>
      </c>
      <c r="C98" s="2">
        <v>933680.4</v>
      </c>
      <c r="D98" s="98">
        <v>0</v>
      </c>
      <c r="E98" s="1">
        <v>24485</v>
      </c>
      <c r="G98" s="52">
        <v>2.62</v>
      </c>
      <c r="H98" s="119">
        <f t="shared" si="18"/>
        <v>0</v>
      </c>
      <c r="I98" s="119">
        <f t="shared" si="19"/>
        <v>24485</v>
      </c>
    </row>
    <row r="99" spans="1:9" s="11" customFormat="1" x14ac:dyDescent="0.4">
      <c r="A99" s="29"/>
      <c r="B99" s="49" t="s">
        <v>102</v>
      </c>
      <c r="C99" s="32">
        <v>625882</v>
      </c>
      <c r="D99" s="99">
        <v>0</v>
      </c>
      <c r="E99" s="23">
        <v>26347</v>
      </c>
      <c r="G99" s="52">
        <v>4.21</v>
      </c>
      <c r="H99" s="118">
        <f t="shared" si="18"/>
        <v>0</v>
      </c>
      <c r="I99" s="118">
        <f t="shared" si="19"/>
        <v>26347</v>
      </c>
    </row>
    <row r="100" spans="1:9" s="11" customFormat="1" x14ac:dyDescent="0.4">
      <c r="A100" s="29"/>
      <c r="B100" s="39" t="s">
        <v>47</v>
      </c>
      <c r="C100" s="2">
        <f>SUM(C80:C99)</f>
        <v>53879445.859999999</v>
      </c>
      <c r="D100" s="98">
        <f>SUM(D80:D99)</f>
        <v>0</v>
      </c>
      <c r="E100" s="98">
        <f>SUM(E80:E99)</f>
        <v>1549325</v>
      </c>
      <c r="G100" s="53">
        <f>+ROUND(E100/C100*100,2)</f>
        <v>2.88</v>
      </c>
      <c r="H100" s="98">
        <f t="shared" ref="H100:I100" si="20">SUM(H80:H99)</f>
        <v>0</v>
      </c>
      <c r="I100" s="98">
        <f t="shared" si="20"/>
        <v>1549325</v>
      </c>
    </row>
    <row r="101" spans="1:9" s="11" customFormat="1" x14ac:dyDescent="0.4">
      <c r="A101" s="29">
        <v>342</v>
      </c>
      <c r="B101" s="41" t="s">
        <v>15</v>
      </c>
      <c r="C101" s="20"/>
      <c r="D101" s="97"/>
      <c r="E101" s="30"/>
      <c r="G101" s="51"/>
      <c r="H101" s="107"/>
      <c r="I101" s="107"/>
    </row>
    <row r="102" spans="1:9" s="11" customFormat="1" x14ac:dyDescent="0.4">
      <c r="A102" s="29"/>
      <c r="B102" s="49" t="s">
        <v>59</v>
      </c>
      <c r="C102" s="2">
        <v>13766120.51</v>
      </c>
      <c r="D102" s="98">
        <v>0</v>
      </c>
      <c r="E102" s="1">
        <v>307631</v>
      </c>
      <c r="G102" s="52">
        <v>2.23</v>
      </c>
      <c r="H102" s="119">
        <f t="shared" ref="H102:H109" si="21">ROUND(D102*(G102/100),0)</f>
        <v>0</v>
      </c>
      <c r="I102" s="119">
        <f t="shared" ref="I102:I109" si="22">E102-H102</f>
        <v>307631</v>
      </c>
    </row>
    <row r="103" spans="1:9" s="11" customFormat="1" x14ac:dyDescent="0.4">
      <c r="A103" s="29"/>
      <c r="B103" s="49" t="s">
        <v>65</v>
      </c>
      <c r="C103" s="2">
        <v>70051.649999999994</v>
      </c>
      <c r="D103" s="98">
        <v>0</v>
      </c>
      <c r="E103" s="1">
        <v>1970</v>
      </c>
      <c r="G103" s="52">
        <v>2.81</v>
      </c>
      <c r="H103" s="119">
        <f t="shared" si="21"/>
        <v>0</v>
      </c>
      <c r="I103" s="119">
        <f t="shared" si="22"/>
        <v>1970</v>
      </c>
    </row>
    <row r="104" spans="1:9" s="11" customFormat="1" x14ac:dyDescent="0.4">
      <c r="A104" s="29"/>
      <c r="B104" s="49" t="s">
        <v>66</v>
      </c>
      <c r="C104" s="2">
        <v>70051.649999999994</v>
      </c>
      <c r="D104" s="98">
        <v>0</v>
      </c>
      <c r="E104" s="1">
        <v>1970</v>
      </c>
      <c r="G104" s="52">
        <v>2.81</v>
      </c>
      <c r="H104" s="119">
        <f t="shared" si="21"/>
        <v>0</v>
      </c>
      <c r="I104" s="119">
        <f t="shared" si="22"/>
        <v>1970</v>
      </c>
    </row>
    <row r="105" spans="1:9" s="11" customFormat="1" x14ac:dyDescent="0.4">
      <c r="A105" s="29"/>
      <c r="B105" s="49" t="s">
        <v>67</v>
      </c>
      <c r="C105" s="2">
        <v>2384532.85</v>
      </c>
      <c r="D105" s="98">
        <v>0</v>
      </c>
      <c r="E105" s="1">
        <v>70594</v>
      </c>
      <c r="G105" s="52">
        <v>2.96</v>
      </c>
      <c r="H105" s="119">
        <f t="shared" si="21"/>
        <v>0</v>
      </c>
      <c r="I105" s="119">
        <f t="shared" si="22"/>
        <v>70594</v>
      </c>
    </row>
    <row r="106" spans="1:9" s="11" customFormat="1" x14ac:dyDescent="0.4">
      <c r="A106" s="29"/>
      <c r="B106" s="49" t="s">
        <v>68</v>
      </c>
      <c r="C106" s="2">
        <v>2116650.59</v>
      </c>
      <c r="D106" s="98">
        <v>0</v>
      </c>
      <c r="E106" s="1">
        <v>57791</v>
      </c>
      <c r="G106" s="52">
        <v>2.73</v>
      </c>
      <c r="H106" s="119">
        <f t="shared" si="21"/>
        <v>0</v>
      </c>
      <c r="I106" s="119">
        <f t="shared" si="22"/>
        <v>57791</v>
      </c>
    </row>
    <row r="107" spans="1:9" s="11" customFormat="1" x14ac:dyDescent="0.4">
      <c r="A107" s="29"/>
      <c r="B107" s="49" t="s">
        <v>70</v>
      </c>
      <c r="C107" s="2">
        <v>106294.19</v>
      </c>
      <c r="D107" s="98">
        <v>0</v>
      </c>
      <c r="E107" s="1">
        <v>3475</v>
      </c>
      <c r="G107" s="52">
        <v>3.27</v>
      </c>
      <c r="H107" s="119">
        <f t="shared" si="21"/>
        <v>0</v>
      </c>
      <c r="I107" s="119">
        <f t="shared" si="22"/>
        <v>3475</v>
      </c>
    </row>
    <row r="108" spans="1:9" s="11" customFormat="1" x14ac:dyDescent="0.4">
      <c r="A108" s="29"/>
      <c r="B108" s="49" t="s">
        <v>71</v>
      </c>
      <c r="C108" s="2">
        <v>357670.24</v>
      </c>
      <c r="D108" s="98">
        <v>0</v>
      </c>
      <c r="E108" s="1">
        <v>11691</v>
      </c>
      <c r="G108" s="52">
        <v>3.27</v>
      </c>
      <c r="H108" s="119">
        <f t="shared" si="21"/>
        <v>0</v>
      </c>
      <c r="I108" s="119">
        <f t="shared" si="22"/>
        <v>11691</v>
      </c>
    </row>
    <row r="109" spans="1:9" s="11" customFormat="1" x14ac:dyDescent="0.4">
      <c r="A109" s="29"/>
      <c r="B109" s="49" t="s">
        <v>55</v>
      </c>
      <c r="C109" s="32">
        <v>1162203.57</v>
      </c>
      <c r="D109" s="99">
        <v>0</v>
      </c>
      <c r="E109" s="23">
        <v>31781</v>
      </c>
      <c r="G109" s="52">
        <v>2.73</v>
      </c>
      <c r="H109" s="118">
        <f t="shared" si="21"/>
        <v>0</v>
      </c>
      <c r="I109" s="118">
        <f t="shared" si="22"/>
        <v>31781</v>
      </c>
    </row>
    <row r="110" spans="1:9" s="11" customFormat="1" x14ac:dyDescent="0.4">
      <c r="A110" s="29"/>
      <c r="B110" s="39" t="s">
        <v>73</v>
      </c>
      <c r="C110" s="2">
        <f>SUM(C102:C109)</f>
        <v>20033575.25</v>
      </c>
      <c r="D110" s="98">
        <f>SUM(D102:D109)</f>
        <v>0</v>
      </c>
      <c r="E110" s="98">
        <f>SUM(E102:E109)</f>
        <v>486903</v>
      </c>
      <c r="G110" s="53">
        <f>+ROUND(E110/C110*100,2)</f>
        <v>2.4300000000000002</v>
      </c>
      <c r="H110" s="98">
        <f t="shared" ref="H110:I110" si="23">SUM(H102:H109)</f>
        <v>0</v>
      </c>
      <c r="I110" s="98">
        <f t="shared" si="23"/>
        <v>486903</v>
      </c>
    </row>
    <row r="111" spans="1:9" s="11" customFormat="1" x14ac:dyDescent="0.4">
      <c r="A111" s="29">
        <v>343</v>
      </c>
      <c r="B111" s="41" t="s">
        <v>19</v>
      </c>
      <c r="C111" s="20"/>
      <c r="D111" s="97"/>
      <c r="E111" s="30"/>
      <c r="G111" s="51"/>
      <c r="H111" s="107"/>
      <c r="I111" s="107"/>
    </row>
    <row r="112" spans="1:9" s="11" customFormat="1" x14ac:dyDescent="0.4">
      <c r="A112" s="29"/>
      <c r="B112" s="49" t="s">
        <v>59</v>
      </c>
      <c r="C112" s="2">
        <v>21662783.59</v>
      </c>
      <c r="D112" s="98">
        <v>0</v>
      </c>
      <c r="E112" s="1">
        <v>484417</v>
      </c>
      <c r="G112" s="52">
        <v>2.2400000000000002</v>
      </c>
      <c r="H112" s="119">
        <f t="shared" ref="H112:H130" si="24">ROUND(D112*(G112/100),0)</f>
        <v>0</v>
      </c>
      <c r="I112" s="119">
        <f t="shared" ref="I112:I130" si="25">E112-H112</f>
        <v>484417</v>
      </c>
    </row>
    <row r="113" spans="1:9" s="11" customFormat="1" x14ac:dyDescent="0.4">
      <c r="A113" s="29"/>
      <c r="B113" s="49" t="s">
        <v>61</v>
      </c>
      <c r="C113" s="2">
        <v>18938769.399999999</v>
      </c>
      <c r="D113" s="98">
        <v>0</v>
      </c>
      <c r="E113" s="1">
        <v>640798</v>
      </c>
      <c r="G113" s="52">
        <v>3.38</v>
      </c>
      <c r="H113" s="119">
        <f t="shared" si="24"/>
        <v>0</v>
      </c>
      <c r="I113" s="119">
        <f t="shared" si="25"/>
        <v>640798</v>
      </c>
    </row>
    <row r="114" spans="1:9" s="11" customFormat="1" x14ac:dyDescent="0.4">
      <c r="A114" s="29"/>
      <c r="B114" s="49" t="s">
        <v>60</v>
      </c>
      <c r="C114" s="2">
        <v>17021561.969999999</v>
      </c>
      <c r="D114" s="98">
        <v>0</v>
      </c>
      <c r="E114" s="1">
        <v>546139</v>
      </c>
      <c r="G114" s="52">
        <v>3.21</v>
      </c>
      <c r="H114" s="119">
        <f t="shared" si="24"/>
        <v>0</v>
      </c>
      <c r="I114" s="119">
        <f t="shared" si="25"/>
        <v>546139</v>
      </c>
    </row>
    <row r="115" spans="1:9" s="11" customFormat="1" x14ac:dyDescent="0.4">
      <c r="A115" s="29"/>
      <c r="B115" s="49" t="s">
        <v>62</v>
      </c>
      <c r="C115" s="2">
        <v>17950085.800000001</v>
      </c>
      <c r="D115" s="98">
        <v>0</v>
      </c>
      <c r="E115" s="1">
        <v>580819</v>
      </c>
      <c r="G115" s="52">
        <v>3.24</v>
      </c>
      <c r="H115" s="119">
        <f t="shared" si="24"/>
        <v>0</v>
      </c>
      <c r="I115" s="119">
        <f t="shared" si="25"/>
        <v>580819</v>
      </c>
    </row>
    <row r="116" spans="1:9" s="11" customFormat="1" x14ac:dyDescent="0.4">
      <c r="A116" s="29"/>
      <c r="B116" s="49" t="s">
        <v>63</v>
      </c>
      <c r="C116" s="2">
        <v>25858484.41</v>
      </c>
      <c r="D116" s="98">
        <v>0</v>
      </c>
      <c r="E116" s="1">
        <v>738852</v>
      </c>
      <c r="G116" s="52">
        <v>2.86</v>
      </c>
      <c r="H116" s="119">
        <f t="shared" si="24"/>
        <v>0</v>
      </c>
      <c r="I116" s="119">
        <f t="shared" si="25"/>
        <v>738852</v>
      </c>
    </row>
    <row r="117" spans="1:9" s="11" customFormat="1" x14ac:dyDescent="0.4">
      <c r="A117" s="29"/>
      <c r="B117" s="49" t="s">
        <v>64</v>
      </c>
      <c r="C117" s="2">
        <v>21295538.73</v>
      </c>
      <c r="D117" s="98">
        <v>0</v>
      </c>
      <c r="E117" s="1">
        <v>603663</v>
      </c>
      <c r="G117" s="52">
        <v>2.83</v>
      </c>
      <c r="H117" s="119">
        <f t="shared" si="24"/>
        <v>0</v>
      </c>
      <c r="I117" s="119">
        <f t="shared" si="25"/>
        <v>603663</v>
      </c>
    </row>
    <row r="118" spans="1:9" s="11" customFormat="1" x14ac:dyDescent="0.4">
      <c r="A118" s="29"/>
      <c r="B118" s="49" t="s">
        <v>65</v>
      </c>
      <c r="C118" s="2">
        <v>17001567.77</v>
      </c>
      <c r="D118" s="98">
        <v>0</v>
      </c>
      <c r="E118" s="1">
        <v>486319</v>
      </c>
      <c r="G118" s="52">
        <v>2.86</v>
      </c>
      <c r="H118" s="119">
        <f t="shared" si="24"/>
        <v>0</v>
      </c>
      <c r="I118" s="119">
        <f t="shared" si="25"/>
        <v>486319</v>
      </c>
    </row>
    <row r="119" spans="1:9" s="11" customFormat="1" x14ac:dyDescent="0.4">
      <c r="A119" s="29"/>
      <c r="B119" s="49" t="s">
        <v>66</v>
      </c>
      <c r="C119" s="2">
        <v>16754183.57</v>
      </c>
      <c r="D119" s="98">
        <v>0</v>
      </c>
      <c r="E119" s="1">
        <v>478999</v>
      </c>
      <c r="G119" s="52">
        <v>2.86</v>
      </c>
      <c r="H119" s="119">
        <f t="shared" si="24"/>
        <v>0</v>
      </c>
      <c r="I119" s="119">
        <f t="shared" si="25"/>
        <v>478999</v>
      </c>
    </row>
    <row r="120" spans="1:9" s="11" customFormat="1" x14ac:dyDescent="0.4">
      <c r="A120" s="29"/>
      <c r="B120" s="49" t="s">
        <v>67</v>
      </c>
      <c r="C120" s="2">
        <v>57736570.219999999</v>
      </c>
      <c r="D120" s="98">
        <v>0</v>
      </c>
      <c r="E120" s="1">
        <v>1723649</v>
      </c>
      <c r="G120" s="52">
        <v>2.99</v>
      </c>
      <c r="H120" s="119">
        <f t="shared" si="24"/>
        <v>0</v>
      </c>
      <c r="I120" s="119">
        <f t="shared" si="25"/>
        <v>1723649</v>
      </c>
    </row>
    <row r="121" spans="1:9" s="11" customFormat="1" x14ac:dyDescent="0.4">
      <c r="A121" s="29"/>
      <c r="B121" s="49" t="s">
        <v>68</v>
      </c>
      <c r="C121" s="2">
        <v>55010982.469999999</v>
      </c>
      <c r="D121" s="98">
        <v>0</v>
      </c>
      <c r="E121" s="1">
        <v>1517307</v>
      </c>
      <c r="G121" s="52">
        <v>2.76</v>
      </c>
      <c r="H121" s="119">
        <f t="shared" si="24"/>
        <v>0</v>
      </c>
      <c r="I121" s="119">
        <f t="shared" si="25"/>
        <v>1517307</v>
      </c>
    </row>
    <row r="122" spans="1:9" s="11" customFormat="1" x14ac:dyDescent="0.4">
      <c r="A122" s="29"/>
      <c r="B122" s="49" t="s">
        <v>69</v>
      </c>
      <c r="C122" s="2">
        <v>354070.8</v>
      </c>
      <c r="D122" s="98">
        <v>0</v>
      </c>
      <c r="E122" s="1">
        <v>12366</v>
      </c>
      <c r="G122" s="52">
        <v>3.49</v>
      </c>
      <c r="H122" s="119">
        <f t="shared" si="24"/>
        <v>0</v>
      </c>
      <c r="I122" s="119">
        <f t="shared" si="25"/>
        <v>12366</v>
      </c>
    </row>
    <row r="123" spans="1:9" s="11" customFormat="1" x14ac:dyDescent="0.4">
      <c r="A123" s="29"/>
      <c r="B123" s="49" t="s">
        <v>70</v>
      </c>
      <c r="C123" s="2">
        <v>300785.96999999997</v>
      </c>
      <c r="D123" s="98">
        <v>0</v>
      </c>
      <c r="E123" s="1">
        <v>9921</v>
      </c>
      <c r="G123" s="52">
        <v>3.3</v>
      </c>
      <c r="H123" s="119">
        <f t="shared" si="24"/>
        <v>0</v>
      </c>
      <c r="I123" s="119">
        <f t="shared" si="25"/>
        <v>9921</v>
      </c>
    </row>
    <row r="124" spans="1:9" s="11" customFormat="1" x14ac:dyDescent="0.4">
      <c r="A124" s="29"/>
      <c r="B124" s="49" t="s">
        <v>71</v>
      </c>
      <c r="C124" s="2">
        <v>388128.81</v>
      </c>
      <c r="D124" s="98">
        <v>0</v>
      </c>
      <c r="E124" s="1">
        <v>13819</v>
      </c>
      <c r="G124" s="52">
        <v>3.56</v>
      </c>
      <c r="H124" s="119">
        <f t="shared" si="24"/>
        <v>0</v>
      </c>
      <c r="I124" s="119">
        <f t="shared" si="25"/>
        <v>13819</v>
      </c>
    </row>
    <row r="125" spans="1:9" s="11" customFormat="1" x14ac:dyDescent="0.4">
      <c r="A125" s="29"/>
      <c r="B125" s="49" t="s">
        <v>72</v>
      </c>
      <c r="C125" s="2">
        <v>201654.6</v>
      </c>
      <c r="D125" s="98">
        <v>0</v>
      </c>
      <c r="E125" s="1">
        <v>6494</v>
      </c>
      <c r="G125" s="52">
        <v>3.22</v>
      </c>
      <c r="H125" s="119">
        <f t="shared" si="24"/>
        <v>0</v>
      </c>
      <c r="I125" s="119">
        <f t="shared" si="25"/>
        <v>6494</v>
      </c>
    </row>
    <row r="126" spans="1:9" s="11" customFormat="1" x14ac:dyDescent="0.4">
      <c r="A126" s="29"/>
      <c r="B126" s="49" t="s">
        <v>74</v>
      </c>
      <c r="C126" s="2">
        <v>275099.08</v>
      </c>
      <c r="D126" s="98">
        <v>0</v>
      </c>
      <c r="E126" s="1">
        <v>8799</v>
      </c>
      <c r="G126" s="52">
        <v>3.2</v>
      </c>
      <c r="H126" s="119">
        <f t="shared" si="24"/>
        <v>0</v>
      </c>
      <c r="I126" s="119">
        <f t="shared" si="25"/>
        <v>8799</v>
      </c>
    </row>
    <row r="127" spans="1:9" s="11" customFormat="1" x14ac:dyDescent="0.4">
      <c r="A127" s="29"/>
      <c r="B127" s="49" t="s">
        <v>55</v>
      </c>
      <c r="C127" s="2">
        <v>2407952.29</v>
      </c>
      <c r="D127" s="98">
        <v>0</v>
      </c>
      <c r="E127" s="1">
        <v>87964</v>
      </c>
      <c r="G127" s="52">
        <v>3.65</v>
      </c>
      <c r="H127" s="119">
        <f t="shared" si="24"/>
        <v>0</v>
      </c>
      <c r="I127" s="119">
        <f t="shared" si="25"/>
        <v>87964</v>
      </c>
    </row>
    <row r="128" spans="1:9" s="11" customFormat="1" x14ac:dyDescent="0.4">
      <c r="A128" s="29"/>
      <c r="B128" s="49" t="s">
        <v>56</v>
      </c>
      <c r="C128" s="2">
        <v>46724956.780000001</v>
      </c>
      <c r="D128" s="98">
        <v>0</v>
      </c>
      <c r="E128" s="1">
        <v>1226069</v>
      </c>
      <c r="G128" s="52">
        <v>2.62</v>
      </c>
      <c r="H128" s="119">
        <f t="shared" si="24"/>
        <v>0</v>
      </c>
      <c r="I128" s="119">
        <f t="shared" si="25"/>
        <v>1226069</v>
      </c>
    </row>
    <row r="129" spans="1:9" s="11" customFormat="1" x14ac:dyDescent="0.4">
      <c r="A129" s="29"/>
      <c r="B129" s="49" t="s">
        <v>57</v>
      </c>
      <c r="C129" s="2">
        <v>45508646.350000001</v>
      </c>
      <c r="D129" s="98">
        <v>0</v>
      </c>
      <c r="E129" s="1">
        <v>1216747</v>
      </c>
      <c r="G129" s="52">
        <v>2.67</v>
      </c>
      <c r="H129" s="119">
        <f t="shared" si="24"/>
        <v>0</v>
      </c>
      <c r="I129" s="119">
        <f t="shared" si="25"/>
        <v>1216747</v>
      </c>
    </row>
    <row r="130" spans="1:9" s="11" customFormat="1" x14ac:dyDescent="0.4">
      <c r="A130" s="29"/>
      <c r="B130" s="49" t="s">
        <v>58</v>
      </c>
      <c r="C130" s="32">
        <v>41213903.719999999</v>
      </c>
      <c r="D130" s="99">
        <v>0</v>
      </c>
      <c r="E130" s="23">
        <v>1081589</v>
      </c>
      <c r="G130" s="52">
        <v>2.62</v>
      </c>
      <c r="H130" s="118">
        <f t="shared" si="24"/>
        <v>0</v>
      </c>
      <c r="I130" s="118">
        <f t="shared" si="25"/>
        <v>1081589</v>
      </c>
    </row>
    <row r="131" spans="1:9" s="11" customFormat="1" x14ac:dyDescent="0.4">
      <c r="A131" s="29"/>
      <c r="B131" s="39" t="s">
        <v>75</v>
      </c>
      <c r="C131" s="2">
        <f>SUM(C112:C130)</f>
        <v>406605726.33000004</v>
      </c>
      <c r="D131" s="98">
        <f>SUM(D112:D130)</f>
        <v>0</v>
      </c>
      <c r="E131" s="98">
        <f>SUM(E112:E130)</f>
        <v>11464730</v>
      </c>
      <c r="G131" s="53">
        <f>+ROUND(E131/C131*100,2)</f>
        <v>2.82</v>
      </c>
      <c r="H131" s="98">
        <f t="shared" ref="H131:I131" si="26">SUM(H112:H130)</f>
        <v>0</v>
      </c>
      <c r="I131" s="98">
        <f t="shared" si="26"/>
        <v>11464730</v>
      </c>
    </row>
    <row r="132" spans="1:9" s="11" customFormat="1" x14ac:dyDescent="0.4">
      <c r="A132" s="29">
        <v>344</v>
      </c>
      <c r="B132" s="41" t="s">
        <v>16</v>
      </c>
      <c r="C132" s="20"/>
      <c r="D132" s="97"/>
      <c r="E132" s="30"/>
      <c r="G132" s="51"/>
      <c r="H132" s="107"/>
      <c r="I132" s="107"/>
    </row>
    <row r="133" spans="1:9" s="11" customFormat="1" x14ac:dyDescent="0.4">
      <c r="A133" s="29"/>
      <c r="B133" s="49" t="s">
        <v>59</v>
      </c>
      <c r="C133" s="2">
        <v>385287.95</v>
      </c>
      <c r="D133" s="98">
        <v>0</v>
      </c>
      <c r="E133" s="1">
        <v>10596</v>
      </c>
      <c r="G133" s="52">
        <v>2.75</v>
      </c>
      <c r="H133" s="119">
        <f t="shared" ref="H133:H153" si="27">ROUND(D133*(G133/100),0)</f>
        <v>0</v>
      </c>
      <c r="I133" s="119">
        <f t="shared" ref="I133:I153" si="28">E133-H133</f>
        <v>10596</v>
      </c>
    </row>
    <row r="134" spans="1:9" s="11" customFormat="1" x14ac:dyDescent="0.4">
      <c r="A134" s="29"/>
      <c r="B134" s="49" t="s">
        <v>61</v>
      </c>
      <c r="C134" s="2">
        <v>5409806.3600000003</v>
      </c>
      <c r="D134" s="98">
        <v>0</v>
      </c>
      <c r="E134" s="1">
        <v>180024</v>
      </c>
      <c r="G134" s="52">
        <v>3.33</v>
      </c>
      <c r="H134" s="119">
        <f t="shared" si="27"/>
        <v>0</v>
      </c>
      <c r="I134" s="119">
        <f t="shared" si="28"/>
        <v>180024</v>
      </c>
    </row>
    <row r="135" spans="1:9" s="11" customFormat="1" x14ac:dyDescent="0.4">
      <c r="A135" s="29"/>
      <c r="B135" s="49" t="s">
        <v>60</v>
      </c>
      <c r="C135" s="2">
        <v>5315973.93</v>
      </c>
      <c r="D135" s="98">
        <v>0</v>
      </c>
      <c r="E135" s="1">
        <v>175512</v>
      </c>
      <c r="G135" s="52">
        <v>3.3</v>
      </c>
      <c r="H135" s="119">
        <f t="shared" si="27"/>
        <v>0</v>
      </c>
      <c r="I135" s="119">
        <f t="shared" si="28"/>
        <v>175512</v>
      </c>
    </row>
    <row r="136" spans="1:9" s="11" customFormat="1" x14ac:dyDescent="0.4">
      <c r="A136" s="29"/>
      <c r="B136" s="49" t="s">
        <v>62</v>
      </c>
      <c r="C136" s="2">
        <v>5368828.4000000004</v>
      </c>
      <c r="D136" s="98">
        <v>0</v>
      </c>
      <c r="E136" s="1">
        <v>180444</v>
      </c>
      <c r="G136" s="52">
        <v>3.36</v>
      </c>
      <c r="H136" s="119">
        <f t="shared" si="27"/>
        <v>0</v>
      </c>
      <c r="I136" s="119">
        <f t="shared" si="28"/>
        <v>180444</v>
      </c>
    </row>
    <row r="137" spans="1:9" s="11" customFormat="1" x14ac:dyDescent="0.4">
      <c r="A137" s="29"/>
      <c r="B137" s="49" t="s">
        <v>63</v>
      </c>
      <c r="C137" s="2">
        <v>8212342.4100000001</v>
      </c>
      <c r="D137" s="98">
        <v>0</v>
      </c>
      <c r="E137" s="1">
        <v>236372</v>
      </c>
      <c r="G137" s="52">
        <v>2.88</v>
      </c>
      <c r="H137" s="119">
        <f t="shared" si="27"/>
        <v>0</v>
      </c>
      <c r="I137" s="119">
        <f t="shared" si="28"/>
        <v>236372</v>
      </c>
    </row>
    <row r="138" spans="1:9" s="11" customFormat="1" x14ac:dyDescent="0.4">
      <c r="A138" s="29"/>
      <c r="B138" s="49" t="s">
        <v>64</v>
      </c>
      <c r="C138" s="2">
        <v>8155918.4000000004</v>
      </c>
      <c r="D138" s="98">
        <v>0</v>
      </c>
      <c r="E138" s="1">
        <v>234816</v>
      </c>
      <c r="G138" s="52">
        <v>2.88</v>
      </c>
      <c r="H138" s="119">
        <f t="shared" si="27"/>
        <v>0</v>
      </c>
      <c r="I138" s="119">
        <f t="shared" si="28"/>
        <v>234816</v>
      </c>
    </row>
    <row r="139" spans="1:9" s="11" customFormat="1" x14ac:dyDescent="0.4">
      <c r="A139" s="29"/>
      <c r="B139" s="49" t="s">
        <v>65</v>
      </c>
      <c r="C139" s="2">
        <v>4831725.68</v>
      </c>
      <c r="D139" s="98">
        <v>0</v>
      </c>
      <c r="E139" s="1">
        <v>136522</v>
      </c>
      <c r="G139" s="52">
        <v>2.83</v>
      </c>
      <c r="H139" s="119">
        <f t="shared" si="27"/>
        <v>0</v>
      </c>
      <c r="I139" s="119">
        <f t="shared" si="28"/>
        <v>136522</v>
      </c>
    </row>
    <row r="140" spans="1:9" s="11" customFormat="1" x14ac:dyDescent="0.4">
      <c r="A140" s="29"/>
      <c r="B140" s="49" t="s">
        <v>66</v>
      </c>
      <c r="C140" s="2">
        <v>4838938.32</v>
      </c>
      <c r="D140" s="98">
        <v>0</v>
      </c>
      <c r="E140" s="1">
        <v>136727</v>
      </c>
      <c r="G140" s="52">
        <v>2.83</v>
      </c>
      <c r="H140" s="119">
        <f t="shared" si="27"/>
        <v>0</v>
      </c>
      <c r="I140" s="119">
        <f t="shared" si="28"/>
        <v>136727</v>
      </c>
    </row>
    <row r="141" spans="1:9" s="11" customFormat="1" x14ac:dyDescent="0.4">
      <c r="A141" s="29"/>
      <c r="B141" s="49" t="s">
        <v>67</v>
      </c>
      <c r="C141" s="2">
        <v>5428818.3700000001</v>
      </c>
      <c r="D141" s="98">
        <v>0</v>
      </c>
      <c r="E141" s="1">
        <v>168982</v>
      </c>
      <c r="G141" s="52">
        <v>3.11</v>
      </c>
      <c r="H141" s="119">
        <f t="shared" si="27"/>
        <v>0</v>
      </c>
      <c r="I141" s="119">
        <f t="shared" si="28"/>
        <v>168982</v>
      </c>
    </row>
    <row r="142" spans="1:9" s="11" customFormat="1" x14ac:dyDescent="0.4">
      <c r="A142" s="29"/>
      <c r="B142" s="49" t="s">
        <v>68</v>
      </c>
      <c r="C142" s="2">
        <v>4887853.5</v>
      </c>
      <c r="D142" s="98">
        <v>0</v>
      </c>
      <c r="E142" s="1">
        <v>139055</v>
      </c>
      <c r="G142" s="52">
        <v>2.84</v>
      </c>
      <c r="H142" s="119">
        <f t="shared" si="27"/>
        <v>0</v>
      </c>
      <c r="I142" s="119">
        <f t="shared" si="28"/>
        <v>139055</v>
      </c>
    </row>
    <row r="143" spans="1:9" s="11" customFormat="1" x14ac:dyDescent="0.4">
      <c r="A143" s="29"/>
      <c r="B143" s="49" t="s">
        <v>69</v>
      </c>
      <c r="C143" s="2">
        <v>1098205.33</v>
      </c>
      <c r="D143" s="98">
        <v>0</v>
      </c>
      <c r="E143" s="1">
        <v>35729</v>
      </c>
      <c r="G143" s="52">
        <v>3.25</v>
      </c>
      <c r="H143" s="119">
        <f t="shared" si="27"/>
        <v>0</v>
      </c>
      <c r="I143" s="119">
        <f t="shared" si="28"/>
        <v>35729</v>
      </c>
    </row>
    <row r="144" spans="1:9" s="11" customFormat="1" x14ac:dyDescent="0.4">
      <c r="A144" s="29"/>
      <c r="B144" s="49" t="s">
        <v>70</v>
      </c>
      <c r="C144" s="2">
        <v>1963510.74</v>
      </c>
      <c r="D144" s="98">
        <v>0</v>
      </c>
      <c r="E144" s="1">
        <v>65028</v>
      </c>
      <c r="G144" s="52">
        <v>3.31</v>
      </c>
      <c r="H144" s="119">
        <f t="shared" si="27"/>
        <v>0</v>
      </c>
      <c r="I144" s="119">
        <f t="shared" si="28"/>
        <v>65028</v>
      </c>
    </row>
    <row r="145" spans="1:9" s="11" customFormat="1" x14ac:dyDescent="0.4">
      <c r="A145" s="29"/>
      <c r="B145" s="49" t="s">
        <v>71</v>
      </c>
      <c r="C145" s="2">
        <v>4525028.84</v>
      </c>
      <c r="D145" s="98">
        <v>0</v>
      </c>
      <c r="E145" s="1">
        <v>185596</v>
      </c>
      <c r="G145" s="52">
        <v>4.0999999999999996</v>
      </c>
      <c r="H145" s="119">
        <f t="shared" si="27"/>
        <v>0</v>
      </c>
      <c r="I145" s="119">
        <f t="shared" si="28"/>
        <v>185596</v>
      </c>
    </row>
    <row r="146" spans="1:9" s="11" customFormat="1" x14ac:dyDescent="0.4">
      <c r="A146" s="29"/>
      <c r="B146" s="49" t="s">
        <v>72</v>
      </c>
      <c r="C146" s="2">
        <v>1285806.3799999999</v>
      </c>
      <c r="D146" s="98">
        <v>0</v>
      </c>
      <c r="E146" s="1">
        <v>41213</v>
      </c>
      <c r="G146" s="52">
        <v>3.21</v>
      </c>
      <c r="H146" s="119">
        <f t="shared" si="27"/>
        <v>0</v>
      </c>
      <c r="I146" s="119">
        <f t="shared" si="28"/>
        <v>41213</v>
      </c>
    </row>
    <row r="147" spans="1:9" s="11" customFormat="1" x14ac:dyDescent="0.4">
      <c r="A147" s="29"/>
      <c r="B147" s="49" t="s">
        <v>74</v>
      </c>
      <c r="C147" s="2">
        <v>1680579.61</v>
      </c>
      <c r="D147" s="98">
        <v>0</v>
      </c>
      <c r="E147" s="1">
        <v>53645</v>
      </c>
      <c r="G147" s="52">
        <v>3.19</v>
      </c>
      <c r="H147" s="119">
        <f t="shared" si="27"/>
        <v>0</v>
      </c>
      <c r="I147" s="119">
        <f t="shared" si="28"/>
        <v>53645</v>
      </c>
    </row>
    <row r="148" spans="1:9" s="11" customFormat="1" x14ac:dyDescent="0.4">
      <c r="A148" s="29"/>
      <c r="B148" s="49" t="s">
        <v>76</v>
      </c>
      <c r="C148" s="2">
        <v>2993753.87</v>
      </c>
      <c r="D148" s="98">
        <v>0</v>
      </c>
      <c r="E148" s="1">
        <v>101657</v>
      </c>
      <c r="G148" s="52">
        <v>3.4</v>
      </c>
      <c r="H148" s="119">
        <f t="shared" si="27"/>
        <v>0</v>
      </c>
      <c r="I148" s="119">
        <f t="shared" si="28"/>
        <v>101657</v>
      </c>
    </row>
    <row r="149" spans="1:9" s="11" customFormat="1" x14ac:dyDescent="0.4">
      <c r="A149" s="29"/>
      <c r="B149" s="49" t="s">
        <v>55</v>
      </c>
      <c r="C149" s="2">
        <v>17086.14</v>
      </c>
      <c r="D149" s="98">
        <v>0</v>
      </c>
      <c r="E149" s="1">
        <v>534</v>
      </c>
      <c r="G149" s="52">
        <v>3.13</v>
      </c>
      <c r="H149" s="119">
        <f t="shared" si="27"/>
        <v>0</v>
      </c>
      <c r="I149" s="119">
        <f t="shared" si="28"/>
        <v>534</v>
      </c>
    </row>
    <row r="150" spans="1:9" s="11" customFormat="1" x14ac:dyDescent="0.4">
      <c r="A150" s="29"/>
      <c r="B150" s="49" t="s">
        <v>56</v>
      </c>
      <c r="C150" s="2">
        <v>7457690.5700000003</v>
      </c>
      <c r="D150" s="98">
        <v>0</v>
      </c>
      <c r="E150" s="1">
        <v>192569</v>
      </c>
      <c r="G150" s="52">
        <v>2.58</v>
      </c>
      <c r="H150" s="119">
        <f t="shared" si="27"/>
        <v>0</v>
      </c>
      <c r="I150" s="119">
        <f t="shared" si="28"/>
        <v>192569</v>
      </c>
    </row>
    <row r="151" spans="1:9" s="11" customFormat="1" x14ac:dyDescent="0.4">
      <c r="A151" s="29"/>
      <c r="B151" s="49" t="s">
        <v>57</v>
      </c>
      <c r="C151" s="2">
        <v>7457690.5700000003</v>
      </c>
      <c r="D151" s="98">
        <v>0</v>
      </c>
      <c r="E151" s="1">
        <v>194328</v>
      </c>
      <c r="G151" s="52">
        <v>2.61</v>
      </c>
      <c r="H151" s="119">
        <f t="shared" si="27"/>
        <v>0</v>
      </c>
      <c r="I151" s="119">
        <f t="shared" si="28"/>
        <v>194328</v>
      </c>
    </row>
    <row r="152" spans="1:9" s="11" customFormat="1" x14ac:dyDescent="0.4">
      <c r="A152" s="29"/>
      <c r="B152" s="49" t="s">
        <v>58</v>
      </c>
      <c r="C152" s="2">
        <v>7457690.5700000003</v>
      </c>
      <c r="D152" s="98">
        <v>0</v>
      </c>
      <c r="E152" s="1">
        <v>192583</v>
      </c>
      <c r="G152" s="52">
        <v>2.58</v>
      </c>
      <c r="H152" s="119">
        <f t="shared" si="27"/>
        <v>0</v>
      </c>
      <c r="I152" s="119">
        <f t="shared" si="28"/>
        <v>192583</v>
      </c>
    </row>
    <row r="153" spans="1:9" s="11" customFormat="1" x14ac:dyDescent="0.4">
      <c r="A153" s="29"/>
      <c r="B153" s="49" t="s">
        <v>102</v>
      </c>
      <c r="C153" s="32">
        <v>15810305.550000001</v>
      </c>
      <c r="D153" s="99">
        <v>0</v>
      </c>
      <c r="E153" s="23">
        <v>665756</v>
      </c>
      <c r="G153" s="52">
        <v>4.21</v>
      </c>
      <c r="H153" s="118">
        <f t="shared" si="27"/>
        <v>0</v>
      </c>
      <c r="I153" s="118">
        <f t="shared" si="28"/>
        <v>665756</v>
      </c>
    </row>
    <row r="154" spans="1:9" s="11" customFormat="1" x14ac:dyDescent="0.4">
      <c r="A154" s="29"/>
      <c r="B154" s="39" t="s">
        <v>77</v>
      </c>
      <c r="C154" s="2">
        <f>SUM(C133:C153)</f>
        <v>104582841.48999999</v>
      </c>
      <c r="D154" s="98">
        <f>SUM(D133:D153)</f>
        <v>0</v>
      </c>
      <c r="E154" s="98">
        <f>SUM(E133:E153)</f>
        <v>3327688</v>
      </c>
      <c r="G154" s="53">
        <f>+ROUND(E154/C154*100,2)</f>
        <v>3.18</v>
      </c>
      <c r="H154" s="98">
        <f t="shared" ref="H154:I154" si="29">SUM(H133:H153)</f>
        <v>0</v>
      </c>
      <c r="I154" s="98">
        <f t="shared" si="29"/>
        <v>3327688</v>
      </c>
    </row>
    <row r="155" spans="1:9" s="11" customFormat="1" x14ac:dyDescent="0.4">
      <c r="A155" s="29">
        <v>345</v>
      </c>
      <c r="B155" s="41" t="s">
        <v>6</v>
      </c>
      <c r="C155" s="20"/>
      <c r="D155" s="97"/>
      <c r="E155" s="30"/>
      <c r="G155" s="51"/>
      <c r="H155" s="107"/>
      <c r="I155" s="107"/>
    </row>
    <row r="156" spans="1:9" s="11" customFormat="1" x14ac:dyDescent="0.4">
      <c r="A156" s="29"/>
      <c r="B156" s="49" t="s">
        <v>59</v>
      </c>
      <c r="C156" s="2">
        <v>9876096.8200000003</v>
      </c>
      <c r="D156" s="98">
        <v>0</v>
      </c>
      <c r="E156" s="1">
        <v>228225</v>
      </c>
      <c r="G156" s="52">
        <v>2.31</v>
      </c>
      <c r="H156" s="119">
        <f t="shared" ref="H156:H175" si="30">ROUND(D156*(G156/100),0)</f>
        <v>0</v>
      </c>
      <c r="I156" s="119">
        <f t="shared" ref="I156:I175" si="31">E156-H156</f>
        <v>228225</v>
      </c>
    </row>
    <row r="157" spans="1:9" s="11" customFormat="1" x14ac:dyDescent="0.4">
      <c r="A157" s="29"/>
      <c r="B157" s="49" t="s">
        <v>61</v>
      </c>
      <c r="C157" s="2">
        <v>1039394.43</v>
      </c>
      <c r="D157" s="98">
        <v>0</v>
      </c>
      <c r="E157" s="1">
        <v>34465</v>
      </c>
      <c r="G157" s="52">
        <v>3.32</v>
      </c>
      <c r="H157" s="119">
        <f t="shared" si="30"/>
        <v>0</v>
      </c>
      <c r="I157" s="119">
        <f t="shared" si="31"/>
        <v>34465</v>
      </c>
    </row>
    <row r="158" spans="1:9" s="11" customFormat="1" x14ac:dyDescent="0.4">
      <c r="A158" s="29"/>
      <c r="B158" s="49" t="s">
        <v>60</v>
      </c>
      <c r="C158" s="2">
        <v>1039395.53</v>
      </c>
      <c r="D158" s="98">
        <v>0</v>
      </c>
      <c r="E158" s="1">
        <v>33870</v>
      </c>
      <c r="G158" s="52">
        <v>3.26</v>
      </c>
      <c r="H158" s="119">
        <f t="shared" si="30"/>
        <v>0</v>
      </c>
      <c r="I158" s="119">
        <f t="shared" si="31"/>
        <v>33870</v>
      </c>
    </row>
    <row r="159" spans="1:9" s="11" customFormat="1" x14ac:dyDescent="0.4">
      <c r="A159" s="29"/>
      <c r="B159" s="49" t="s">
        <v>62</v>
      </c>
      <c r="C159" s="2">
        <v>1039395.53</v>
      </c>
      <c r="D159" s="98">
        <v>0</v>
      </c>
      <c r="E159" s="1">
        <v>34158</v>
      </c>
      <c r="G159" s="52">
        <v>3.29</v>
      </c>
      <c r="H159" s="119">
        <f t="shared" si="30"/>
        <v>0</v>
      </c>
      <c r="I159" s="119">
        <f t="shared" si="31"/>
        <v>34158</v>
      </c>
    </row>
    <row r="160" spans="1:9" s="11" customFormat="1" x14ac:dyDescent="0.4">
      <c r="A160" s="29"/>
      <c r="B160" s="49" t="s">
        <v>63</v>
      </c>
      <c r="C160" s="2">
        <v>993996.86</v>
      </c>
      <c r="D160" s="98">
        <v>0</v>
      </c>
      <c r="E160" s="1">
        <v>28629</v>
      </c>
      <c r="G160" s="52">
        <v>2.88</v>
      </c>
      <c r="H160" s="119">
        <f t="shared" si="30"/>
        <v>0</v>
      </c>
      <c r="I160" s="119">
        <f t="shared" si="31"/>
        <v>28629</v>
      </c>
    </row>
    <row r="161" spans="1:9" s="11" customFormat="1" x14ac:dyDescent="0.4">
      <c r="A161" s="29"/>
      <c r="B161" s="49" t="s">
        <v>64</v>
      </c>
      <c r="C161" s="2">
        <v>993996.86</v>
      </c>
      <c r="D161" s="98">
        <v>0</v>
      </c>
      <c r="E161" s="1">
        <v>28726</v>
      </c>
      <c r="G161" s="52">
        <v>2.89</v>
      </c>
      <c r="H161" s="119">
        <f t="shared" si="30"/>
        <v>0</v>
      </c>
      <c r="I161" s="119">
        <f t="shared" si="31"/>
        <v>28726</v>
      </c>
    </row>
    <row r="162" spans="1:9" s="11" customFormat="1" x14ac:dyDescent="0.4">
      <c r="A162" s="29"/>
      <c r="B162" s="49" t="s">
        <v>65</v>
      </c>
      <c r="C162" s="2">
        <v>1251472.92</v>
      </c>
      <c r="D162" s="98">
        <v>0</v>
      </c>
      <c r="E162" s="1">
        <v>36166</v>
      </c>
      <c r="G162" s="52">
        <v>2.89</v>
      </c>
      <c r="H162" s="119">
        <f t="shared" si="30"/>
        <v>0</v>
      </c>
      <c r="I162" s="119">
        <f t="shared" si="31"/>
        <v>36166</v>
      </c>
    </row>
    <row r="163" spans="1:9" s="11" customFormat="1" x14ac:dyDescent="0.4">
      <c r="A163" s="29"/>
      <c r="B163" s="49" t="s">
        <v>66</v>
      </c>
      <c r="C163" s="2">
        <v>1220275.5900000001</v>
      </c>
      <c r="D163" s="98">
        <v>0</v>
      </c>
      <c r="E163" s="1">
        <v>35265</v>
      </c>
      <c r="G163" s="52">
        <v>2.89</v>
      </c>
      <c r="H163" s="119">
        <f t="shared" si="30"/>
        <v>0</v>
      </c>
      <c r="I163" s="119">
        <f t="shared" si="31"/>
        <v>35265</v>
      </c>
    </row>
    <row r="164" spans="1:9" s="11" customFormat="1" x14ac:dyDescent="0.4">
      <c r="A164" s="29"/>
      <c r="B164" s="49" t="s">
        <v>67</v>
      </c>
      <c r="C164" s="2">
        <v>12040203.140000001</v>
      </c>
      <c r="D164" s="98">
        <v>0</v>
      </c>
      <c r="E164" s="1">
        <v>365915</v>
      </c>
      <c r="G164" s="52">
        <v>3.04</v>
      </c>
      <c r="H164" s="119">
        <f t="shared" si="30"/>
        <v>0</v>
      </c>
      <c r="I164" s="119">
        <f t="shared" si="31"/>
        <v>365915</v>
      </c>
    </row>
    <row r="165" spans="1:9" s="11" customFormat="1" x14ac:dyDescent="0.4">
      <c r="A165" s="29"/>
      <c r="B165" s="49" t="s">
        <v>68</v>
      </c>
      <c r="C165" s="2">
        <v>1879693.27</v>
      </c>
      <c r="D165" s="98">
        <v>0</v>
      </c>
      <c r="E165" s="1">
        <v>52810</v>
      </c>
      <c r="G165" s="52">
        <v>2.81</v>
      </c>
      <c r="H165" s="119">
        <f t="shared" si="30"/>
        <v>0</v>
      </c>
      <c r="I165" s="119">
        <f t="shared" si="31"/>
        <v>52810</v>
      </c>
    </row>
    <row r="166" spans="1:9" s="11" customFormat="1" x14ac:dyDescent="0.4">
      <c r="A166" s="29"/>
      <c r="B166" s="49" t="s">
        <v>69</v>
      </c>
      <c r="C166" s="2">
        <v>344891.29</v>
      </c>
      <c r="D166" s="98">
        <v>0</v>
      </c>
      <c r="E166" s="1">
        <v>11575</v>
      </c>
      <c r="G166" s="52">
        <v>3.36</v>
      </c>
      <c r="H166" s="119">
        <f t="shared" si="30"/>
        <v>0</v>
      </c>
      <c r="I166" s="119">
        <f t="shared" si="31"/>
        <v>11575</v>
      </c>
    </row>
    <row r="167" spans="1:9" s="11" customFormat="1" x14ac:dyDescent="0.4">
      <c r="A167" s="29"/>
      <c r="B167" s="49" t="s">
        <v>70</v>
      </c>
      <c r="C167" s="2">
        <v>386164.65</v>
      </c>
      <c r="D167" s="98">
        <v>0</v>
      </c>
      <c r="E167" s="1">
        <v>12961</v>
      </c>
      <c r="G167" s="52">
        <v>3.36</v>
      </c>
      <c r="H167" s="119">
        <f t="shared" si="30"/>
        <v>0</v>
      </c>
      <c r="I167" s="119">
        <f t="shared" si="31"/>
        <v>12961</v>
      </c>
    </row>
    <row r="168" spans="1:9" s="11" customFormat="1" x14ac:dyDescent="0.4">
      <c r="A168" s="29"/>
      <c r="B168" s="49" t="s">
        <v>71</v>
      </c>
      <c r="C168" s="2">
        <v>357452.26</v>
      </c>
      <c r="D168" s="98">
        <v>0</v>
      </c>
      <c r="E168" s="1">
        <v>11997</v>
      </c>
      <c r="G168" s="52">
        <v>3.36</v>
      </c>
      <c r="H168" s="119">
        <f t="shared" si="30"/>
        <v>0</v>
      </c>
      <c r="I168" s="119">
        <f t="shared" si="31"/>
        <v>11997</v>
      </c>
    </row>
    <row r="169" spans="1:9" s="11" customFormat="1" x14ac:dyDescent="0.4">
      <c r="A169" s="29"/>
      <c r="B169" s="49" t="s">
        <v>72</v>
      </c>
      <c r="C169" s="2">
        <v>452676.95</v>
      </c>
      <c r="D169" s="98">
        <v>0</v>
      </c>
      <c r="E169" s="1">
        <v>14838</v>
      </c>
      <c r="G169" s="52">
        <v>3.28</v>
      </c>
      <c r="H169" s="119">
        <f t="shared" si="30"/>
        <v>0</v>
      </c>
      <c r="I169" s="119">
        <f t="shared" si="31"/>
        <v>14838</v>
      </c>
    </row>
    <row r="170" spans="1:9" s="11" customFormat="1" x14ac:dyDescent="0.4">
      <c r="A170" s="29"/>
      <c r="B170" s="49" t="s">
        <v>74</v>
      </c>
      <c r="C170" s="2">
        <v>406784.25</v>
      </c>
      <c r="D170" s="98">
        <v>0</v>
      </c>
      <c r="E170" s="1">
        <v>13247</v>
      </c>
      <c r="G170" s="52">
        <v>3.26</v>
      </c>
      <c r="H170" s="119">
        <f t="shared" si="30"/>
        <v>0</v>
      </c>
      <c r="I170" s="119">
        <f t="shared" si="31"/>
        <v>13247</v>
      </c>
    </row>
    <row r="171" spans="1:9" s="11" customFormat="1" x14ac:dyDescent="0.4">
      <c r="A171" s="29"/>
      <c r="B171" s="49" t="s">
        <v>55</v>
      </c>
      <c r="C171" s="2">
        <v>3028262.11</v>
      </c>
      <c r="D171" s="98">
        <v>0</v>
      </c>
      <c r="E171" s="1">
        <v>85436</v>
      </c>
      <c r="G171" s="52">
        <v>2.82</v>
      </c>
      <c r="H171" s="119">
        <f t="shared" si="30"/>
        <v>0</v>
      </c>
      <c r="I171" s="119">
        <f t="shared" si="31"/>
        <v>85436</v>
      </c>
    </row>
    <row r="172" spans="1:9" s="11" customFormat="1" x14ac:dyDescent="0.4">
      <c r="A172" s="29"/>
      <c r="B172" s="49" t="s">
        <v>56</v>
      </c>
      <c r="C172" s="2">
        <v>386034.41</v>
      </c>
      <c r="D172" s="98">
        <v>0</v>
      </c>
      <c r="E172" s="1">
        <v>10310</v>
      </c>
      <c r="G172" s="52">
        <v>2.67</v>
      </c>
      <c r="H172" s="119">
        <f t="shared" si="30"/>
        <v>0</v>
      </c>
      <c r="I172" s="119">
        <f t="shared" si="31"/>
        <v>10310</v>
      </c>
    </row>
    <row r="173" spans="1:9" s="11" customFormat="1" x14ac:dyDescent="0.4">
      <c r="A173" s="29"/>
      <c r="B173" s="49" t="s">
        <v>57</v>
      </c>
      <c r="C173" s="2">
        <v>386034.41</v>
      </c>
      <c r="D173" s="98">
        <v>0</v>
      </c>
      <c r="E173" s="1">
        <v>10398</v>
      </c>
      <c r="G173" s="52">
        <v>2.69</v>
      </c>
      <c r="H173" s="119">
        <f t="shared" si="30"/>
        <v>0</v>
      </c>
      <c r="I173" s="119">
        <f t="shared" si="31"/>
        <v>10398</v>
      </c>
    </row>
    <row r="174" spans="1:9" s="11" customFormat="1" x14ac:dyDescent="0.4">
      <c r="A174" s="29"/>
      <c r="B174" s="49" t="s">
        <v>58</v>
      </c>
      <c r="C174" s="2">
        <v>386034.41</v>
      </c>
      <c r="D174" s="98">
        <v>0</v>
      </c>
      <c r="E174" s="1">
        <v>10311</v>
      </c>
      <c r="G174" s="52">
        <v>2.67</v>
      </c>
      <c r="H174" s="119">
        <f t="shared" si="30"/>
        <v>0</v>
      </c>
      <c r="I174" s="119">
        <f t="shared" si="31"/>
        <v>10311</v>
      </c>
    </row>
    <row r="175" spans="1:9" s="11" customFormat="1" x14ac:dyDescent="0.4">
      <c r="A175" s="29"/>
      <c r="B175" s="49" t="s">
        <v>102</v>
      </c>
      <c r="C175" s="32">
        <v>779800</v>
      </c>
      <c r="D175" s="99">
        <v>0</v>
      </c>
      <c r="E175" s="23">
        <v>32964</v>
      </c>
      <c r="G175" s="52">
        <v>4.2300000000000004</v>
      </c>
      <c r="H175" s="118">
        <f t="shared" si="30"/>
        <v>0</v>
      </c>
      <c r="I175" s="118">
        <f t="shared" si="31"/>
        <v>32964</v>
      </c>
    </row>
    <row r="176" spans="1:9" s="11" customFormat="1" x14ac:dyDescent="0.4">
      <c r="A176" s="29"/>
      <c r="B176" s="39" t="s">
        <v>52</v>
      </c>
      <c r="C176" s="2">
        <f>SUM(C156:C175)</f>
        <v>38288055.68999999</v>
      </c>
      <c r="D176" s="98">
        <f>SUM(D156:D175)</f>
        <v>0</v>
      </c>
      <c r="E176" s="98">
        <f>SUM(E156:E175)</f>
        <v>1092266</v>
      </c>
      <c r="G176" s="53">
        <f>+ROUND(E176/C176*100,2)</f>
        <v>2.85</v>
      </c>
      <c r="H176" s="98">
        <f t="shared" ref="H176:I176" si="32">SUM(H156:H175)</f>
        <v>0</v>
      </c>
      <c r="I176" s="98">
        <f t="shared" si="32"/>
        <v>1092266</v>
      </c>
    </row>
    <row r="177" spans="1:9" s="11" customFormat="1" x14ac:dyDescent="0.4">
      <c r="A177" s="29">
        <v>346</v>
      </c>
      <c r="B177" s="41" t="s">
        <v>7</v>
      </c>
      <c r="C177" s="20"/>
      <c r="D177" s="97"/>
      <c r="E177" s="30"/>
      <c r="G177" s="51"/>
      <c r="H177" s="107"/>
      <c r="I177" s="107"/>
    </row>
    <row r="178" spans="1:9" s="11" customFormat="1" x14ac:dyDescent="0.4">
      <c r="A178" s="29"/>
      <c r="B178" s="49" t="s">
        <v>59</v>
      </c>
      <c r="C178" s="2">
        <v>15528635.619999999</v>
      </c>
      <c r="D178" s="98">
        <v>0</v>
      </c>
      <c r="E178" s="1">
        <v>439927</v>
      </c>
      <c r="G178" s="52">
        <v>2.83</v>
      </c>
      <c r="H178" s="119">
        <f t="shared" ref="H178:H183" si="33">ROUND(D178*(G178/100),0)</f>
        <v>0</v>
      </c>
      <c r="I178" s="119">
        <f t="shared" ref="I178:I183" si="34">E178-H178</f>
        <v>439927</v>
      </c>
    </row>
    <row r="179" spans="1:9" s="11" customFormat="1" x14ac:dyDescent="0.4">
      <c r="A179" s="29"/>
      <c r="B179" s="49" t="s">
        <v>69</v>
      </c>
      <c r="C179" s="2">
        <v>91253.04</v>
      </c>
      <c r="D179" s="98">
        <v>0</v>
      </c>
      <c r="E179" s="1">
        <v>3194</v>
      </c>
      <c r="G179" s="52">
        <v>3.5</v>
      </c>
      <c r="H179" s="119">
        <f t="shared" si="33"/>
        <v>0</v>
      </c>
      <c r="I179" s="119">
        <f t="shared" si="34"/>
        <v>3194</v>
      </c>
    </row>
    <row r="180" spans="1:9" s="11" customFormat="1" x14ac:dyDescent="0.4">
      <c r="A180" s="29"/>
      <c r="B180" s="49" t="s">
        <v>70</v>
      </c>
      <c r="C180" s="2">
        <v>103431.55</v>
      </c>
      <c r="D180" s="98">
        <v>0</v>
      </c>
      <c r="E180" s="1">
        <v>4555</v>
      </c>
      <c r="G180" s="52">
        <v>4.4000000000000004</v>
      </c>
      <c r="H180" s="119">
        <f t="shared" si="33"/>
        <v>0</v>
      </c>
      <c r="I180" s="119">
        <f t="shared" si="34"/>
        <v>4555</v>
      </c>
    </row>
    <row r="181" spans="1:9" s="11" customFormat="1" x14ac:dyDescent="0.4">
      <c r="A181" s="29"/>
      <c r="B181" s="49" t="s">
        <v>71</v>
      </c>
      <c r="C181" s="2">
        <v>60998.54</v>
      </c>
      <c r="D181" s="98">
        <v>0</v>
      </c>
      <c r="E181" s="1">
        <v>2092</v>
      </c>
      <c r="G181" s="52">
        <v>3.43</v>
      </c>
      <c r="H181" s="119">
        <f t="shared" si="33"/>
        <v>0</v>
      </c>
      <c r="I181" s="119">
        <f t="shared" si="34"/>
        <v>2092</v>
      </c>
    </row>
    <row r="182" spans="1:9" s="11" customFormat="1" x14ac:dyDescent="0.4">
      <c r="A182" s="29"/>
      <c r="B182" s="49" t="s">
        <v>72</v>
      </c>
      <c r="C182" s="2">
        <v>63896.29</v>
      </c>
      <c r="D182" s="98">
        <v>0</v>
      </c>
      <c r="E182" s="1">
        <v>2135</v>
      </c>
      <c r="G182" s="52">
        <v>3.34</v>
      </c>
      <c r="H182" s="119">
        <f t="shared" si="33"/>
        <v>0</v>
      </c>
      <c r="I182" s="119">
        <f t="shared" si="34"/>
        <v>2135</v>
      </c>
    </row>
    <row r="183" spans="1:9" s="11" customFormat="1" x14ac:dyDescent="0.4">
      <c r="A183" s="29"/>
      <c r="B183" s="49" t="s">
        <v>74</v>
      </c>
      <c r="C183" s="32">
        <v>141993.37</v>
      </c>
      <c r="D183" s="99">
        <v>0</v>
      </c>
      <c r="E183" s="23">
        <v>5398</v>
      </c>
      <c r="G183" s="52">
        <v>3.8</v>
      </c>
      <c r="H183" s="118">
        <f t="shared" si="33"/>
        <v>0</v>
      </c>
      <c r="I183" s="118">
        <f t="shared" si="34"/>
        <v>5398</v>
      </c>
    </row>
    <row r="184" spans="1:9" s="11" customFormat="1" x14ac:dyDescent="0.4">
      <c r="A184" s="29"/>
      <c r="B184" s="39" t="s">
        <v>53</v>
      </c>
      <c r="C184" s="32">
        <f>SUM(C178:C183)</f>
        <v>15990208.409999996</v>
      </c>
      <c r="D184" s="99">
        <f>SUM(D178:D183)</f>
        <v>0</v>
      </c>
      <c r="E184" s="99">
        <f>SUM(E178:E183)</f>
        <v>457301</v>
      </c>
      <c r="G184" s="53">
        <f>+ROUND(E184/C184*100,2)</f>
        <v>2.86</v>
      </c>
      <c r="H184" s="99">
        <f t="shared" ref="H184:I184" si="35">SUM(H178:H183)</f>
        <v>0</v>
      </c>
      <c r="I184" s="99">
        <f t="shared" si="35"/>
        <v>457301</v>
      </c>
    </row>
    <row r="185" spans="1:9" x14ac:dyDescent="0.4">
      <c r="A185" s="9"/>
      <c r="B185" s="40"/>
      <c r="C185" s="2"/>
      <c r="D185" s="98"/>
      <c r="E185" s="1"/>
      <c r="G185" s="50"/>
      <c r="H185" s="106"/>
      <c r="I185" s="106"/>
    </row>
    <row r="186" spans="1:9" x14ac:dyDescent="0.4">
      <c r="A186" s="3"/>
      <c r="B186" s="43" t="s">
        <v>78</v>
      </c>
      <c r="C186" s="55">
        <f>C100+C110+C131+C154+C176+C184</f>
        <v>639379853.02999997</v>
      </c>
      <c r="D186" s="120">
        <f>D100+D110+D131+D154+D176+D184</f>
        <v>0</v>
      </c>
      <c r="E186" s="120">
        <f>E100+E110+E131+E154+E176+E184</f>
        <v>18378213</v>
      </c>
      <c r="G186" s="54">
        <f>+ROUND(E186/C186*100,2)</f>
        <v>2.87</v>
      </c>
      <c r="H186" s="120">
        <f t="shared" ref="H186:I186" si="36">H100+H110+H131+H154+H176+H184</f>
        <v>0</v>
      </c>
      <c r="I186" s="120">
        <f t="shared" si="36"/>
        <v>18378213</v>
      </c>
    </row>
    <row r="187" spans="1:9" s="11" customFormat="1" x14ac:dyDescent="0.4">
      <c r="A187" s="31"/>
      <c r="B187" s="33"/>
      <c r="C187" s="34"/>
      <c r="D187" s="101"/>
      <c r="E187" s="35"/>
      <c r="G187" s="52"/>
      <c r="H187" s="107"/>
      <c r="I187" s="107"/>
    </row>
    <row r="188" spans="1:9" x14ac:dyDescent="0.4">
      <c r="A188" s="3"/>
      <c r="B188" s="5" t="s">
        <v>3</v>
      </c>
      <c r="C188" s="6"/>
      <c r="D188" s="102"/>
      <c r="E188" s="7"/>
      <c r="G188" s="50"/>
      <c r="H188" s="106"/>
      <c r="I188" s="106"/>
    </row>
    <row r="189" spans="1:9" x14ac:dyDescent="0.4">
      <c r="A189" s="3"/>
      <c r="B189" s="10"/>
      <c r="C189" s="6"/>
      <c r="D189" s="102"/>
      <c r="E189" s="7"/>
      <c r="G189" s="50"/>
      <c r="H189" s="106"/>
      <c r="I189" s="106"/>
    </row>
    <row r="190" spans="1:9" x14ac:dyDescent="0.4">
      <c r="A190" s="3">
        <v>353</v>
      </c>
      <c r="B190" s="4" t="s">
        <v>8</v>
      </c>
      <c r="C190" s="2">
        <v>269766938.30000001</v>
      </c>
      <c r="D190" s="98">
        <v>18351642</v>
      </c>
      <c r="E190" s="1">
        <v>5872454</v>
      </c>
      <c r="F190" s="11"/>
      <c r="G190" s="52">
        <v>2.1800000000000002</v>
      </c>
      <c r="H190" s="119">
        <f t="shared" ref="H190:H195" si="37">ROUND(D190*(G190/100),0)</f>
        <v>400066</v>
      </c>
      <c r="I190" s="119">
        <f t="shared" ref="I190:I195" si="38">E190-H190</f>
        <v>5472388</v>
      </c>
    </row>
    <row r="191" spans="1:9" x14ac:dyDescent="0.4">
      <c r="A191" s="3">
        <v>353.1</v>
      </c>
      <c r="B191" s="4" t="s">
        <v>20</v>
      </c>
      <c r="C191" s="2">
        <v>9476611.1600000001</v>
      </c>
      <c r="D191" s="98">
        <v>0</v>
      </c>
      <c r="E191" s="1">
        <v>598296</v>
      </c>
      <c r="F191" s="11"/>
      <c r="G191" s="52">
        <v>6.31</v>
      </c>
      <c r="H191" s="119">
        <f t="shared" si="37"/>
        <v>0</v>
      </c>
      <c r="I191" s="119">
        <f t="shared" si="38"/>
        <v>598296</v>
      </c>
    </row>
    <row r="192" spans="1:9" x14ac:dyDescent="0.4">
      <c r="A192" s="3">
        <v>354</v>
      </c>
      <c r="B192" s="4" t="s">
        <v>9</v>
      </c>
      <c r="C192" s="2">
        <v>3853520.91</v>
      </c>
      <c r="D192" s="98">
        <v>0</v>
      </c>
      <c r="E192" s="1">
        <v>63799</v>
      </c>
      <c r="F192" s="11"/>
      <c r="G192" s="52">
        <v>1.66</v>
      </c>
      <c r="H192" s="119">
        <f t="shared" si="37"/>
        <v>0</v>
      </c>
      <c r="I192" s="119">
        <f t="shared" si="38"/>
        <v>63799</v>
      </c>
    </row>
    <row r="193" spans="1:9" x14ac:dyDescent="0.4">
      <c r="A193" s="3">
        <v>355</v>
      </c>
      <c r="B193" s="4" t="s">
        <v>10</v>
      </c>
      <c r="C193" s="2">
        <v>166166560.00999999</v>
      </c>
      <c r="D193" s="98">
        <v>0</v>
      </c>
      <c r="E193" s="1">
        <v>4693496</v>
      </c>
      <c r="F193" s="11"/>
      <c r="G193" s="52">
        <v>2.82</v>
      </c>
      <c r="H193" s="119">
        <f t="shared" si="37"/>
        <v>0</v>
      </c>
      <c r="I193" s="119">
        <f t="shared" si="38"/>
        <v>4693496</v>
      </c>
    </row>
    <row r="194" spans="1:9" x14ac:dyDescent="0.4">
      <c r="A194" s="3">
        <v>356</v>
      </c>
      <c r="B194" s="4" t="s">
        <v>11</v>
      </c>
      <c r="C194" s="2">
        <v>139611652.81999999</v>
      </c>
      <c r="D194" s="98">
        <v>0</v>
      </c>
      <c r="E194" s="1">
        <v>4043353</v>
      </c>
      <c r="F194" s="11"/>
      <c r="G194" s="52">
        <v>2.9</v>
      </c>
      <c r="H194" s="119">
        <f t="shared" si="37"/>
        <v>0</v>
      </c>
      <c r="I194" s="119">
        <f t="shared" si="38"/>
        <v>4043353</v>
      </c>
    </row>
    <row r="195" spans="1:9" x14ac:dyDescent="0.4">
      <c r="A195" s="3">
        <v>359</v>
      </c>
      <c r="B195" s="4" t="s">
        <v>18</v>
      </c>
      <c r="C195" s="2">
        <v>23287.65</v>
      </c>
      <c r="D195" s="99">
        <v>0</v>
      </c>
      <c r="E195" s="1">
        <v>446</v>
      </c>
      <c r="F195" s="11"/>
      <c r="G195" s="52">
        <v>1.92</v>
      </c>
      <c r="H195" s="118">
        <f t="shared" si="37"/>
        <v>0</v>
      </c>
      <c r="I195" s="118">
        <f t="shared" si="38"/>
        <v>446</v>
      </c>
    </row>
    <row r="196" spans="1:9" x14ac:dyDescent="0.4">
      <c r="A196" s="3"/>
      <c r="C196" s="42"/>
      <c r="D196" s="103"/>
      <c r="E196" s="12"/>
      <c r="G196" s="50"/>
      <c r="H196" s="106"/>
      <c r="I196" s="106"/>
    </row>
    <row r="197" spans="1:9" x14ac:dyDescent="0.4">
      <c r="A197" s="3"/>
      <c r="B197" s="43" t="s">
        <v>79</v>
      </c>
      <c r="C197" s="55">
        <f>SUM(C190:C195)</f>
        <v>588898570.85000002</v>
      </c>
      <c r="D197" s="121">
        <f>SUM(D190:D195)</f>
        <v>18351642</v>
      </c>
      <c r="E197" s="121">
        <f>SUM(E190:E195)</f>
        <v>15271844</v>
      </c>
      <c r="G197" s="54">
        <f>+ROUND(E197/C197*100,2)</f>
        <v>2.59</v>
      </c>
      <c r="H197" s="121">
        <f t="shared" ref="H197:I197" si="39">SUM(H190:H195)</f>
        <v>400066</v>
      </c>
      <c r="I197" s="121">
        <f t="shared" si="39"/>
        <v>14871778</v>
      </c>
    </row>
    <row r="198" spans="1:9" x14ac:dyDescent="0.4">
      <c r="A198" s="3"/>
      <c r="C198" s="6"/>
      <c r="D198" s="102"/>
      <c r="E198" s="7"/>
      <c r="G198" s="50"/>
      <c r="H198" s="106"/>
      <c r="I198" s="106"/>
    </row>
    <row r="199" spans="1:9" x14ac:dyDescent="0.4">
      <c r="A199" s="3"/>
      <c r="B199" s="5" t="s">
        <v>4</v>
      </c>
      <c r="C199" s="6"/>
      <c r="D199" s="102"/>
      <c r="E199" s="7"/>
      <c r="F199" s="9"/>
      <c r="G199" s="50"/>
      <c r="H199" s="106"/>
      <c r="I199" s="106"/>
    </row>
    <row r="200" spans="1:9" x14ac:dyDescent="0.4">
      <c r="A200" s="3"/>
      <c r="B200" s="10"/>
      <c r="C200" s="6"/>
      <c r="D200" s="102"/>
      <c r="E200" s="7"/>
      <c r="G200" s="50"/>
      <c r="H200" s="106"/>
      <c r="I200" s="106"/>
    </row>
    <row r="201" spans="1:9" x14ac:dyDescent="0.4">
      <c r="A201" s="3">
        <v>362</v>
      </c>
      <c r="B201" s="4" t="s">
        <v>8</v>
      </c>
      <c r="C201" s="2">
        <v>228725585.62</v>
      </c>
      <c r="D201" s="98">
        <v>0</v>
      </c>
      <c r="E201" s="1">
        <v>5817664</v>
      </c>
      <c r="F201" s="11"/>
      <c r="G201" s="52">
        <v>2.54</v>
      </c>
      <c r="H201" s="119">
        <f t="shared" ref="H201:H203" si="40">ROUND(D201*(G201/100),0)</f>
        <v>0</v>
      </c>
      <c r="I201" s="119">
        <f t="shared" ref="I201:I203" si="41">E201-H201</f>
        <v>5817664</v>
      </c>
    </row>
    <row r="202" spans="1:9" x14ac:dyDescent="0.4">
      <c r="A202" s="3">
        <v>362.1</v>
      </c>
      <c r="B202" s="4" t="s">
        <v>21</v>
      </c>
      <c r="C202" s="2">
        <v>7252060.3200000003</v>
      </c>
      <c r="D202" s="98">
        <v>0</v>
      </c>
      <c r="E202" s="1">
        <v>138662</v>
      </c>
      <c r="F202" s="11"/>
      <c r="G202" s="52">
        <v>1.91</v>
      </c>
      <c r="H202" s="119">
        <f t="shared" si="40"/>
        <v>0</v>
      </c>
      <c r="I202" s="119">
        <f t="shared" si="41"/>
        <v>138662</v>
      </c>
    </row>
    <row r="203" spans="1:9" x14ac:dyDescent="0.4">
      <c r="A203" s="3">
        <v>368</v>
      </c>
      <c r="B203" s="4" t="s">
        <v>22</v>
      </c>
      <c r="C203" s="2">
        <v>2413995.98</v>
      </c>
      <c r="D203" s="99">
        <v>0</v>
      </c>
      <c r="E203" s="1">
        <v>26958</v>
      </c>
      <c r="F203" s="11"/>
      <c r="G203" s="52">
        <v>1.1200000000000001</v>
      </c>
      <c r="H203" s="118">
        <f t="shared" si="40"/>
        <v>0</v>
      </c>
      <c r="I203" s="118">
        <f t="shared" si="41"/>
        <v>26958</v>
      </c>
    </row>
    <row r="204" spans="1:9" x14ac:dyDescent="0.4">
      <c r="A204" s="3"/>
      <c r="C204" s="42"/>
      <c r="D204" s="103"/>
      <c r="E204" s="12"/>
      <c r="G204" s="50"/>
      <c r="H204" s="106"/>
      <c r="I204" s="106"/>
    </row>
    <row r="205" spans="1:9" x14ac:dyDescent="0.4">
      <c r="A205" s="3"/>
      <c r="B205" s="43" t="s">
        <v>80</v>
      </c>
      <c r="C205" s="55">
        <f>SUM(C201:C203)</f>
        <v>238391641.91999999</v>
      </c>
      <c r="D205" s="121">
        <f>SUM(D201:D203)</f>
        <v>0</v>
      </c>
      <c r="E205" s="121">
        <f>SUM(E201:E203)</f>
        <v>5983284</v>
      </c>
      <c r="F205" s="15"/>
      <c r="G205" s="54">
        <f>+ROUND(E205/C205*100,2)</f>
        <v>2.5099999999999998</v>
      </c>
      <c r="H205" s="121">
        <f t="shared" ref="H205:I205" si="42">SUM(H201:H203)</f>
        <v>0</v>
      </c>
      <c r="I205" s="121">
        <f t="shared" si="42"/>
        <v>5983284</v>
      </c>
    </row>
    <row r="206" spans="1:9" x14ac:dyDescent="0.4">
      <c r="A206" s="3"/>
      <c r="C206" s="6"/>
      <c r="D206" s="102"/>
      <c r="E206" s="7"/>
      <c r="G206" s="50"/>
      <c r="H206" s="106"/>
      <c r="I206" s="106"/>
    </row>
    <row r="207" spans="1:9" x14ac:dyDescent="0.4">
      <c r="A207" s="3"/>
      <c r="B207" s="5" t="s">
        <v>5</v>
      </c>
      <c r="C207" s="6"/>
      <c r="D207" s="102"/>
      <c r="E207" s="7"/>
      <c r="G207" s="50"/>
      <c r="H207" s="106"/>
      <c r="I207" s="106"/>
    </row>
    <row r="208" spans="1:9" x14ac:dyDescent="0.4">
      <c r="A208" s="3"/>
      <c r="B208" s="10"/>
      <c r="C208" s="6"/>
      <c r="D208" s="102"/>
      <c r="E208" s="7"/>
      <c r="G208" s="50"/>
      <c r="H208" s="106"/>
      <c r="I208" s="106"/>
    </row>
    <row r="209" spans="1:9" x14ac:dyDescent="0.4">
      <c r="A209" s="3">
        <v>390</v>
      </c>
      <c r="B209" s="45" t="s">
        <v>33</v>
      </c>
      <c r="C209" s="2">
        <v>17176820.18</v>
      </c>
      <c r="D209" s="98">
        <v>0</v>
      </c>
      <c r="E209" s="1">
        <v>170358</v>
      </c>
      <c r="F209" s="11"/>
      <c r="G209" s="52">
        <v>0.99</v>
      </c>
      <c r="H209" s="119">
        <f t="shared" ref="H209" si="43">ROUND(D209*(G209/100),0)</f>
        <v>0</v>
      </c>
      <c r="I209" s="119">
        <f t="shared" ref="I209" si="44">E209-H209</f>
        <v>170358</v>
      </c>
    </row>
    <row r="210" spans="1:9" x14ac:dyDescent="0.4">
      <c r="A210" s="3">
        <v>391</v>
      </c>
      <c r="B210" s="21" t="s">
        <v>23</v>
      </c>
      <c r="C210" s="2"/>
      <c r="D210" s="98"/>
      <c r="E210" s="1"/>
      <c r="F210" s="11"/>
      <c r="G210" s="52"/>
      <c r="H210" s="106"/>
      <c r="I210" s="106"/>
    </row>
    <row r="211" spans="1:9" x14ac:dyDescent="0.4">
      <c r="A211" s="3"/>
      <c r="B211" s="57" t="s">
        <v>86</v>
      </c>
      <c r="C211" s="60">
        <v>2016677.53</v>
      </c>
      <c r="D211" s="96">
        <v>0</v>
      </c>
      <c r="E211" s="61">
        <v>0</v>
      </c>
      <c r="F211" s="59"/>
      <c r="G211" s="62">
        <v>0</v>
      </c>
      <c r="H211" s="119">
        <f t="shared" ref="H211:H212" si="45">ROUND(D211*(G211/100),0)</f>
        <v>0</v>
      </c>
      <c r="I211" s="119">
        <f t="shared" ref="I211:I212" si="46">E211-H211</f>
        <v>0</v>
      </c>
    </row>
    <row r="212" spans="1:9" x14ac:dyDescent="0.4">
      <c r="A212" s="3"/>
      <c r="B212" s="57" t="s">
        <v>87</v>
      </c>
      <c r="C212" s="63">
        <v>9301032.1600000001</v>
      </c>
      <c r="D212" s="92">
        <v>0</v>
      </c>
      <c r="E212" s="64">
        <v>465074</v>
      </c>
      <c r="F212" s="59"/>
      <c r="G212" s="62">
        <v>5</v>
      </c>
      <c r="H212" s="118">
        <f t="shared" si="45"/>
        <v>0</v>
      </c>
      <c r="I212" s="118">
        <f t="shared" si="46"/>
        <v>465074</v>
      </c>
    </row>
    <row r="213" spans="1:9" x14ac:dyDescent="0.4">
      <c r="A213" s="3"/>
      <c r="B213" s="58" t="s">
        <v>88</v>
      </c>
      <c r="C213" s="60">
        <f>C211+C212</f>
        <v>11317709.689999999</v>
      </c>
      <c r="D213" s="96">
        <f>D211+D212</f>
        <v>0</v>
      </c>
      <c r="E213" s="96">
        <f>E211+E212</f>
        <v>465074</v>
      </c>
      <c r="F213" s="59"/>
      <c r="G213" s="62">
        <f>+ROUND(E213/C213*100,2)</f>
        <v>4.1100000000000003</v>
      </c>
      <c r="H213" s="96">
        <f t="shared" ref="H213:I213" si="47">H211+H212</f>
        <v>0</v>
      </c>
      <c r="I213" s="96">
        <f t="shared" si="47"/>
        <v>465074</v>
      </c>
    </row>
    <row r="214" spans="1:9" x14ac:dyDescent="0.4">
      <c r="A214" s="3">
        <v>391.1</v>
      </c>
      <c r="B214" s="21" t="s">
        <v>24</v>
      </c>
      <c r="C214" s="2"/>
      <c r="D214" s="98"/>
      <c r="E214" s="1"/>
      <c r="F214" s="11"/>
      <c r="G214" s="52"/>
      <c r="H214" s="106"/>
      <c r="I214" s="106"/>
    </row>
    <row r="215" spans="1:9" x14ac:dyDescent="0.4">
      <c r="A215" s="3"/>
      <c r="B215" s="57" t="s">
        <v>86</v>
      </c>
      <c r="C215" s="60">
        <v>2771805.14</v>
      </c>
      <c r="D215" s="96">
        <v>0</v>
      </c>
      <c r="E215" s="61">
        <v>0</v>
      </c>
      <c r="F215" s="59"/>
      <c r="G215" s="62">
        <v>0</v>
      </c>
      <c r="H215" s="119">
        <f t="shared" ref="H215:H216" si="48">ROUND(D215*(G215/100),0)</f>
        <v>0</v>
      </c>
      <c r="I215" s="119">
        <f t="shared" ref="I215:I216" si="49">E215-H215</f>
        <v>0</v>
      </c>
    </row>
    <row r="216" spans="1:9" x14ac:dyDescent="0.4">
      <c r="A216" s="3"/>
      <c r="B216" s="57" t="s">
        <v>87</v>
      </c>
      <c r="C216" s="63">
        <v>14526688.529999999</v>
      </c>
      <c r="D216" s="92">
        <v>0</v>
      </c>
      <c r="E216" s="64">
        <v>968596</v>
      </c>
      <c r="F216" s="59"/>
      <c r="G216" s="62">
        <v>6.67</v>
      </c>
      <c r="H216" s="118">
        <f t="shared" si="48"/>
        <v>0</v>
      </c>
      <c r="I216" s="118">
        <f t="shared" si="49"/>
        <v>968596</v>
      </c>
    </row>
    <row r="217" spans="1:9" x14ac:dyDescent="0.4">
      <c r="A217" s="3"/>
      <c r="B217" s="58" t="s">
        <v>89</v>
      </c>
      <c r="C217" s="60">
        <f>C215+C216</f>
        <v>17298493.669999998</v>
      </c>
      <c r="D217" s="96">
        <f>D215+D216</f>
        <v>0</v>
      </c>
      <c r="E217" s="96">
        <f>E215+E216</f>
        <v>968596</v>
      </c>
      <c r="F217" s="59"/>
      <c r="G217" s="62">
        <f>+ROUND(E217/C217*100,2)</f>
        <v>5.6</v>
      </c>
      <c r="H217" s="96">
        <f t="shared" ref="H217:I217" si="50">H215+H216</f>
        <v>0</v>
      </c>
      <c r="I217" s="96">
        <f t="shared" si="50"/>
        <v>968596</v>
      </c>
    </row>
    <row r="218" spans="1:9" x14ac:dyDescent="0.4">
      <c r="A218" s="3">
        <v>392</v>
      </c>
      <c r="B218" s="21" t="s">
        <v>25</v>
      </c>
      <c r="C218" s="2">
        <v>17294828.559999999</v>
      </c>
      <c r="D218" s="98">
        <v>0</v>
      </c>
      <c r="E218" s="1">
        <v>1010178</v>
      </c>
      <c r="F218" s="11"/>
      <c r="G218" s="52">
        <v>5.84</v>
      </c>
      <c r="H218" s="119">
        <f t="shared" ref="H218:H219" si="51">ROUND(D218*(G218/100),0)</f>
        <v>0</v>
      </c>
      <c r="I218" s="119">
        <f t="shared" ref="I218:I219" si="52">E218-H218</f>
        <v>1010178</v>
      </c>
    </row>
    <row r="219" spans="1:9" x14ac:dyDescent="0.4">
      <c r="A219" s="3">
        <v>393</v>
      </c>
      <c r="B219" s="19" t="s">
        <v>26</v>
      </c>
      <c r="C219" s="2">
        <v>132973.46</v>
      </c>
      <c r="D219" s="98">
        <v>0</v>
      </c>
      <c r="E219" s="1">
        <v>5318</v>
      </c>
      <c r="F219" s="11"/>
      <c r="G219" s="52">
        <v>4</v>
      </c>
      <c r="H219" s="119">
        <f t="shared" si="51"/>
        <v>0</v>
      </c>
      <c r="I219" s="119">
        <f t="shared" si="52"/>
        <v>5318</v>
      </c>
    </row>
    <row r="220" spans="1:9" x14ac:dyDescent="0.4">
      <c r="A220" s="3">
        <v>394</v>
      </c>
      <c r="B220" s="22" t="s">
        <v>27</v>
      </c>
      <c r="C220" s="2"/>
      <c r="D220" s="98"/>
      <c r="E220" s="1"/>
      <c r="F220" s="11"/>
      <c r="G220" s="52"/>
      <c r="H220" s="106"/>
      <c r="I220" s="106"/>
    </row>
    <row r="221" spans="1:9" x14ac:dyDescent="0.4">
      <c r="A221" s="3"/>
      <c r="B221" s="57" t="s">
        <v>86</v>
      </c>
      <c r="C221" s="60">
        <v>772161.33</v>
      </c>
      <c r="D221" s="96">
        <v>0</v>
      </c>
      <c r="E221" s="61">
        <v>0</v>
      </c>
      <c r="F221" s="59"/>
      <c r="G221" s="62">
        <v>0</v>
      </c>
      <c r="H221" s="119">
        <f t="shared" ref="H221:H222" si="53">ROUND(D221*(G221/100),0)</f>
        <v>0</v>
      </c>
      <c r="I221" s="119">
        <f t="shared" ref="I221:I222" si="54">E221-H221</f>
        <v>0</v>
      </c>
    </row>
    <row r="222" spans="1:9" x14ac:dyDescent="0.4">
      <c r="A222" s="3"/>
      <c r="B222" s="57" t="s">
        <v>87</v>
      </c>
      <c r="C222" s="63">
        <v>1540988.46</v>
      </c>
      <c r="D222" s="92">
        <v>0</v>
      </c>
      <c r="E222" s="64">
        <v>77077</v>
      </c>
      <c r="F222" s="59"/>
      <c r="G222" s="62">
        <v>5</v>
      </c>
      <c r="H222" s="118">
        <f t="shared" si="53"/>
        <v>0</v>
      </c>
      <c r="I222" s="118">
        <f t="shared" si="54"/>
        <v>77077</v>
      </c>
    </row>
    <row r="223" spans="1:9" x14ac:dyDescent="0.4">
      <c r="A223" s="3"/>
      <c r="B223" s="58" t="s">
        <v>90</v>
      </c>
      <c r="C223" s="60">
        <f>C221+C222</f>
        <v>2313149.79</v>
      </c>
      <c r="D223" s="96">
        <f>D221+D222</f>
        <v>0</v>
      </c>
      <c r="E223" s="96">
        <f>E221+E222</f>
        <v>77077</v>
      </c>
      <c r="F223" s="59"/>
      <c r="G223" s="62">
        <f>+ROUND(E223/C223*100,2)</f>
        <v>3.33</v>
      </c>
      <c r="H223" s="96">
        <f t="shared" ref="H223:I223" si="55">H221+H222</f>
        <v>0</v>
      </c>
      <c r="I223" s="96">
        <f t="shared" si="55"/>
        <v>77077</v>
      </c>
    </row>
    <row r="224" spans="1:9" x14ac:dyDescent="0.4">
      <c r="A224" s="3">
        <v>395</v>
      </c>
      <c r="B224" s="19" t="s">
        <v>28</v>
      </c>
      <c r="C224" s="60"/>
      <c r="D224" s="96"/>
      <c r="E224" s="61"/>
      <c r="F224" s="59"/>
      <c r="G224" s="62"/>
      <c r="H224" s="106"/>
      <c r="I224" s="106"/>
    </row>
    <row r="225" spans="1:9" x14ac:dyDescent="0.4">
      <c r="A225" s="3"/>
      <c r="B225" s="57" t="s">
        <v>86</v>
      </c>
      <c r="C225" s="60">
        <v>1251278.95</v>
      </c>
      <c r="D225" s="96">
        <v>0</v>
      </c>
      <c r="E225" s="61">
        <v>0</v>
      </c>
      <c r="F225" s="59"/>
      <c r="G225" s="62">
        <v>0</v>
      </c>
      <c r="H225" s="119">
        <f t="shared" ref="H225:H226" si="56">ROUND(D225*(G225/100),0)</f>
        <v>0</v>
      </c>
      <c r="I225" s="119">
        <f t="shared" ref="I225:I226" si="57">E225-H225</f>
        <v>0</v>
      </c>
    </row>
    <row r="226" spans="1:9" x14ac:dyDescent="0.4">
      <c r="A226" s="3"/>
      <c r="B226" s="57" t="s">
        <v>87</v>
      </c>
      <c r="C226" s="63">
        <v>4059896.75</v>
      </c>
      <c r="D226" s="92">
        <v>0</v>
      </c>
      <c r="E226" s="64">
        <v>203000</v>
      </c>
      <c r="F226" s="59"/>
      <c r="G226" s="62">
        <v>5</v>
      </c>
      <c r="H226" s="118">
        <f t="shared" si="56"/>
        <v>0</v>
      </c>
      <c r="I226" s="118">
        <f t="shared" si="57"/>
        <v>203000</v>
      </c>
    </row>
    <row r="227" spans="1:9" x14ac:dyDescent="0.4">
      <c r="A227" s="3"/>
      <c r="B227" s="58" t="s">
        <v>91</v>
      </c>
      <c r="C227" s="60">
        <f>C225+C226</f>
        <v>5311175.7</v>
      </c>
      <c r="D227" s="96">
        <f>D225+D226</f>
        <v>0</v>
      </c>
      <c r="E227" s="96">
        <f>E225+E226</f>
        <v>203000</v>
      </c>
      <c r="F227" s="59"/>
      <c r="G227" s="62">
        <f>+ROUND(E227/C227*100,2)</f>
        <v>3.82</v>
      </c>
      <c r="H227" s="96">
        <f t="shared" ref="H227:I227" si="58">H225+H226</f>
        <v>0</v>
      </c>
      <c r="I227" s="96">
        <f t="shared" si="58"/>
        <v>203000</v>
      </c>
    </row>
    <row r="228" spans="1:9" x14ac:dyDescent="0.4">
      <c r="A228" s="3">
        <v>396</v>
      </c>
      <c r="B228" s="36" t="s">
        <v>29</v>
      </c>
      <c r="C228" s="2">
        <v>20685598.48</v>
      </c>
      <c r="D228" s="98">
        <v>0</v>
      </c>
      <c r="E228" s="1">
        <v>416907</v>
      </c>
      <c r="F228" s="11"/>
      <c r="G228" s="52">
        <v>2.02</v>
      </c>
      <c r="H228" s="119">
        <f t="shared" ref="H228" si="59">ROUND(D228*(G228/100),0)</f>
        <v>0</v>
      </c>
      <c r="I228" s="119">
        <f t="shared" ref="I228" si="60">E228-H228</f>
        <v>416907</v>
      </c>
    </row>
    <row r="229" spans="1:9" x14ac:dyDescent="0.4">
      <c r="A229" s="3">
        <v>397</v>
      </c>
      <c r="B229" s="36" t="s">
        <v>30</v>
      </c>
      <c r="C229" s="2"/>
      <c r="D229" s="98"/>
      <c r="E229" s="1"/>
      <c r="F229" s="11"/>
      <c r="G229" s="52"/>
      <c r="H229" s="106"/>
      <c r="I229" s="106"/>
    </row>
    <row r="230" spans="1:9" x14ac:dyDescent="0.4">
      <c r="A230" s="3"/>
      <c r="B230" s="57" t="s">
        <v>86</v>
      </c>
      <c r="C230" s="60">
        <v>23276736.879999999</v>
      </c>
      <c r="D230" s="96">
        <v>0</v>
      </c>
      <c r="E230" s="61">
        <v>0</v>
      </c>
      <c r="F230" s="59"/>
      <c r="G230" s="62">
        <v>0</v>
      </c>
      <c r="H230" s="119">
        <f t="shared" ref="H230:H231" si="61">ROUND(D230*(G230/100),0)</f>
        <v>0</v>
      </c>
      <c r="I230" s="119">
        <f t="shared" ref="I230:I231" si="62">E230-H230</f>
        <v>0</v>
      </c>
    </row>
    <row r="231" spans="1:9" x14ac:dyDescent="0.4">
      <c r="A231" s="3"/>
      <c r="B231" s="57" t="s">
        <v>87</v>
      </c>
      <c r="C231" s="63">
        <v>23514697.870000001</v>
      </c>
      <c r="D231" s="92">
        <v>0</v>
      </c>
      <c r="E231" s="64">
        <v>1569449</v>
      </c>
      <c r="F231" s="59"/>
      <c r="G231" s="62">
        <v>6.67</v>
      </c>
      <c r="H231" s="118">
        <f t="shared" si="61"/>
        <v>0</v>
      </c>
      <c r="I231" s="118">
        <f t="shared" si="62"/>
        <v>1569449</v>
      </c>
    </row>
    <row r="232" spans="1:9" x14ac:dyDescent="0.4">
      <c r="A232" s="3"/>
      <c r="B232" s="58" t="s">
        <v>92</v>
      </c>
      <c r="C232" s="60">
        <f>C230+C231</f>
        <v>46791434.75</v>
      </c>
      <c r="D232" s="96">
        <f>D230+D231</f>
        <v>0</v>
      </c>
      <c r="E232" s="96">
        <f>E230+E231</f>
        <v>1569449</v>
      </c>
      <c r="F232" s="59"/>
      <c r="G232" s="62">
        <f>+ROUND(E232/C232*100,2)</f>
        <v>3.35</v>
      </c>
      <c r="H232" s="96">
        <f t="shared" ref="H232:I232" si="63">H230+H231</f>
        <v>0</v>
      </c>
      <c r="I232" s="96">
        <f t="shared" si="63"/>
        <v>1569449</v>
      </c>
    </row>
    <row r="233" spans="1:9" x14ac:dyDescent="0.4">
      <c r="A233" s="3">
        <v>397.1</v>
      </c>
      <c r="B233" s="18" t="s">
        <v>31</v>
      </c>
      <c r="C233" s="2">
        <v>642538.48</v>
      </c>
      <c r="D233" s="98">
        <v>0</v>
      </c>
      <c r="E233" s="1">
        <v>0</v>
      </c>
      <c r="F233" s="11"/>
      <c r="G233" s="52">
        <v>0</v>
      </c>
      <c r="H233" s="119">
        <f t="shared" ref="H233" si="64">ROUND(D233*(G233/100),0)</f>
        <v>0</v>
      </c>
      <c r="I233" s="119">
        <f t="shared" ref="I233" si="65">E233-H233</f>
        <v>0</v>
      </c>
    </row>
    <row r="234" spans="1:9" x14ac:dyDescent="0.4">
      <c r="A234" s="3">
        <v>398</v>
      </c>
      <c r="B234" s="36" t="s">
        <v>32</v>
      </c>
      <c r="C234" s="2"/>
      <c r="D234" s="98"/>
      <c r="E234" s="1"/>
      <c r="F234" s="11"/>
      <c r="G234" s="52"/>
      <c r="H234" s="106"/>
      <c r="I234" s="106"/>
    </row>
    <row r="235" spans="1:9" x14ac:dyDescent="0.4">
      <c r="A235" s="3"/>
      <c r="B235" s="57" t="s">
        <v>86</v>
      </c>
      <c r="C235" s="60">
        <v>413882.29</v>
      </c>
      <c r="D235" s="96">
        <v>0</v>
      </c>
      <c r="E235" s="61">
        <v>0</v>
      </c>
      <c r="F235" s="59"/>
      <c r="G235" s="62">
        <v>0</v>
      </c>
      <c r="H235" s="119">
        <f t="shared" ref="H235:H236" si="66">ROUND(D235*(G235/100),0)</f>
        <v>0</v>
      </c>
      <c r="I235" s="119">
        <f t="shared" ref="I235:I236" si="67">E235-H235</f>
        <v>0</v>
      </c>
    </row>
    <row r="236" spans="1:9" x14ac:dyDescent="0.4">
      <c r="A236" s="3"/>
      <c r="B236" s="57" t="s">
        <v>87</v>
      </c>
      <c r="C236" s="63">
        <v>2014590.63</v>
      </c>
      <c r="D236" s="92">
        <v>0</v>
      </c>
      <c r="E236" s="64">
        <v>100721</v>
      </c>
      <c r="F236" s="59"/>
      <c r="G236" s="62">
        <v>5</v>
      </c>
      <c r="H236" s="118">
        <f t="shared" si="66"/>
        <v>0</v>
      </c>
      <c r="I236" s="118">
        <f t="shared" si="67"/>
        <v>100721</v>
      </c>
    </row>
    <row r="237" spans="1:9" x14ac:dyDescent="0.4">
      <c r="A237" s="3"/>
      <c r="B237" s="59" t="s">
        <v>93</v>
      </c>
      <c r="C237" s="63">
        <f>C235+C236</f>
        <v>2428472.92</v>
      </c>
      <c r="D237" s="92">
        <f>D235+D236</f>
        <v>0</v>
      </c>
      <c r="E237" s="92">
        <f>E235+E236</f>
        <v>100721</v>
      </c>
      <c r="F237" s="59"/>
      <c r="G237" s="62">
        <f>+ROUND(E237/C237*100,2)</f>
        <v>4.1500000000000004</v>
      </c>
      <c r="H237" s="92">
        <f t="shared" ref="H237:I237" si="68">H235+H236</f>
        <v>0</v>
      </c>
      <c r="I237" s="92">
        <f t="shared" si="68"/>
        <v>100721</v>
      </c>
    </row>
    <row r="238" spans="1:9" x14ac:dyDescent="0.4">
      <c r="A238" s="3"/>
      <c r="B238" s="47"/>
      <c r="C238" s="2"/>
      <c r="D238" s="98"/>
      <c r="E238" s="1"/>
      <c r="F238" s="11"/>
      <c r="G238" s="52"/>
      <c r="H238" s="106"/>
      <c r="I238" s="106"/>
    </row>
    <row r="239" spans="1:9" x14ac:dyDescent="0.4">
      <c r="A239" s="9"/>
      <c r="B239" s="43" t="s">
        <v>81</v>
      </c>
      <c r="C239" s="55">
        <f>C209+C213+C217+C218+C219+C223+C227+C228+C232+C233+C237</f>
        <v>141393195.67999998</v>
      </c>
      <c r="D239" s="120">
        <f>D209+D213+D217+D218+D219+D223+D227+D228+D232+D233+D237</f>
        <v>0</v>
      </c>
      <c r="E239" s="120">
        <f>E209+E213+E217+E218+E219+E223+E227+E228+E232+E233+E237</f>
        <v>4986678</v>
      </c>
      <c r="F239" s="15"/>
      <c r="G239" s="54">
        <f>+ROUND(E239/C239*100,2)</f>
        <v>3.53</v>
      </c>
      <c r="H239" s="120">
        <f t="shared" ref="H239:I239" si="69">H209+H213+H217+H218+H219+H223+H227+H228+H232+H233+H237</f>
        <v>0</v>
      </c>
      <c r="I239" s="120">
        <f t="shared" si="69"/>
        <v>4986678</v>
      </c>
    </row>
    <row r="240" spans="1:9" ht="15.4" thickBot="1" x14ac:dyDescent="0.45">
      <c r="A240" s="9"/>
      <c r="B240" s="43" t="s">
        <v>117</v>
      </c>
      <c r="C240" s="65"/>
      <c r="D240" s="123">
        <f>D9+D75+D186+D197+D205+D239</f>
        <v>979739760.53999996</v>
      </c>
      <c r="E240" s="122"/>
      <c r="F240" s="15"/>
      <c r="G240" s="54"/>
      <c r="H240" s="122"/>
      <c r="I240" s="122"/>
    </row>
    <row r="241" spans="1:9" ht="15.75" thickTop="1" thickBot="1" x14ac:dyDescent="0.45">
      <c r="A241" s="108"/>
      <c r="B241" s="109"/>
      <c r="C241" s="110"/>
      <c r="D241" s="111"/>
      <c r="E241" s="44"/>
      <c r="F241" s="15"/>
      <c r="G241" s="54"/>
      <c r="H241" s="106"/>
      <c r="I241" s="106"/>
    </row>
    <row r="242" spans="1:9" x14ac:dyDescent="0.4">
      <c r="A242" s="58"/>
      <c r="B242" s="66" t="s">
        <v>116</v>
      </c>
      <c r="C242" s="67"/>
      <c r="D242" s="93"/>
      <c r="E242" s="69"/>
      <c r="F242" s="15"/>
      <c r="G242" s="54"/>
      <c r="H242" s="106"/>
      <c r="I242" s="106"/>
    </row>
    <row r="243" spans="1:9" x14ac:dyDescent="0.4">
      <c r="A243" s="58"/>
      <c r="B243" s="70"/>
      <c r="C243" s="67"/>
      <c r="D243" s="93"/>
      <c r="E243" s="69"/>
      <c r="F243" s="15"/>
      <c r="G243" s="54"/>
      <c r="H243" s="106"/>
      <c r="I243" s="106"/>
    </row>
    <row r="244" spans="1:9" x14ac:dyDescent="0.4">
      <c r="A244" s="71">
        <v>391</v>
      </c>
      <c r="B244" s="58" t="s">
        <v>23</v>
      </c>
      <c r="C244" s="67"/>
      <c r="D244" s="96">
        <v>1216907</v>
      </c>
      <c r="E244" s="72">
        <f>-D244/10</f>
        <v>-121690.7</v>
      </c>
      <c r="F244" s="48"/>
      <c r="G244" s="53"/>
      <c r="H244" s="119">
        <f t="shared" ref="H244:H250" si="70">ROUND(D244*(G244/100),0)</f>
        <v>0</v>
      </c>
      <c r="I244" s="124">
        <f t="shared" ref="I244:I250" si="71">E244-H244</f>
        <v>-121690.7</v>
      </c>
    </row>
    <row r="245" spans="1:9" x14ac:dyDescent="0.4">
      <c r="A245" s="71">
        <v>391.1</v>
      </c>
      <c r="B245" s="58" t="s">
        <v>24</v>
      </c>
      <c r="C245" s="67"/>
      <c r="D245" s="96">
        <v>6179000</v>
      </c>
      <c r="E245" s="112">
        <f t="shared" ref="E245:E250" si="72">-D245/10</f>
        <v>-617900</v>
      </c>
      <c r="F245" s="48"/>
      <c r="G245" s="53"/>
      <c r="H245" s="119">
        <f t="shared" si="70"/>
        <v>0</v>
      </c>
      <c r="I245" s="124">
        <f t="shared" si="71"/>
        <v>-617900</v>
      </c>
    </row>
    <row r="246" spans="1:9" x14ac:dyDescent="0.4">
      <c r="A246" s="71">
        <v>393</v>
      </c>
      <c r="B246" s="73" t="s">
        <v>26</v>
      </c>
      <c r="C246" s="67"/>
      <c r="D246" s="96">
        <v>31577</v>
      </c>
      <c r="E246" s="112">
        <f t="shared" si="72"/>
        <v>-3157.7</v>
      </c>
      <c r="F246" s="48"/>
      <c r="G246" s="53"/>
      <c r="H246" s="119">
        <f t="shared" si="70"/>
        <v>0</v>
      </c>
      <c r="I246" s="124">
        <f t="shared" si="71"/>
        <v>-3157.7</v>
      </c>
    </row>
    <row r="247" spans="1:9" x14ac:dyDescent="0.4">
      <c r="A247" s="71">
        <v>394</v>
      </c>
      <c r="B247" s="74" t="s">
        <v>27</v>
      </c>
      <c r="C247" s="67"/>
      <c r="D247" s="96">
        <v>424910</v>
      </c>
      <c r="E247" s="112">
        <f t="shared" si="72"/>
        <v>-42491</v>
      </c>
      <c r="F247" s="48"/>
      <c r="G247" s="53"/>
      <c r="H247" s="119">
        <f t="shared" si="70"/>
        <v>0</v>
      </c>
      <c r="I247" s="124">
        <f t="shared" si="71"/>
        <v>-42491</v>
      </c>
    </row>
    <row r="248" spans="1:9" x14ac:dyDescent="0.4">
      <c r="A248" s="71">
        <v>395</v>
      </c>
      <c r="B248" s="73" t="s">
        <v>28</v>
      </c>
      <c r="C248" s="67"/>
      <c r="D248" s="96">
        <v>735653</v>
      </c>
      <c r="E248" s="112">
        <f t="shared" si="72"/>
        <v>-73565.3</v>
      </c>
      <c r="F248" s="48"/>
      <c r="G248" s="53"/>
      <c r="H248" s="119">
        <f t="shared" si="70"/>
        <v>0</v>
      </c>
      <c r="I248" s="124">
        <f t="shared" si="71"/>
        <v>-73565.3</v>
      </c>
    </row>
    <row r="249" spans="1:9" x14ac:dyDescent="0.4">
      <c r="A249" s="71">
        <v>397</v>
      </c>
      <c r="B249" s="59" t="s">
        <v>30</v>
      </c>
      <c r="C249" s="67"/>
      <c r="D249" s="96">
        <v>9419253</v>
      </c>
      <c r="E249" s="112">
        <f t="shared" si="72"/>
        <v>-941925.3</v>
      </c>
      <c r="F249" s="48"/>
      <c r="G249" s="53"/>
      <c r="H249" s="119">
        <f t="shared" si="70"/>
        <v>0</v>
      </c>
      <c r="I249" s="124">
        <f t="shared" si="71"/>
        <v>-941925.3</v>
      </c>
    </row>
    <row r="250" spans="1:9" x14ac:dyDescent="0.4">
      <c r="A250" s="71">
        <v>398</v>
      </c>
      <c r="B250" s="59" t="s">
        <v>32</v>
      </c>
      <c r="C250" s="67"/>
      <c r="D250" s="92">
        <v>1095737</v>
      </c>
      <c r="E250" s="75">
        <f t="shared" si="72"/>
        <v>-109573.7</v>
      </c>
      <c r="F250" s="48"/>
      <c r="G250" s="53"/>
      <c r="H250" s="118">
        <f t="shared" si="70"/>
        <v>0</v>
      </c>
      <c r="I250" s="125">
        <f t="shared" si="71"/>
        <v>-109573.7</v>
      </c>
    </row>
    <row r="251" spans="1:9" x14ac:dyDescent="0.4">
      <c r="A251" s="58"/>
      <c r="B251" s="70"/>
      <c r="C251" s="67"/>
      <c r="D251" s="96"/>
      <c r="E251" s="69"/>
      <c r="F251" s="15"/>
      <c r="G251" s="53"/>
      <c r="H251" s="113"/>
      <c r="I251" s="113"/>
    </row>
    <row r="252" spans="1:9" ht="15.4" thickBot="1" x14ac:dyDescent="0.45">
      <c r="A252" s="58"/>
      <c r="B252" s="70" t="s">
        <v>94</v>
      </c>
      <c r="C252" s="67"/>
      <c r="D252" s="126">
        <f>SUM(D244:D250)</f>
        <v>19103037</v>
      </c>
      <c r="E252" s="76">
        <f>SUBTOTAL(9,E244:E251)</f>
        <v>-1910303.7</v>
      </c>
      <c r="F252" s="15"/>
      <c r="G252" s="53"/>
      <c r="H252" s="76">
        <f t="shared" ref="H252:I252" si="73">SUBTOTAL(9,H244:H251)</f>
        <v>0</v>
      </c>
      <c r="I252" s="76">
        <f t="shared" si="73"/>
        <v>-1910303.7</v>
      </c>
    </row>
    <row r="253" spans="1:9" ht="15.4" thickTop="1" x14ac:dyDescent="0.4">
      <c r="A253" s="9"/>
      <c r="B253" s="13"/>
      <c r="C253" s="16"/>
      <c r="D253" s="100"/>
      <c r="E253" s="17"/>
      <c r="F253" s="15"/>
      <c r="G253" s="50"/>
      <c r="H253" s="106"/>
      <c r="I253" s="106"/>
    </row>
    <row r="254" spans="1:9" ht="15.4" thickBot="1" x14ac:dyDescent="0.45">
      <c r="A254" s="9"/>
      <c r="B254" s="43" t="s">
        <v>82</v>
      </c>
      <c r="C254" s="38">
        <f>C9+C75+C186+C197+C205+C239</f>
        <v>4037004423.8900003</v>
      </c>
      <c r="D254" s="104"/>
      <c r="E254" s="105">
        <f>E9+E75+E186+E197+E205+E239+E252</f>
        <v>129084263.3</v>
      </c>
      <c r="F254" s="15"/>
      <c r="G254" s="54">
        <f>+ROUND(E254/C254*100,2)</f>
        <v>3.2</v>
      </c>
      <c r="H254" s="105">
        <f t="shared" ref="H254:I254" si="74">H9+H75+H186+H197+H205+H239+H252</f>
        <v>39755316</v>
      </c>
      <c r="I254" s="105">
        <f t="shared" si="74"/>
        <v>89328947.299999997</v>
      </c>
    </row>
    <row r="255" spans="1:9" ht="15.4" thickTop="1" x14ac:dyDescent="0.4">
      <c r="A255" s="9"/>
      <c r="B255" s="15"/>
      <c r="C255" s="16"/>
      <c r="D255" s="100"/>
      <c r="E255" s="17"/>
      <c r="F255" s="15"/>
      <c r="G255" s="50"/>
      <c r="H255" s="106"/>
      <c r="I255" s="106"/>
    </row>
    <row r="256" spans="1:9" x14ac:dyDescent="0.4">
      <c r="A256" s="9"/>
      <c r="B256" s="24" t="s">
        <v>84</v>
      </c>
      <c r="C256" s="16"/>
      <c r="D256" s="100"/>
      <c r="E256" s="17"/>
      <c r="F256" s="15"/>
      <c r="G256" s="50"/>
      <c r="H256" s="106"/>
      <c r="I256" s="106"/>
    </row>
    <row r="257" spans="1:9" x14ac:dyDescent="0.4">
      <c r="A257" s="9"/>
      <c r="B257" s="15"/>
      <c r="C257" s="16"/>
      <c r="D257" s="100"/>
      <c r="E257" s="17"/>
      <c r="F257" s="15"/>
      <c r="G257" s="50"/>
      <c r="H257" s="106"/>
      <c r="I257" s="106"/>
    </row>
    <row r="258" spans="1:9" x14ac:dyDescent="0.4">
      <c r="A258" s="3">
        <v>301</v>
      </c>
      <c r="B258" s="36" t="s">
        <v>34</v>
      </c>
      <c r="C258" s="6">
        <v>5040.43</v>
      </c>
      <c r="D258" s="6"/>
      <c r="E258" s="17"/>
      <c r="F258" s="15"/>
      <c r="G258" s="50"/>
      <c r="H258" s="9"/>
      <c r="I258" s="9"/>
    </row>
    <row r="259" spans="1:9" x14ac:dyDescent="0.4">
      <c r="A259" s="71">
        <v>310</v>
      </c>
      <c r="B259" s="59" t="s">
        <v>14</v>
      </c>
      <c r="C259" s="60">
        <v>6916766.1399999997</v>
      </c>
      <c r="D259" s="60"/>
      <c r="E259" s="17"/>
      <c r="F259" s="15"/>
      <c r="G259" s="50"/>
      <c r="H259" s="9"/>
      <c r="I259" s="9"/>
    </row>
    <row r="260" spans="1:9" x14ac:dyDescent="0.4">
      <c r="A260" s="3">
        <v>340</v>
      </c>
      <c r="B260" s="36" t="s">
        <v>14</v>
      </c>
      <c r="C260" s="6">
        <v>5964035.6900000004</v>
      </c>
      <c r="D260" s="6"/>
      <c r="E260" s="17"/>
      <c r="F260" s="15"/>
      <c r="G260" s="50"/>
      <c r="H260" s="9"/>
      <c r="I260" s="9"/>
    </row>
    <row r="261" spans="1:9" x14ac:dyDescent="0.4">
      <c r="A261" s="3">
        <v>350</v>
      </c>
      <c r="B261" s="47" t="s">
        <v>14</v>
      </c>
      <c r="C261" s="6">
        <v>5771527.6600000001</v>
      </c>
      <c r="D261" s="6"/>
      <c r="E261" s="17"/>
      <c r="F261" s="15"/>
      <c r="G261" s="50"/>
      <c r="H261" s="9"/>
      <c r="I261" s="9"/>
    </row>
    <row r="262" spans="1:9" x14ac:dyDescent="0.4">
      <c r="A262" s="3">
        <v>350.1</v>
      </c>
      <c r="B262" s="47" t="s">
        <v>36</v>
      </c>
      <c r="C262" s="6">
        <v>55719148.420000002</v>
      </c>
      <c r="D262" s="6"/>
      <c r="E262" s="17"/>
      <c r="F262" s="15"/>
      <c r="G262" s="50"/>
      <c r="H262" s="9"/>
      <c r="I262" s="9"/>
    </row>
    <row r="263" spans="1:9" x14ac:dyDescent="0.4">
      <c r="A263" s="3">
        <v>360</v>
      </c>
      <c r="B263" s="47" t="s">
        <v>14</v>
      </c>
      <c r="C263" s="6">
        <v>10115251.35</v>
      </c>
      <c r="D263" s="6"/>
      <c r="E263" s="17"/>
      <c r="F263" s="15"/>
      <c r="G263" s="50"/>
      <c r="H263" s="9"/>
      <c r="I263" s="9"/>
    </row>
    <row r="264" spans="1:9" x14ac:dyDescent="0.4">
      <c r="A264" s="3">
        <v>389</v>
      </c>
      <c r="B264" s="47" t="s">
        <v>14</v>
      </c>
      <c r="C264" s="6">
        <v>1381311.62</v>
      </c>
      <c r="D264" s="6"/>
      <c r="E264" s="17"/>
      <c r="F264" s="15"/>
      <c r="G264" s="50"/>
      <c r="H264" s="9"/>
      <c r="I264" s="9"/>
    </row>
    <row r="265" spans="1:9" x14ac:dyDescent="0.4">
      <c r="A265" s="3">
        <v>389.1</v>
      </c>
      <c r="B265" s="47" t="s">
        <v>36</v>
      </c>
      <c r="C265" s="37">
        <v>454290.88</v>
      </c>
      <c r="D265" s="86"/>
      <c r="E265" s="17"/>
      <c r="F265" s="15"/>
      <c r="G265" s="50"/>
      <c r="H265" s="9"/>
      <c r="I265" s="9"/>
    </row>
    <row r="266" spans="1:9" x14ac:dyDescent="0.4">
      <c r="A266" s="9"/>
      <c r="B266" s="15"/>
      <c r="C266" s="16"/>
      <c r="D266" s="16"/>
      <c r="E266" s="44"/>
      <c r="F266" s="15"/>
      <c r="G266" s="50"/>
      <c r="H266" s="9"/>
      <c r="I266" s="9"/>
    </row>
    <row r="267" spans="1:9" x14ac:dyDescent="0.4">
      <c r="A267" s="9"/>
      <c r="B267" s="43" t="s">
        <v>85</v>
      </c>
      <c r="C267" s="55">
        <f>SUM(C258:C265)</f>
        <v>86327372.189999998</v>
      </c>
      <c r="D267" s="65"/>
      <c r="E267" s="44"/>
      <c r="F267" s="15"/>
      <c r="G267" s="50"/>
      <c r="H267" s="9"/>
      <c r="I267" s="9"/>
    </row>
    <row r="268" spans="1:9" x14ac:dyDescent="0.4">
      <c r="A268" s="9"/>
      <c r="B268" s="15"/>
      <c r="C268" s="16"/>
      <c r="D268" s="16"/>
      <c r="E268" s="44"/>
      <c r="F268" s="15"/>
      <c r="G268" s="50"/>
      <c r="H268" s="9"/>
      <c r="I268" s="9"/>
    </row>
    <row r="269" spans="1:9" ht="15.4" thickBot="1" x14ac:dyDescent="0.45">
      <c r="A269" s="9"/>
      <c r="B269" s="43" t="s">
        <v>83</v>
      </c>
      <c r="C269" s="38">
        <f>C254+C267</f>
        <v>4123331796.0800004</v>
      </c>
      <c r="D269" s="65"/>
      <c r="E269" s="44"/>
      <c r="F269" s="15"/>
      <c r="G269" s="50"/>
      <c r="H269" s="9"/>
      <c r="I269" s="9"/>
    </row>
    <row r="270" spans="1:9" ht="15.4" thickTop="1" x14ac:dyDescent="0.4">
      <c r="A270" s="9"/>
      <c r="B270" s="13"/>
      <c r="C270" s="6"/>
      <c r="D270" s="6"/>
      <c r="E270" s="44"/>
      <c r="F270" s="15"/>
      <c r="G270" s="50"/>
      <c r="H270" s="9"/>
      <c r="I270" s="9"/>
    </row>
  </sheetData>
  <printOptions horizontalCentered="1"/>
  <pageMargins left="1" right="0.5" top="1" bottom="0.75" header="0.5" footer="0.5"/>
  <pageSetup scale="38" fitToHeight="0" orientation="landscape" r:id="rId1"/>
  <rowBreaks count="3" manualBreakCount="3">
    <brk id="51" max="20" man="1"/>
    <brk id="110" max="20" man="1"/>
    <brk id="22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Friel, Glen A.</dc:creator>
  <cp:lastModifiedBy>Allyson Honaker</cp:lastModifiedBy>
  <cp:lastPrinted>2020-12-30T16:34:00Z</cp:lastPrinted>
  <dcterms:created xsi:type="dcterms:W3CDTF">2002-08-25T13:39:51Z</dcterms:created>
  <dcterms:modified xsi:type="dcterms:W3CDTF">2021-03-30T16:58:07Z</dcterms:modified>
</cp:coreProperties>
</file>