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lients\4000 - East Kentucky Power\0021 - 2021 Rate Case\Pleadings\Case No. 2021-00103 - EKPC\Excel Spreadsheets to file\"/>
    </mc:Choice>
  </mc:AlternateContent>
  <xr:revisionPtr revIDLastSave="0" documentId="8_{4125C633-2EEE-44CD-A896-554ABB5B13E4}" xr6:coauthVersionLast="45" xr6:coauthVersionMax="45" xr10:uidLastSave="{00000000-0000-0000-0000-000000000000}"/>
  <bookViews>
    <workbookView xWindow="-98" yWindow="-98" windowWidth="18841" windowHeight="13875" xr2:uid="{00000000-000D-0000-FFFF-FFFF00000000}"/>
  </bookViews>
  <sheets>
    <sheet name="Summary" sheetId="1" r:id="rId1"/>
    <sheet name="Interest Expense" sheetId="2" r:id="rId2"/>
    <sheet name="Surcharge Interest" sheetId="3" r:id="rId3"/>
    <sheet name="Interest Incom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1" l="1"/>
  <c r="G35" i="1"/>
  <c r="G32" i="1"/>
  <c r="G36" i="1" s="1"/>
  <c r="G85" i="4" l="1"/>
  <c r="G86" i="4" s="1"/>
  <c r="G87" i="4" s="1"/>
  <c r="G88" i="4" s="1"/>
  <c r="G89" i="4" s="1"/>
  <c r="G90" i="4" s="1"/>
  <c r="G91" i="4" s="1"/>
  <c r="G92" i="4" s="1"/>
  <c r="G93" i="4" s="1"/>
  <c r="G94" i="4" s="1"/>
  <c r="D25" i="4" s="1"/>
  <c r="B1" i="4"/>
  <c r="B1" i="3"/>
  <c r="B1" i="2"/>
  <c r="A2" i="1"/>
  <c r="J115" i="3"/>
  <c r="H113" i="3"/>
  <c r="G113" i="3"/>
  <c r="I112" i="3"/>
  <c r="H112" i="3"/>
  <c r="G112" i="3"/>
  <c r="I111" i="3"/>
  <c r="H111" i="3"/>
  <c r="G111" i="3"/>
  <c r="E111" i="3"/>
  <c r="I110" i="3"/>
  <c r="H110" i="3"/>
  <c r="G110" i="3"/>
  <c r="I109" i="3"/>
  <c r="H109" i="3"/>
  <c r="G109" i="3"/>
  <c r="I108" i="3"/>
  <c r="G108" i="3"/>
  <c r="E108" i="3"/>
  <c r="E115" i="3" s="1"/>
  <c r="K115" i="3" s="1"/>
  <c r="I105" i="3"/>
  <c r="G105" i="3"/>
  <c r="E105" i="3"/>
  <c r="K105" i="3" s="1"/>
  <c r="H103" i="3"/>
  <c r="H102" i="3"/>
  <c r="H101" i="3"/>
  <c r="H100" i="3"/>
  <c r="H99" i="3"/>
  <c r="H98" i="3"/>
  <c r="H97" i="3"/>
  <c r="H96" i="3"/>
  <c r="H95" i="3"/>
  <c r="I92" i="3"/>
  <c r="G92" i="3"/>
  <c r="E92" i="3"/>
  <c r="K92" i="3" s="1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J68" i="3"/>
  <c r="G68" i="3"/>
  <c r="I66" i="3"/>
  <c r="G66" i="3"/>
  <c r="E66" i="3"/>
  <c r="H66" i="3" s="1"/>
  <c r="I65" i="3"/>
  <c r="G65" i="3"/>
  <c r="E65" i="3"/>
  <c r="H65" i="3" s="1"/>
  <c r="H64" i="3"/>
  <c r="I63" i="3"/>
  <c r="G63" i="3"/>
  <c r="E63" i="3"/>
  <c r="H63" i="3" s="1"/>
  <c r="H62" i="3"/>
  <c r="E61" i="3"/>
  <c r="H61" i="3" s="1"/>
  <c r="I60" i="3"/>
  <c r="H60" i="3"/>
  <c r="G60" i="3"/>
  <c r="I59" i="3"/>
  <c r="H59" i="3"/>
  <c r="G59" i="3"/>
  <c r="H58" i="3"/>
  <c r="H57" i="3"/>
  <c r="H56" i="3"/>
  <c r="H55" i="3"/>
  <c r="E54" i="3"/>
  <c r="H54" i="3" s="1"/>
  <c r="H53" i="3"/>
  <c r="H52" i="3"/>
  <c r="H51" i="3"/>
  <c r="H50" i="3"/>
  <c r="H49" i="3"/>
  <c r="H48" i="3"/>
  <c r="J45" i="3"/>
  <c r="K45" i="3" s="1"/>
  <c r="E45" i="3"/>
  <c r="I43" i="3"/>
  <c r="H43" i="3"/>
  <c r="G43" i="3"/>
  <c r="I42" i="3"/>
  <c r="I45" i="3" s="1"/>
  <c r="N45" i="3" s="1"/>
  <c r="H42" i="3"/>
  <c r="G42" i="3"/>
  <c r="G45" i="3" s="1"/>
  <c r="L45" i="3" s="1"/>
  <c r="H41" i="3"/>
  <c r="H40" i="3"/>
  <c r="H39" i="3"/>
  <c r="H38" i="3"/>
  <c r="H37" i="3"/>
  <c r="L34" i="3"/>
  <c r="J34" i="3"/>
  <c r="I34" i="3"/>
  <c r="N34" i="3" s="1"/>
  <c r="G34" i="3"/>
  <c r="E34" i="3"/>
  <c r="H32" i="3"/>
  <c r="H31" i="3"/>
  <c r="H30" i="3"/>
  <c r="H29" i="3"/>
  <c r="H28" i="3"/>
  <c r="H27" i="3"/>
  <c r="H34" i="3" s="1"/>
  <c r="M34" i="3" s="1"/>
  <c r="I24" i="3"/>
  <c r="G24" i="3"/>
  <c r="E24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J118" i="3"/>
  <c r="H105" i="3"/>
  <c r="H45" i="3"/>
  <c r="F46" i="3" s="1"/>
  <c r="I68" i="3"/>
  <c r="G115" i="3"/>
  <c r="E68" i="3"/>
  <c r="K68" i="3" s="1"/>
  <c r="L68" i="3" s="1"/>
  <c r="I115" i="3"/>
  <c r="N115" i="3" s="1"/>
  <c r="H92" i="3"/>
  <c r="N92" i="3"/>
  <c r="E118" i="3"/>
  <c r="H24" i="3"/>
  <c r="F25" i="3" s="1"/>
  <c r="L105" i="3"/>
  <c r="F93" i="3"/>
  <c r="M92" i="3"/>
  <c r="F106" i="3"/>
  <c r="M105" i="3"/>
  <c r="H68" i="3"/>
  <c r="N105" i="3"/>
  <c r="L115" i="3"/>
  <c r="L92" i="3"/>
  <c r="H108" i="3"/>
  <c r="H115" i="3" s="1"/>
  <c r="F35" i="3"/>
  <c r="K24" i="3"/>
  <c r="M24" i="3" s="1"/>
  <c r="G118" i="3"/>
  <c r="N68" i="3" l="1"/>
  <c r="M45" i="3"/>
  <c r="I118" i="3"/>
  <c r="L24" i="3"/>
  <c r="L118" i="3" s="1"/>
  <c r="N24" i="3"/>
  <c r="N118" i="3" s="1"/>
  <c r="H24" i="1" s="1"/>
  <c r="I24" i="1" s="1"/>
  <c r="M68" i="3"/>
  <c r="M118" i="3" s="1"/>
  <c r="F69" i="3"/>
  <c r="H118" i="3"/>
  <c r="F116" i="3"/>
  <c r="M115" i="3"/>
  <c r="H22" i="1" l="1"/>
  <c r="I22" i="1" s="1"/>
  <c r="H217" i="2"/>
  <c r="G217" i="2"/>
  <c r="F217" i="2"/>
  <c r="F77" i="4"/>
  <c r="G77" i="4" s="1"/>
  <c r="G48" i="4" s="1"/>
  <c r="H48" i="4" s="1"/>
  <c r="F75" i="4"/>
  <c r="G75" i="4" s="1"/>
  <c r="G23" i="4" s="1"/>
  <c r="H23" i="4" s="1"/>
  <c r="F74" i="4"/>
  <c r="G74" i="4" s="1"/>
  <c r="G22" i="4" s="1"/>
  <c r="H22" i="4" s="1"/>
  <c r="F73" i="4"/>
  <c r="G73" i="4" s="1"/>
  <c r="G21" i="4" s="1"/>
  <c r="H21" i="4" s="1"/>
  <c r="F70" i="4"/>
  <c r="G70" i="4" s="1"/>
  <c r="F68" i="4"/>
  <c r="G68" i="4" s="1"/>
  <c r="G14" i="4" s="1"/>
  <c r="H14" i="4" s="1"/>
  <c r="F66" i="4"/>
  <c r="G66" i="4" s="1"/>
  <c r="G12" i="4" s="1"/>
  <c r="H47" i="4"/>
  <c r="H46" i="4"/>
  <c r="H45" i="4"/>
  <c r="D42" i="4"/>
  <c r="H42" i="4" s="1"/>
  <c r="H40" i="4"/>
  <c r="H39" i="4"/>
  <c r="H38" i="4"/>
  <c r="H37" i="4"/>
  <c r="H36" i="4"/>
  <c r="H32" i="4"/>
  <c r="H31" i="4"/>
  <c r="H30" i="4"/>
  <c r="H29" i="4"/>
  <c r="H28" i="4"/>
  <c r="H25" i="4"/>
  <c r="F14" i="4"/>
  <c r="F12" i="4"/>
  <c r="D12" i="4"/>
  <c r="H12" i="4" s="1"/>
  <c r="A2" i="4"/>
  <c r="A3" i="4" s="1"/>
  <c r="A4" i="4" s="1"/>
  <c r="A5" i="4" s="1"/>
  <c r="A6" i="4" s="1"/>
  <c r="G225" i="2"/>
  <c r="H34" i="1" s="1"/>
  <c r="I34" i="1" s="1"/>
  <c r="G222" i="2"/>
  <c r="H31" i="1" s="1"/>
  <c r="I31" i="1" s="1"/>
  <c r="G213" i="2"/>
  <c r="F213" i="2"/>
  <c r="H209" i="2"/>
  <c r="C209" i="2"/>
  <c r="G207" i="2"/>
  <c r="F207" i="2"/>
  <c r="G206" i="2"/>
  <c r="F206" i="2"/>
  <c r="G205" i="2"/>
  <c r="F205" i="2"/>
  <c r="G204" i="2"/>
  <c r="F204" i="2"/>
  <c r="G203" i="2"/>
  <c r="F203" i="2"/>
  <c r="G202" i="2"/>
  <c r="F202" i="2"/>
  <c r="G201" i="2"/>
  <c r="F201" i="2"/>
  <c r="G200" i="2"/>
  <c r="F200" i="2"/>
  <c r="G199" i="2"/>
  <c r="F199" i="2"/>
  <c r="G198" i="2"/>
  <c r="F198" i="2"/>
  <c r="G197" i="2"/>
  <c r="F197" i="2"/>
  <c r="G196" i="2"/>
  <c r="F196" i="2"/>
  <c r="G195" i="2"/>
  <c r="F195" i="2"/>
  <c r="G194" i="2"/>
  <c r="F194" i="2"/>
  <c r="G193" i="2"/>
  <c r="F193" i="2"/>
  <c r="G192" i="2"/>
  <c r="F192" i="2"/>
  <c r="G191" i="2"/>
  <c r="F191" i="2"/>
  <c r="G190" i="2"/>
  <c r="F190" i="2"/>
  <c r="G189" i="2"/>
  <c r="F189" i="2"/>
  <c r="G188" i="2"/>
  <c r="F188" i="2"/>
  <c r="G187" i="2"/>
  <c r="F187" i="2"/>
  <c r="G186" i="2"/>
  <c r="F186" i="2"/>
  <c r="G185" i="2"/>
  <c r="F185" i="2"/>
  <c r="G184" i="2"/>
  <c r="F184" i="2"/>
  <c r="G183" i="2"/>
  <c r="F183" i="2"/>
  <c r="G182" i="2"/>
  <c r="F182" i="2"/>
  <c r="G181" i="2"/>
  <c r="F181" i="2"/>
  <c r="G180" i="2"/>
  <c r="F180" i="2"/>
  <c r="G179" i="2"/>
  <c r="F179" i="2"/>
  <c r="G178" i="2"/>
  <c r="F178" i="2"/>
  <c r="G177" i="2"/>
  <c r="F177" i="2"/>
  <c r="G176" i="2"/>
  <c r="F176" i="2"/>
  <c r="G175" i="2"/>
  <c r="F175" i="2"/>
  <c r="G174" i="2"/>
  <c r="F174" i="2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G165" i="2"/>
  <c r="F165" i="2"/>
  <c r="G164" i="2"/>
  <c r="F164" i="2"/>
  <c r="G163" i="2"/>
  <c r="F163" i="2"/>
  <c r="G162" i="2"/>
  <c r="F162" i="2"/>
  <c r="G161" i="2"/>
  <c r="F161" i="2"/>
  <c r="G160" i="2"/>
  <c r="F160" i="2"/>
  <c r="G159" i="2"/>
  <c r="F159" i="2"/>
  <c r="G158" i="2"/>
  <c r="F158" i="2"/>
  <c r="G157" i="2"/>
  <c r="F157" i="2"/>
  <c r="G156" i="2"/>
  <c r="F156" i="2"/>
  <c r="G155" i="2"/>
  <c r="F155" i="2"/>
  <c r="G154" i="2"/>
  <c r="F154" i="2"/>
  <c r="G153" i="2"/>
  <c r="F153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H36" i="2"/>
  <c r="C36" i="2"/>
  <c r="G34" i="2"/>
  <c r="F34" i="2"/>
  <c r="G33" i="2"/>
  <c r="G36" i="2" s="1"/>
  <c r="F33" i="2"/>
  <c r="F36" i="2" s="1"/>
  <c r="H30" i="2"/>
  <c r="H211" i="2" s="1"/>
  <c r="H215" i="2" s="1"/>
  <c r="G224" i="2" s="1"/>
  <c r="H33" i="1" s="1"/>
  <c r="C30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G30" i="2" s="1"/>
  <c r="F20" i="2"/>
  <c r="H16" i="2"/>
  <c r="C16" i="2"/>
  <c r="G14" i="2"/>
  <c r="F14" i="2"/>
  <c r="G13" i="2"/>
  <c r="F13" i="2"/>
  <c r="G12" i="2"/>
  <c r="F12" i="2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I33" i="1" l="1"/>
  <c r="I35" i="1" s="1"/>
  <c r="H35" i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F51" i="4"/>
  <c r="H40" i="1" s="1"/>
  <c r="I40" i="1" s="1"/>
  <c r="G16" i="2"/>
  <c r="F16" i="2"/>
  <c r="F30" i="2"/>
  <c r="D51" i="4"/>
  <c r="H226" i="2"/>
  <c r="G209" i="2"/>
  <c r="F209" i="2"/>
  <c r="F211" i="2" s="1"/>
  <c r="F215" i="2" s="1"/>
  <c r="C211" i="2"/>
  <c r="C215" i="2" s="1"/>
  <c r="G18" i="4"/>
  <c r="H18" i="4" s="1"/>
  <c r="G17" i="4"/>
  <c r="H17" i="4" s="1"/>
  <c r="H51" i="4" s="1"/>
  <c r="G211" i="2" l="1"/>
  <c r="G215" i="2" s="1"/>
  <c r="G221" i="2" s="1"/>
  <c r="H53" i="4"/>
  <c r="H41" i="1"/>
  <c r="H223" i="2" l="1"/>
  <c r="H227" i="2" s="1"/>
  <c r="H30" i="1"/>
  <c r="I41" i="1"/>
  <c r="H43" i="1"/>
  <c r="I43" i="1" s="1"/>
  <c r="I30" i="1" l="1"/>
  <c r="I32" i="1" s="1"/>
  <c r="I36" i="1" s="1"/>
  <c r="H32" i="1"/>
  <c r="H36" i="1" s="1"/>
</calcChain>
</file>

<file path=xl/sharedStrings.xml><?xml version="1.0" encoding="utf-8"?>
<sst xmlns="http://schemas.openxmlformats.org/spreadsheetml/2006/main" count="521" uniqueCount="459">
  <si>
    <t>East Kentucky Power Cooperative, Inc.</t>
  </si>
  <si>
    <t>Adjustment to Normalize Interest Expense on Long-Term Debt</t>
  </si>
  <si>
    <t>Amount</t>
  </si>
  <si>
    <t>Interest Rate</t>
  </si>
  <si>
    <t>Normalized Interest Expense</t>
  </si>
  <si>
    <t>Actual</t>
  </si>
  <si>
    <t>Outstanding</t>
  </si>
  <si>
    <t>as of</t>
  </si>
  <si>
    <t xml:space="preserve">as of  </t>
  </si>
  <si>
    <t>Test Year</t>
  </si>
  <si>
    <t>Type of Debt Issue</t>
  </si>
  <si>
    <t>as of 12/31/2019</t>
  </si>
  <si>
    <t>Interest Expense</t>
  </si>
  <si>
    <t>Bonds:</t>
  </si>
  <si>
    <t xml:space="preserve">  Private Placement Bonds</t>
  </si>
  <si>
    <t xml:space="preserve">  Private Placement Bonds - 2019</t>
  </si>
  <si>
    <t xml:space="preserve">  Cooper Solid Waste Disposal Bonds</t>
  </si>
  <si>
    <t xml:space="preserve">  Total Bonds</t>
  </si>
  <si>
    <t>Notes:</t>
  </si>
  <si>
    <t xml:space="preserve">  National Rural Utilities Cooperative Finance Corporation ("CFC") -</t>
  </si>
  <si>
    <t xml:space="preserve">    CFC - Term Loan</t>
  </si>
  <si>
    <t xml:space="preserve">    Clean Renewable Energy Bonds</t>
  </si>
  <si>
    <t xml:space="preserve">    New Clean Renewable Energy Bonds</t>
  </si>
  <si>
    <t xml:space="preserve">    NCSC Unsecured #9061009</t>
  </si>
  <si>
    <t xml:space="preserve">    NCSC Unsecured #9061010</t>
  </si>
  <si>
    <t xml:space="preserve">    NCSC Unsecured #9061011</t>
  </si>
  <si>
    <t xml:space="preserve">    NCSC Unsecured #9061012</t>
  </si>
  <si>
    <t xml:space="preserve">    NCSC Unsecured #9061013</t>
  </si>
  <si>
    <t xml:space="preserve">    NCSC Unsecured #9061014</t>
  </si>
  <si>
    <t xml:space="preserve">  Total CFC</t>
  </si>
  <si>
    <t xml:space="preserve">  Rural Utilities Service ("RUS") Notes -</t>
  </si>
  <si>
    <t xml:space="preserve">    T62-1-B650</t>
  </si>
  <si>
    <t xml:space="preserve">    T62-1-B655</t>
  </si>
  <si>
    <t xml:space="preserve">  Total RUS</t>
  </si>
  <si>
    <t xml:space="preserve">  Federal Financing Bank ("FFB") Notes -</t>
  </si>
  <si>
    <t xml:space="preserve">    H0615</t>
  </si>
  <si>
    <t xml:space="preserve">    H0635</t>
  </si>
  <si>
    <t xml:space="preserve">    H0640</t>
  </si>
  <si>
    <t xml:space="preserve">    H0645</t>
  </si>
  <si>
    <t xml:space="preserve">    H0655</t>
  </si>
  <si>
    <t xml:space="preserve">    H0660</t>
  </si>
  <si>
    <t xml:space="preserve">    H0665</t>
  </si>
  <si>
    <t xml:space="preserve">    H0670</t>
  </si>
  <si>
    <t xml:space="preserve">    H0675</t>
  </si>
  <si>
    <t xml:space="preserve">    H0680</t>
  </si>
  <si>
    <t xml:space="preserve">    H0685</t>
  </si>
  <si>
    <t xml:space="preserve">    H0690</t>
  </si>
  <si>
    <t xml:space="preserve">    H0695</t>
  </si>
  <si>
    <t xml:space="preserve">    H0700</t>
  </si>
  <si>
    <t xml:space="preserve">    H0705</t>
  </si>
  <si>
    <t xml:space="preserve">    H0710</t>
  </si>
  <si>
    <t xml:space="preserve">    H0715</t>
  </si>
  <si>
    <t xml:space="preserve">    H0720</t>
  </si>
  <si>
    <t xml:space="preserve">    H0725</t>
  </si>
  <si>
    <t xml:space="preserve">    H0730</t>
  </si>
  <si>
    <t xml:space="preserve">    H0735</t>
  </si>
  <si>
    <t xml:space="preserve">    H0740</t>
  </si>
  <si>
    <t xml:space="preserve">    H0745</t>
  </si>
  <si>
    <t xml:space="preserve">    H0750</t>
  </si>
  <si>
    <t xml:space="preserve">    H0755</t>
  </si>
  <si>
    <t xml:space="preserve">    H0760</t>
  </si>
  <si>
    <t xml:space="preserve">    H0765</t>
  </si>
  <si>
    <t xml:space="preserve">    H0770</t>
  </si>
  <si>
    <t xml:space="preserve">    H0775</t>
  </si>
  <si>
    <t xml:space="preserve">    H0780</t>
  </si>
  <si>
    <t xml:space="preserve">    H0785</t>
  </si>
  <si>
    <t xml:space="preserve">    H0790</t>
  </si>
  <si>
    <t xml:space="preserve">    H0795</t>
  </si>
  <si>
    <t xml:space="preserve">    H0800</t>
  </si>
  <si>
    <t xml:space="preserve">    H0805</t>
  </si>
  <si>
    <t xml:space="preserve">    H0810</t>
  </si>
  <si>
    <t xml:space="preserve">    H0815</t>
  </si>
  <si>
    <t xml:space="preserve">    H0820</t>
  </si>
  <si>
    <t xml:space="preserve">    H0825</t>
  </si>
  <si>
    <t xml:space="preserve">    H0830</t>
  </si>
  <si>
    <t xml:space="preserve">    H0835</t>
  </si>
  <si>
    <t xml:space="preserve">    H0840</t>
  </si>
  <si>
    <t xml:space="preserve">    H0845</t>
  </si>
  <si>
    <t xml:space="preserve">    H0850</t>
  </si>
  <si>
    <t xml:space="preserve">    H0855</t>
  </si>
  <si>
    <t xml:space="preserve">    H0860</t>
  </si>
  <si>
    <t xml:space="preserve">    H0865</t>
  </si>
  <si>
    <t xml:space="preserve">    H0870</t>
  </si>
  <si>
    <t xml:space="preserve">    H0875</t>
  </si>
  <si>
    <t xml:space="preserve">    H0880</t>
  </si>
  <si>
    <t xml:space="preserve">    H0885</t>
  </si>
  <si>
    <t xml:space="preserve">    H0890</t>
  </si>
  <si>
    <t xml:space="preserve">    H0895</t>
  </si>
  <si>
    <t xml:space="preserve">    H0900</t>
  </si>
  <si>
    <t xml:space="preserve">    H0905</t>
  </si>
  <si>
    <t xml:space="preserve">    H0910</t>
  </si>
  <si>
    <t xml:space="preserve">    H0915</t>
  </si>
  <si>
    <t xml:space="preserve">    H0920</t>
  </si>
  <si>
    <t xml:space="preserve">    H0925</t>
  </si>
  <si>
    <t xml:space="preserve">    H0930</t>
  </si>
  <si>
    <t xml:space="preserve">    H0935</t>
  </si>
  <si>
    <t xml:space="preserve">    H0940</t>
  </si>
  <si>
    <t xml:space="preserve">    H0945</t>
  </si>
  <si>
    <t xml:space="preserve">    H0950</t>
  </si>
  <si>
    <t xml:space="preserve">    H0955</t>
  </si>
  <si>
    <t xml:space="preserve">    H0960</t>
  </si>
  <si>
    <t xml:space="preserve">    H0965</t>
  </si>
  <si>
    <t xml:space="preserve">    H0970</t>
  </si>
  <si>
    <t xml:space="preserve">    H0975</t>
  </si>
  <si>
    <t xml:space="preserve">    H0980</t>
  </si>
  <si>
    <t xml:space="preserve">    H0985</t>
  </si>
  <si>
    <t xml:space="preserve">    H0990</t>
  </si>
  <si>
    <t xml:space="preserve">    H0995</t>
  </si>
  <si>
    <t xml:space="preserve">    H1000</t>
  </si>
  <si>
    <t xml:space="preserve">    H1005</t>
  </si>
  <si>
    <t xml:space="preserve">    H1010</t>
  </si>
  <si>
    <t xml:space="preserve">    H1015</t>
  </si>
  <si>
    <t xml:space="preserve">    H1020</t>
  </si>
  <si>
    <t xml:space="preserve">    H1025</t>
  </si>
  <si>
    <t xml:space="preserve">    H1030</t>
  </si>
  <si>
    <t xml:space="preserve">    H1035</t>
  </si>
  <si>
    <t xml:space="preserve">    H1040</t>
  </si>
  <si>
    <t xml:space="preserve">    H1045</t>
  </si>
  <si>
    <t xml:space="preserve">    H1050</t>
  </si>
  <si>
    <t xml:space="preserve">    H1055</t>
  </si>
  <si>
    <t xml:space="preserve">    H1060</t>
  </si>
  <si>
    <t xml:space="preserve">    H1065</t>
  </si>
  <si>
    <t xml:space="preserve">    H1070</t>
  </si>
  <si>
    <t xml:space="preserve">    H1075</t>
  </si>
  <si>
    <t xml:space="preserve">    H1080</t>
  </si>
  <si>
    <t xml:space="preserve">    H1085</t>
  </si>
  <si>
    <t xml:space="preserve">    H1090</t>
  </si>
  <si>
    <t xml:space="preserve">    H1095</t>
  </si>
  <si>
    <t xml:space="preserve">    H1100</t>
  </si>
  <si>
    <t xml:space="preserve">    H1105</t>
  </si>
  <si>
    <t xml:space="preserve">    H1110</t>
  </si>
  <si>
    <t xml:space="preserve">    H1115</t>
  </si>
  <si>
    <t xml:space="preserve">    H1120</t>
  </si>
  <si>
    <t xml:space="preserve">    H1125</t>
  </si>
  <si>
    <t xml:space="preserve">    H1130</t>
  </si>
  <si>
    <t xml:space="preserve">    H1135</t>
  </si>
  <si>
    <t xml:space="preserve">    H1140</t>
  </si>
  <si>
    <t xml:space="preserve">    H1145</t>
  </si>
  <si>
    <t xml:space="preserve">    H1150</t>
  </si>
  <si>
    <t xml:space="preserve">    H1155</t>
  </si>
  <si>
    <t xml:space="preserve">    H1160</t>
  </si>
  <si>
    <t xml:space="preserve">    H1165</t>
  </si>
  <si>
    <t xml:space="preserve">    H1170</t>
  </si>
  <si>
    <t xml:space="preserve">    H1175</t>
  </si>
  <si>
    <t xml:space="preserve">    H1180</t>
  </si>
  <si>
    <t xml:space="preserve">    H1185</t>
  </si>
  <si>
    <t xml:space="preserve">    H1190</t>
  </si>
  <si>
    <t xml:space="preserve">    H1195</t>
  </si>
  <si>
    <t xml:space="preserve">    H1200</t>
  </si>
  <si>
    <t xml:space="preserve">    H1205</t>
  </si>
  <si>
    <t xml:space="preserve">    H1210</t>
  </si>
  <si>
    <t xml:space="preserve">    H1215</t>
  </si>
  <si>
    <t xml:space="preserve">    H1220</t>
  </si>
  <si>
    <t xml:space="preserve">    H1225</t>
  </si>
  <si>
    <t xml:space="preserve">    H1230</t>
  </si>
  <si>
    <t xml:space="preserve">    H1235</t>
  </si>
  <si>
    <t xml:space="preserve">    H1240</t>
  </si>
  <si>
    <t xml:space="preserve">    H1245</t>
  </si>
  <si>
    <t xml:space="preserve">    H1250</t>
  </si>
  <si>
    <t xml:space="preserve">    H1255</t>
  </si>
  <si>
    <t xml:space="preserve">    H1260</t>
  </si>
  <si>
    <t xml:space="preserve">    H1265</t>
  </si>
  <si>
    <t xml:space="preserve">    H1270</t>
  </si>
  <si>
    <t xml:space="preserve">    H1275</t>
  </si>
  <si>
    <t xml:space="preserve">    H1280</t>
  </si>
  <si>
    <t xml:space="preserve">    H1285</t>
  </si>
  <si>
    <t xml:space="preserve">    H1290</t>
  </si>
  <si>
    <t xml:space="preserve">    H1295</t>
  </si>
  <si>
    <t xml:space="preserve">    H1300</t>
  </si>
  <si>
    <t xml:space="preserve">    H1305</t>
  </si>
  <si>
    <t xml:space="preserve">    H1310</t>
  </si>
  <si>
    <t xml:space="preserve">    H1315</t>
  </si>
  <si>
    <t xml:space="preserve">    H1320</t>
  </si>
  <si>
    <t xml:space="preserve">    H1325</t>
  </si>
  <si>
    <t xml:space="preserve">    H1330</t>
  </si>
  <si>
    <t xml:space="preserve">    H1335</t>
  </si>
  <si>
    <t xml:space="preserve">    H1340</t>
  </si>
  <si>
    <t xml:space="preserve">    H1345</t>
  </si>
  <si>
    <t xml:space="preserve">    H1350</t>
  </si>
  <si>
    <t xml:space="preserve">    H1355</t>
  </si>
  <si>
    <t xml:space="preserve">    H1360</t>
  </si>
  <si>
    <t xml:space="preserve">    H1365</t>
  </si>
  <si>
    <t xml:space="preserve">    FFB-25-1</t>
  </si>
  <si>
    <t xml:space="preserve">    FFB-26-1</t>
  </si>
  <si>
    <t xml:space="preserve">    F1380</t>
  </si>
  <si>
    <t xml:space="preserve">    FFB-25-2</t>
  </si>
  <si>
    <t xml:space="preserve">    F1390</t>
  </si>
  <si>
    <t xml:space="preserve">    FFB-25-3</t>
  </si>
  <si>
    <t xml:space="preserve">    F1400</t>
  </si>
  <si>
    <t xml:space="preserve">    FFB-25-4</t>
  </si>
  <si>
    <t xml:space="preserve">    FFB-24-5</t>
  </si>
  <si>
    <t xml:space="preserve">    FFB-25-5</t>
  </si>
  <si>
    <t xml:space="preserve">    FFB-24-6</t>
  </si>
  <si>
    <t xml:space="preserve">    FFB-25-6</t>
  </si>
  <si>
    <t xml:space="preserve">    FFB-25-7</t>
  </si>
  <si>
    <t xml:space="preserve">    FFB-26-2</t>
  </si>
  <si>
    <t xml:space="preserve">    FFB-27-1</t>
  </si>
  <si>
    <t xml:space="preserve">    FFB-28-1</t>
  </si>
  <si>
    <t xml:space="preserve">    FFB-24-7</t>
  </si>
  <si>
    <t xml:space="preserve">    FFB-25-8</t>
  </si>
  <si>
    <t xml:space="preserve">    FFB-24-8</t>
  </si>
  <si>
    <t xml:space="preserve">    FFB-25-9</t>
  </si>
  <si>
    <t xml:space="preserve">    FFB-24-9</t>
  </si>
  <si>
    <t xml:space="preserve">    FFB-25-10</t>
  </si>
  <si>
    <t xml:space="preserve">  Total FFB</t>
  </si>
  <si>
    <t xml:space="preserve">  Total Long-Term Debt and Interest Expense</t>
  </si>
  <si>
    <t>Unsecured Credit Facility</t>
  </si>
  <si>
    <t>Totals</t>
  </si>
  <si>
    <t>Interest Expense associated with Environmental Surcharge</t>
  </si>
  <si>
    <t>Proposed Adjustment to Interest Expense, exclusive of Interest Expense associated</t>
  </si>
  <si>
    <t xml:space="preserve">    with Environmental Surcharge:</t>
  </si>
  <si>
    <t xml:space="preserve">  Total Normalized Interest Expense, based on 6/30/2020 rates</t>
  </si>
  <si>
    <t xml:space="preserve">  Less:  Normalized Interest Expense associated with Environmental Surcharge</t>
  </si>
  <si>
    <t xml:space="preserve">  Net Normalized Interest Expense, based on 6/30/2020 rates</t>
  </si>
  <si>
    <t xml:space="preserve">  Total Test Year Actual Interest Expense</t>
  </si>
  <si>
    <t xml:space="preserve">  Less:  Test Year Interest Expense associated with Environmental Surcharge</t>
  </si>
  <si>
    <t xml:space="preserve">  Net Test Year Actual Interest Expense</t>
  </si>
  <si>
    <t xml:space="preserve">  Proposed Adjustment to Interest Expense</t>
  </si>
  <si>
    <t>Normalize Interest Income</t>
  </si>
  <si>
    <t>Balance as</t>
  </si>
  <si>
    <t>Normalized</t>
  </si>
  <si>
    <t>Investment</t>
  </si>
  <si>
    <t>of 12/31/2019</t>
  </si>
  <si>
    <t>Interest Income</t>
  </si>
  <si>
    <t>as of 6/30/2020</t>
  </si>
  <si>
    <t>U.S. Treasury Securities (2)</t>
  </si>
  <si>
    <t>1.65% - 2.50%</t>
  </si>
  <si>
    <t>CFC Commercial Paper (2)</t>
  </si>
  <si>
    <t>1.52% - 1.71%</t>
  </si>
  <si>
    <t>Money Market Funds (2):</t>
  </si>
  <si>
    <t xml:space="preserve">  Federated Money Market Funds</t>
  </si>
  <si>
    <t xml:space="preserve">  Fidelity Money Market Funds</t>
  </si>
  <si>
    <t>Funds Held in Misc. Bank Accounts: (2)</t>
  </si>
  <si>
    <t xml:space="preserve">  Money Market Deposit Account</t>
  </si>
  <si>
    <t xml:space="preserve">  Insured Cash Sweep Account</t>
  </si>
  <si>
    <t xml:space="preserve">  PJM Account</t>
  </si>
  <si>
    <t>CFC Securities</t>
  </si>
  <si>
    <t xml:space="preserve">  Capital Term Certificates - Gen.</t>
  </si>
  <si>
    <t xml:space="preserve">  Capital Term Certificates - CB/RUS</t>
  </si>
  <si>
    <t xml:space="preserve">  Zero Term Certificates</t>
  </si>
  <si>
    <t xml:space="preserve">  Subordinated Term Certificates</t>
  </si>
  <si>
    <t xml:space="preserve">  Cooper Debt Service Reserve</t>
  </si>
  <si>
    <t>Member Cooperative Marketing</t>
  </si>
  <si>
    <t xml:space="preserve">  Loan Interest:</t>
  </si>
  <si>
    <t xml:space="preserve">    Loan #24</t>
  </si>
  <si>
    <t xml:space="preserve">    Loan #25</t>
  </si>
  <si>
    <t xml:space="preserve">    Loan #26</t>
  </si>
  <si>
    <t xml:space="preserve">    Loan #27</t>
  </si>
  <si>
    <t xml:space="preserve">    Loan #28</t>
  </si>
  <si>
    <t>Propane Loan Interest</t>
  </si>
  <si>
    <t>Miscellaneous</t>
  </si>
  <si>
    <t xml:space="preserve">  Member Late Power Bill (1)</t>
  </si>
  <si>
    <t xml:space="preserve">  Interest - KY Sales Tax Refund (1)</t>
  </si>
  <si>
    <t xml:space="preserve">  Interest from Investment (1)</t>
  </si>
  <si>
    <t xml:space="preserve">  TVA Security Deposit - Cap. Proj. (2)</t>
  </si>
  <si>
    <t xml:space="preserve">  Rounding Adjustment</t>
  </si>
  <si>
    <t>Adjustment to normalize interest income</t>
  </si>
  <si>
    <t xml:space="preserve">  (1) These items were a source of interest income during the test year but do not reflect investments.</t>
  </si>
  <si>
    <t xml:space="preserve">  (2) The interest rates for these investments are established daily or monthly and fluctuate reflecting current market conditions.</t>
  </si>
  <si>
    <t xml:space="preserve">          In order to determine a reasonable current interest rate, EKPC has applied the approach discussed in the Commission's</t>
  </si>
  <si>
    <t xml:space="preserve">          December 5, 2007 Order in Case No. 2006-00472, specifically footnote 36.  The calculation of the applicable interest</t>
  </si>
  <si>
    <t xml:space="preserve">          rates is shown below.</t>
  </si>
  <si>
    <t>Blended</t>
  </si>
  <si>
    <t>Annualized</t>
  </si>
  <si>
    <t>of 06/30/2020</t>
  </si>
  <si>
    <t>for June 2020</t>
  </si>
  <si>
    <t>U.S. Treasury Securities</t>
  </si>
  <si>
    <t>CFC Commercial Paper</t>
  </si>
  <si>
    <t>Money Market Funds</t>
  </si>
  <si>
    <t>Funds Held in Misc. Bank Accounts:</t>
  </si>
  <si>
    <t xml:space="preserve">  TVA Security Deposit - Cap. Proj. </t>
  </si>
  <si>
    <t>Adjustment to Interest Expense and Principal Payments</t>
  </si>
  <si>
    <t>Total Note Information</t>
  </si>
  <si>
    <t>Interest &amp; Principal Associated with Compliance Project</t>
  </si>
  <si>
    <t>Outstanding Bal.</t>
  </si>
  <si>
    <t>2019 Actual</t>
  </si>
  <si>
    <t>2019 Principal</t>
  </si>
  <si>
    <t>Net Book Value</t>
  </si>
  <si>
    <t>%age NBV to</t>
  </si>
  <si>
    <t>Compliance Project</t>
  </si>
  <si>
    <t>Loan Source</t>
  </si>
  <si>
    <t>Note Number</t>
  </si>
  <si>
    <t>at 12/31/2019</t>
  </si>
  <si>
    <t>Payment</t>
  </si>
  <si>
    <t>1 - Gilbert</t>
  </si>
  <si>
    <t>Z-8</t>
  </si>
  <si>
    <t>H0810</t>
  </si>
  <si>
    <t>H0815</t>
  </si>
  <si>
    <t>H0820</t>
  </si>
  <si>
    <t>H0825</t>
  </si>
  <si>
    <t>H0830</t>
  </si>
  <si>
    <t>H0835</t>
  </si>
  <si>
    <t>H0840</t>
  </si>
  <si>
    <t>H0845</t>
  </si>
  <si>
    <t>H0855</t>
  </si>
  <si>
    <t>H0860</t>
  </si>
  <si>
    <t>H0870</t>
  </si>
  <si>
    <t>H0915</t>
  </si>
  <si>
    <t>H0920</t>
  </si>
  <si>
    <t>H1025</t>
  </si>
  <si>
    <t>Totals Z-8</t>
  </si>
  <si>
    <t>Average Cost of Debt</t>
  </si>
  <si>
    <t>2 - Spurlock 1 - Precipitator</t>
  </si>
  <si>
    <t>Y-8</t>
  </si>
  <si>
    <t>H0720</t>
  </si>
  <si>
    <t>3 - Spurlock 1 - SCR</t>
  </si>
  <si>
    <t>H0725</t>
  </si>
  <si>
    <t>Several of the notes which financed these projects were paid off</t>
  </si>
  <si>
    <t>4 - Spurlock 2 - SCR</t>
  </si>
  <si>
    <t>H0730</t>
  </si>
  <si>
    <t xml:space="preserve">  early utilizing the Cushion of Credit; allocation percentage will be</t>
  </si>
  <si>
    <t>H0885</t>
  </si>
  <si>
    <t xml:space="preserve">  limited to 100%.</t>
  </si>
  <si>
    <t>H0960</t>
  </si>
  <si>
    <t>H1005</t>
  </si>
  <si>
    <t>Totals Y-8</t>
  </si>
  <si>
    <t>6 - Spurlock 1 - Low Nox Burners</t>
  </si>
  <si>
    <t>AH-8</t>
  </si>
  <si>
    <t>H1200</t>
  </si>
  <si>
    <t>9 - Spurlock 4 - Ash Silo</t>
  </si>
  <si>
    <t>(outstanding</t>
  </si>
  <si>
    <t>H1280</t>
  </si>
  <si>
    <t>10 - Spurlock &amp; Cooper CEM Equip</t>
  </si>
  <si>
    <t>balance</t>
  </si>
  <si>
    <t>H1285</t>
  </si>
  <si>
    <t>12 - Spurlock Landfill Expansion</t>
  </si>
  <si>
    <t>associated</t>
  </si>
  <si>
    <t>H1305</t>
  </si>
  <si>
    <t>with surcharge)</t>
  </si>
  <si>
    <t>H1310</t>
  </si>
  <si>
    <t>(proportional</t>
  </si>
  <si>
    <t>H1325</t>
  </si>
  <si>
    <t>allocation)</t>
  </si>
  <si>
    <t>H1345</t>
  </si>
  <si>
    <t>Totals AH-8</t>
  </si>
  <si>
    <t>7 - Spurlock 2 - Scrubber</t>
  </si>
  <si>
    <t>AG-8</t>
  </si>
  <si>
    <t>H1035</t>
  </si>
  <si>
    <t>8 - Spurlock 1 - Scrubber</t>
  </si>
  <si>
    <t>H1040</t>
  </si>
  <si>
    <t>H1045</t>
  </si>
  <si>
    <t>H1050</t>
  </si>
  <si>
    <t>H1055</t>
  </si>
  <si>
    <t>H1060</t>
  </si>
  <si>
    <t>H1070</t>
  </si>
  <si>
    <t>H1075</t>
  </si>
  <si>
    <t>H1085</t>
  </si>
  <si>
    <t>H1095</t>
  </si>
  <si>
    <t>H1100</t>
  </si>
  <si>
    <t>H1105</t>
  </si>
  <si>
    <t>H1110</t>
  </si>
  <si>
    <t>H1115</t>
  </si>
  <si>
    <t>H1130</t>
  </si>
  <si>
    <t>H1170</t>
  </si>
  <si>
    <t>H1190</t>
  </si>
  <si>
    <t>H1220</t>
  </si>
  <si>
    <t>H1320</t>
  </si>
  <si>
    <t>Totals AG-8</t>
  </si>
  <si>
    <t>9 - Spurlock 4 - Environmental</t>
  </si>
  <si>
    <t>AD-8</t>
  </si>
  <si>
    <t>H0925</t>
  </si>
  <si>
    <t>H0930</t>
  </si>
  <si>
    <t>H0935</t>
  </si>
  <si>
    <t>H0940</t>
  </si>
  <si>
    <t>H0945</t>
  </si>
  <si>
    <t>H0955</t>
  </si>
  <si>
    <t>H0965</t>
  </si>
  <si>
    <t>H0975</t>
  </si>
  <si>
    <t>H0980</t>
  </si>
  <si>
    <t>H0985</t>
  </si>
  <si>
    <t>H0990</t>
  </si>
  <si>
    <t>H0995</t>
  </si>
  <si>
    <t>H1000</t>
  </si>
  <si>
    <t>H1010</t>
  </si>
  <si>
    <t>H1015</t>
  </si>
  <si>
    <t>H1020</t>
  </si>
  <si>
    <t>H1030</t>
  </si>
  <si>
    <t>H1065</t>
  </si>
  <si>
    <t>H1215</t>
  </si>
  <si>
    <t>H1275</t>
  </si>
  <si>
    <t>Totals AD-8</t>
  </si>
  <si>
    <t>11 - Cooper - Air Quality Control</t>
  </si>
  <si>
    <t>AL-8</t>
  </si>
  <si>
    <t>H1210</t>
  </si>
  <si>
    <t>H1245</t>
  </si>
  <si>
    <t>H1250</t>
  </si>
  <si>
    <t>H1255</t>
  </si>
  <si>
    <t>H1265</t>
  </si>
  <si>
    <t>H1270</t>
  </si>
  <si>
    <t>H1290</t>
  </si>
  <si>
    <t>H1315</t>
  </si>
  <si>
    <t>H1355</t>
  </si>
  <si>
    <t>Totals AL-8</t>
  </si>
  <si>
    <t>AN-8</t>
  </si>
  <si>
    <t>F1395 FFB 25-3</t>
  </si>
  <si>
    <t>14 - Cooper 1 Tie to Cooper AQCS</t>
  </si>
  <si>
    <t>#1 FFB 25-1</t>
  </si>
  <si>
    <t>15 - Smith Special Waste Landfill</t>
  </si>
  <si>
    <t>#5 FFB 25-5</t>
  </si>
  <si>
    <t>17 - Cooper Landfill - Phase 1A&amp;1B</t>
  </si>
  <si>
    <t>#7 FFB 25-7</t>
  </si>
  <si>
    <t>21 - Spurlock Drainage Improve.</t>
  </si>
  <si>
    <t>#9 FFB 25-9</t>
  </si>
  <si>
    <t>22 - Spurlock HG Compliance</t>
  </si>
  <si>
    <t>#10 FFB 25-10</t>
  </si>
  <si>
    <t>23 - Spurlock Anhydrous Ammonia</t>
  </si>
  <si>
    <t>24 - Spurlock Vacuum Truck Ash</t>
  </si>
  <si>
    <t>Totals AN-8</t>
  </si>
  <si>
    <t>25 - Spurlock 1&amp;2 Dry Sorbent Inj.</t>
  </si>
  <si>
    <t>Totals, All Categories</t>
  </si>
  <si>
    <t>Revised to Reflect Cushion of Credit Paydown</t>
  </si>
  <si>
    <r>
      <t xml:space="preserve">RUS Cushion of Credit  </t>
    </r>
    <r>
      <rPr>
        <sz val="11"/>
        <color rgb="FFFF0000"/>
        <rFont val="Arial"/>
        <family val="2"/>
      </rPr>
      <t>(3)</t>
    </r>
  </si>
  <si>
    <t xml:space="preserve">  (3)  Changes in the balance in the Cushion of Credit account between January 1, 2020 and September 9, 2020</t>
  </si>
  <si>
    <t>Accrued</t>
  </si>
  <si>
    <t>Interest</t>
  </si>
  <si>
    <t>Quarterly</t>
  </si>
  <si>
    <t>FFB Payment</t>
  </si>
  <si>
    <t>Principal</t>
  </si>
  <si>
    <t>Paydown</t>
  </si>
  <si>
    <t>Balance</t>
  </si>
  <si>
    <t>Date</t>
  </si>
  <si>
    <t>Beginning Balance, January 1, 2020</t>
  </si>
  <si>
    <t>January 31, 2020</t>
  </si>
  <si>
    <t>February 28, 2020</t>
  </si>
  <si>
    <t>March 31, 2020</t>
  </si>
  <si>
    <t>April 30, 2020</t>
  </si>
  <si>
    <t>May 31, 2020</t>
  </si>
  <si>
    <t>June 30, 2020</t>
  </si>
  <si>
    <t>July 31, 2020</t>
  </si>
  <si>
    <t>August 31, 2020</t>
  </si>
  <si>
    <t>September 9, 2020</t>
  </si>
  <si>
    <t>September 30, 2020</t>
  </si>
  <si>
    <t>generating interest income and at best would only recognize the lowering of the interest rate from 5% to 4%.</t>
  </si>
  <si>
    <t>Following the traditional practice would thus result in a mismatch between interest expense and interest income.</t>
  </si>
  <si>
    <t>Schedule 1.02 - Environmental Surcharge Adjustments</t>
  </si>
  <si>
    <t>Original</t>
  </si>
  <si>
    <t>Adjustment</t>
  </si>
  <si>
    <t>Revised due to</t>
  </si>
  <si>
    <t>Cushion of</t>
  </si>
  <si>
    <t>Credit Adj.</t>
  </si>
  <si>
    <t>Incremental</t>
  </si>
  <si>
    <t>Change in</t>
  </si>
  <si>
    <t>Schedule 1.04 - LTD Interest Expense</t>
  </si>
  <si>
    <t>Schedule 1.05 - Interest Income</t>
  </si>
  <si>
    <t>Test Year Interest Income</t>
  </si>
  <si>
    <t>Normalized Interest Income</t>
  </si>
  <si>
    <t>Adjustment to normalize Interest Income</t>
  </si>
  <si>
    <t>Interest on Long-Term Debt associated with Environmental Surcharge</t>
  </si>
  <si>
    <t>Principal Payments associated with Environmental Surcharge</t>
  </si>
  <si>
    <t>Workpaper 1.06 Cushion of Credit FINAL.xlsx</t>
  </si>
  <si>
    <t>As a result of the Cushion of Credit paydown of long-term debt, when future interest expense is updated, paid off debt would</t>
  </si>
  <si>
    <t>have a zero interest rate.  However, the Cushion of Credit paydown would not be recognized for the balance of investments</t>
  </si>
  <si>
    <t>Traditionally, the Commission does not adjust the balances for long-term debt or investments to recognize changes taking</t>
  </si>
  <si>
    <t>place post-test year.  The Commission does normally recognize changes in interest rates for both interest expense and interest</t>
  </si>
  <si>
    <t>income post-test year, usually up until the public hearing date.</t>
  </si>
  <si>
    <t>EKPC will propose to recognize the paydown on long-term debt and the reduction in the Cushion of Credit balance available</t>
  </si>
  <si>
    <t>to generate interest income.  The adjustment will be shown as a further adjustment to three previously determined</t>
  </si>
  <si>
    <t>rate-making adjustments:  removal of environmental surcharge related revenues and expenses; normalization of</t>
  </si>
  <si>
    <t>interest expense; and normalization of interest income.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</si>
</sst>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38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6" fontId="2" fillId="0" borderId="0" xfId="0" applyNumberFormat="1" applyFont="1"/>
    <xf numFmtId="164" fontId="2" fillId="0" borderId="0" xfId="0" applyNumberFormat="1" applyFont="1"/>
    <xf numFmtId="6" fontId="2" fillId="0" borderId="4" xfId="0" applyNumberFormat="1" applyFont="1" applyBorder="1"/>
    <xf numFmtId="6" fontId="2" fillId="0" borderId="5" xfId="0" applyNumberFormat="1" applyFont="1" applyBorder="1"/>
    <xf numFmtId="6" fontId="2" fillId="0" borderId="6" xfId="0" applyNumberFormat="1" applyFont="1" applyBorder="1"/>
    <xf numFmtId="0" fontId="2" fillId="0" borderId="3" xfId="0" applyFont="1" applyBorder="1" applyAlignment="1">
      <alignment horizontal="center"/>
    </xf>
    <xf numFmtId="10" fontId="2" fillId="0" borderId="0" xfId="0" applyNumberFormat="1" applyFont="1"/>
    <xf numFmtId="10" fontId="2" fillId="0" borderId="0" xfId="0" quotePrefix="1" applyNumberFormat="1" applyFont="1" applyAlignment="1">
      <alignment horizontal="right"/>
    </xf>
    <xf numFmtId="10" fontId="2" fillId="0" borderId="0" xfId="0" applyNumberFormat="1" applyFont="1" applyFill="1"/>
    <xf numFmtId="6" fontId="2" fillId="0" borderId="0" xfId="0" applyNumberFormat="1" applyFont="1" applyBorder="1"/>
    <xf numFmtId="10" fontId="2" fillId="0" borderId="4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4" xfId="0" applyNumberFormat="1" applyFont="1" applyBorder="1"/>
    <xf numFmtId="0" fontId="2" fillId="2" borderId="0" xfId="0" applyFont="1" applyFill="1" applyAlignment="1">
      <alignment horizontal="center"/>
    </xf>
    <xf numFmtId="6" fontId="2" fillId="0" borderId="0" xfId="0" applyNumberFormat="1" applyFont="1" applyFill="1"/>
    <xf numFmtId="6" fontId="2" fillId="2" borderId="0" xfId="0" applyNumberFormat="1" applyFont="1" applyFill="1"/>
    <xf numFmtId="6" fontId="2" fillId="0" borderId="4" xfId="0" applyNumberFormat="1" applyFont="1" applyFill="1" applyBorder="1"/>
    <xf numFmtId="6" fontId="2" fillId="2" borderId="4" xfId="0" applyNumberFormat="1" applyFont="1" applyFill="1" applyBorder="1"/>
    <xf numFmtId="0" fontId="3" fillId="0" borderId="0" xfId="0" applyFont="1"/>
    <xf numFmtId="0" fontId="4" fillId="0" borderId="0" xfId="0" applyFont="1"/>
    <xf numFmtId="0" fontId="2" fillId="3" borderId="0" xfId="0" applyFont="1" applyFill="1"/>
    <xf numFmtId="6" fontId="2" fillId="3" borderId="0" xfId="0" applyNumberFormat="1" applyFont="1" applyFill="1"/>
    <xf numFmtId="0" fontId="2" fillId="3" borderId="0" xfId="0" applyFont="1" applyFill="1" applyAlignment="1">
      <alignment horizontal="center"/>
    </xf>
    <xf numFmtId="8" fontId="2" fillId="0" borderId="0" xfId="0" applyNumberFormat="1" applyFont="1"/>
    <xf numFmtId="15" fontId="2" fillId="0" borderId="0" xfId="0" quotePrefix="1" applyNumberFormat="1" applyFont="1"/>
    <xf numFmtId="0" fontId="2" fillId="0" borderId="0" xfId="0" quotePrefix="1" applyFont="1"/>
    <xf numFmtId="10" fontId="3" fillId="0" borderId="0" xfId="0" applyNumberFormat="1" applyFont="1" applyFill="1"/>
    <xf numFmtId="6" fontId="0" fillId="0" borderId="0" xfId="0" applyNumberFormat="1"/>
    <xf numFmtId="6" fontId="2" fillId="0" borderId="7" xfId="0" applyNumberFormat="1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zoomScale="80" zoomScaleNormal="80" workbookViewId="0">
      <selection activeCell="B15" sqref="B15"/>
    </sheetView>
  </sheetViews>
  <sheetFormatPr defaultColWidth="15.73046875" defaultRowHeight="14.25" x14ac:dyDescent="0.45"/>
  <cols>
    <col min="1" max="1" width="4.73046875" customWidth="1"/>
  </cols>
  <sheetData>
    <row r="1" spans="1:9" x14ac:dyDescent="0.45">
      <c r="A1" s="2">
        <v>1</v>
      </c>
      <c r="B1" s="3" t="s">
        <v>449</v>
      </c>
      <c r="C1" s="3"/>
      <c r="D1" s="3"/>
      <c r="E1" s="3"/>
      <c r="F1" s="3"/>
      <c r="G1" s="3"/>
      <c r="H1" s="3"/>
    </row>
    <row r="2" spans="1:9" x14ac:dyDescent="0.45">
      <c r="A2" s="2">
        <f>A1+1</f>
        <v>2</v>
      </c>
      <c r="B2" s="3"/>
      <c r="C2" s="3"/>
      <c r="D2" s="3"/>
      <c r="E2" s="3"/>
      <c r="F2" s="3"/>
      <c r="G2" s="3"/>
      <c r="H2" s="3"/>
    </row>
    <row r="3" spans="1:9" x14ac:dyDescent="0.45">
      <c r="A3" s="2">
        <f>A2+1</f>
        <v>3</v>
      </c>
      <c r="B3" s="3"/>
      <c r="C3" s="3"/>
      <c r="D3" s="3"/>
      <c r="E3" s="3"/>
      <c r="F3" s="3"/>
      <c r="G3" s="3"/>
      <c r="H3" s="3"/>
    </row>
    <row r="4" spans="1:9" x14ac:dyDescent="0.45">
      <c r="A4" s="2">
        <f t="shared" ref="A4:A50" si="0">A3+1</f>
        <v>4</v>
      </c>
      <c r="B4" s="3" t="s">
        <v>452</v>
      </c>
      <c r="C4" s="3"/>
      <c r="D4" s="3"/>
      <c r="E4" s="3"/>
      <c r="F4" s="3"/>
      <c r="G4" s="3"/>
      <c r="H4" s="3"/>
    </row>
    <row r="5" spans="1:9" x14ac:dyDescent="0.45">
      <c r="A5" s="2">
        <f t="shared" si="0"/>
        <v>5</v>
      </c>
      <c r="B5" s="3" t="s">
        <v>453</v>
      </c>
      <c r="C5" s="3"/>
      <c r="D5" s="3"/>
      <c r="E5" s="3"/>
      <c r="F5" s="3"/>
      <c r="G5" s="3"/>
      <c r="H5" s="3"/>
    </row>
    <row r="6" spans="1:9" x14ac:dyDescent="0.45">
      <c r="A6" s="2">
        <f t="shared" si="0"/>
        <v>6</v>
      </c>
      <c r="B6" s="3" t="s">
        <v>454</v>
      </c>
      <c r="C6" s="3"/>
      <c r="D6" s="3"/>
      <c r="E6" s="3"/>
      <c r="F6" s="3"/>
      <c r="G6" s="3"/>
      <c r="H6" s="3"/>
    </row>
    <row r="7" spans="1:9" x14ac:dyDescent="0.45">
      <c r="A7" s="2">
        <f t="shared" si="0"/>
        <v>7</v>
      </c>
      <c r="B7" s="3" t="s">
        <v>450</v>
      </c>
      <c r="C7" s="3"/>
      <c r="D7" s="3"/>
      <c r="E7" s="3"/>
      <c r="F7" s="3"/>
      <c r="G7" s="3"/>
      <c r="H7" s="3"/>
    </row>
    <row r="8" spans="1:9" x14ac:dyDescent="0.45">
      <c r="A8" s="2">
        <f t="shared" si="0"/>
        <v>8</v>
      </c>
      <c r="B8" s="3" t="s">
        <v>451</v>
      </c>
      <c r="C8" s="3"/>
      <c r="D8" s="3"/>
      <c r="E8" s="3"/>
      <c r="F8" s="3"/>
      <c r="G8" s="3"/>
      <c r="H8" s="3"/>
    </row>
    <row r="9" spans="1:9" x14ac:dyDescent="0.45">
      <c r="A9" s="2">
        <f t="shared" si="0"/>
        <v>9</v>
      </c>
      <c r="B9" s="3" t="s">
        <v>432</v>
      </c>
      <c r="C9" s="3"/>
      <c r="D9" s="3"/>
      <c r="E9" s="3"/>
      <c r="F9" s="3"/>
      <c r="G9" s="3"/>
      <c r="H9" s="3"/>
    </row>
    <row r="10" spans="1:9" x14ac:dyDescent="0.45">
      <c r="A10" s="2">
        <f t="shared" si="0"/>
        <v>10</v>
      </c>
      <c r="B10" s="3" t="s">
        <v>433</v>
      </c>
      <c r="C10" s="3"/>
      <c r="D10" s="3"/>
      <c r="E10" s="3"/>
      <c r="F10" s="3"/>
      <c r="G10" s="3"/>
      <c r="H10" s="3"/>
    </row>
    <row r="11" spans="1:9" x14ac:dyDescent="0.45">
      <c r="A11" s="2">
        <f t="shared" si="0"/>
        <v>11</v>
      </c>
      <c r="B11" s="3" t="s">
        <v>455</v>
      </c>
      <c r="C11" s="3"/>
      <c r="D11" s="3"/>
      <c r="E11" s="3"/>
      <c r="F11" s="3"/>
      <c r="G11" s="3"/>
      <c r="H11" s="3"/>
    </row>
    <row r="12" spans="1:9" x14ac:dyDescent="0.45">
      <c r="A12" s="2">
        <f t="shared" si="0"/>
        <v>12</v>
      </c>
      <c r="B12" s="3" t="s">
        <v>456</v>
      </c>
      <c r="C12" s="3"/>
      <c r="D12" s="3"/>
      <c r="E12" s="3"/>
      <c r="F12" s="3"/>
      <c r="G12" s="3"/>
      <c r="H12" s="3"/>
    </row>
    <row r="13" spans="1:9" x14ac:dyDescent="0.45">
      <c r="A13" s="2">
        <f t="shared" si="0"/>
        <v>13</v>
      </c>
      <c r="B13" s="3" t="s">
        <v>457</v>
      </c>
      <c r="C13" s="3"/>
      <c r="D13" s="3"/>
      <c r="E13" s="3"/>
      <c r="F13" s="3"/>
      <c r="G13" s="3"/>
      <c r="H13" s="3"/>
    </row>
    <row r="14" spans="1:9" x14ac:dyDescent="0.45">
      <c r="A14" s="2">
        <f t="shared" si="0"/>
        <v>14</v>
      </c>
      <c r="B14" s="3" t="s">
        <v>458</v>
      </c>
      <c r="C14" s="3"/>
      <c r="D14" s="3"/>
      <c r="E14" s="3"/>
      <c r="F14" s="3"/>
      <c r="G14" s="3"/>
      <c r="H14" s="3"/>
    </row>
    <row r="15" spans="1:9" x14ac:dyDescent="0.45">
      <c r="A15" s="2">
        <f t="shared" si="0"/>
        <v>15</v>
      </c>
      <c r="B15" s="3"/>
      <c r="C15" s="3"/>
      <c r="D15" s="3"/>
      <c r="E15" s="3"/>
      <c r="F15" s="3"/>
      <c r="G15" s="3"/>
      <c r="H15" s="3"/>
    </row>
    <row r="16" spans="1:9" x14ac:dyDescent="0.45">
      <c r="A16" s="2">
        <f t="shared" si="0"/>
        <v>16</v>
      </c>
      <c r="B16" s="3"/>
      <c r="C16" s="3"/>
      <c r="D16" s="3"/>
      <c r="G16" s="20"/>
      <c r="H16" s="20" t="s">
        <v>437</v>
      </c>
      <c r="I16" s="20" t="s">
        <v>440</v>
      </c>
    </row>
    <row r="17" spans="1:10" x14ac:dyDescent="0.45">
      <c r="A17" s="2">
        <f t="shared" si="0"/>
        <v>17</v>
      </c>
      <c r="B17" s="3"/>
      <c r="C17" s="3"/>
      <c r="D17" s="3"/>
      <c r="G17" s="20" t="s">
        <v>435</v>
      </c>
      <c r="H17" s="20" t="s">
        <v>438</v>
      </c>
      <c r="I17" s="20" t="s">
        <v>441</v>
      </c>
    </row>
    <row r="18" spans="1:10" ht="14.65" thickBot="1" x14ac:dyDescent="0.5">
      <c r="A18" s="2">
        <f t="shared" si="0"/>
        <v>18</v>
      </c>
      <c r="B18" s="3"/>
      <c r="C18" s="3"/>
      <c r="D18" s="3"/>
      <c r="G18" s="13" t="s">
        <v>436</v>
      </c>
      <c r="H18" s="13" t="s">
        <v>439</v>
      </c>
      <c r="I18" s="13" t="s">
        <v>436</v>
      </c>
    </row>
    <row r="19" spans="1:10" x14ac:dyDescent="0.45">
      <c r="A19" s="2">
        <f t="shared" si="0"/>
        <v>19</v>
      </c>
      <c r="B19" s="3"/>
      <c r="C19" s="3"/>
      <c r="D19" s="3"/>
      <c r="G19" s="20"/>
      <c r="H19" s="20"/>
      <c r="I19" s="20"/>
    </row>
    <row r="20" spans="1:10" x14ac:dyDescent="0.45">
      <c r="A20" s="2">
        <f t="shared" si="0"/>
        <v>20</v>
      </c>
      <c r="B20" s="3" t="s">
        <v>434</v>
      </c>
      <c r="C20" s="3"/>
      <c r="D20" s="3"/>
      <c r="G20" s="20"/>
      <c r="H20" s="20"/>
      <c r="I20" s="20"/>
    </row>
    <row r="21" spans="1:10" x14ac:dyDescent="0.45">
      <c r="A21" s="2">
        <f t="shared" si="0"/>
        <v>21</v>
      </c>
      <c r="B21" s="3"/>
      <c r="C21" s="3"/>
      <c r="D21" s="3"/>
      <c r="G21" s="3"/>
      <c r="H21" s="3"/>
      <c r="I21" s="3"/>
    </row>
    <row r="22" spans="1:10" x14ac:dyDescent="0.45">
      <c r="A22" s="2">
        <f t="shared" si="0"/>
        <v>22</v>
      </c>
      <c r="B22" s="3" t="s">
        <v>447</v>
      </c>
      <c r="C22" s="3"/>
      <c r="D22" s="3"/>
      <c r="G22" s="8">
        <v>-24450841</v>
      </c>
      <c r="H22" s="8">
        <f>-'Surcharge Interest'!L118</f>
        <v>-28573691</v>
      </c>
      <c r="I22" s="8">
        <f>H22-G22</f>
        <v>-4122850</v>
      </c>
    </row>
    <row r="23" spans="1:10" x14ac:dyDescent="0.45">
      <c r="A23" s="2">
        <f t="shared" si="0"/>
        <v>23</v>
      </c>
      <c r="B23" s="3"/>
      <c r="C23" s="3"/>
      <c r="D23" s="3"/>
      <c r="G23" s="8"/>
      <c r="H23" s="8"/>
      <c r="I23" s="8"/>
    </row>
    <row r="24" spans="1:10" x14ac:dyDescent="0.45">
      <c r="A24" s="2">
        <f t="shared" si="0"/>
        <v>24</v>
      </c>
      <c r="B24" s="3" t="s">
        <v>448</v>
      </c>
      <c r="C24" s="3"/>
      <c r="D24" s="3"/>
      <c r="G24" s="8">
        <v>-18919643</v>
      </c>
      <c r="H24" s="8">
        <f>-'Surcharge Interest'!N118</f>
        <v>-17052027</v>
      </c>
      <c r="I24" s="8">
        <f>H24-G24</f>
        <v>1867616</v>
      </c>
    </row>
    <row r="25" spans="1:10" x14ac:dyDescent="0.45">
      <c r="A25" s="2">
        <f t="shared" si="0"/>
        <v>25</v>
      </c>
      <c r="B25" s="3"/>
      <c r="C25" s="3"/>
      <c r="D25" s="3"/>
      <c r="E25" s="8"/>
      <c r="F25" s="8"/>
      <c r="G25" s="8"/>
      <c r="H25" s="3"/>
    </row>
    <row r="26" spans="1:10" x14ac:dyDescent="0.45">
      <c r="A26" s="2">
        <f t="shared" si="0"/>
        <v>26</v>
      </c>
      <c r="B26" s="3" t="s">
        <v>442</v>
      </c>
      <c r="C26" s="3"/>
      <c r="D26" s="3"/>
      <c r="E26" s="3"/>
      <c r="F26" s="3"/>
      <c r="G26" s="3"/>
      <c r="H26" s="3"/>
    </row>
    <row r="27" spans="1:10" x14ac:dyDescent="0.45">
      <c r="A27" s="2">
        <f t="shared" si="0"/>
        <v>27</v>
      </c>
      <c r="B27" s="3"/>
      <c r="C27" s="3"/>
      <c r="D27" s="3"/>
      <c r="E27" s="3"/>
      <c r="F27" s="3"/>
      <c r="G27" s="3"/>
      <c r="H27" s="3"/>
    </row>
    <row r="28" spans="1:10" x14ac:dyDescent="0.45">
      <c r="A28" s="2">
        <f t="shared" si="0"/>
        <v>28</v>
      </c>
      <c r="B28" s="3" t="s">
        <v>209</v>
      </c>
      <c r="C28" s="3"/>
      <c r="D28" s="3"/>
      <c r="E28" s="3"/>
      <c r="F28" s="3"/>
      <c r="G28" s="3"/>
      <c r="H28" s="3"/>
    </row>
    <row r="29" spans="1:10" x14ac:dyDescent="0.45">
      <c r="A29" s="2">
        <f t="shared" si="0"/>
        <v>29</v>
      </c>
      <c r="B29" s="3" t="s">
        <v>210</v>
      </c>
      <c r="C29" s="3"/>
      <c r="D29" s="3"/>
      <c r="E29" s="3"/>
      <c r="F29" s="3"/>
      <c r="G29" s="3"/>
      <c r="H29" s="3"/>
    </row>
    <row r="30" spans="1:10" x14ac:dyDescent="0.45">
      <c r="A30" s="2">
        <f t="shared" si="0"/>
        <v>30</v>
      </c>
      <c r="B30" s="3" t="s">
        <v>211</v>
      </c>
      <c r="C30" s="3"/>
      <c r="D30" s="3"/>
      <c r="E30" s="3"/>
      <c r="F30" s="3"/>
      <c r="G30" s="8">
        <v>105427967</v>
      </c>
      <c r="H30" s="8">
        <f>'Interest Expense'!G221</f>
        <v>89722723</v>
      </c>
      <c r="I30" s="8">
        <f>H30-G30</f>
        <v>-15705244</v>
      </c>
    </row>
    <row r="31" spans="1:10" x14ac:dyDescent="0.45">
      <c r="A31" s="2">
        <f t="shared" si="0"/>
        <v>31</v>
      </c>
      <c r="B31" s="3" t="s">
        <v>212</v>
      </c>
      <c r="C31" s="3"/>
      <c r="D31" s="3"/>
      <c r="E31" s="3"/>
      <c r="F31" s="3"/>
      <c r="G31" s="10">
        <v>24035391</v>
      </c>
      <c r="H31" s="10">
        <f>'Interest Expense'!G222</f>
        <v>22165396</v>
      </c>
      <c r="I31" s="10">
        <f>H31-G31</f>
        <v>-1869995</v>
      </c>
    </row>
    <row r="32" spans="1:10" x14ac:dyDescent="0.45">
      <c r="A32" s="2">
        <f t="shared" si="0"/>
        <v>32</v>
      </c>
      <c r="B32" s="3" t="s">
        <v>213</v>
      </c>
      <c r="C32" s="3"/>
      <c r="D32" s="3"/>
      <c r="E32" s="3"/>
      <c r="F32" s="3"/>
      <c r="G32" s="39">
        <f>G30-G31</f>
        <v>81392576</v>
      </c>
      <c r="H32" s="39">
        <f>H30-H31</f>
        <v>67557327</v>
      </c>
      <c r="I32" s="39">
        <f>I30-I31</f>
        <v>-13835249</v>
      </c>
      <c r="J32" s="38"/>
    </row>
    <row r="33" spans="1:10" x14ac:dyDescent="0.45">
      <c r="A33" s="2">
        <f t="shared" si="0"/>
        <v>33</v>
      </c>
      <c r="B33" s="3" t="s">
        <v>214</v>
      </c>
      <c r="C33" s="3"/>
      <c r="D33" s="3"/>
      <c r="E33" s="3"/>
      <c r="F33" s="3"/>
      <c r="G33" s="8">
        <v>112361640</v>
      </c>
      <c r="H33" s="8">
        <f>'Interest Expense'!G224</f>
        <v>112361639.73999998</v>
      </c>
      <c r="I33" s="8">
        <f>H33-G33</f>
        <v>-0.26000002026557922</v>
      </c>
    </row>
    <row r="34" spans="1:10" x14ac:dyDescent="0.45">
      <c r="A34" s="2">
        <f t="shared" si="0"/>
        <v>34</v>
      </c>
      <c r="B34" s="3" t="s">
        <v>215</v>
      </c>
      <c r="C34" s="3"/>
      <c r="D34" s="3"/>
      <c r="E34" s="3"/>
      <c r="F34" s="3"/>
      <c r="G34" s="10">
        <v>24450841</v>
      </c>
      <c r="H34" s="10">
        <f>'Interest Expense'!G225</f>
        <v>28573691</v>
      </c>
      <c r="I34" s="10">
        <f>H34-G34</f>
        <v>4122850</v>
      </c>
    </row>
    <row r="35" spans="1:10" x14ac:dyDescent="0.45">
      <c r="A35" s="2">
        <f t="shared" si="0"/>
        <v>35</v>
      </c>
      <c r="B35" s="3" t="s">
        <v>216</v>
      </c>
      <c r="C35" s="3"/>
      <c r="D35" s="3"/>
      <c r="E35" s="3"/>
      <c r="F35" s="3"/>
      <c r="G35" s="39">
        <f>G33-G34</f>
        <v>87910799</v>
      </c>
      <c r="H35" s="39">
        <f>H33-H34</f>
        <v>83787948.73999998</v>
      </c>
      <c r="I35" s="39">
        <f>I33-I34</f>
        <v>-4122850.2600000203</v>
      </c>
      <c r="J35" s="38"/>
    </row>
    <row r="36" spans="1:10" ht="14.65" thickBot="1" x14ac:dyDescent="0.5">
      <c r="A36" s="2">
        <f t="shared" si="0"/>
        <v>36</v>
      </c>
      <c r="B36" s="3" t="s">
        <v>217</v>
      </c>
      <c r="G36" s="12">
        <f>G32-G35</f>
        <v>-6518223</v>
      </c>
      <c r="H36" s="12">
        <f>H32-H35</f>
        <v>-16230621.73999998</v>
      </c>
      <c r="I36" s="12">
        <f>I32-I35</f>
        <v>-9712398.7399999797</v>
      </c>
      <c r="J36" s="38"/>
    </row>
    <row r="37" spans="1:10" ht="14.65" thickTop="1" x14ac:dyDescent="0.45">
      <c r="A37" s="2">
        <f t="shared" si="0"/>
        <v>37</v>
      </c>
      <c r="B37" s="3"/>
      <c r="G37" s="8"/>
      <c r="H37" s="8"/>
      <c r="I37" s="8"/>
    </row>
    <row r="38" spans="1:10" x14ac:dyDescent="0.45">
      <c r="A38" s="2">
        <f t="shared" si="0"/>
        <v>38</v>
      </c>
      <c r="B38" s="3" t="s">
        <v>443</v>
      </c>
      <c r="C38" s="3"/>
      <c r="D38" s="3"/>
      <c r="E38" s="3"/>
      <c r="F38" s="3"/>
      <c r="G38" s="3"/>
      <c r="H38" s="3"/>
      <c r="I38" s="3"/>
    </row>
    <row r="39" spans="1:10" x14ac:dyDescent="0.45">
      <c r="A39" s="2">
        <f t="shared" si="0"/>
        <v>39</v>
      </c>
      <c r="B39" s="3"/>
      <c r="C39" s="3"/>
      <c r="D39" s="3"/>
      <c r="E39" s="3"/>
      <c r="F39" s="3"/>
      <c r="G39" s="3"/>
      <c r="H39" s="3"/>
      <c r="I39" s="3"/>
    </row>
    <row r="40" spans="1:10" x14ac:dyDescent="0.45">
      <c r="A40" s="2">
        <f t="shared" si="0"/>
        <v>40</v>
      </c>
      <c r="B40" s="3" t="s">
        <v>444</v>
      </c>
      <c r="C40" s="3"/>
      <c r="D40" s="3"/>
      <c r="E40" s="3"/>
      <c r="F40" s="3"/>
      <c r="G40" s="8">
        <v>25331765</v>
      </c>
      <c r="H40" s="8">
        <f>'Interest Income'!F51</f>
        <v>25331765</v>
      </c>
      <c r="I40" s="8">
        <f>H40-G40</f>
        <v>0</v>
      </c>
    </row>
    <row r="41" spans="1:10" x14ac:dyDescent="0.45">
      <c r="A41" s="2">
        <f t="shared" si="0"/>
        <v>41</v>
      </c>
      <c r="B41" s="3" t="s">
        <v>445</v>
      </c>
      <c r="C41" s="3"/>
      <c r="D41" s="3"/>
      <c r="E41" s="3"/>
      <c r="F41" s="3"/>
      <c r="G41" s="10">
        <v>18542496</v>
      </c>
      <c r="H41" s="10">
        <f>'Interest Income'!H51</f>
        <v>1090741</v>
      </c>
      <c r="I41" s="10">
        <f>H41-G41</f>
        <v>-17451755</v>
      </c>
    </row>
    <row r="42" spans="1:10" x14ac:dyDescent="0.45">
      <c r="A42" s="2">
        <f t="shared" si="0"/>
        <v>42</v>
      </c>
      <c r="B42" s="3"/>
      <c r="C42" s="3"/>
      <c r="D42" s="3"/>
      <c r="E42" s="3"/>
      <c r="F42" s="3"/>
      <c r="G42" s="8"/>
      <c r="H42" s="8"/>
      <c r="I42" s="8"/>
    </row>
    <row r="43" spans="1:10" ht="14.65" thickBot="1" x14ac:dyDescent="0.5">
      <c r="A43" s="2">
        <f t="shared" si="0"/>
        <v>43</v>
      </c>
      <c r="B43" s="3" t="s">
        <v>446</v>
      </c>
      <c r="C43" s="3"/>
      <c r="D43" s="3"/>
      <c r="E43" s="3"/>
      <c r="F43" s="3"/>
      <c r="G43" s="11">
        <f>G41-G40</f>
        <v>-6789269</v>
      </c>
      <c r="H43" s="11">
        <f>H41-H40</f>
        <v>-24241024</v>
      </c>
      <c r="I43" s="11">
        <f>H43-G43</f>
        <v>-17451755</v>
      </c>
    </row>
    <row r="44" spans="1:10" ht="14.65" thickTop="1" x14ac:dyDescent="0.45">
      <c r="A44" s="2">
        <f t="shared" si="0"/>
        <v>44</v>
      </c>
      <c r="B44" s="3"/>
      <c r="C44" s="3"/>
      <c r="D44" s="3"/>
      <c r="E44" s="3"/>
      <c r="F44" s="3"/>
      <c r="G44" s="3"/>
      <c r="H44" s="3"/>
      <c r="I44" s="3"/>
    </row>
    <row r="45" spans="1:10" x14ac:dyDescent="0.45">
      <c r="A45" s="2">
        <f t="shared" si="0"/>
        <v>45</v>
      </c>
      <c r="B45" s="3"/>
      <c r="C45" s="3"/>
      <c r="D45" s="3"/>
      <c r="E45" s="3"/>
      <c r="F45" s="3"/>
      <c r="G45" s="3"/>
      <c r="H45" s="3"/>
      <c r="I45" s="3"/>
    </row>
    <row r="46" spans="1:10" x14ac:dyDescent="0.45">
      <c r="A46" s="2">
        <f t="shared" si="0"/>
        <v>46</v>
      </c>
      <c r="B46" s="3"/>
      <c r="C46" s="3"/>
      <c r="D46" s="3"/>
      <c r="E46" s="3"/>
      <c r="F46" s="3"/>
      <c r="G46" s="3"/>
      <c r="H46" s="3"/>
      <c r="I46" s="3"/>
    </row>
    <row r="47" spans="1:10" x14ac:dyDescent="0.45">
      <c r="A47" s="2">
        <f t="shared" si="0"/>
        <v>47</v>
      </c>
      <c r="B47" s="3"/>
      <c r="C47" s="3"/>
      <c r="D47" s="3"/>
      <c r="E47" s="3"/>
      <c r="F47" s="3"/>
      <c r="G47" s="3"/>
      <c r="H47" s="3"/>
      <c r="I47" s="3"/>
    </row>
    <row r="48" spans="1:10" x14ac:dyDescent="0.45">
      <c r="A48" s="2">
        <f t="shared" si="0"/>
        <v>48</v>
      </c>
      <c r="B48" s="3"/>
      <c r="C48" s="3"/>
      <c r="D48" s="3"/>
      <c r="E48" s="3"/>
      <c r="F48" s="3"/>
      <c r="G48" s="3"/>
      <c r="H48" s="3"/>
      <c r="I48" s="3"/>
    </row>
    <row r="49" spans="1:9" x14ac:dyDescent="0.45">
      <c r="A49" s="2">
        <f t="shared" si="0"/>
        <v>49</v>
      </c>
      <c r="B49" s="3"/>
      <c r="C49" s="3"/>
      <c r="D49" s="3"/>
      <c r="E49" s="3"/>
      <c r="F49" s="3"/>
      <c r="G49" s="3"/>
      <c r="H49" s="3"/>
      <c r="I49" s="3"/>
    </row>
    <row r="50" spans="1:9" x14ac:dyDescent="0.45">
      <c r="A50" s="2">
        <f t="shared" si="0"/>
        <v>50</v>
      </c>
      <c r="B50" s="3"/>
      <c r="C50" s="3"/>
      <c r="D50" s="3"/>
      <c r="E50" s="3"/>
      <c r="F50" s="3"/>
      <c r="G50" s="3"/>
      <c r="H50" s="3"/>
      <c r="I50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8"/>
  <sheetViews>
    <sheetView zoomScale="80" zoomScaleNormal="80" workbookViewId="0">
      <selection activeCell="H2" sqref="H2"/>
    </sheetView>
  </sheetViews>
  <sheetFormatPr defaultColWidth="15.73046875" defaultRowHeight="14.25" x14ac:dyDescent="0.45"/>
  <cols>
    <col min="1" max="1" width="5.73046875" bestFit="1" customWidth="1"/>
    <col min="2" max="2" width="45.73046875" customWidth="1"/>
    <col min="3" max="3" width="17.86328125" bestFit="1" customWidth="1"/>
    <col min="4" max="5" width="15.86328125" bestFit="1" customWidth="1"/>
    <col min="6" max="7" width="17.86328125" customWidth="1"/>
    <col min="8" max="8" width="17.86328125" bestFit="1" customWidth="1"/>
  </cols>
  <sheetData>
    <row r="1" spans="1:8" x14ac:dyDescent="0.45">
      <c r="A1" s="2">
        <v>0</v>
      </c>
      <c r="B1" s="3" t="str">
        <f>Summary!B1</f>
        <v>Workpaper 1.06 Cushion of Credit FINAL.xlsx</v>
      </c>
      <c r="C1" s="3"/>
      <c r="D1" s="3"/>
      <c r="E1" s="3"/>
      <c r="F1" s="3"/>
      <c r="G1" s="3"/>
      <c r="H1" s="3"/>
    </row>
    <row r="2" spans="1:8" x14ac:dyDescent="0.45">
      <c r="A2" s="2">
        <f>A1+1</f>
        <v>1</v>
      </c>
      <c r="B2" s="3"/>
      <c r="C2" s="3"/>
      <c r="D2" s="3"/>
      <c r="E2" s="3"/>
      <c r="F2" s="3"/>
      <c r="G2" s="3"/>
      <c r="H2" s="1"/>
    </row>
    <row r="3" spans="1:8" x14ac:dyDescent="0.45">
      <c r="A3" s="2">
        <f t="shared" ref="A3:A66" si="0">A2+1</f>
        <v>2</v>
      </c>
      <c r="B3" s="41" t="s">
        <v>0</v>
      </c>
      <c r="C3" s="41"/>
      <c r="D3" s="41"/>
      <c r="E3" s="41"/>
      <c r="F3" s="41"/>
      <c r="G3" s="41"/>
      <c r="H3" s="41"/>
    </row>
    <row r="4" spans="1:8" x14ac:dyDescent="0.45">
      <c r="A4" s="2">
        <f t="shared" si="0"/>
        <v>3</v>
      </c>
      <c r="B4" s="41" t="s">
        <v>1</v>
      </c>
      <c r="C4" s="41"/>
      <c r="D4" s="41"/>
      <c r="E4" s="41"/>
      <c r="F4" s="41"/>
      <c r="G4" s="41"/>
      <c r="H4" s="41"/>
    </row>
    <row r="5" spans="1:8" x14ac:dyDescent="0.45">
      <c r="A5" s="2">
        <f t="shared" si="0"/>
        <v>4</v>
      </c>
      <c r="B5" s="3"/>
      <c r="C5" s="44" t="s">
        <v>410</v>
      </c>
      <c r="D5" s="44"/>
      <c r="E5" s="44"/>
      <c r="F5" s="3"/>
      <c r="G5" s="3"/>
      <c r="H5" s="3"/>
    </row>
    <row r="6" spans="1:8" x14ac:dyDescent="0.45">
      <c r="A6" s="2">
        <f t="shared" si="0"/>
        <v>5</v>
      </c>
      <c r="B6" s="3"/>
      <c r="C6" s="3"/>
      <c r="D6" s="3"/>
      <c r="E6" s="3"/>
      <c r="F6" s="3"/>
      <c r="G6" s="3"/>
      <c r="H6" s="3"/>
    </row>
    <row r="7" spans="1:8" x14ac:dyDescent="0.45">
      <c r="A7" s="2">
        <f t="shared" si="0"/>
        <v>6</v>
      </c>
      <c r="B7" s="3"/>
      <c r="C7" s="4" t="s">
        <v>2</v>
      </c>
      <c r="D7" s="42" t="s">
        <v>3</v>
      </c>
      <c r="E7" s="43"/>
      <c r="F7" s="42" t="s">
        <v>4</v>
      </c>
      <c r="G7" s="43"/>
      <c r="H7" s="4" t="s">
        <v>5</v>
      </c>
    </row>
    <row r="8" spans="1:8" x14ac:dyDescent="0.45">
      <c r="A8" s="2">
        <f t="shared" si="0"/>
        <v>7</v>
      </c>
      <c r="B8" s="3"/>
      <c r="C8" s="4" t="s">
        <v>6</v>
      </c>
      <c r="D8" s="4" t="s">
        <v>7</v>
      </c>
      <c r="E8" s="4" t="s">
        <v>8</v>
      </c>
      <c r="F8" s="4" t="s">
        <v>7</v>
      </c>
      <c r="G8" s="4" t="s">
        <v>8</v>
      </c>
      <c r="H8" s="4" t="s">
        <v>9</v>
      </c>
    </row>
    <row r="9" spans="1:8" ht="14.65" thickBot="1" x14ac:dyDescent="0.5">
      <c r="A9" s="2">
        <f t="shared" si="0"/>
        <v>8</v>
      </c>
      <c r="B9" s="5" t="s">
        <v>10</v>
      </c>
      <c r="C9" s="5" t="s">
        <v>11</v>
      </c>
      <c r="D9" s="6">
        <v>43830</v>
      </c>
      <c r="E9" s="6">
        <v>44012</v>
      </c>
      <c r="F9" s="6">
        <v>43830</v>
      </c>
      <c r="G9" s="6">
        <v>44012</v>
      </c>
      <c r="H9" s="7" t="s">
        <v>12</v>
      </c>
    </row>
    <row r="10" spans="1:8" x14ac:dyDescent="0.45">
      <c r="A10" s="2">
        <f t="shared" si="0"/>
        <v>9</v>
      </c>
      <c r="B10" s="3"/>
      <c r="C10" s="3"/>
      <c r="D10" s="3"/>
      <c r="E10" s="3"/>
      <c r="F10" s="3"/>
      <c r="G10" s="3"/>
      <c r="H10" s="3"/>
    </row>
    <row r="11" spans="1:8" x14ac:dyDescent="0.45">
      <c r="A11" s="2">
        <f t="shared" si="0"/>
        <v>10</v>
      </c>
      <c r="B11" s="3" t="s">
        <v>13</v>
      </c>
      <c r="C11" s="8"/>
      <c r="D11" s="9"/>
      <c r="E11" s="9"/>
      <c r="F11" s="8"/>
      <c r="G11" s="8"/>
      <c r="H11" s="8"/>
    </row>
    <row r="12" spans="1:8" x14ac:dyDescent="0.45">
      <c r="A12" s="2">
        <f t="shared" si="0"/>
        <v>11</v>
      </c>
      <c r="B12" s="3" t="s">
        <v>14</v>
      </c>
      <c r="C12" s="8">
        <v>179000000</v>
      </c>
      <c r="D12" s="9">
        <v>4.6100000000000002E-2</v>
      </c>
      <c r="E12" s="9">
        <v>4.6100000000000002E-2</v>
      </c>
      <c r="F12" s="8">
        <f t="shared" ref="F12:F14" si="1">ROUND(C12*D12,0)</f>
        <v>8251900</v>
      </c>
      <c r="G12" s="8">
        <f t="shared" ref="G12:G14" si="2">ROUND(C12*E12,0)</f>
        <v>8251900</v>
      </c>
      <c r="H12" s="8">
        <v>8274309.6900000004</v>
      </c>
    </row>
    <row r="13" spans="1:8" x14ac:dyDescent="0.45">
      <c r="A13" s="2">
        <f t="shared" si="0"/>
        <v>12</v>
      </c>
      <c r="B13" s="3" t="s">
        <v>15</v>
      </c>
      <c r="C13" s="8">
        <v>150000000</v>
      </c>
      <c r="D13" s="9">
        <v>4.4499999999999998E-2</v>
      </c>
      <c r="E13" s="9">
        <v>4.4499999999999998E-2</v>
      </c>
      <c r="F13" s="8">
        <f t="shared" si="1"/>
        <v>6675000</v>
      </c>
      <c r="G13" s="8">
        <f t="shared" si="2"/>
        <v>6675000</v>
      </c>
      <c r="H13" s="8">
        <v>4691041.67</v>
      </c>
    </row>
    <row r="14" spans="1:8" x14ac:dyDescent="0.45">
      <c r="A14" s="2">
        <f t="shared" si="0"/>
        <v>13</v>
      </c>
      <c r="B14" s="3" t="s">
        <v>16</v>
      </c>
      <c r="C14" s="10">
        <v>2700000</v>
      </c>
      <c r="D14" s="9">
        <v>1.2500000000000001E-2</v>
      </c>
      <c r="E14" s="9">
        <v>1.2500000000000001E-2</v>
      </c>
      <c r="F14" s="10">
        <f t="shared" si="1"/>
        <v>33750</v>
      </c>
      <c r="G14" s="10">
        <f t="shared" si="2"/>
        <v>33750</v>
      </c>
      <c r="H14" s="10">
        <v>53259.37</v>
      </c>
    </row>
    <row r="15" spans="1:8" x14ac:dyDescent="0.45">
      <c r="A15" s="2">
        <f t="shared" si="0"/>
        <v>14</v>
      </c>
      <c r="B15" s="3"/>
      <c r="C15" s="8"/>
      <c r="D15" s="9"/>
      <c r="E15" s="9"/>
      <c r="F15" s="8"/>
      <c r="G15" s="8"/>
      <c r="H15" s="8"/>
    </row>
    <row r="16" spans="1:8" x14ac:dyDescent="0.45">
      <c r="A16" s="2">
        <f t="shared" si="0"/>
        <v>15</v>
      </c>
      <c r="B16" s="3" t="s">
        <v>17</v>
      </c>
      <c r="C16" s="10">
        <f>SUM(C12:C14)</f>
        <v>331700000</v>
      </c>
      <c r="D16" s="9"/>
      <c r="E16" s="9"/>
      <c r="F16" s="10">
        <f t="shared" ref="F16:H16" si="3">SUM(F12:F14)</f>
        <v>14960650</v>
      </c>
      <c r="G16" s="10">
        <f t="shared" si="3"/>
        <v>14960650</v>
      </c>
      <c r="H16" s="10">
        <f t="shared" si="3"/>
        <v>13018610.729999999</v>
      </c>
    </row>
    <row r="17" spans="1:8" x14ac:dyDescent="0.45">
      <c r="A17" s="2">
        <f t="shared" si="0"/>
        <v>16</v>
      </c>
      <c r="B17" s="3"/>
      <c r="C17" s="8"/>
      <c r="D17" s="9"/>
      <c r="E17" s="9"/>
      <c r="F17" s="8"/>
      <c r="G17" s="8"/>
      <c r="H17" s="8"/>
    </row>
    <row r="18" spans="1:8" x14ac:dyDescent="0.45">
      <c r="A18" s="2">
        <f t="shared" si="0"/>
        <v>17</v>
      </c>
      <c r="B18" s="3" t="s">
        <v>18</v>
      </c>
      <c r="C18" s="8"/>
      <c r="D18" s="9"/>
      <c r="E18" s="9"/>
      <c r="F18" s="8"/>
      <c r="G18" s="8"/>
      <c r="H18" s="8"/>
    </row>
    <row r="19" spans="1:8" x14ac:dyDescent="0.45">
      <c r="A19" s="2">
        <f t="shared" si="0"/>
        <v>18</v>
      </c>
      <c r="B19" s="3" t="s">
        <v>19</v>
      </c>
      <c r="C19" s="8"/>
      <c r="D19" s="9"/>
      <c r="E19" s="9"/>
      <c r="F19" s="8"/>
      <c r="G19" s="8"/>
      <c r="H19" s="8"/>
    </row>
    <row r="20" spans="1:8" x14ac:dyDescent="0.45">
      <c r="A20" s="2">
        <f t="shared" si="0"/>
        <v>19</v>
      </c>
      <c r="B20" s="3" t="s">
        <v>20</v>
      </c>
      <c r="C20" s="8">
        <v>100000000</v>
      </c>
      <c r="D20" s="9">
        <v>4.2999999999999997E-2</v>
      </c>
      <c r="E20" s="9">
        <v>4.2999999999999997E-2</v>
      </c>
      <c r="F20" s="8">
        <f t="shared" ref="F20:F28" si="4">ROUND(C20*D20,0)</f>
        <v>4300000</v>
      </c>
      <c r="G20" s="8">
        <f t="shared" ref="G20:G28" si="5">ROUND(C20*E20,0)</f>
        <v>4300000</v>
      </c>
      <c r="H20" s="8">
        <v>3008036.54</v>
      </c>
    </row>
    <row r="21" spans="1:8" x14ac:dyDescent="0.45">
      <c r="A21" s="2">
        <f t="shared" si="0"/>
        <v>20</v>
      </c>
      <c r="B21" s="3" t="s">
        <v>21</v>
      </c>
      <c r="C21" s="8">
        <v>1776837.85</v>
      </c>
      <c r="D21" s="9">
        <v>4.0000000000000001E-3</v>
      </c>
      <c r="E21" s="9">
        <v>4.0000000000000001E-3</v>
      </c>
      <c r="F21" s="8">
        <f t="shared" si="4"/>
        <v>7107</v>
      </c>
      <c r="G21" s="8">
        <f t="shared" si="5"/>
        <v>7107</v>
      </c>
      <c r="H21" s="8">
        <v>7528.73</v>
      </c>
    </row>
    <row r="22" spans="1:8" x14ac:dyDescent="0.45">
      <c r="A22" s="2">
        <f t="shared" si="0"/>
        <v>21</v>
      </c>
      <c r="B22" s="3" t="s">
        <v>22</v>
      </c>
      <c r="C22" s="8">
        <v>17396627.27</v>
      </c>
      <c r="D22" s="9">
        <v>1.5599999999999999E-2</v>
      </c>
      <c r="E22" s="9">
        <v>1.5599999999999999E-2</v>
      </c>
      <c r="F22" s="8">
        <f t="shared" si="4"/>
        <v>271387</v>
      </c>
      <c r="G22" s="8">
        <f t="shared" si="5"/>
        <v>271387</v>
      </c>
      <c r="H22" s="8">
        <v>266793.55</v>
      </c>
    </row>
    <row r="23" spans="1:8" x14ac:dyDescent="0.45">
      <c r="A23" s="2">
        <f t="shared" si="0"/>
        <v>22</v>
      </c>
      <c r="B23" s="3" t="s">
        <v>23</v>
      </c>
      <c r="C23" s="8">
        <v>0</v>
      </c>
      <c r="D23" s="9">
        <v>4.8500000000000001E-2</v>
      </c>
      <c r="E23" s="9">
        <v>4.8500000000000001E-2</v>
      </c>
      <c r="F23" s="8">
        <f t="shared" si="4"/>
        <v>0</v>
      </c>
      <c r="G23" s="8">
        <f t="shared" si="5"/>
        <v>0</v>
      </c>
      <c r="H23" s="8">
        <v>48511.7</v>
      </c>
    </row>
    <row r="24" spans="1:8" x14ac:dyDescent="0.45">
      <c r="A24" s="2">
        <f t="shared" si="0"/>
        <v>23</v>
      </c>
      <c r="B24" s="3" t="s">
        <v>24</v>
      </c>
      <c r="C24" s="8">
        <v>1335822</v>
      </c>
      <c r="D24" s="9">
        <v>5.0500000000000003E-2</v>
      </c>
      <c r="E24" s="9">
        <v>5.0500000000000003E-2</v>
      </c>
      <c r="F24" s="8">
        <f t="shared" si="4"/>
        <v>67459</v>
      </c>
      <c r="G24" s="8">
        <f t="shared" si="5"/>
        <v>67459</v>
      </c>
      <c r="H24" s="8">
        <v>67459.600000000006</v>
      </c>
    </row>
    <row r="25" spans="1:8" x14ac:dyDescent="0.45">
      <c r="A25" s="2">
        <f t="shared" si="0"/>
        <v>24</v>
      </c>
      <c r="B25" s="3" t="s">
        <v>25</v>
      </c>
      <c r="C25" s="8">
        <v>1544167</v>
      </c>
      <c r="D25" s="9">
        <v>5.1499999999999997E-2</v>
      </c>
      <c r="E25" s="9">
        <v>5.1499999999999997E-2</v>
      </c>
      <c r="F25" s="8">
        <f t="shared" si="4"/>
        <v>79525</v>
      </c>
      <c r="G25" s="8">
        <f t="shared" si="5"/>
        <v>79525</v>
      </c>
      <c r="H25" s="8">
        <v>79524</v>
      </c>
    </row>
    <row r="26" spans="1:8" x14ac:dyDescent="0.45">
      <c r="A26" s="2">
        <f t="shared" si="0"/>
        <v>25</v>
      </c>
      <c r="B26" s="3" t="s">
        <v>26</v>
      </c>
      <c r="C26" s="8">
        <v>1389610</v>
      </c>
      <c r="D26" s="9">
        <v>5.2499999999999998E-2</v>
      </c>
      <c r="E26" s="9">
        <v>5.2499999999999998E-2</v>
      </c>
      <c r="F26" s="8">
        <f t="shared" si="4"/>
        <v>72955</v>
      </c>
      <c r="G26" s="8">
        <f t="shared" si="5"/>
        <v>72955</v>
      </c>
      <c r="H26" s="8">
        <v>72954.52</v>
      </c>
    </row>
    <row r="27" spans="1:8" x14ac:dyDescent="0.45">
      <c r="A27" s="2">
        <f t="shared" si="0"/>
        <v>26</v>
      </c>
      <c r="B27" s="3" t="s">
        <v>27</v>
      </c>
      <c r="C27" s="8">
        <v>980127</v>
      </c>
      <c r="D27" s="9">
        <v>5.3999999999999999E-2</v>
      </c>
      <c r="E27" s="9">
        <v>5.3999999999999999E-2</v>
      </c>
      <c r="F27" s="8">
        <f t="shared" si="4"/>
        <v>52927</v>
      </c>
      <c r="G27" s="8">
        <f t="shared" si="5"/>
        <v>52927</v>
      </c>
      <c r="H27" s="8">
        <v>52926.84</v>
      </c>
    </row>
    <row r="28" spans="1:8" x14ac:dyDescent="0.45">
      <c r="A28" s="2">
        <f t="shared" si="0"/>
        <v>27</v>
      </c>
      <c r="B28" s="3" t="s">
        <v>28</v>
      </c>
      <c r="C28" s="10">
        <v>325315</v>
      </c>
      <c r="D28" s="9">
        <v>5.5E-2</v>
      </c>
      <c r="E28" s="9">
        <v>5.5E-2</v>
      </c>
      <c r="F28" s="10">
        <f t="shared" si="4"/>
        <v>17892</v>
      </c>
      <c r="G28" s="10">
        <f t="shared" si="5"/>
        <v>17892</v>
      </c>
      <c r="H28" s="10">
        <v>17892.32</v>
      </c>
    </row>
    <row r="29" spans="1:8" x14ac:dyDescent="0.45">
      <c r="A29" s="2">
        <f t="shared" si="0"/>
        <v>28</v>
      </c>
      <c r="B29" s="3"/>
      <c r="C29" s="8"/>
      <c r="D29" s="9"/>
      <c r="E29" s="9"/>
      <c r="F29" s="8"/>
      <c r="G29" s="8"/>
      <c r="H29" s="8"/>
    </row>
    <row r="30" spans="1:8" x14ac:dyDescent="0.45">
      <c r="A30" s="2">
        <f t="shared" si="0"/>
        <v>29</v>
      </c>
      <c r="B30" s="3" t="s">
        <v>29</v>
      </c>
      <c r="C30" s="10">
        <f>SUM(C20:C28)</f>
        <v>124748506.11999999</v>
      </c>
      <c r="D30" s="9"/>
      <c r="E30" s="9"/>
      <c r="F30" s="10">
        <f t="shared" ref="F30:H30" si="6">SUM(F20:F28)</f>
        <v>4869252</v>
      </c>
      <c r="G30" s="10">
        <f t="shared" si="6"/>
        <v>4869252</v>
      </c>
      <c r="H30" s="10">
        <f t="shared" si="6"/>
        <v>3621627.8</v>
      </c>
    </row>
    <row r="31" spans="1:8" x14ac:dyDescent="0.45">
      <c r="A31" s="2">
        <f t="shared" si="0"/>
        <v>30</v>
      </c>
      <c r="B31" s="3"/>
      <c r="C31" s="8"/>
      <c r="D31" s="9"/>
      <c r="E31" s="9"/>
      <c r="F31" s="8"/>
      <c r="G31" s="8"/>
      <c r="H31" s="8"/>
    </row>
    <row r="32" spans="1:8" x14ac:dyDescent="0.45">
      <c r="A32" s="2">
        <f t="shared" si="0"/>
        <v>31</v>
      </c>
      <c r="B32" s="3" t="s">
        <v>30</v>
      </c>
      <c r="C32" s="8"/>
      <c r="D32" s="9"/>
      <c r="E32" s="9"/>
      <c r="F32" s="8"/>
      <c r="G32" s="8"/>
      <c r="H32" s="8"/>
    </row>
    <row r="33" spans="1:8" x14ac:dyDescent="0.45">
      <c r="A33" s="2">
        <f t="shared" si="0"/>
        <v>32</v>
      </c>
      <c r="B33" s="3" t="s">
        <v>31</v>
      </c>
      <c r="C33" s="8">
        <v>0</v>
      </c>
      <c r="D33" s="9">
        <v>5.1249999999999997E-2</v>
      </c>
      <c r="E33" s="9">
        <v>5.1249999999999997E-2</v>
      </c>
      <c r="F33" s="8">
        <f t="shared" ref="F33:F34" si="7">ROUND(C33*D33,0)</f>
        <v>0</v>
      </c>
      <c r="G33" s="8">
        <f t="shared" ref="G33:G34" si="8">ROUND(C33*E33,0)</f>
        <v>0</v>
      </c>
      <c r="H33" s="8">
        <v>51782.720000000001</v>
      </c>
    </row>
    <row r="34" spans="1:8" x14ac:dyDescent="0.45">
      <c r="A34" s="2">
        <f t="shared" si="0"/>
        <v>33</v>
      </c>
      <c r="B34" s="3" t="s">
        <v>32</v>
      </c>
      <c r="C34" s="10">
        <v>0</v>
      </c>
      <c r="D34" s="9">
        <v>5.1249999999999997E-2</v>
      </c>
      <c r="E34" s="9">
        <v>5.1249999999999997E-2</v>
      </c>
      <c r="F34" s="10">
        <f t="shared" si="7"/>
        <v>0</v>
      </c>
      <c r="G34" s="10">
        <f t="shared" si="8"/>
        <v>0</v>
      </c>
      <c r="H34" s="10">
        <v>51782.720000000001</v>
      </c>
    </row>
    <row r="35" spans="1:8" x14ac:dyDescent="0.45">
      <c r="A35" s="2">
        <f t="shared" si="0"/>
        <v>34</v>
      </c>
      <c r="B35" s="3"/>
      <c r="C35" s="8"/>
      <c r="D35" s="9"/>
      <c r="E35" s="9"/>
      <c r="F35" s="8"/>
      <c r="G35" s="8"/>
      <c r="H35" s="8"/>
    </row>
    <row r="36" spans="1:8" x14ac:dyDescent="0.45">
      <c r="A36" s="2">
        <f t="shared" si="0"/>
        <v>35</v>
      </c>
      <c r="B36" s="3" t="s">
        <v>33</v>
      </c>
      <c r="C36" s="10">
        <f>C33+C34</f>
        <v>0</v>
      </c>
      <c r="D36" s="9"/>
      <c r="E36" s="9"/>
      <c r="F36" s="10">
        <f t="shared" ref="F36:H36" si="9">F33+F34</f>
        <v>0</v>
      </c>
      <c r="G36" s="10">
        <f t="shared" si="9"/>
        <v>0</v>
      </c>
      <c r="H36" s="10">
        <f t="shared" si="9"/>
        <v>103565.44</v>
      </c>
    </row>
    <row r="37" spans="1:8" x14ac:dyDescent="0.45">
      <c r="A37" s="2">
        <f t="shared" si="0"/>
        <v>36</v>
      </c>
      <c r="B37" s="3"/>
      <c r="C37" s="8"/>
      <c r="D37" s="9"/>
      <c r="E37" s="9"/>
      <c r="F37" s="8"/>
      <c r="G37" s="8"/>
      <c r="H37" s="8"/>
    </row>
    <row r="38" spans="1:8" x14ac:dyDescent="0.45">
      <c r="A38" s="2">
        <f t="shared" si="0"/>
        <v>37</v>
      </c>
      <c r="B38" s="3" t="s">
        <v>34</v>
      </c>
      <c r="C38" s="8"/>
      <c r="D38" s="9"/>
      <c r="E38" s="9"/>
      <c r="F38" s="8"/>
      <c r="G38" s="8"/>
      <c r="H38" s="8"/>
    </row>
    <row r="39" spans="1:8" x14ac:dyDescent="0.45">
      <c r="A39" s="2">
        <f t="shared" si="0"/>
        <v>38</v>
      </c>
      <c r="B39" s="3" t="s">
        <v>35</v>
      </c>
      <c r="C39" s="8">
        <v>0</v>
      </c>
      <c r="D39" s="9">
        <v>5.4510000000000003E-2</v>
      </c>
      <c r="E39" s="9">
        <v>5.4510000000000003E-2</v>
      </c>
      <c r="F39" s="8">
        <f t="shared" ref="F39:F102" si="10">ROUND(C39*D39,0)</f>
        <v>0</v>
      </c>
      <c r="G39" s="8">
        <f t="shared" ref="G39:G102" si="11">ROUND(C39*E39,0)</f>
        <v>0</v>
      </c>
      <c r="H39" s="8">
        <v>99292.49</v>
      </c>
    </row>
    <row r="40" spans="1:8" x14ac:dyDescent="0.45">
      <c r="A40" s="2">
        <f t="shared" si="0"/>
        <v>39</v>
      </c>
      <c r="B40" s="3" t="s">
        <v>36</v>
      </c>
      <c r="C40" s="8">
        <v>0</v>
      </c>
      <c r="D40" s="9">
        <v>5.4260000000000003E-2</v>
      </c>
      <c r="E40" s="9">
        <v>5.4260000000000003E-2</v>
      </c>
      <c r="F40" s="8">
        <f t="shared" si="10"/>
        <v>0</v>
      </c>
      <c r="G40" s="8">
        <f t="shared" si="11"/>
        <v>0</v>
      </c>
      <c r="H40" s="8">
        <v>84186.01</v>
      </c>
    </row>
    <row r="41" spans="1:8" x14ac:dyDescent="0.45">
      <c r="A41" s="2">
        <f t="shared" si="0"/>
        <v>40</v>
      </c>
      <c r="B41" s="3" t="s">
        <v>37</v>
      </c>
      <c r="C41" s="8">
        <v>0</v>
      </c>
      <c r="D41" s="9">
        <v>5.1040000000000002E-2</v>
      </c>
      <c r="E41" s="9">
        <v>5.1040000000000002E-2</v>
      </c>
      <c r="F41" s="8">
        <f t="shared" si="10"/>
        <v>0</v>
      </c>
      <c r="G41" s="8">
        <f t="shared" si="11"/>
        <v>0</v>
      </c>
      <c r="H41" s="8">
        <v>105300.92</v>
      </c>
    </row>
    <row r="42" spans="1:8" x14ac:dyDescent="0.45">
      <c r="A42" s="2">
        <f t="shared" si="0"/>
        <v>41</v>
      </c>
      <c r="B42" s="3" t="s">
        <v>38</v>
      </c>
      <c r="C42" s="8">
        <v>4228069.95</v>
      </c>
      <c r="D42" s="9">
        <v>4.709E-2</v>
      </c>
      <c r="E42" s="9">
        <v>4.709E-2</v>
      </c>
      <c r="F42" s="8">
        <f t="shared" si="10"/>
        <v>199100</v>
      </c>
      <c r="G42" s="8">
        <f t="shared" si="11"/>
        <v>199100</v>
      </c>
      <c r="H42" s="8">
        <v>220760.32000000001</v>
      </c>
    </row>
    <row r="43" spans="1:8" x14ac:dyDescent="0.45">
      <c r="A43" s="2">
        <f t="shared" si="0"/>
        <v>42</v>
      </c>
      <c r="B43" s="3" t="s">
        <v>39</v>
      </c>
      <c r="C43" s="8">
        <v>0</v>
      </c>
      <c r="D43" s="9">
        <v>5.4469999999999998E-2</v>
      </c>
      <c r="E43" s="9">
        <v>5.4469999999999998E-2</v>
      </c>
      <c r="F43" s="8">
        <f t="shared" si="10"/>
        <v>0</v>
      </c>
      <c r="G43" s="8">
        <f t="shared" si="11"/>
        <v>0</v>
      </c>
      <c r="H43" s="8">
        <v>325907.86</v>
      </c>
    </row>
    <row r="44" spans="1:8" x14ac:dyDescent="0.45">
      <c r="A44" s="2">
        <f t="shared" si="0"/>
        <v>43</v>
      </c>
      <c r="B44" s="3" t="s">
        <v>40</v>
      </c>
      <c r="C44" s="8">
        <v>0</v>
      </c>
      <c r="D44" s="9">
        <v>5.6779999999999997E-2</v>
      </c>
      <c r="E44" s="9">
        <v>5.6779999999999997E-2</v>
      </c>
      <c r="F44" s="8">
        <f t="shared" si="10"/>
        <v>0</v>
      </c>
      <c r="G44" s="8">
        <f t="shared" si="11"/>
        <v>0</v>
      </c>
      <c r="H44" s="8">
        <v>103958.68</v>
      </c>
    </row>
    <row r="45" spans="1:8" x14ac:dyDescent="0.45">
      <c r="A45" s="2">
        <f t="shared" si="0"/>
        <v>44</v>
      </c>
      <c r="B45" s="3" t="s">
        <v>41</v>
      </c>
      <c r="C45" s="8">
        <v>0</v>
      </c>
      <c r="D45" s="9">
        <v>5.5379999999999999E-2</v>
      </c>
      <c r="E45" s="9">
        <v>5.5379999999999999E-2</v>
      </c>
      <c r="F45" s="8">
        <f t="shared" si="10"/>
        <v>0</v>
      </c>
      <c r="G45" s="8">
        <f t="shared" si="11"/>
        <v>0</v>
      </c>
      <c r="H45" s="8">
        <v>100650.54</v>
      </c>
    </row>
    <row r="46" spans="1:8" x14ac:dyDescent="0.45">
      <c r="A46" s="2">
        <f t="shared" si="0"/>
        <v>45</v>
      </c>
      <c r="B46" s="3" t="s">
        <v>42</v>
      </c>
      <c r="C46" s="8">
        <v>4957922.26</v>
      </c>
      <c r="D46" s="9">
        <v>4.6949999999999999E-2</v>
      </c>
      <c r="E46" s="9">
        <v>4.6949999999999999E-2</v>
      </c>
      <c r="F46" s="8">
        <f t="shared" si="10"/>
        <v>232774</v>
      </c>
      <c r="G46" s="8">
        <f t="shared" si="11"/>
        <v>232774</v>
      </c>
      <c r="H46" s="8">
        <v>258202.35</v>
      </c>
    </row>
    <row r="47" spans="1:8" x14ac:dyDescent="0.45">
      <c r="A47" s="2">
        <f t="shared" si="0"/>
        <v>46</v>
      </c>
      <c r="B47" s="3" t="s">
        <v>43</v>
      </c>
      <c r="C47" s="8">
        <v>3327846.11</v>
      </c>
      <c r="D47" s="9">
        <v>4.802E-2</v>
      </c>
      <c r="E47" s="9">
        <v>4.802E-2</v>
      </c>
      <c r="F47" s="8">
        <f t="shared" si="10"/>
        <v>159803</v>
      </c>
      <c r="G47" s="8">
        <f t="shared" si="11"/>
        <v>159803</v>
      </c>
      <c r="H47" s="8">
        <v>177204.89</v>
      </c>
    </row>
    <row r="48" spans="1:8" x14ac:dyDescent="0.45">
      <c r="A48" s="2">
        <f t="shared" si="0"/>
        <v>47</v>
      </c>
      <c r="B48" s="3" t="s">
        <v>44</v>
      </c>
      <c r="C48" s="8">
        <v>4854098.6500000004</v>
      </c>
      <c r="D48" s="9">
        <v>4.3659999999999997E-2</v>
      </c>
      <c r="E48" s="9">
        <v>4.3659999999999997E-2</v>
      </c>
      <c r="F48" s="8">
        <f t="shared" si="10"/>
        <v>211930</v>
      </c>
      <c r="G48" s="8">
        <f t="shared" si="11"/>
        <v>211930</v>
      </c>
      <c r="H48" s="8">
        <v>235305.92</v>
      </c>
    </row>
    <row r="49" spans="1:8" x14ac:dyDescent="0.45">
      <c r="A49" s="2">
        <f t="shared" si="0"/>
        <v>48</v>
      </c>
      <c r="B49" s="3" t="s">
        <v>45</v>
      </c>
      <c r="C49" s="8">
        <v>3237955.92</v>
      </c>
      <c r="D49" s="9">
        <v>4.3749999999999997E-2</v>
      </c>
      <c r="E49" s="9">
        <v>4.3749999999999997E-2</v>
      </c>
      <c r="F49" s="8">
        <f t="shared" si="10"/>
        <v>141661</v>
      </c>
      <c r="G49" s="8">
        <f t="shared" si="11"/>
        <v>141661</v>
      </c>
      <c r="H49" s="8">
        <v>157281.68</v>
      </c>
    </row>
    <row r="50" spans="1:8" x14ac:dyDescent="0.45">
      <c r="A50" s="2">
        <f t="shared" si="0"/>
        <v>49</v>
      </c>
      <c r="B50" s="3" t="s">
        <v>46</v>
      </c>
      <c r="C50" s="8">
        <v>4964877.9400000004</v>
      </c>
      <c r="D50" s="9">
        <v>4.7169999999999997E-2</v>
      </c>
      <c r="E50" s="9">
        <v>4.7169999999999997E-2</v>
      </c>
      <c r="F50" s="8">
        <f t="shared" si="10"/>
        <v>234193</v>
      </c>
      <c r="G50" s="8">
        <f t="shared" si="11"/>
        <v>234193</v>
      </c>
      <c r="H50" s="8">
        <v>259759.62</v>
      </c>
    </row>
    <row r="51" spans="1:8" x14ac:dyDescent="0.45">
      <c r="A51" s="2">
        <f t="shared" si="0"/>
        <v>50</v>
      </c>
      <c r="B51" s="3" t="s">
        <v>47</v>
      </c>
      <c r="C51" s="8">
        <v>3294534.75</v>
      </c>
      <c r="D51" s="9">
        <v>4.6440000000000002E-2</v>
      </c>
      <c r="E51" s="9">
        <v>4.6440000000000002E-2</v>
      </c>
      <c r="F51" s="8">
        <f t="shared" si="10"/>
        <v>152998</v>
      </c>
      <c r="G51" s="8">
        <f t="shared" si="11"/>
        <v>152998</v>
      </c>
      <c r="H51" s="8">
        <v>169736.56</v>
      </c>
    </row>
    <row r="52" spans="1:8" x14ac:dyDescent="0.45">
      <c r="A52" s="2">
        <f t="shared" si="0"/>
        <v>51</v>
      </c>
      <c r="B52" s="3" t="s">
        <v>48</v>
      </c>
      <c r="C52" s="8">
        <v>1132264.83</v>
      </c>
      <c r="D52" s="9">
        <v>4.5569999999999999E-2</v>
      </c>
      <c r="E52" s="9">
        <v>4.5569999999999999E-2</v>
      </c>
      <c r="F52" s="8">
        <f t="shared" si="10"/>
        <v>51597</v>
      </c>
      <c r="G52" s="8">
        <f t="shared" si="11"/>
        <v>51597</v>
      </c>
      <c r="H52" s="8">
        <v>57235.87</v>
      </c>
    </row>
    <row r="53" spans="1:8" x14ac:dyDescent="0.45">
      <c r="A53" s="2">
        <f t="shared" si="0"/>
        <v>52</v>
      </c>
      <c r="B53" s="31" t="s">
        <v>49</v>
      </c>
      <c r="C53" s="32">
        <v>0</v>
      </c>
      <c r="D53" s="9">
        <v>4.7899999999999998E-2</v>
      </c>
      <c r="E53" s="9">
        <v>4.7899999999999998E-2</v>
      </c>
      <c r="F53" s="8">
        <f t="shared" si="10"/>
        <v>0</v>
      </c>
      <c r="G53" s="8">
        <f t="shared" si="11"/>
        <v>0</v>
      </c>
      <c r="H53" s="8">
        <v>179235.71</v>
      </c>
    </row>
    <row r="54" spans="1:8" x14ac:dyDescent="0.45">
      <c r="A54" s="2">
        <f t="shared" si="0"/>
        <v>53</v>
      </c>
      <c r="B54" s="3" t="s">
        <v>50</v>
      </c>
      <c r="C54" s="8">
        <v>1749461.04</v>
      </c>
      <c r="D54" s="9">
        <v>4.6240000000000003E-2</v>
      </c>
      <c r="E54" s="9">
        <v>4.6240000000000003E-2</v>
      </c>
      <c r="F54" s="8">
        <f t="shared" si="10"/>
        <v>80895</v>
      </c>
      <c r="G54" s="8">
        <f t="shared" si="11"/>
        <v>80895</v>
      </c>
      <c r="H54" s="8">
        <v>84384.42</v>
      </c>
    </row>
    <row r="55" spans="1:8" x14ac:dyDescent="0.45">
      <c r="A55" s="2">
        <f t="shared" si="0"/>
        <v>54</v>
      </c>
      <c r="B55" s="3" t="s">
        <v>51</v>
      </c>
      <c r="C55" s="8">
        <v>1398373.54</v>
      </c>
      <c r="D55" s="9">
        <v>4.4420000000000001E-2</v>
      </c>
      <c r="E55" s="9">
        <v>4.4420000000000001E-2</v>
      </c>
      <c r="F55" s="8">
        <f t="shared" si="10"/>
        <v>62116</v>
      </c>
      <c r="G55" s="8">
        <f t="shared" si="11"/>
        <v>62116</v>
      </c>
      <c r="H55" s="8">
        <v>68951.87</v>
      </c>
    </row>
    <row r="56" spans="1:8" x14ac:dyDescent="0.45">
      <c r="A56" s="2">
        <f t="shared" si="0"/>
        <v>55</v>
      </c>
      <c r="B56" s="3" t="s">
        <v>52</v>
      </c>
      <c r="C56" s="8">
        <v>15297618.57</v>
      </c>
      <c r="D56" s="9">
        <v>4.4600000000000001E-2</v>
      </c>
      <c r="E56" s="9">
        <v>4.4600000000000001E-2</v>
      </c>
      <c r="F56" s="8">
        <f t="shared" si="10"/>
        <v>682274</v>
      </c>
      <c r="G56" s="8">
        <f t="shared" si="11"/>
        <v>682274</v>
      </c>
      <c r="H56" s="8">
        <v>706276.44</v>
      </c>
    </row>
    <row r="57" spans="1:8" x14ac:dyDescent="0.45">
      <c r="A57" s="2">
        <f t="shared" si="0"/>
        <v>56</v>
      </c>
      <c r="B57" s="31" t="s">
        <v>53</v>
      </c>
      <c r="C57" s="32">
        <v>0</v>
      </c>
      <c r="D57" s="9">
        <v>4.8189999999999997E-2</v>
      </c>
      <c r="E57" s="9">
        <v>4.8189999999999997E-2</v>
      </c>
      <c r="F57" s="8">
        <f t="shared" si="10"/>
        <v>0</v>
      </c>
      <c r="G57" s="8">
        <f t="shared" si="11"/>
        <v>0</v>
      </c>
      <c r="H57" s="8">
        <v>776818.92</v>
      </c>
    </row>
    <row r="58" spans="1:8" x14ac:dyDescent="0.45">
      <c r="A58" s="2">
        <f t="shared" si="0"/>
        <v>57</v>
      </c>
      <c r="B58" s="31" t="s">
        <v>54</v>
      </c>
      <c r="C58" s="32">
        <v>0</v>
      </c>
      <c r="D58" s="9">
        <v>4.9500000000000002E-2</v>
      </c>
      <c r="E58" s="9">
        <v>4.9500000000000002E-2</v>
      </c>
      <c r="F58" s="8">
        <f t="shared" si="10"/>
        <v>0</v>
      </c>
      <c r="G58" s="8">
        <f t="shared" si="11"/>
        <v>0</v>
      </c>
      <c r="H58" s="8">
        <v>796589.94</v>
      </c>
    </row>
    <row r="59" spans="1:8" x14ac:dyDescent="0.45">
      <c r="A59" s="2">
        <f t="shared" si="0"/>
        <v>58</v>
      </c>
      <c r="B59" s="3" t="s">
        <v>55</v>
      </c>
      <c r="C59" s="8">
        <v>0</v>
      </c>
      <c r="D59" s="9">
        <v>5.0549999999999998E-2</v>
      </c>
      <c r="E59" s="9">
        <v>5.0549999999999998E-2</v>
      </c>
      <c r="F59" s="8">
        <f t="shared" si="10"/>
        <v>0</v>
      </c>
      <c r="G59" s="8">
        <f t="shared" si="11"/>
        <v>0</v>
      </c>
      <c r="H59" s="8">
        <v>38863.980000000003</v>
      </c>
    </row>
    <row r="60" spans="1:8" x14ac:dyDescent="0.45">
      <c r="A60" s="2">
        <f t="shared" si="0"/>
        <v>59</v>
      </c>
      <c r="B60" s="31" t="s">
        <v>56</v>
      </c>
      <c r="C60" s="32">
        <v>0</v>
      </c>
      <c r="D60" s="9">
        <v>4.7530000000000003E-2</v>
      </c>
      <c r="E60" s="9">
        <v>4.7530000000000003E-2</v>
      </c>
      <c r="F60" s="8">
        <f t="shared" si="10"/>
        <v>0</v>
      </c>
      <c r="G60" s="8">
        <f t="shared" si="11"/>
        <v>0</v>
      </c>
      <c r="H60" s="8">
        <v>70575.03</v>
      </c>
    </row>
    <row r="61" spans="1:8" x14ac:dyDescent="0.45">
      <c r="A61" s="2">
        <f t="shared" si="0"/>
        <v>60</v>
      </c>
      <c r="B61" s="3" t="s">
        <v>57</v>
      </c>
      <c r="C61" s="8">
        <v>868340.08</v>
      </c>
      <c r="D61" s="9">
        <v>4.5010000000000001E-2</v>
      </c>
      <c r="E61" s="9">
        <v>4.5010000000000001E-2</v>
      </c>
      <c r="F61" s="8">
        <f t="shared" si="10"/>
        <v>39084</v>
      </c>
      <c r="G61" s="8">
        <f t="shared" si="11"/>
        <v>39084</v>
      </c>
      <c r="H61" s="8">
        <v>43377.9</v>
      </c>
    </row>
    <row r="62" spans="1:8" x14ac:dyDescent="0.45">
      <c r="A62" s="2">
        <f t="shared" si="0"/>
        <v>61</v>
      </c>
      <c r="B62" s="3" t="s">
        <v>58</v>
      </c>
      <c r="C62" s="8">
        <v>0</v>
      </c>
      <c r="D62" s="9">
        <v>5.0909999999999997E-2</v>
      </c>
      <c r="E62" s="9">
        <v>5.0909999999999997E-2</v>
      </c>
      <c r="F62" s="8">
        <f t="shared" si="10"/>
        <v>0</v>
      </c>
      <c r="G62" s="8">
        <f t="shared" si="11"/>
        <v>0</v>
      </c>
      <c r="H62" s="8">
        <v>422233.5</v>
      </c>
    </row>
    <row r="63" spans="1:8" x14ac:dyDescent="0.45">
      <c r="A63" s="2">
        <f t="shared" si="0"/>
        <v>62</v>
      </c>
      <c r="B63" s="3" t="s">
        <v>59</v>
      </c>
      <c r="C63" s="8">
        <v>0</v>
      </c>
      <c r="D63" s="9">
        <v>5.1490000000000001E-2</v>
      </c>
      <c r="E63" s="9">
        <v>5.1490000000000001E-2</v>
      </c>
      <c r="F63" s="8">
        <f t="shared" si="10"/>
        <v>0</v>
      </c>
      <c r="G63" s="8">
        <f t="shared" si="11"/>
        <v>0</v>
      </c>
      <c r="H63" s="8">
        <v>428195.57</v>
      </c>
    </row>
    <row r="64" spans="1:8" x14ac:dyDescent="0.45">
      <c r="A64" s="2">
        <f t="shared" si="0"/>
        <v>63</v>
      </c>
      <c r="B64" s="3" t="s">
        <v>60</v>
      </c>
      <c r="C64" s="8">
        <v>0</v>
      </c>
      <c r="D64" s="9">
        <v>5.0650000000000001E-2</v>
      </c>
      <c r="E64" s="9">
        <v>5.0650000000000001E-2</v>
      </c>
      <c r="F64" s="8">
        <f t="shared" si="10"/>
        <v>0</v>
      </c>
      <c r="G64" s="8">
        <f t="shared" si="11"/>
        <v>0</v>
      </c>
      <c r="H64" s="8">
        <v>419568.27</v>
      </c>
    </row>
    <row r="65" spans="1:8" x14ac:dyDescent="0.45">
      <c r="A65" s="2">
        <f t="shared" si="0"/>
        <v>64</v>
      </c>
      <c r="B65" s="3" t="s">
        <v>61</v>
      </c>
      <c r="C65" s="8">
        <v>0</v>
      </c>
      <c r="D65" s="9">
        <v>5.0110000000000002E-2</v>
      </c>
      <c r="E65" s="9">
        <v>5.0110000000000002E-2</v>
      </c>
      <c r="F65" s="8">
        <f t="shared" si="10"/>
        <v>0</v>
      </c>
      <c r="G65" s="8">
        <f t="shared" si="11"/>
        <v>0</v>
      </c>
      <c r="H65" s="8">
        <v>414047.46</v>
      </c>
    </row>
    <row r="66" spans="1:8" x14ac:dyDescent="0.45">
      <c r="A66" s="2">
        <f t="shared" si="0"/>
        <v>65</v>
      </c>
      <c r="B66" s="3" t="s">
        <v>62</v>
      </c>
      <c r="C66" s="8">
        <v>0</v>
      </c>
      <c r="D66" s="9">
        <v>5.1490000000000001E-2</v>
      </c>
      <c r="E66" s="9">
        <v>5.1490000000000001E-2</v>
      </c>
      <c r="F66" s="8">
        <f t="shared" si="10"/>
        <v>0</v>
      </c>
      <c r="G66" s="8">
        <f t="shared" si="11"/>
        <v>0</v>
      </c>
      <c r="H66" s="8">
        <v>462451.22</v>
      </c>
    </row>
    <row r="67" spans="1:8" x14ac:dyDescent="0.45">
      <c r="A67" s="2">
        <f t="shared" ref="A67:A130" si="12">A66+1</f>
        <v>66</v>
      </c>
      <c r="B67" s="31" t="s">
        <v>63</v>
      </c>
      <c r="C67" s="32">
        <v>0</v>
      </c>
      <c r="D67" s="9">
        <v>4.854E-2</v>
      </c>
      <c r="E67" s="9">
        <v>4.854E-2</v>
      </c>
      <c r="F67" s="8">
        <f t="shared" si="10"/>
        <v>0</v>
      </c>
      <c r="G67" s="8">
        <f t="shared" si="11"/>
        <v>0</v>
      </c>
      <c r="H67" s="8">
        <v>185592.2</v>
      </c>
    </row>
    <row r="68" spans="1:8" x14ac:dyDescent="0.45">
      <c r="A68" s="2">
        <f t="shared" si="12"/>
        <v>67</v>
      </c>
      <c r="B68" s="3" t="s">
        <v>64</v>
      </c>
      <c r="C68" s="8">
        <v>0</v>
      </c>
      <c r="D68" s="9">
        <v>5.2400000000000002E-2</v>
      </c>
      <c r="E68" s="9">
        <v>5.2400000000000002E-2</v>
      </c>
      <c r="F68" s="8">
        <f t="shared" si="10"/>
        <v>0</v>
      </c>
      <c r="G68" s="8">
        <f t="shared" si="11"/>
        <v>0</v>
      </c>
      <c r="H68" s="8">
        <v>36359.410000000003</v>
      </c>
    </row>
    <row r="69" spans="1:8" x14ac:dyDescent="0.45">
      <c r="A69" s="2">
        <f t="shared" si="12"/>
        <v>68</v>
      </c>
      <c r="B69" s="3" t="s">
        <v>65</v>
      </c>
      <c r="C69" s="8">
        <v>0</v>
      </c>
      <c r="D69" s="9">
        <v>5.0200000000000002E-2</v>
      </c>
      <c r="E69" s="9">
        <v>5.0200000000000002E-2</v>
      </c>
      <c r="F69" s="8">
        <f t="shared" si="10"/>
        <v>0</v>
      </c>
      <c r="G69" s="8">
        <f t="shared" si="11"/>
        <v>0</v>
      </c>
      <c r="H69" s="8">
        <v>40935.39</v>
      </c>
    </row>
    <row r="70" spans="1:8" x14ac:dyDescent="0.45">
      <c r="A70" s="2">
        <f t="shared" si="12"/>
        <v>69</v>
      </c>
      <c r="B70" s="31" t="s">
        <v>66</v>
      </c>
      <c r="C70" s="32">
        <v>0</v>
      </c>
      <c r="D70" s="9">
        <v>4.9209999999999997E-2</v>
      </c>
      <c r="E70" s="9">
        <v>4.9209999999999997E-2</v>
      </c>
      <c r="F70" s="8">
        <f t="shared" si="10"/>
        <v>0</v>
      </c>
      <c r="G70" s="8">
        <f t="shared" si="11"/>
        <v>0</v>
      </c>
      <c r="H70" s="8">
        <v>495569.01</v>
      </c>
    </row>
    <row r="71" spans="1:8" x14ac:dyDescent="0.45">
      <c r="A71" s="2">
        <f t="shared" si="12"/>
        <v>70</v>
      </c>
      <c r="B71" s="3" t="s">
        <v>67</v>
      </c>
      <c r="C71" s="8">
        <v>3796182.71</v>
      </c>
      <c r="D71" s="9">
        <v>4.6719999999999998E-2</v>
      </c>
      <c r="E71" s="9">
        <v>4.6719999999999998E-2</v>
      </c>
      <c r="F71" s="8">
        <f t="shared" si="10"/>
        <v>177358</v>
      </c>
      <c r="G71" s="8">
        <f t="shared" si="11"/>
        <v>177358</v>
      </c>
      <c r="H71" s="8">
        <v>184984.79</v>
      </c>
    </row>
    <row r="72" spans="1:8" x14ac:dyDescent="0.45">
      <c r="A72" s="2">
        <f t="shared" si="12"/>
        <v>71</v>
      </c>
      <c r="B72" s="31" t="s">
        <v>68</v>
      </c>
      <c r="C72" s="32">
        <v>0</v>
      </c>
      <c r="D72" s="9">
        <v>4.795E-2</v>
      </c>
      <c r="E72" s="9">
        <v>4.795E-2</v>
      </c>
      <c r="F72" s="8">
        <f t="shared" si="10"/>
        <v>0</v>
      </c>
      <c r="G72" s="8">
        <f t="shared" si="11"/>
        <v>0</v>
      </c>
      <c r="H72" s="8">
        <v>92389.27</v>
      </c>
    </row>
    <row r="73" spans="1:8" x14ac:dyDescent="0.45">
      <c r="A73" s="2">
        <f t="shared" si="12"/>
        <v>72</v>
      </c>
      <c r="B73" s="3" t="s">
        <v>69</v>
      </c>
      <c r="C73" s="8">
        <v>1907079.36</v>
      </c>
      <c r="D73" s="9">
        <v>4.5769999999999998E-2</v>
      </c>
      <c r="E73" s="9">
        <v>4.5769999999999998E-2</v>
      </c>
      <c r="F73" s="8">
        <f t="shared" si="10"/>
        <v>87287</v>
      </c>
      <c r="G73" s="8">
        <f t="shared" si="11"/>
        <v>87287</v>
      </c>
      <c r="H73" s="8">
        <v>96855.28</v>
      </c>
    </row>
    <row r="74" spans="1:8" x14ac:dyDescent="0.45">
      <c r="A74" s="2">
        <f t="shared" si="12"/>
        <v>73</v>
      </c>
      <c r="B74" s="31" t="s">
        <v>70</v>
      </c>
      <c r="C74" s="32">
        <v>0</v>
      </c>
      <c r="D74" s="9">
        <v>4.7440000000000003E-2</v>
      </c>
      <c r="E74" s="9">
        <v>4.7440000000000003E-2</v>
      </c>
      <c r="F74" s="8">
        <f t="shared" si="10"/>
        <v>0</v>
      </c>
      <c r="G74" s="8">
        <f t="shared" si="11"/>
        <v>0</v>
      </c>
      <c r="H74" s="8">
        <v>1804594.13</v>
      </c>
    </row>
    <row r="75" spans="1:8" x14ac:dyDescent="0.45">
      <c r="A75" s="2">
        <f t="shared" si="12"/>
        <v>74</v>
      </c>
      <c r="B75" s="31" t="s">
        <v>71</v>
      </c>
      <c r="C75" s="32">
        <v>0</v>
      </c>
      <c r="D75" s="9">
        <v>4.8250000000000001E-2</v>
      </c>
      <c r="E75" s="9">
        <v>4.8250000000000001E-2</v>
      </c>
      <c r="F75" s="8">
        <f t="shared" si="10"/>
        <v>0</v>
      </c>
      <c r="G75" s="8">
        <f t="shared" si="11"/>
        <v>0</v>
      </c>
      <c r="H75" s="8">
        <v>1841435.53</v>
      </c>
    </row>
    <row r="76" spans="1:8" x14ac:dyDescent="0.45">
      <c r="A76" s="2">
        <f t="shared" si="12"/>
        <v>75</v>
      </c>
      <c r="B76" s="31" t="s">
        <v>72</v>
      </c>
      <c r="C76" s="32">
        <v>0</v>
      </c>
      <c r="D76" s="9">
        <v>4.9459999999999997E-2</v>
      </c>
      <c r="E76" s="9">
        <v>4.9459999999999997E-2</v>
      </c>
      <c r="F76" s="8">
        <f t="shared" si="10"/>
        <v>0</v>
      </c>
      <c r="G76" s="8">
        <f t="shared" si="11"/>
        <v>0</v>
      </c>
      <c r="H76" s="8">
        <v>1896769.46</v>
      </c>
    </row>
    <row r="77" spans="1:8" x14ac:dyDescent="0.45">
      <c r="A77" s="2">
        <f t="shared" si="12"/>
        <v>76</v>
      </c>
      <c r="B77" s="3" t="s">
        <v>73</v>
      </c>
      <c r="C77" s="8">
        <v>18574615.260000002</v>
      </c>
      <c r="D77" s="9">
        <v>4.6580000000000003E-2</v>
      </c>
      <c r="E77" s="9">
        <v>4.6580000000000003E-2</v>
      </c>
      <c r="F77" s="8">
        <f t="shared" si="10"/>
        <v>865206</v>
      </c>
      <c r="G77" s="8">
        <f t="shared" si="11"/>
        <v>865206</v>
      </c>
      <c r="H77" s="8">
        <v>882828.69</v>
      </c>
    </row>
    <row r="78" spans="1:8" x14ac:dyDescent="0.45">
      <c r="A78" s="2">
        <f t="shared" si="12"/>
        <v>77</v>
      </c>
      <c r="B78" s="3" t="s">
        <v>74</v>
      </c>
      <c r="C78" s="8">
        <v>18444159.93</v>
      </c>
      <c r="D78" s="9">
        <v>4.4970000000000003E-2</v>
      </c>
      <c r="E78" s="9">
        <v>4.4970000000000003E-2</v>
      </c>
      <c r="F78" s="8">
        <f t="shared" si="10"/>
        <v>829434</v>
      </c>
      <c r="G78" s="8">
        <f t="shared" si="11"/>
        <v>829434</v>
      </c>
      <c r="H78" s="8">
        <v>846634.04</v>
      </c>
    </row>
    <row r="79" spans="1:8" x14ac:dyDescent="0.45">
      <c r="A79" s="2">
        <f t="shared" si="12"/>
        <v>78</v>
      </c>
      <c r="B79" s="31" t="s">
        <v>75</v>
      </c>
      <c r="C79" s="32">
        <v>0</v>
      </c>
      <c r="D79" s="9">
        <v>4.7050000000000002E-2</v>
      </c>
      <c r="E79" s="9">
        <v>4.7050000000000002E-2</v>
      </c>
      <c r="F79" s="8">
        <f t="shared" si="10"/>
        <v>0</v>
      </c>
      <c r="G79" s="8">
        <f t="shared" si="11"/>
        <v>0</v>
      </c>
      <c r="H79" s="8">
        <v>893456.86</v>
      </c>
    </row>
    <row r="80" spans="1:8" x14ac:dyDescent="0.45">
      <c r="A80" s="2">
        <f t="shared" si="12"/>
        <v>79</v>
      </c>
      <c r="B80" s="3" t="s">
        <v>76</v>
      </c>
      <c r="C80" s="8">
        <v>18308805.129999999</v>
      </c>
      <c r="D80" s="9">
        <v>4.3319999999999997E-2</v>
      </c>
      <c r="E80" s="9">
        <v>4.3319999999999997E-2</v>
      </c>
      <c r="F80" s="8">
        <f t="shared" si="10"/>
        <v>793137</v>
      </c>
      <c r="G80" s="8">
        <f t="shared" si="11"/>
        <v>793137</v>
      </c>
      <c r="H80" s="8">
        <v>809888.76</v>
      </c>
    </row>
    <row r="81" spans="1:8" x14ac:dyDescent="0.45">
      <c r="A81" s="2">
        <f t="shared" si="12"/>
        <v>80</v>
      </c>
      <c r="B81" s="3" t="s">
        <v>77</v>
      </c>
      <c r="C81" s="8">
        <v>13909672.1</v>
      </c>
      <c r="D81" s="9">
        <v>4.3240000000000001E-2</v>
      </c>
      <c r="E81" s="9">
        <v>4.3240000000000001E-2</v>
      </c>
      <c r="F81" s="8">
        <f t="shared" si="10"/>
        <v>601454</v>
      </c>
      <c r="G81" s="8">
        <f t="shared" si="11"/>
        <v>601454</v>
      </c>
      <c r="H81" s="8">
        <v>614168.38</v>
      </c>
    </row>
    <row r="82" spans="1:8" x14ac:dyDescent="0.45">
      <c r="A82" s="2">
        <f t="shared" si="12"/>
        <v>81</v>
      </c>
      <c r="B82" s="3" t="s">
        <v>78</v>
      </c>
      <c r="C82" s="8">
        <v>3845908.77</v>
      </c>
      <c r="D82" s="9">
        <v>4.3529999999999999E-2</v>
      </c>
      <c r="E82" s="9">
        <v>4.3529999999999999E-2</v>
      </c>
      <c r="F82" s="8">
        <f t="shared" si="10"/>
        <v>167412</v>
      </c>
      <c r="G82" s="8">
        <f t="shared" si="11"/>
        <v>167412</v>
      </c>
      <c r="H82" s="8">
        <v>191011.54</v>
      </c>
    </row>
    <row r="83" spans="1:8" x14ac:dyDescent="0.45">
      <c r="A83" s="2">
        <f t="shared" si="12"/>
        <v>82</v>
      </c>
      <c r="B83" s="3" t="s">
        <v>79</v>
      </c>
      <c r="C83" s="8">
        <v>22104589.890000001</v>
      </c>
      <c r="D83" s="9">
        <v>4.4679999999999997E-2</v>
      </c>
      <c r="E83" s="9">
        <v>4.4679999999999997E-2</v>
      </c>
      <c r="F83" s="8">
        <f t="shared" si="10"/>
        <v>987633</v>
      </c>
      <c r="G83" s="8">
        <f t="shared" si="11"/>
        <v>987633</v>
      </c>
      <c r="H83" s="8">
        <v>1008179.96</v>
      </c>
    </row>
    <row r="84" spans="1:8" x14ac:dyDescent="0.45">
      <c r="A84" s="2">
        <f t="shared" si="12"/>
        <v>83</v>
      </c>
      <c r="B84" s="3" t="s">
        <v>80</v>
      </c>
      <c r="C84" s="8">
        <v>22106550.449999999</v>
      </c>
      <c r="D84" s="9">
        <v>4.4699999999999997E-2</v>
      </c>
      <c r="E84" s="9">
        <v>4.4699999999999997E-2</v>
      </c>
      <c r="F84" s="8">
        <f t="shared" si="10"/>
        <v>988163</v>
      </c>
      <c r="G84" s="8">
        <f t="shared" si="11"/>
        <v>988163</v>
      </c>
      <c r="H84" s="8">
        <v>1008716.15</v>
      </c>
    </row>
    <row r="85" spans="1:8" x14ac:dyDescent="0.45">
      <c r="A85" s="2">
        <f t="shared" si="12"/>
        <v>84</v>
      </c>
      <c r="B85" s="3" t="s">
        <v>81</v>
      </c>
      <c r="C85" s="8">
        <v>2095281.29</v>
      </c>
      <c r="D85" s="9">
        <v>4.4850000000000001E-2</v>
      </c>
      <c r="E85" s="9">
        <v>4.4850000000000001E-2</v>
      </c>
      <c r="F85" s="8">
        <f t="shared" si="10"/>
        <v>93973</v>
      </c>
      <c r="G85" s="8">
        <f t="shared" si="11"/>
        <v>93973</v>
      </c>
      <c r="H85" s="8">
        <v>98062.35</v>
      </c>
    </row>
    <row r="86" spans="1:8" x14ac:dyDescent="0.45">
      <c r="A86" s="2">
        <f t="shared" si="12"/>
        <v>85</v>
      </c>
      <c r="B86" s="31" t="s">
        <v>82</v>
      </c>
      <c r="C86" s="32">
        <v>0</v>
      </c>
      <c r="D86" s="9">
        <v>4.7690000000000003E-2</v>
      </c>
      <c r="E86" s="9">
        <v>4.7690000000000003E-2</v>
      </c>
      <c r="F86" s="8">
        <f t="shared" si="10"/>
        <v>0</v>
      </c>
      <c r="G86" s="8">
        <f t="shared" si="11"/>
        <v>0</v>
      </c>
      <c r="H86" s="8">
        <v>1089568.58</v>
      </c>
    </row>
    <row r="87" spans="1:8" x14ac:dyDescent="0.45">
      <c r="A87" s="2">
        <f t="shared" si="12"/>
        <v>86</v>
      </c>
      <c r="B87" s="31" t="s">
        <v>83</v>
      </c>
      <c r="C87" s="32">
        <v>0</v>
      </c>
      <c r="D87" s="9">
        <v>4.8579999999999998E-2</v>
      </c>
      <c r="E87" s="9">
        <v>4.8579999999999998E-2</v>
      </c>
      <c r="F87" s="8">
        <f t="shared" si="10"/>
        <v>0</v>
      </c>
      <c r="G87" s="8">
        <f t="shared" si="11"/>
        <v>0</v>
      </c>
      <c r="H87" s="8">
        <v>61370.91</v>
      </c>
    </row>
    <row r="88" spans="1:8" x14ac:dyDescent="0.45">
      <c r="A88" s="2">
        <f t="shared" si="12"/>
        <v>87</v>
      </c>
      <c r="B88" s="31" t="s">
        <v>84</v>
      </c>
      <c r="C88" s="32">
        <v>0</v>
      </c>
      <c r="D88" s="9">
        <v>4.7890000000000002E-2</v>
      </c>
      <c r="E88" s="9">
        <v>4.7890000000000002E-2</v>
      </c>
      <c r="F88" s="8">
        <f t="shared" si="10"/>
        <v>0</v>
      </c>
      <c r="G88" s="8">
        <f t="shared" si="11"/>
        <v>0</v>
      </c>
      <c r="H88" s="8">
        <v>10617.01</v>
      </c>
    </row>
    <row r="89" spans="1:8" x14ac:dyDescent="0.45">
      <c r="A89" s="2">
        <f t="shared" si="12"/>
        <v>88</v>
      </c>
      <c r="B89" s="31" t="s">
        <v>85</v>
      </c>
      <c r="C89" s="32">
        <v>0</v>
      </c>
      <c r="D89" s="9">
        <v>4.8899999999999999E-2</v>
      </c>
      <c r="E89" s="9">
        <v>4.8899999999999999E-2</v>
      </c>
      <c r="F89" s="8">
        <f t="shared" si="10"/>
        <v>0</v>
      </c>
      <c r="G89" s="8">
        <f t="shared" si="11"/>
        <v>0</v>
      </c>
      <c r="H89" s="8">
        <v>210516.56</v>
      </c>
    </row>
    <row r="90" spans="1:8" x14ac:dyDescent="0.45">
      <c r="A90" s="2">
        <f t="shared" si="12"/>
        <v>89</v>
      </c>
      <c r="B90" s="3" t="s">
        <v>86</v>
      </c>
      <c r="C90" s="8">
        <v>0</v>
      </c>
      <c r="D90" s="9">
        <v>5.3449999999999998E-2</v>
      </c>
      <c r="E90" s="9">
        <v>5.3449999999999998E-2</v>
      </c>
      <c r="F90" s="8">
        <f t="shared" si="10"/>
        <v>0</v>
      </c>
      <c r="G90" s="8">
        <f t="shared" si="11"/>
        <v>0</v>
      </c>
      <c r="H90" s="8">
        <v>317448.58</v>
      </c>
    </row>
    <row r="91" spans="1:8" x14ac:dyDescent="0.45">
      <c r="A91" s="2">
        <f t="shared" si="12"/>
        <v>90</v>
      </c>
      <c r="B91" s="3" t="s">
        <v>87</v>
      </c>
      <c r="C91" s="8">
        <v>0</v>
      </c>
      <c r="D91" s="9">
        <v>5.3330000000000002E-2</v>
      </c>
      <c r="E91" s="9">
        <v>5.3330000000000002E-2</v>
      </c>
      <c r="F91" s="8">
        <f t="shared" si="10"/>
        <v>0</v>
      </c>
      <c r="G91" s="8">
        <f t="shared" si="11"/>
        <v>0</v>
      </c>
      <c r="H91" s="8">
        <v>211066.35</v>
      </c>
    </row>
    <row r="92" spans="1:8" x14ac:dyDescent="0.45">
      <c r="A92" s="2">
        <f t="shared" si="12"/>
        <v>91</v>
      </c>
      <c r="B92" s="3" t="s">
        <v>88</v>
      </c>
      <c r="C92" s="8">
        <v>0</v>
      </c>
      <c r="D92" s="9">
        <v>5.0700000000000002E-2</v>
      </c>
      <c r="E92" s="9">
        <v>5.0700000000000002E-2</v>
      </c>
      <c r="F92" s="8">
        <f t="shared" si="10"/>
        <v>0</v>
      </c>
      <c r="G92" s="8">
        <f t="shared" si="11"/>
        <v>0</v>
      </c>
      <c r="H92" s="8">
        <v>278621.90000000002</v>
      </c>
    </row>
    <row r="93" spans="1:8" x14ac:dyDescent="0.45">
      <c r="A93" s="2">
        <f t="shared" si="12"/>
        <v>92</v>
      </c>
      <c r="B93" s="3" t="s">
        <v>89</v>
      </c>
      <c r="C93" s="8">
        <v>0</v>
      </c>
      <c r="D93" s="9">
        <v>5.0610000000000002E-2</v>
      </c>
      <c r="E93" s="9">
        <v>5.0610000000000002E-2</v>
      </c>
      <c r="F93" s="8">
        <f t="shared" si="10"/>
        <v>0</v>
      </c>
      <c r="G93" s="8">
        <f t="shared" si="11"/>
        <v>0</v>
      </c>
      <c r="H93" s="8">
        <v>278032.68</v>
      </c>
    </row>
    <row r="94" spans="1:8" x14ac:dyDescent="0.45">
      <c r="A94" s="2">
        <f t="shared" si="12"/>
        <v>93</v>
      </c>
      <c r="B94" s="3" t="s">
        <v>90</v>
      </c>
      <c r="C94" s="8">
        <v>0</v>
      </c>
      <c r="D94" s="9">
        <v>5.0529999999999999E-2</v>
      </c>
      <c r="E94" s="9">
        <v>5.0529999999999999E-2</v>
      </c>
      <c r="F94" s="8">
        <f t="shared" si="10"/>
        <v>0</v>
      </c>
      <c r="G94" s="8">
        <f t="shared" si="11"/>
        <v>0</v>
      </c>
      <c r="H94" s="8">
        <v>425514.04</v>
      </c>
    </row>
    <row r="95" spans="1:8" x14ac:dyDescent="0.45">
      <c r="A95" s="2">
        <f t="shared" si="12"/>
        <v>94</v>
      </c>
      <c r="B95" s="31" t="s">
        <v>91</v>
      </c>
      <c r="C95" s="32">
        <v>0</v>
      </c>
      <c r="D95" s="9">
        <v>4.7759999999999997E-2</v>
      </c>
      <c r="E95" s="9">
        <v>4.7759999999999997E-2</v>
      </c>
      <c r="F95" s="8">
        <f t="shared" si="10"/>
        <v>0</v>
      </c>
      <c r="G95" s="8">
        <f t="shared" si="11"/>
        <v>0</v>
      </c>
      <c r="H95" s="8">
        <v>853139.99</v>
      </c>
    </row>
    <row r="96" spans="1:8" x14ac:dyDescent="0.45">
      <c r="A96" s="2">
        <f t="shared" si="12"/>
        <v>95</v>
      </c>
      <c r="B96" s="31" t="s">
        <v>92</v>
      </c>
      <c r="C96" s="32">
        <v>0</v>
      </c>
      <c r="D96" s="9">
        <v>4.8120000000000003E-2</v>
      </c>
      <c r="E96" s="9">
        <v>4.8120000000000003E-2</v>
      </c>
      <c r="F96" s="8">
        <f t="shared" si="10"/>
        <v>0</v>
      </c>
      <c r="G96" s="8">
        <f t="shared" si="11"/>
        <v>0</v>
      </c>
      <c r="H96" s="8">
        <v>869911.3</v>
      </c>
    </row>
    <row r="97" spans="1:8" x14ac:dyDescent="0.45">
      <c r="A97" s="2">
        <f t="shared" si="12"/>
        <v>96</v>
      </c>
      <c r="B97" s="31" t="s">
        <v>93</v>
      </c>
      <c r="C97" s="32">
        <v>0</v>
      </c>
      <c r="D97" s="9">
        <v>4.8210000000000003E-2</v>
      </c>
      <c r="E97" s="9">
        <v>4.8210000000000003E-2</v>
      </c>
      <c r="F97" s="8">
        <f t="shared" si="10"/>
        <v>0</v>
      </c>
      <c r="G97" s="8">
        <f t="shared" si="11"/>
        <v>0</v>
      </c>
      <c r="H97" s="8">
        <v>1982507.47</v>
      </c>
    </row>
    <row r="98" spans="1:8" x14ac:dyDescent="0.45">
      <c r="A98" s="2">
        <f t="shared" si="12"/>
        <v>97</v>
      </c>
      <c r="B98" s="31" t="s">
        <v>94</v>
      </c>
      <c r="C98" s="32">
        <v>0</v>
      </c>
      <c r="D98" s="9">
        <v>4.7359999999999999E-2</v>
      </c>
      <c r="E98" s="9">
        <v>4.7359999999999999E-2</v>
      </c>
      <c r="F98" s="8">
        <f t="shared" si="10"/>
        <v>0</v>
      </c>
      <c r="G98" s="8">
        <f t="shared" si="11"/>
        <v>0</v>
      </c>
      <c r="H98" s="8">
        <v>971256.07</v>
      </c>
    </row>
    <row r="99" spans="1:8" x14ac:dyDescent="0.45">
      <c r="A99" s="2">
        <f t="shared" si="12"/>
        <v>98</v>
      </c>
      <c r="B99" s="3" t="s">
        <v>95</v>
      </c>
      <c r="C99" s="8">
        <v>40228612.25</v>
      </c>
      <c r="D99" s="9">
        <v>4.6690000000000002E-2</v>
      </c>
      <c r="E99" s="9">
        <v>4.6690000000000002E-2</v>
      </c>
      <c r="F99" s="8">
        <f t="shared" si="10"/>
        <v>1878274</v>
      </c>
      <c r="G99" s="8">
        <f t="shared" si="11"/>
        <v>1878274</v>
      </c>
      <c r="H99" s="8">
        <v>1911085.52</v>
      </c>
    </row>
    <row r="100" spans="1:8" x14ac:dyDescent="0.45">
      <c r="A100" s="2">
        <f t="shared" si="12"/>
        <v>99</v>
      </c>
      <c r="B100" s="3" t="s">
        <v>96</v>
      </c>
      <c r="C100" s="8">
        <v>19922390.73</v>
      </c>
      <c r="D100" s="9">
        <v>4.3839999999999997E-2</v>
      </c>
      <c r="E100" s="9">
        <v>4.3839999999999997E-2</v>
      </c>
      <c r="F100" s="8">
        <f t="shared" si="10"/>
        <v>873398</v>
      </c>
      <c r="G100" s="8">
        <f t="shared" si="11"/>
        <v>873398</v>
      </c>
      <c r="H100" s="8">
        <v>889204.26</v>
      </c>
    </row>
    <row r="101" spans="1:8" x14ac:dyDescent="0.45">
      <c r="A101" s="2">
        <f t="shared" si="12"/>
        <v>100</v>
      </c>
      <c r="B101" s="3" t="s">
        <v>97</v>
      </c>
      <c r="C101" s="8">
        <v>40200661.75</v>
      </c>
      <c r="D101" s="9">
        <v>4.648E-2</v>
      </c>
      <c r="E101" s="9">
        <v>4.648E-2</v>
      </c>
      <c r="F101" s="8">
        <f t="shared" si="10"/>
        <v>1868527</v>
      </c>
      <c r="G101" s="8">
        <f t="shared" si="11"/>
        <v>1868527</v>
      </c>
      <c r="H101" s="8">
        <v>1901253.6</v>
      </c>
    </row>
    <row r="102" spans="1:8" x14ac:dyDescent="0.45">
      <c r="A102" s="2">
        <f t="shared" si="12"/>
        <v>101</v>
      </c>
      <c r="B102" s="3" t="s">
        <v>98</v>
      </c>
      <c r="C102" s="8">
        <v>19863593.5</v>
      </c>
      <c r="D102" s="9">
        <v>4.5109999999999997E-2</v>
      </c>
      <c r="E102" s="9">
        <v>4.5109999999999997E-2</v>
      </c>
      <c r="F102" s="8">
        <f t="shared" si="10"/>
        <v>896047</v>
      </c>
      <c r="G102" s="8">
        <f t="shared" si="11"/>
        <v>896047</v>
      </c>
      <c r="H102" s="8">
        <v>912010.22</v>
      </c>
    </row>
    <row r="103" spans="1:8" x14ac:dyDescent="0.45">
      <c r="A103" s="2">
        <f t="shared" si="12"/>
        <v>102</v>
      </c>
      <c r="B103" s="3" t="s">
        <v>99</v>
      </c>
      <c r="C103" s="8">
        <v>40143264.579999998</v>
      </c>
      <c r="D103" s="9">
        <v>4.6050000000000001E-2</v>
      </c>
      <c r="E103" s="9">
        <v>4.6050000000000001E-2</v>
      </c>
      <c r="F103" s="8">
        <f t="shared" ref="F103:F166" si="13">ROUND(C103*D103,0)</f>
        <v>1848597</v>
      </c>
      <c r="G103" s="8">
        <f t="shared" ref="G103:G166" si="14">ROUND(C103*E103,0)</f>
        <v>1848597</v>
      </c>
      <c r="H103" s="8">
        <v>1881148.78</v>
      </c>
    </row>
    <row r="104" spans="1:8" x14ac:dyDescent="0.45">
      <c r="A104" s="2">
        <f t="shared" si="12"/>
        <v>103</v>
      </c>
      <c r="B104" s="3" t="s">
        <v>100</v>
      </c>
      <c r="C104" s="8">
        <v>7157758.5</v>
      </c>
      <c r="D104" s="9">
        <v>4.3380000000000002E-2</v>
      </c>
      <c r="E104" s="9">
        <v>4.3380000000000002E-2</v>
      </c>
      <c r="F104" s="8">
        <f t="shared" si="13"/>
        <v>310504</v>
      </c>
      <c r="G104" s="8">
        <f t="shared" si="14"/>
        <v>310504</v>
      </c>
      <c r="H104" s="8">
        <v>321526.63</v>
      </c>
    </row>
    <row r="105" spans="1:8" x14ac:dyDescent="0.45">
      <c r="A105" s="2">
        <f t="shared" si="12"/>
        <v>104</v>
      </c>
      <c r="B105" s="3" t="s">
        <v>101</v>
      </c>
      <c r="C105" s="8">
        <v>6377782.29</v>
      </c>
      <c r="D105" s="9">
        <v>4.3959999999999999E-2</v>
      </c>
      <c r="E105" s="9">
        <v>4.3959999999999999E-2</v>
      </c>
      <c r="F105" s="8">
        <f t="shared" si="13"/>
        <v>280367</v>
      </c>
      <c r="G105" s="8">
        <f t="shared" si="14"/>
        <v>280367</v>
      </c>
      <c r="H105" s="8">
        <v>285433.84999999998</v>
      </c>
    </row>
    <row r="106" spans="1:8" x14ac:dyDescent="0.45">
      <c r="A106" s="2">
        <f t="shared" si="12"/>
        <v>105</v>
      </c>
      <c r="B106" s="3" t="s">
        <v>102</v>
      </c>
      <c r="C106" s="8">
        <v>8701141.6199999992</v>
      </c>
      <c r="D106" s="9">
        <v>4.385E-2</v>
      </c>
      <c r="E106" s="9">
        <v>4.385E-2</v>
      </c>
      <c r="F106" s="8">
        <f t="shared" si="13"/>
        <v>381545</v>
      </c>
      <c r="G106" s="8">
        <f t="shared" si="14"/>
        <v>381545</v>
      </c>
      <c r="H106" s="8">
        <v>388449.36</v>
      </c>
    </row>
    <row r="107" spans="1:8" x14ac:dyDescent="0.45">
      <c r="A107" s="2">
        <f t="shared" si="12"/>
        <v>106</v>
      </c>
      <c r="B107" s="3" t="s">
        <v>103</v>
      </c>
      <c r="C107" s="8">
        <v>15922072.98</v>
      </c>
      <c r="D107" s="9">
        <v>4.3549999999999998E-2</v>
      </c>
      <c r="E107" s="9">
        <v>4.3549999999999998E-2</v>
      </c>
      <c r="F107" s="8">
        <f t="shared" si="13"/>
        <v>693406</v>
      </c>
      <c r="G107" s="8">
        <f t="shared" si="14"/>
        <v>693406</v>
      </c>
      <c r="H107" s="8">
        <v>706000.53</v>
      </c>
    </row>
    <row r="108" spans="1:8" x14ac:dyDescent="0.45">
      <c r="A108" s="2">
        <f t="shared" si="12"/>
        <v>107</v>
      </c>
      <c r="B108" s="3" t="s">
        <v>104</v>
      </c>
      <c r="C108" s="8">
        <v>15929178.189999999</v>
      </c>
      <c r="D108" s="9">
        <v>4.3679999999999997E-2</v>
      </c>
      <c r="E108" s="9">
        <v>4.3679999999999997E-2</v>
      </c>
      <c r="F108" s="8">
        <f t="shared" si="13"/>
        <v>695787</v>
      </c>
      <c r="G108" s="8">
        <f t="shared" si="14"/>
        <v>695787</v>
      </c>
      <c r="H108" s="8">
        <v>708403.71</v>
      </c>
    </row>
    <row r="109" spans="1:8" x14ac:dyDescent="0.45">
      <c r="A109" s="2">
        <f t="shared" si="12"/>
        <v>108</v>
      </c>
      <c r="B109" s="3" t="s">
        <v>105</v>
      </c>
      <c r="C109" s="8">
        <v>20019291.760000002</v>
      </c>
      <c r="D109" s="9">
        <v>4.5269999999999998E-2</v>
      </c>
      <c r="E109" s="9">
        <v>4.5269999999999998E-2</v>
      </c>
      <c r="F109" s="8">
        <f t="shared" si="13"/>
        <v>906273</v>
      </c>
      <c r="G109" s="8">
        <f t="shared" si="14"/>
        <v>906273</v>
      </c>
      <c r="H109" s="8">
        <v>922387.04</v>
      </c>
    </row>
    <row r="110" spans="1:8" x14ac:dyDescent="0.45">
      <c r="A110" s="2">
        <f t="shared" si="12"/>
        <v>109</v>
      </c>
      <c r="B110" s="31" t="s">
        <v>106</v>
      </c>
      <c r="C110" s="32">
        <v>0</v>
      </c>
      <c r="D110" s="9">
        <v>4.7539999999999999E-2</v>
      </c>
      <c r="E110" s="9">
        <v>4.7539999999999999E-2</v>
      </c>
      <c r="F110" s="8">
        <f t="shared" si="13"/>
        <v>0</v>
      </c>
      <c r="G110" s="8">
        <f t="shared" si="14"/>
        <v>0</v>
      </c>
      <c r="H110" s="8">
        <v>975485.04</v>
      </c>
    </row>
    <row r="111" spans="1:8" x14ac:dyDescent="0.45">
      <c r="A111" s="2">
        <f t="shared" si="12"/>
        <v>110</v>
      </c>
      <c r="B111" s="3" t="s">
        <v>107</v>
      </c>
      <c r="C111" s="8">
        <v>20083659.120000001</v>
      </c>
      <c r="D111" s="9">
        <v>4.623E-2</v>
      </c>
      <c r="E111" s="9">
        <v>4.623E-2</v>
      </c>
      <c r="F111" s="8">
        <f t="shared" si="13"/>
        <v>928468</v>
      </c>
      <c r="G111" s="8">
        <f t="shared" si="14"/>
        <v>928468</v>
      </c>
      <c r="H111" s="8">
        <v>944780.14</v>
      </c>
    </row>
    <row r="112" spans="1:8" x14ac:dyDescent="0.45">
      <c r="A112" s="2">
        <f t="shared" si="12"/>
        <v>111</v>
      </c>
      <c r="B112" s="3" t="s">
        <v>108</v>
      </c>
      <c r="C112" s="8">
        <v>6276875.3499999996</v>
      </c>
      <c r="D112" s="9">
        <v>4.2979999999999997E-2</v>
      </c>
      <c r="E112" s="9">
        <v>4.2979999999999997E-2</v>
      </c>
      <c r="F112" s="8">
        <f t="shared" si="13"/>
        <v>269780</v>
      </c>
      <c r="G112" s="8">
        <f t="shared" si="14"/>
        <v>269780</v>
      </c>
      <c r="H112" s="8">
        <v>274714.67</v>
      </c>
    </row>
    <row r="113" spans="1:8" x14ac:dyDescent="0.45">
      <c r="A113" s="2">
        <f t="shared" si="12"/>
        <v>112</v>
      </c>
      <c r="B113" s="3" t="s">
        <v>109</v>
      </c>
      <c r="C113" s="8">
        <v>2777951.92</v>
      </c>
      <c r="D113" s="9">
        <v>4.3060000000000001E-2</v>
      </c>
      <c r="E113" s="9">
        <v>4.3060000000000001E-2</v>
      </c>
      <c r="F113" s="8">
        <f t="shared" si="13"/>
        <v>119619</v>
      </c>
      <c r="G113" s="8">
        <f t="shared" si="14"/>
        <v>119619</v>
      </c>
      <c r="H113" s="8">
        <v>123875.24</v>
      </c>
    </row>
    <row r="114" spans="1:8" x14ac:dyDescent="0.45">
      <c r="A114" s="2">
        <f t="shared" si="12"/>
        <v>113</v>
      </c>
      <c r="B114" s="3" t="s">
        <v>110</v>
      </c>
      <c r="C114" s="8">
        <v>19897120.219999999</v>
      </c>
      <c r="D114" s="9">
        <v>4.3470000000000002E-2</v>
      </c>
      <c r="E114" s="9">
        <v>4.3470000000000002E-2</v>
      </c>
      <c r="F114" s="8">
        <f t="shared" si="13"/>
        <v>864928</v>
      </c>
      <c r="G114" s="8">
        <f t="shared" si="14"/>
        <v>864928</v>
      </c>
      <c r="H114" s="8">
        <v>880652.91</v>
      </c>
    </row>
    <row r="115" spans="1:8" x14ac:dyDescent="0.45">
      <c r="A115" s="2">
        <f t="shared" si="12"/>
        <v>114</v>
      </c>
      <c r="B115" s="3" t="s">
        <v>111</v>
      </c>
      <c r="C115" s="8">
        <v>19936697.620000001</v>
      </c>
      <c r="D115" s="9">
        <v>4.4049999999999999E-2</v>
      </c>
      <c r="E115" s="9">
        <v>4.4049999999999999E-2</v>
      </c>
      <c r="F115" s="8">
        <f t="shared" si="13"/>
        <v>878212</v>
      </c>
      <c r="G115" s="8">
        <f t="shared" si="14"/>
        <v>878212</v>
      </c>
      <c r="H115" s="8">
        <v>894064.08</v>
      </c>
    </row>
    <row r="116" spans="1:8" x14ac:dyDescent="0.45">
      <c r="A116" s="2">
        <f t="shared" si="12"/>
        <v>115</v>
      </c>
      <c r="B116" s="3" t="s">
        <v>112</v>
      </c>
      <c r="C116" s="8">
        <v>5566338.0499999998</v>
      </c>
      <c r="D116" s="9">
        <v>2.8459999999999999E-2</v>
      </c>
      <c r="E116" s="9">
        <v>2.8459999999999999E-2</v>
      </c>
      <c r="F116" s="8">
        <f t="shared" si="13"/>
        <v>158418</v>
      </c>
      <c r="G116" s="8">
        <f t="shared" si="14"/>
        <v>158418</v>
      </c>
      <c r="H116" s="8">
        <v>161871.69</v>
      </c>
    </row>
    <row r="117" spans="1:8" x14ac:dyDescent="0.45">
      <c r="A117" s="2">
        <f t="shared" si="12"/>
        <v>116</v>
      </c>
      <c r="B117" s="3" t="s">
        <v>113</v>
      </c>
      <c r="C117" s="8">
        <v>2732552.89</v>
      </c>
      <c r="D117" s="9">
        <v>3.8010000000000002E-2</v>
      </c>
      <c r="E117" s="9">
        <v>3.8010000000000002E-2</v>
      </c>
      <c r="F117" s="8">
        <f t="shared" si="13"/>
        <v>103864</v>
      </c>
      <c r="G117" s="8">
        <f t="shared" si="14"/>
        <v>103864</v>
      </c>
      <c r="H117" s="8">
        <v>106189.91</v>
      </c>
    </row>
    <row r="118" spans="1:8" x14ac:dyDescent="0.45">
      <c r="A118" s="2">
        <f t="shared" si="12"/>
        <v>117</v>
      </c>
      <c r="B118" s="3" t="s">
        <v>114</v>
      </c>
      <c r="C118" s="8">
        <v>19377037.91</v>
      </c>
      <c r="D118" s="9">
        <v>3.6510000000000001E-2</v>
      </c>
      <c r="E118" s="9">
        <v>3.6510000000000001E-2</v>
      </c>
      <c r="F118" s="8">
        <f t="shared" si="13"/>
        <v>707456</v>
      </c>
      <c r="G118" s="8">
        <f t="shared" si="14"/>
        <v>707456</v>
      </c>
      <c r="H118" s="8">
        <v>721460.9</v>
      </c>
    </row>
    <row r="119" spans="1:8" x14ac:dyDescent="0.45">
      <c r="A119" s="2">
        <f t="shared" si="12"/>
        <v>118</v>
      </c>
      <c r="B119" s="3" t="s">
        <v>115</v>
      </c>
      <c r="C119" s="8">
        <v>28086405.530000001</v>
      </c>
      <c r="D119" s="9">
        <v>3.9879999999999999E-2</v>
      </c>
      <c r="E119" s="9">
        <v>3.9879999999999999E-2</v>
      </c>
      <c r="F119" s="8">
        <f t="shared" si="13"/>
        <v>1120086</v>
      </c>
      <c r="G119" s="8">
        <f t="shared" si="14"/>
        <v>1120086</v>
      </c>
      <c r="H119" s="8">
        <v>1141368.53</v>
      </c>
    </row>
    <row r="120" spans="1:8" x14ac:dyDescent="0.45">
      <c r="A120" s="2">
        <f t="shared" si="12"/>
        <v>119</v>
      </c>
      <c r="B120" s="3" t="s">
        <v>116</v>
      </c>
      <c r="C120" s="8">
        <v>20306048.32</v>
      </c>
      <c r="D120" s="9">
        <v>4.3740000000000001E-2</v>
      </c>
      <c r="E120" s="9">
        <v>4.3740000000000001E-2</v>
      </c>
      <c r="F120" s="8">
        <f t="shared" si="13"/>
        <v>888187</v>
      </c>
      <c r="G120" s="8">
        <f t="shared" si="14"/>
        <v>888187</v>
      </c>
      <c r="H120" s="8">
        <v>904280.75</v>
      </c>
    </row>
    <row r="121" spans="1:8" x14ac:dyDescent="0.45">
      <c r="A121" s="2">
        <f t="shared" si="12"/>
        <v>120</v>
      </c>
      <c r="B121" s="3" t="s">
        <v>117</v>
      </c>
      <c r="C121" s="8">
        <v>20316623.399999999</v>
      </c>
      <c r="D121" s="9">
        <v>4.3909999999999998E-2</v>
      </c>
      <c r="E121" s="9">
        <v>4.3909999999999998E-2</v>
      </c>
      <c r="F121" s="8">
        <f t="shared" si="13"/>
        <v>892103</v>
      </c>
      <c r="G121" s="8">
        <f t="shared" si="14"/>
        <v>892103</v>
      </c>
      <c r="H121" s="8">
        <v>908234.16</v>
      </c>
    </row>
    <row r="122" spans="1:8" x14ac:dyDescent="0.45">
      <c r="A122" s="2">
        <f t="shared" si="12"/>
        <v>121</v>
      </c>
      <c r="B122" s="3" t="s">
        <v>118</v>
      </c>
      <c r="C122" s="8">
        <v>20448404.68</v>
      </c>
      <c r="D122" s="9">
        <v>4.6050000000000001E-2</v>
      </c>
      <c r="E122" s="9">
        <v>4.6050000000000001E-2</v>
      </c>
      <c r="F122" s="8">
        <f t="shared" si="13"/>
        <v>941649</v>
      </c>
      <c r="G122" s="8">
        <f t="shared" si="14"/>
        <v>941649</v>
      </c>
      <c r="H122" s="8">
        <v>958230.27</v>
      </c>
    </row>
    <row r="123" spans="1:8" x14ac:dyDescent="0.45">
      <c r="A123" s="2">
        <f t="shared" si="12"/>
        <v>122</v>
      </c>
      <c r="B123" s="3" t="s">
        <v>119</v>
      </c>
      <c r="C123" s="8">
        <v>32717447.48</v>
      </c>
      <c r="D123" s="9">
        <v>4.6050000000000001E-2</v>
      </c>
      <c r="E123" s="9">
        <v>4.6050000000000001E-2</v>
      </c>
      <c r="F123" s="8">
        <f t="shared" si="13"/>
        <v>1506638</v>
      </c>
      <c r="G123" s="8">
        <f t="shared" si="14"/>
        <v>1506638</v>
      </c>
      <c r="H123" s="8">
        <v>1533168.44</v>
      </c>
    </row>
    <row r="124" spans="1:8" x14ac:dyDescent="0.45">
      <c r="A124" s="2">
        <f t="shared" si="12"/>
        <v>123</v>
      </c>
      <c r="B124" s="3" t="s">
        <v>120</v>
      </c>
      <c r="C124" s="8">
        <v>20445354.300000001</v>
      </c>
      <c r="D124" s="9">
        <v>4.5999999999999999E-2</v>
      </c>
      <c r="E124" s="9">
        <v>4.5999999999999999E-2</v>
      </c>
      <c r="F124" s="8">
        <f t="shared" si="13"/>
        <v>940486</v>
      </c>
      <c r="G124" s="8">
        <f t="shared" si="14"/>
        <v>940486</v>
      </c>
      <c r="H124" s="8">
        <v>957057.37</v>
      </c>
    </row>
    <row r="125" spans="1:8" x14ac:dyDescent="0.45">
      <c r="A125" s="2">
        <f t="shared" si="12"/>
        <v>124</v>
      </c>
      <c r="B125" s="3" t="s">
        <v>121</v>
      </c>
      <c r="C125" s="8">
        <v>11624991.029999999</v>
      </c>
      <c r="D125" s="9">
        <v>4.2520000000000002E-2</v>
      </c>
      <c r="E125" s="9">
        <v>4.2520000000000002E-2</v>
      </c>
      <c r="F125" s="8">
        <f t="shared" si="13"/>
        <v>494295</v>
      </c>
      <c r="G125" s="8">
        <f t="shared" si="14"/>
        <v>494295</v>
      </c>
      <c r="H125" s="8">
        <v>503387.22</v>
      </c>
    </row>
    <row r="126" spans="1:8" x14ac:dyDescent="0.45">
      <c r="A126" s="2">
        <f t="shared" si="12"/>
        <v>125</v>
      </c>
      <c r="B126" s="3" t="s">
        <v>122</v>
      </c>
      <c r="C126" s="8">
        <v>20235983</v>
      </c>
      <c r="D126" s="9">
        <v>4.2619999999999998E-2</v>
      </c>
      <c r="E126" s="9">
        <v>4.2619999999999998E-2</v>
      </c>
      <c r="F126" s="8">
        <f t="shared" si="13"/>
        <v>862458</v>
      </c>
      <c r="G126" s="8">
        <f t="shared" si="14"/>
        <v>862458</v>
      </c>
      <c r="H126" s="8">
        <v>878303.07</v>
      </c>
    </row>
    <row r="127" spans="1:8" x14ac:dyDescent="0.45">
      <c r="A127" s="2">
        <f t="shared" si="12"/>
        <v>126</v>
      </c>
      <c r="B127" s="3" t="s">
        <v>123</v>
      </c>
      <c r="C127" s="8">
        <v>20133439.039999999</v>
      </c>
      <c r="D127" s="9">
        <v>4.1000000000000002E-2</v>
      </c>
      <c r="E127" s="9">
        <v>4.1000000000000002E-2</v>
      </c>
      <c r="F127" s="8">
        <f t="shared" si="13"/>
        <v>825471</v>
      </c>
      <c r="G127" s="8">
        <f t="shared" si="14"/>
        <v>825471</v>
      </c>
      <c r="H127" s="8">
        <v>840942.03</v>
      </c>
    </row>
    <row r="128" spans="1:8" x14ac:dyDescent="0.45">
      <c r="A128" s="2">
        <f t="shared" si="12"/>
        <v>127</v>
      </c>
      <c r="B128" s="3" t="s">
        <v>124</v>
      </c>
      <c r="C128" s="8">
        <v>10356831.300000001</v>
      </c>
      <c r="D128" s="9">
        <v>4.3819999999999998E-2</v>
      </c>
      <c r="E128" s="9">
        <v>4.3819999999999998E-2</v>
      </c>
      <c r="F128" s="8">
        <f t="shared" si="13"/>
        <v>453836</v>
      </c>
      <c r="G128" s="8">
        <f t="shared" si="14"/>
        <v>453836</v>
      </c>
      <c r="H128" s="8">
        <v>462051.86</v>
      </c>
    </row>
    <row r="129" spans="1:8" x14ac:dyDescent="0.45">
      <c r="A129" s="2">
        <f t="shared" si="12"/>
        <v>128</v>
      </c>
      <c r="B129" s="3" t="s">
        <v>125</v>
      </c>
      <c r="C129" s="8">
        <v>20361857.010000002</v>
      </c>
      <c r="D129" s="9">
        <v>4.4639999999999999E-2</v>
      </c>
      <c r="E129" s="9">
        <v>4.4639999999999999E-2</v>
      </c>
      <c r="F129" s="8">
        <f t="shared" si="13"/>
        <v>908953</v>
      </c>
      <c r="G129" s="8">
        <f t="shared" si="14"/>
        <v>908953</v>
      </c>
      <c r="H129" s="8">
        <v>925241.4</v>
      </c>
    </row>
    <row r="130" spans="1:8" x14ac:dyDescent="0.45">
      <c r="A130" s="2">
        <f t="shared" si="12"/>
        <v>129</v>
      </c>
      <c r="B130" s="3" t="s">
        <v>126</v>
      </c>
      <c r="C130" s="8">
        <v>8014072.8300000001</v>
      </c>
      <c r="D130" s="9">
        <v>4.3959999999999999E-2</v>
      </c>
      <c r="E130" s="9">
        <v>4.3959999999999999E-2</v>
      </c>
      <c r="F130" s="8">
        <f t="shared" si="13"/>
        <v>352299</v>
      </c>
      <c r="G130" s="8">
        <f t="shared" si="14"/>
        <v>352299</v>
      </c>
      <c r="H130" s="8">
        <v>359148.81</v>
      </c>
    </row>
    <row r="131" spans="1:8" x14ac:dyDescent="0.45">
      <c r="A131" s="2">
        <f t="shared" ref="A131:A194" si="15">A130+1</f>
        <v>130</v>
      </c>
      <c r="B131" s="3" t="s">
        <v>127</v>
      </c>
      <c r="C131" s="8">
        <v>20316002.07</v>
      </c>
      <c r="D131" s="9">
        <v>4.3900000000000002E-2</v>
      </c>
      <c r="E131" s="9">
        <v>4.3900000000000002E-2</v>
      </c>
      <c r="F131" s="8">
        <f t="shared" si="13"/>
        <v>891872</v>
      </c>
      <c r="G131" s="8">
        <f t="shared" si="14"/>
        <v>891872</v>
      </c>
      <c r="H131" s="8">
        <v>908001.53</v>
      </c>
    </row>
    <row r="132" spans="1:8" x14ac:dyDescent="0.45">
      <c r="A132" s="2">
        <f t="shared" si="15"/>
        <v>131</v>
      </c>
      <c r="B132" s="3" t="s">
        <v>128</v>
      </c>
      <c r="C132" s="8">
        <v>20426410.550000001</v>
      </c>
      <c r="D132" s="9">
        <v>4.5690000000000001E-2</v>
      </c>
      <c r="E132" s="9">
        <v>4.5690000000000001E-2</v>
      </c>
      <c r="F132" s="8">
        <f t="shared" si="13"/>
        <v>933283</v>
      </c>
      <c r="G132" s="8">
        <f t="shared" si="14"/>
        <v>933283</v>
      </c>
      <c r="H132" s="8">
        <v>949790.33</v>
      </c>
    </row>
    <row r="133" spans="1:8" x14ac:dyDescent="0.45">
      <c r="A133" s="2">
        <f t="shared" si="15"/>
        <v>132</v>
      </c>
      <c r="B133" s="3" t="s">
        <v>129</v>
      </c>
      <c r="C133" s="8">
        <v>16128128.189999999</v>
      </c>
      <c r="D133" s="9">
        <v>4.1419999999999998E-2</v>
      </c>
      <c r="E133" s="9">
        <v>4.1419999999999998E-2</v>
      </c>
      <c r="F133" s="8">
        <f t="shared" si="13"/>
        <v>668027</v>
      </c>
      <c r="G133" s="8">
        <f t="shared" si="14"/>
        <v>668027</v>
      </c>
      <c r="H133" s="8">
        <v>680482.88</v>
      </c>
    </row>
    <row r="134" spans="1:8" x14ac:dyDescent="0.45">
      <c r="A134" s="2">
        <f t="shared" si="15"/>
        <v>133</v>
      </c>
      <c r="B134" s="3" t="s">
        <v>130</v>
      </c>
      <c r="C134" s="8">
        <v>16154489.66</v>
      </c>
      <c r="D134" s="9">
        <v>4.1939999999999998E-2</v>
      </c>
      <c r="E134" s="9">
        <v>4.1939999999999998E-2</v>
      </c>
      <c r="F134" s="8">
        <f t="shared" si="13"/>
        <v>677519</v>
      </c>
      <c r="G134" s="8">
        <f t="shared" si="14"/>
        <v>677519</v>
      </c>
      <c r="H134" s="8">
        <v>690071.62</v>
      </c>
    </row>
    <row r="135" spans="1:8" x14ac:dyDescent="0.45">
      <c r="A135" s="2">
        <f t="shared" si="15"/>
        <v>134</v>
      </c>
      <c r="B135" s="3" t="s">
        <v>131</v>
      </c>
      <c r="C135" s="8">
        <v>16144871.050000001</v>
      </c>
      <c r="D135" s="9">
        <v>4.1750000000000002E-2</v>
      </c>
      <c r="E135" s="9">
        <v>4.1750000000000002E-2</v>
      </c>
      <c r="F135" s="8">
        <f t="shared" si="13"/>
        <v>674048</v>
      </c>
      <c r="G135" s="8">
        <f t="shared" si="14"/>
        <v>674048</v>
      </c>
      <c r="H135" s="8">
        <v>686565.59</v>
      </c>
    </row>
    <row r="136" spans="1:8" x14ac:dyDescent="0.45">
      <c r="A136" s="2">
        <f t="shared" si="15"/>
        <v>135</v>
      </c>
      <c r="B136" s="3" t="s">
        <v>132</v>
      </c>
      <c r="C136" s="8">
        <v>15897383.689999999</v>
      </c>
      <c r="D136" s="9">
        <v>4.1369999999999997E-2</v>
      </c>
      <c r="E136" s="9">
        <v>4.1369999999999997E-2</v>
      </c>
      <c r="F136" s="8">
        <f t="shared" si="13"/>
        <v>657675</v>
      </c>
      <c r="G136" s="8">
        <f t="shared" si="14"/>
        <v>657675</v>
      </c>
      <c r="H136" s="8">
        <v>670855.65</v>
      </c>
    </row>
    <row r="137" spans="1:8" x14ac:dyDescent="0.45">
      <c r="A137" s="2">
        <f t="shared" si="15"/>
        <v>136</v>
      </c>
      <c r="B137" s="3" t="s">
        <v>133</v>
      </c>
      <c r="C137" s="8">
        <v>15024984.41</v>
      </c>
      <c r="D137" s="9">
        <v>3.9780000000000003E-2</v>
      </c>
      <c r="E137" s="9">
        <v>3.9780000000000003E-2</v>
      </c>
      <c r="F137" s="8">
        <f t="shared" si="13"/>
        <v>597694</v>
      </c>
      <c r="G137" s="8">
        <f t="shared" si="14"/>
        <v>597694</v>
      </c>
      <c r="H137" s="8">
        <v>609896.06999999995</v>
      </c>
    </row>
    <row r="138" spans="1:8" x14ac:dyDescent="0.45">
      <c r="A138" s="2">
        <f t="shared" si="15"/>
        <v>137</v>
      </c>
      <c r="B138" s="3" t="s">
        <v>134</v>
      </c>
      <c r="C138" s="8">
        <v>4815121.01</v>
      </c>
      <c r="D138" s="9">
        <v>3.9899999999999998E-2</v>
      </c>
      <c r="E138" s="9">
        <v>3.9899999999999998E-2</v>
      </c>
      <c r="F138" s="8">
        <f t="shared" si="13"/>
        <v>192123</v>
      </c>
      <c r="G138" s="8">
        <f t="shared" si="14"/>
        <v>192123</v>
      </c>
      <c r="H138" s="8">
        <v>195772.94</v>
      </c>
    </row>
    <row r="139" spans="1:8" x14ac:dyDescent="0.45">
      <c r="A139" s="2">
        <f t="shared" si="15"/>
        <v>138</v>
      </c>
      <c r="B139" s="3" t="s">
        <v>135</v>
      </c>
      <c r="C139" s="8">
        <v>19858967</v>
      </c>
      <c r="D139" s="9">
        <v>4.1169999999999998E-2</v>
      </c>
      <c r="E139" s="9">
        <v>4.1169999999999998E-2</v>
      </c>
      <c r="F139" s="8">
        <f t="shared" si="13"/>
        <v>817594</v>
      </c>
      <c r="G139" s="8">
        <f t="shared" si="14"/>
        <v>817594</v>
      </c>
      <c r="H139" s="8">
        <v>834017.8</v>
      </c>
    </row>
    <row r="140" spans="1:8" x14ac:dyDescent="0.45">
      <c r="A140" s="2">
        <f t="shared" si="15"/>
        <v>139</v>
      </c>
      <c r="B140" s="3" t="s">
        <v>136</v>
      </c>
      <c r="C140" s="8">
        <v>19858967</v>
      </c>
      <c r="D140" s="9">
        <v>4.1169999999999998E-2</v>
      </c>
      <c r="E140" s="9">
        <v>4.1169999999999998E-2</v>
      </c>
      <c r="F140" s="8">
        <f t="shared" si="13"/>
        <v>817594</v>
      </c>
      <c r="G140" s="8">
        <f t="shared" si="14"/>
        <v>817594</v>
      </c>
      <c r="H140" s="8">
        <v>834017.8</v>
      </c>
    </row>
    <row r="141" spans="1:8" x14ac:dyDescent="0.45">
      <c r="A141" s="2">
        <f t="shared" si="15"/>
        <v>140</v>
      </c>
      <c r="B141" s="3" t="s">
        <v>137</v>
      </c>
      <c r="C141" s="8">
        <v>19883835.25</v>
      </c>
      <c r="D141" s="9">
        <v>4.156E-2</v>
      </c>
      <c r="E141" s="9">
        <v>4.156E-2</v>
      </c>
      <c r="F141" s="8">
        <f t="shared" si="13"/>
        <v>826372</v>
      </c>
      <c r="G141" s="8">
        <f t="shared" si="14"/>
        <v>826372</v>
      </c>
      <c r="H141" s="8">
        <v>842897.47</v>
      </c>
    </row>
    <row r="142" spans="1:8" x14ac:dyDescent="0.45">
      <c r="A142" s="2">
        <f t="shared" si="15"/>
        <v>141</v>
      </c>
      <c r="B142" s="3" t="s">
        <v>138</v>
      </c>
      <c r="C142" s="8">
        <v>19883835.25</v>
      </c>
      <c r="D142" s="9">
        <v>4.156E-2</v>
      </c>
      <c r="E142" s="9">
        <v>4.156E-2</v>
      </c>
      <c r="F142" s="8">
        <f t="shared" si="13"/>
        <v>826372</v>
      </c>
      <c r="G142" s="8">
        <f t="shared" si="14"/>
        <v>826372</v>
      </c>
      <c r="H142" s="8">
        <v>842897.47</v>
      </c>
    </row>
    <row r="143" spans="1:8" x14ac:dyDescent="0.45">
      <c r="A143" s="2">
        <f t="shared" si="15"/>
        <v>142</v>
      </c>
      <c r="B143" s="3" t="s">
        <v>139</v>
      </c>
      <c r="C143" s="8">
        <v>16018644.77</v>
      </c>
      <c r="D143" s="9">
        <v>4.3770000000000003E-2</v>
      </c>
      <c r="E143" s="9">
        <v>4.3770000000000003E-2</v>
      </c>
      <c r="F143" s="8">
        <f t="shared" si="13"/>
        <v>701136</v>
      </c>
      <c r="G143" s="8">
        <f t="shared" si="14"/>
        <v>701136</v>
      </c>
      <c r="H143" s="8">
        <v>714799.51</v>
      </c>
    </row>
    <row r="144" spans="1:8" x14ac:dyDescent="0.45">
      <c r="A144" s="2">
        <f t="shared" si="15"/>
        <v>143</v>
      </c>
      <c r="B144" s="3" t="s">
        <v>140</v>
      </c>
      <c r="C144" s="8">
        <v>5667141.8200000003</v>
      </c>
      <c r="D144" s="9">
        <v>4.3979999999999998E-2</v>
      </c>
      <c r="E144" s="9">
        <v>4.3979999999999998E-2</v>
      </c>
      <c r="F144" s="8">
        <f t="shared" si="13"/>
        <v>249241</v>
      </c>
      <c r="G144" s="8">
        <f t="shared" si="14"/>
        <v>249241</v>
      </c>
      <c r="H144" s="8">
        <v>253743.82</v>
      </c>
    </row>
    <row r="145" spans="1:8" x14ac:dyDescent="0.45">
      <c r="A145" s="2">
        <f t="shared" si="15"/>
        <v>144</v>
      </c>
      <c r="B145" s="3" t="s">
        <v>141</v>
      </c>
      <c r="C145" s="8">
        <v>7207489.4699999997</v>
      </c>
      <c r="D145" s="9">
        <v>4.3729999999999998E-2</v>
      </c>
      <c r="E145" s="9">
        <v>4.3729999999999998E-2</v>
      </c>
      <c r="F145" s="8">
        <f t="shared" si="13"/>
        <v>315184</v>
      </c>
      <c r="G145" s="8">
        <f t="shared" si="14"/>
        <v>315184</v>
      </c>
      <c r="H145" s="8">
        <v>321328.55</v>
      </c>
    </row>
    <row r="146" spans="1:8" x14ac:dyDescent="0.45">
      <c r="A146" s="2">
        <f t="shared" si="15"/>
        <v>145</v>
      </c>
      <c r="B146" s="3" t="s">
        <v>142</v>
      </c>
      <c r="C146" s="8">
        <v>15495625.720000001</v>
      </c>
      <c r="D146" s="9">
        <v>4.5080000000000002E-2</v>
      </c>
      <c r="E146" s="9">
        <v>4.5080000000000002E-2</v>
      </c>
      <c r="F146" s="8">
        <f t="shared" si="13"/>
        <v>698543</v>
      </c>
      <c r="G146" s="8">
        <f t="shared" si="14"/>
        <v>698543</v>
      </c>
      <c r="H146" s="8">
        <v>710992.33</v>
      </c>
    </row>
    <row r="147" spans="1:8" x14ac:dyDescent="0.45">
      <c r="A147" s="2">
        <f t="shared" si="15"/>
        <v>146</v>
      </c>
      <c r="B147" s="3" t="s">
        <v>143</v>
      </c>
      <c r="C147" s="8">
        <v>927181.59</v>
      </c>
      <c r="D147" s="9">
        <v>3.2239999999999998E-2</v>
      </c>
      <c r="E147" s="9">
        <v>3.2239999999999998E-2</v>
      </c>
      <c r="F147" s="8">
        <f t="shared" si="13"/>
        <v>29892</v>
      </c>
      <c r="G147" s="8">
        <f t="shared" si="14"/>
        <v>29892</v>
      </c>
      <c r="H147" s="8">
        <v>34222.14</v>
      </c>
    </row>
    <row r="148" spans="1:8" x14ac:dyDescent="0.45">
      <c r="A148" s="2">
        <f t="shared" si="15"/>
        <v>147</v>
      </c>
      <c r="B148" s="3" t="s">
        <v>144</v>
      </c>
      <c r="C148" s="8">
        <v>235175.03</v>
      </c>
      <c r="D148" s="9">
        <v>3.943E-2</v>
      </c>
      <c r="E148" s="9">
        <v>3.943E-2</v>
      </c>
      <c r="F148" s="8">
        <f t="shared" si="13"/>
        <v>9273</v>
      </c>
      <c r="G148" s="8">
        <f t="shared" si="14"/>
        <v>9273</v>
      </c>
      <c r="H148" s="8">
        <v>9554.75</v>
      </c>
    </row>
    <row r="149" spans="1:8" x14ac:dyDescent="0.45">
      <c r="A149" s="2">
        <f t="shared" si="15"/>
        <v>148</v>
      </c>
      <c r="B149" s="3" t="s">
        <v>145</v>
      </c>
      <c r="C149" s="8">
        <v>523282.5</v>
      </c>
      <c r="D149" s="9">
        <v>3.9219999999999998E-2</v>
      </c>
      <c r="E149" s="9">
        <v>3.9219999999999998E-2</v>
      </c>
      <c r="F149" s="8">
        <f t="shared" si="13"/>
        <v>20523</v>
      </c>
      <c r="G149" s="8">
        <f t="shared" si="14"/>
        <v>20523</v>
      </c>
      <c r="H149" s="8">
        <v>20916.259999999998</v>
      </c>
    </row>
    <row r="150" spans="1:8" x14ac:dyDescent="0.45">
      <c r="A150" s="2">
        <f t="shared" si="15"/>
        <v>149</v>
      </c>
      <c r="B150" s="3" t="s">
        <v>146</v>
      </c>
      <c r="C150" s="8">
        <v>730348.7</v>
      </c>
      <c r="D150" s="9">
        <v>3.9219999999999998E-2</v>
      </c>
      <c r="E150" s="9">
        <v>3.9219999999999998E-2</v>
      </c>
      <c r="F150" s="8">
        <f t="shared" si="13"/>
        <v>28644</v>
      </c>
      <c r="G150" s="8">
        <f t="shared" si="14"/>
        <v>28644</v>
      </c>
      <c r="H150" s="8">
        <v>29192.95</v>
      </c>
    </row>
    <row r="151" spans="1:8" x14ac:dyDescent="0.45">
      <c r="A151" s="2">
        <f t="shared" si="15"/>
        <v>150</v>
      </c>
      <c r="B151" s="3" t="s">
        <v>147</v>
      </c>
      <c r="C151" s="8">
        <v>987292.89</v>
      </c>
      <c r="D151" s="9">
        <v>3.8969999999999998E-2</v>
      </c>
      <c r="E151" s="9">
        <v>3.8969999999999998E-2</v>
      </c>
      <c r="F151" s="8">
        <f t="shared" si="13"/>
        <v>38475</v>
      </c>
      <c r="G151" s="8">
        <f t="shared" si="14"/>
        <v>38475</v>
      </c>
      <c r="H151" s="8">
        <v>39267.69</v>
      </c>
    </row>
    <row r="152" spans="1:8" x14ac:dyDescent="0.45">
      <c r="A152" s="2">
        <f t="shared" si="15"/>
        <v>151</v>
      </c>
      <c r="B152" s="3" t="s">
        <v>148</v>
      </c>
      <c r="C152" s="8">
        <v>342385.24</v>
      </c>
      <c r="D152" s="9">
        <v>3.9129999999999998E-2</v>
      </c>
      <c r="E152" s="9">
        <v>3.9129999999999998E-2</v>
      </c>
      <c r="F152" s="8">
        <f t="shared" si="13"/>
        <v>13398</v>
      </c>
      <c r="G152" s="8">
        <f t="shared" si="14"/>
        <v>13398</v>
      </c>
      <c r="H152" s="8">
        <v>13673.13</v>
      </c>
    </row>
    <row r="153" spans="1:8" x14ac:dyDescent="0.45">
      <c r="A153" s="2">
        <f t="shared" si="15"/>
        <v>152</v>
      </c>
      <c r="B153" s="3" t="s">
        <v>149</v>
      </c>
      <c r="C153" s="8">
        <v>10035052.66</v>
      </c>
      <c r="D153" s="9">
        <v>4.197E-2</v>
      </c>
      <c r="E153" s="9">
        <v>4.197E-2</v>
      </c>
      <c r="F153" s="8">
        <f t="shared" si="13"/>
        <v>421171</v>
      </c>
      <c r="G153" s="8">
        <f t="shared" si="14"/>
        <v>421171</v>
      </c>
      <c r="H153" s="8">
        <v>429553.3</v>
      </c>
    </row>
    <row r="154" spans="1:8" x14ac:dyDescent="0.45">
      <c r="A154" s="2">
        <f t="shared" si="15"/>
        <v>153</v>
      </c>
      <c r="B154" s="3" t="s">
        <v>150</v>
      </c>
      <c r="C154" s="8">
        <v>20513367.449999999</v>
      </c>
      <c r="D154" s="9">
        <v>4.0669999999999998E-2</v>
      </c>
      <c r="E154" s="9">
        <v>4.0669999999999998E-2</v>
      </c>
      <c r="F154" s="8">
        <f t="shared" si="13"/>
        <v>834279</v>
      </c>
      <c r="G154" s="8">
        <f t="shared" si="14"/>
        <v>834279</v>
      </c>
      <c r="H154" s="8">
        <v>846322.24</v>
      </c>
    </row>
    <row r="155" spans="1:8" x14ac:dyDescent="0.45">
      <c r="A155" s="2">
        <f t="shared" si="15"/>
        <v>154</v>
      </c>
      <c r="B155" s="3" t="s">
        <v>151</v>
      </c>
      <c r="C155" s="8">
        <v>1479441.29</v>
      </c>
      <c r="D155" s="9">
        <v>3.9539999999999999E-2</v>
      </c>
      <c r="E155" s="9">
        <v>3.9539999999999999E-2</v>
      </c>
      <c r="F155" s="8">
        <f t="shared" si="13"/>
        <v>58497</v>
      </c>
      <c r="G155" s="8">
        <f t="shared" si="14"/>
        <v>58497</v>
      </c>
      <c r="H155" s="8">
        <v>59613.23</v>
      </c>
    </row>
    <row r="156" spans="1:8" x14ac:dyDescent="0.45">
      <c r="A156" s="2">
        <f t="shared" si="15"/>
        <v>155</v>
      </c>
      <c r="B156" s="3" t="s">
        <v>152</v>
      </c>
      <c r="C156" s="8">
        <v>10337319.800000001</v>
      </c>
      <c r="D156" s="9">
        <v>3.9539999999999999E-2</v>
      </c>
      <c r="E156" s="9">
        <v>3.9539999999999999E-2</v>
      </c>
      <c r="F156" s="8">
        <f t="shared" si="13"/>
        <v>408738</v>
      </c>
      <c r="G156" s="8">
        <f t="shared" si="14"/>
        <v>408738</v>
      </c>
      <c r="H156" s="8">
        <v>416536.36</v>
      </c>
    </row>
    <row r="157" spans="1:8" x14ac:dyDescent="0.45">
      <c r="A157" s="2">
        <f t="shared" si="15"/>
        <v>156</v>
      </c>
      <c r="B157" s="3" t="s">
        <v>153</v>
      </c>
      <c r="C157" s="8">
        <v>5140689.37</v>
      </c>
      <c r="D157" s="9">
        <v>2.852E-2</v>
      </c>
      <c r="E157" s="9">
        <v>2.852E-2</v>
      </c>
      <c r="F157" s="8">
        <f t="shared" si="13"/>
        <v>146612</v>
      </c>
      <c r="G157" s="8">
        <f t="shared" si="14"/>
        <v>146612</v>
      </c>
      <c r="H157" s="8">
        <v>149806.51</v>
      </c>
    </row>
    <row r="158" spans="1:8" x14ac:dyDescent="0.45">
      <c r="A158" s="2">
        <f t="shared" si="15"/>
        <v>157</v>
      </c>
      <c r="B158" s="3" t="s">
        <v>154</v>
      </c>
      <c r="C158" s="8">
        <v>28806744.02</v>
      </c>
      <c r="D158" s="9">
        <v>2.811E-2</v>
      </c>
      <c r="E158" s="9">
        <v>2.811E-2</v>
      </c>
      <c r="F158" s="8">
        <f t="shared" si="13"/>
        <v>809758</v>
      </c>
      <c r="G158" s="8">
        <f t="shared" si="14"/>
        <v>809758</v>
      </c>
      <c r="H158" s="8">
        <v>828646.02</v>
      </c>
    </row>
    <row r="159" spans="1:8" x14ac:dyDescent="0.45">
      <c r="A159" s="2">
        <f t="shared" si="15"/>
        <v>158</v>
      </c>
      <c r="B159" s="3" t="s">
        <v>155</v>
      </c>
      <c r="C159" s="8">
        <v>21451597.609999999</v>
      </c>
      <c r="D159" s="9">
        <v>2.5899999999999999E-2</v>
      </c>
      <c r="E159" s="9">
        <v>2.5899999999999999E-2</v>
      </c>
      <c r="F159" s="8">
        <f t="shared" si="13"/>
        <v>555596</v>
      </c>
      <c r="G159" s="8">
        <f t="shared" si="14"/>
        <v>555596</v>
      </c>
      <c r="H159" s="8">
        <v>568080.54</v>
      </c>
    </row>
    <row r="160" spans="1:8" x14ac:dyDescent="0.45">
      <c r="A160" s="2">
        <f t="shared" si="15"/>
        <v>159</v>
      </c>
      <c r="B160" s="3" t="s">
        <v>156</v>
      </c>
      <c r="C160" s="8">
        <v>16678739.49</v>
      </c>
      <c r="D160" s="9">
        <v>2.7130000000000001E-2</v>
      </c>
      <c r="E160" s="9">
        <v>2.7130000000000001E-2</v>
      </c>
      <c r="F160" s="8">
        <f t="shared" si="13"/>
        <v>452494</v>
      </c>
      <c r="G160" s="8">
        <f t="shared" si="14"/>
        <v>452494</v>
      </c>
      <c r="H160" s="8">
        <v>462515.42</v>
      </c>
    </row>
    <row r="161" spans="1:8" x14ac:dyDescent="0.45">
      <c r="A161" s="2">
        <f t="shared" si="15"/>
        <v>160</v>
      </c>
      <c r="B161" s="3" t="s">
        <v>157</v>
      </c>
      <c r="C161" s="8">
        <v>25052906.920000002</v>
      </c>
      <c r="D161" s="9">
        <v>2.7910000000000001E-2</v>
      </c>
      <c r="E161" s="9">
        <v>2.7910000000000001E-2</v>
      </c>
      <c r="F161" s="8">
        <f t="shared" si="13"/>
        <v>699227</v>
      </c>
      <c r="G161" s="8">
        <f t="shared" si="14"/>
        <v>699227</v>
      </c>
      <c r="H161" s="8">
        <v>711378.54</v>
      </c>
    </row>
    <row r="162" spans="1:8" x14ac:dyDescent="0.45">
      <c r="A162" s="2">
        <f t="shared" si="15"/>
        <v>161</v>
      </c>
      <c r="B162" s="3" t="s">
        <v>158</v>
      </c>
      <c r="C162" s="8">
        <v>25180650.449999999</v>
      </c>
      <c r="D162" s="9">
        <v>2.9159999999999998E-2</v>
      </c>
      <c r="E162" s="9">
        <v>2.9159999999999998E-2</v>
      </c>
      <c r="F162" s="8">
        <f t="shared" si="13"/>
        <v>734268</v>
      </c>
      <c r="G162" s="8">
        <f t="shared" si="14"/>
        <v>734268</v>
      </c>
      <c r="H162" s="8">
        <v>746803.17</v>
      </c>
    </row>
    <row r="163" spans="1:8" x14ac:dyDescent="0.45">
      <c r="A163" s="2">
        <f t="shared" si="15"/>
        <v>162</v>
      </c>
      <c r="B163" s="3" t="s">
        <v>159</v>
      </c>
      <c r="C163" s="8">
        <v>25280616.579999998</v>
      </c>
      <c r="D163" s="9">
        <v>3.0939999999999999E-2</v>
      </c>
      <c r="E163" s="9">
        <v>3.0939999999999999E-2</v>
      </c>
      <c r="F163" s="8">
        <f t="shared" si="13"/>
        <v>782182</v>
      </c>
      <c r="G163" s="8">
        <f t="shared" si="14"/>
        <v>782182</v>
      </c>
      <c r="H163" s="8">
        <v>795199.21</v>
      </c>
    </row>
    <row r="164" spans="1:8" x14ac:dyDescent="0.45">
      <c r="A164" s="2">
        <f t="shared" si="15"/>
        <v>163</v>
      </c>
      <c r="B164" s="3" t="s">
        <v>160</v>
      </c>
      <c r="C164" s="8">
        <v>8890222.8499999996</v>
      </c>
      <c r="D164" s="9">
        <v>2.8000000000000001E-2</v>
      </c>
      <c r="E164" s="9">
        <v>2.8000000000000001E-2</v>
      </c>
      <c r="F164" s="8">
        <f t="shared" si="13"/>
        <v>248926</v>
      </c>
      <c r="G164" s="8">
        <f t="shared" si="14"/>
        <v>248926</v>
      </c>
      <c r="H164" s="8">
        <v>254382.75</v>
      </c>
    </row>
    <row r="165" spans="1:8" x14ac:dyDescent="0.45">
      <c r="A165" s="2">
        <f t="shared" si="15"/>
        <v>164</v>
      </c>
      <c r="B165" s="3" t="s">
        <v>161</v>
      </c>
      <c r="C165" s="8">
        <v>15972578.82</v>
      </c>
      <c r="D165" s="9">
        <v>2.928E-2</v>
      </c>
      <c r="E165" s="9">
        <v>2.928E-2</v>
      </c>
      <c r="F165" s="8">
        <f t="shared" si="13"/>
        <v>467677</v>
      </c>
      <c r="G165" s="8">
        <f t="shared" si="14"/>
        <v>467677</v>
      </c>
      <c r="H165" s="8">
        <v>475647.59</v>
      </c>
    </row>
    <row r="166" spans="1:8" x14ac:dyDescent="0.45">
      <c r="A166" s="2">
        <f t="shared" si="15"/>
        <v>165</v>
      </c>
      <c r="B166" s="3" t="s">
        <v>162</v>
      </c>
      <c r="C166" s="8">
        <v>24632021.039999999</v>
      </c>
      <c r="D166" s="9">
        <v>2.495E-2</v>
      </c>
      <c r="E166" s="9">
        <v>2.495E-2</v>
      </c>
      <c r="F166" s="8">
        <f t="shared" si="13"/>
        <v>614569</v>
      </c>
      <c r="G166" s="8">
        <f t="shared" si="14"/>
        <v>614569</v>
      </c>
      <c r="H166" s="8">
        <v>625706.75</v>
      </c>
    </row>
    <row r="167" spans="1:8" x14ac:dyDescent="0.45">
      <c r="A167" s="2">
        <f t="shared" si="15"/>
        <v>166</v>
      </c>
      <c r="B167" s="3" t="s">
        <v>163</v>
      </c>
      <c r="C167" s="8">
        <v>1335612.94</v>
      </c>
      <c r="D167" s="9">
        <v>2.3689999999999999E-2</v>
      </c>
      <c r="E167" s="9">
        <v>2.3689999999999999E-2</v>
      </c>
      <c r="F167" s="8">
        <f t="shared" ref="F167:F207" si="16">ROUND(C167*D167,0)</f>
        <v>31641</v>
      </c>
      <c r="G167" s="8">
        <f t="shared" ref="G167:G207" si="17">ROUND(C167*E167,0)</f>
        <v>31641</v>
      </c>
      <c r="H167" s="8">
        <v>32370.28</v>
      </c>
    </row>
    <row r="168" spans="1:8" x14ac:dyDescent="0.45">
      <c r="A168" s="2">
        <f t="shared" si="15"/>
        <v>167</v>
      </c>
      <c r="B168" s="3" t="s">
        <v>164</v>
      </c>
      <c r="C168" s="8">
        <v>19717927.010000002</v>
      </c>
      <c r="D168" s="9">
        <v>2.3019999999999999E-2</v>
      </c>
      <c r="E168" s="9">
        <v>2.3019999999999999E-2</v>
      </c>
      <c r="F168" s="8">
        <f t="shared" si="16"/>
        <v>453907</v>
      </c>
      <c r="G168" s="8">
        <f t="shared" si="17"/>
        <v>453907</v>
      </c>
      <c r="H168" s="8">
        <v>465113.61</v>
      </c>
    </row>
    <row r="169" spans="1:8" x14ac:dyDescent="0.45">
      <c r="A169" s="2">
        <f t="shared" si="15"/>
        <v>168</v>
      </c>
      <c r="B169" s="3" t="s">
        <v>165</v>
      </c>
      <c r="C169" s="8">
        <v>19078144.550000001</v>
      </c>
      <c r="D169" s="9">
        <v>2.3380000000000001E-2</v>
      </c>
      <c r="E169" s="9">
        <v>2.3380000000000001E-2</v>
      </c>
      <c r="F169" s="8">
        <f t="shared" si="16"/>
        <v>446047</v>
      </c>
      <c r="G169" s="8">
        <f t="shared" si="17"/>
        <v>446047</v>
      </c>
      <c r="H169" s="8">
        <v>457016.01</v>
      </c>
    </row>
    <row r="170" spans="1:8" x14ac:dyDescent="0.45">
      <c r="A170" s="2">
        <f t="shared" si="15"/>
        <v>169</v>
      </c>
      <c r="B170" s="3" t="s">
        <v>166</v>
      </c>
      <c r="C170" s="8">
        <v>22841760.59</v>
      </c>
      <c r="D170" s="9">
        <v>2.724E-2</v>
      </c>
      <c r="E170" s="9">
        <v>2.724E-2</v>
      </c>
      <c r="F170" s="8">
        <f t="shared" si="16"/>
        <v>622210</v>
      </c>
      <c r="G170" s="8">
        <f t="shared" si="17"/>
        <v>622210</v>
      </c>
      <c r="H170" s="8">
        <v>633126.48</v>
      </c>
    </row>
    <row r="171" spans="1:8" x14ac:dyDescent="0.45">
      <c r="A171" s="2">
        <f t="shared" si="15"/>
        <v>170</v>
      </c>
      <c r="B171" s="3" t="s">
        <v>167</v>
      </c>
      <c r="C171" s="8">
        <v>985881.55</v>
      </c>
      <c r="D171" s="9">
        <v>2.5489999999999999E-2</v>
      </c>
      <c r="E171" s="9">
        <v>2.5489999999999999E-2</v>
      </c>
      <c r="F171" s="8">
        <f t="shared" si="16"/>
        <v>25130</v>
      </c>
      <c r="G171" s="8">
        <f t="shared" si="17"/>
        <v>25130</v>
      </c>
      <c r="H171" s="8">
        <v>25697.52</v>
      </c>
    </row>
    <row r="172" spans="1:8" x14ac:dyDescent="0.45">
      <c r="A172" s="2">
        <f t="shared" si="15"/>
        <v>171</v>
      </c>
      <c r="B172" s="3" t="s">
        <v>168</v>
      </c>
      <c r="C172" s="8">
        <v>8100915.46</v>
      </c>
      <c r="D172" s="9">
        <v>2.5489999999999999E-2</v>
      </c>
      <c r="E172" s="9">
        <v>2.5489999999999999E-2</v>
      </c>
      <c r="F172" s="8">
        <f t="shared" si="16"/>
        <v>206492</v>
      </c>
      <c r="G172" s="8">
        <f t="shared" si="17"/>
        <v>206492</v>
      </c>
      <c r="H172" s="8">
        <v>211154.59</v>
      </c>
    </row>
    <row r="173" spans="1:8" x14ac:dyDescent="0.45">
      <c r="A173" s="2">
        <f t="shared" si="15"/>
        <v>172</v>
      </c>
      <c r="B173" s="3" t="s">
        <v>169</v>
      </c>
      <c r="C173" s="8">
        <v>10393048.220000001</v>
      </c>
      <c r="D173" s="9">
        <v>2.5100000000000001E-2</v>
      </c>
      <c r="E173" s="9">
        <v>2.5100000000000001E-2</v>
      </c>
      <c r="F173" s="8">
        <f t="shared" si="16"/>
        <v>260866</v>
      </c>
      <c r="G173" s="8">
        <f t="shared" si="17"/>
        <v>260866</v>
      </c>
      <c r="H173" s="8">
        <v>267159.03000000003</v>
      </c>
    </row>
    <row r="174" spans="1:8" x14ac:dyDescent="0.45">
      <c r="A174" s="2">
        <f t="shared" si="15"/>
        <v>173</v>
      </c>
      <c r="B174" s="3" t="s">
        <v>170</v>
      </c>
      <c r="C174" s="8">
        <v>5658665.8799999999</v>
      </c>
      <c r="D174" s="9">
        <v>2.393E-2</v>
      </c>
      <c r="E174" s="9">
        <v>2.393E-2</v>
      </c>
      <c r="F174" s="8">
        <f t="shared" si="16"/>
        <v>135412</v>
      </c>
      <c r="G174" s="8">
        <f t="shared" si="17"/>
        <v>135412</v>
      </c>
      <c r="H174" s="8">
        <v>138721.59</v>
      </c>
    </row>
    <row r="175" spans="1:8" x14ac:dyDescent="0.45">
      <c r="A175" s="2">
        <f t="shared" si="15"/>
        <v>174</v>
      </c>
      <c r="B175" s="3" t="s">
        <v>171</v>
      </c>
      <c r="C175" s="8">
        <v>11650515.43</v>
      </c>
      <c r="D175" s="9">
        <v>2.5729999999999999E-2</v>
      </c>
      <c r="E175" s="9">
        <v>2.5729999999999999E-2</v>
      </c>
      <c r="F175" s="8">
        <f t="shared" si="16"/>
        <v>299768</v>
      </c>
      <c r="G175" s="8">
        <f t="shared" si="17"/>
        <v>299768</v>
      </c>
      <c r="H175" s="8">
        <v>305141</v>
      </c>
    </row>
    <row r="176" spans="1:8" x14ac:dyDescent="0.45">
      <c r="A176" s="2">
        <f t="shared" si="15"/>
        <v>175</v>
      </c>
      <c r="B176" s="3" t="s">
        <v>172</v>
      </c>
      <c r="C176" s="8">
        <v>2599734.66</v>
      </c>
      <c r="D176" s="9">
        <v>2.4320000000000001E-2</v>
      </c>
      <c r="E176" s="9">
        <v>2.4320000000000001E-2</v>
      </c>
      <c r="F176" s="8">
        <f t="shared" si="16"/>
        <v>63226</v>
      </c>
      <c r="G176" s="8">
        <f t="shared" si="17"/>
        <v>63226</v>
      </c>
      <c r="H176" s="8">
        <v>64672.79</v>
      </c>
    </row>
    <row r="177" spans="1:8" x14ac:dyDescent="0.45">
      <c r="A177" s="2">
        <f t="shared" si="15"/>
        <v>176</v>
      </c>
      <c r="B177" s="3" t="s">
        <v>173</v>
      </c>
      <c r="C177" s="8">
        <v>9805187.9499999993</v>
      </c>
      <c r="D177" s="9">
        <v>3.338E-2</v>
      </c>
      <c r="E177" s="9">
        <v>3.338E-2</v>
      </c>
      <c r="F177" s="8">
        <f t="shared" si="16"/>
        <v>327297</v>
      </c>
      <c r="G177" s="8">
        <f t="shared" si="17"/>
        <v>327297</v>
      </c>
      <c r="H177" s="8">
        <v>334489.46999999997</v>
      </c>
    </row>
    <row r="178" spans="1:8" x14ac:dyDescent="0.45">
      <c r="A178" s="2">
        <f t="shared" si="15"/>
        <v>177</v>
      </c>
      <c r="B178" s="3" t="s">
        <v>174</v>
      </c>
      <c r="C178" s="8">
        <v>30297662.800000001</v>
      </c>
      <c r="D178" s="9">
        <v>3.1620000000000002E-2</v>
      </c>
      <c r="E178" s="9">
        <v>3.1620000000000002E-2</v>
      </c>
      <c r="F178" s="8">
        <f t="shared" si="16"/>
        <v>958012</v>
      </c>
      <c r="G178" s="8">
        <f t="shared" si="17"/>
        <v>958012</v>
      </c>
      <c r="H178" s="8">
        <v>979490.05</v>
      </c>
    </row>
    <row r="179" spans="1:8" x14ac:dyDescent="0.45">
      <c r="A179" s="2">
        <f t="shared" si="15"/>
        <v>178</v>
      </c>
      <c r="B179" s="3" t="s">
        <v>175</v>
      </c>
      <c r="C179" s="8">
        <v>9540985.7699999996</v>
      </c>
      <c r="D179" s="9">
        <v>3.202E-2</v>
      </c>
      <c r="E179" s="9">
        <v>3.202E-2</v>
      </c>
      <c r="F179" s="8">
        <f t="shared" si="16"/>
        <v>305502</v>
      </c>
      <c r="G179" s="8">
        <f t="shared" si="17"/>
        <v>305502</v>
      </c>
      <c r="H179" s="8">
        <v>311886.27</v>
      </c>
    </row>
    <row r="180" spans="1:8" x14ac:dyDescent="0.45">
      <c r="A180" s="2">
        <f t="shared" si="15"/>
        <v>179</v>
      </c>
      <c r="B180" s="3" t="s">
        <v>176</v>
      </c>
      <c r="C180" s="8">
        <v>17957984.530000001</v>
      </c>
      <c r="D180" s="9">
        <v>3.3160000000000002E-2</v>
      </c>
      <c r="E180" s="9">
        <v>3.3160000000000002E-2</v>
      </c>
      <c r="F180" s="8">
        <f t="shared" si="16"/>
        <v>595487</v>
      </c>
      <c r="G180" s="8">
        <f t="shared" si="17"/>
        <v>595487</v>
      </c>
      <c r="H180" s="8">
        <v>608605.35</v>
      </c>
    </row>
    <row r="181" spans="1:8" x14ac:dyDescent="0.45">
      <c r="A181" s="2">
        <f t="shared" si="15"/>
        <v>180</v>
      </c>
      <c r="B181" s="3" t="s">
        <v>177</v>
      </c>
      <c r="C181" s="8">
        <v>14227270.25</v>
      </c>
      <c r="D181" s="9">
        <v>3.5130000000000002E-2</v>
      </c>
      <c r="E181" s="9">
        <v>3.5130000000000002E-2</v>
      </c>
      <c r="F181" s="8">
        <f t="shared" si="16"/>
        <v>499804</v>
      </c>
      <c r="G181" s="8">
        <f t="shared" si="17"/>
        <v>499804</v>
      </c>
      <c r="H181" s="8">
        <v>510569.61</v>
      </c>
    </row>
    <row r="182" spans="1:8" x14ac:dyDescent="0.45">
      <c r="A182" s="2">
        <f t="shared" si="15"/>
        <v>181</v>
      </c>
      <c r="B182" s="3" t="s">
        <v>178</v>
      </c>
      <c r="C182" s="8">
        <v>17935060.670000002</v>
      </c>
      <c r="D182" s="9">
        <v>2.563E-2</v>
      </c>
      <c r="E182" s="9">
        <v>2.563E-2</v>
      </c>
      <c r="F182" s="8">
        <f t="shared" si="16"/>
        <v>459676</v>
      </c>
      <c r="G182" s="8">
        <f t="shared" si="17"/>
        <v>459676</v>
      </c>
      <c r="H182" s="8">
        <v>470037.27</v>
      </c>
    </row>
    <row r="183" spans="1:8" x14ac:dyDescent="0.45">
      <c r="A183" s="2">
        <f t="shared" si="15"/>
        <v>182</v>
      </c>
      <c r="B183" s="3" t="s">
        <v>179</v>
      </c>
      <c r="C183" s="8">
        <v>19068882.100000001</v>
      </c>
      <c r="D183" s="9">
        <v>2.656E-2</v>
      </c>
      <c r="E183" s="9">
        <v>2.656E-2</v>
      </c>
      <c r="F183" s="8">
        <f t="shared" si="16"/>
        <v>506470</v>
      </c>
      <c r="G183" s="8">
        <f t="shared" si="17"/>
        <v>506470</v>
      </c>
      <c r="H183" s="8">
        <v>515441.84</v>
      </c>
    </row>
    <row r="184" spans="1:8" x14ac:dyDescent="0.45">
      <c r="A184" s="2">
        <f t="shared" si="15"/>
        <v>183</v>
      </c>
      <c r="B184" s="3" t="s">
        <v>180</v>
      </c>
      <c r="C184" s="8">
        <v>569585.4</v>
      </c>
      <c r="D184" s="9">
        <v>2.3779999999999999E-2</v>
      </c>
      <c r="E184" s="9">
        <v>2.3779999999999999E-2</v>
      </c>
      <c r="F184" s="8">
        <f t="shared" si="16"/>
        <v>13545</v>
      </c>
      <c r="G184" s="8">
        <f t="shared" si="17"/>
        <v>13545</v>
      </c>
      <c r="H184" s="8">
        <v>13856.74</v>
      </c>
    </row>
    <row r="185" spans="1:8" x14ac:dyDescent="0.45">
      <c r="A185" s="2">
        <f t="shared" si="15"/>
        <v>184</v>
      </c>
      <c r="B185" s="3" t="s">
        <v>181</v>
      </c>
      <c r="C185" s="8">
        <v>30848228.120000001</v>
      </c>
      <c r="D185" s="9">
        <v>2.9819999999999999E-2</v>
      </c>
      <c r="E185" s="9">
        <v>2.9819999999999999E-2</v>
      </c>
      <c r="F185" s="8">
        <f t="shared" si="16"/>
        <v>919894</v>
      </c>
      <c r="G185" s="8">
        <f t="shared" si="17"/>
        <v>919894</v>
      </c>
      <c r="H185" s="8">
        <v>931850.93</v>
      </c>
    </row>
    <row r="186" spans="1:8" x14ac:dyDescent="0.45">
      <c r="A186" s="2">
        <f t="shared" si="15"/>
        <v>185</v>
      </c>
      <c r="B186" s="3" t="s">
        <v>182</v>
      </c>
      <c r="C186" s="8">
        <v>22682794.59</v>
      </c>
      <c r="D186" s="9">
        <v>2.9420000000000002E-2</v>
      </c>
      <c r="E186" s="9">
        <v>2.9420000000000002E-2</v>
      </c>
      <c r="F186" s="8">
        <f t="shared" si="16"/>
        <v>667328</v>
      </c>
      <c r="G186" s="8">
        <f t="shared" si="17"/>
        <v>667328</v>
      </c>
      <c r="H186" s="8">
        <v>676062.53</v>
      </c>
    </row>
    <row r="187" spans="1:8" x14ac:dyDescent="0.45">
      <c r="A187" s="2">
        <f t="shared" si="15"/>
        <v>186</v>
      </c>
      <c r="B187" s="3" t="s">
        <v>183</v>
      </c>
      <c r="C187" s="8">
        <v>122621794.14</v>
      </c>
      <c r="D187" s="9">
        <v>2.683E-2</v>
      </c>
      <c r="E187" s="9">
        <v>2.683E-2</v>
      </c>
      <c r="F187" s="8">
        <f t="shared" si="16"/>
        <v>3289943</v>
      </c>
      <c r="G187" s="8">
        <f t="shared" si="17"/>
        <v>3289943</v>
      </c>
      <c r="H187" s="8">
        <v>3392775.65</v>
      </c>
    </row>
    <row r="188" spans="1:8" x14ac:dyDescent="0.45">
      <c r="A188" s="2">
        <f t="shared" si="15"/>
        <v>187</v>
      </c>
      <c r="B188" s="3" t="s">
        <v>184</v>
      </c>
      <c r="C188" s="8">
        <v>10608550.66</v>
      </c>
      <c r="D188" s="9">
        <v>2.6339999999999999E-2</v>
      </c>
      <c r="E188" s="9">
        <v>2.6339999999999999E-2</v>
      </c>
      <c r="F188" s="8">
        <f t="shared" si="16"/>
        <v>279429</v>
      </c>
      <c r="G188" s="8">
        <f t="shared" si="17"/>
        <v>279429</v>
      </c>
      <c r="H188" s="8">
        <v>283287.32</v>
      </c>
    </row>
    <row r="189" spans="1:8" x14ac:dyDescent="0.45">
      <c r="A189" s="2">
        <f t="shared" si="15"/>
        <v>188</v>
      </c>
      <c r="B189" s="3" t="s">
        <v>185</v>
      </c>
      <c r="C189" s="8">
        <v>4166911.14</v>
      </c>
      <c r="D189" s="9">
        <v>2.6339999999999999E-2</v>
      </c>
      <c r="E189" s="9">
        <v>2.6339999999999999E-2</v>
      </c>
      <c r="F189" s="8">
        <f t="shared" si="16"/>
        <v>109756</v>
      </c>
      <c r="G189" s="8">
        <f t="shared" si="17"/>
        <v>109756</v>
      </c>
      <c r="H189" s="8">
        <v>111271.86</v>
      </c>
    </row>
    <row r="190" spans="1:8" x14ac:dyDescent="0.45">
      <c r="A190" s="2">
        <f t="shared" si="15"/>
        <v>189</v>
      </c>
      <c r="B190" s="3" t="s">
        <v>186</v>
      </c>
      <c r="C190" s="8">
        <v>7883130.5999999996</v>
      </c>
      <c r="D190" s="9">
        <v>2.6790000000000001E-2</v>
      </c>
      <c r="E190" s="9">
        <v>2.6790000000000001E-2</v>
      </c>
      <c r="F190" s="8">
        <f t="shared" si="16"/>
        <v>211189</v>
      </c>
      <c r="G190" s="8">
        <f t="shared" si="17"/>
        <v>211189</v>
      </c>
      <c r="H190" s="8">
        <v>214082.43</v>
      </c>
    </row>
    <row r="191" spans="1:8" x14ac:dyDescent="0.45">
      <c r="A191" s="2">
        <f t="shared" si="15"/>
        <v>190</v>
      </c>
      <c r="B191" s="3" t="s">
        <v>187</v>
      </c>
      <c r="C191" s="8">
        <v>28669309.780000001</v>
      </c>
      <c r="D191" s="9">
        <v>2.6790000000000001E-2</v>
      </c>
      <c r="E191" s="9">
        <v>2.6790000000000001E-2</v>
      </c>
      <c r="F191" s="8">
        <f t="shared" si="16"/>
        <v>768051</v>
      </c>
      <c r="G191" s="8">
        <f t="shared" si="17"/>
        <v>768051</v>
      </c>
      <c r="H191" s="8">
        <v>778573.35</v>
      </c>
    </row>
    <row r="192" spans="1:8" x14ac:dyDescent="0.45">
      <c r="A192" s="2">
        <f t="shared" si="15"/>
        <v>191</v>
      </c>
      <c r="B192" s="3" t="s">
        <v>188</v>
      </c>
      <c r="C192" s="8">
        <v>7924493.5700000003</v>
      </c>
      <c r="D192" s="9">
        <v>2.6880000000000001E-2</v>
      </c>
      <c r="E192" s="9">
        <v>2.6880000000000001E-2</v>
      </c>
      <c r="F192" s="8">
        <f t="shared" si="16"/>
        <v>213010</v>
      </c>
      <c r="G192" s="8">
        <f t="shared" si="17"/>
        <v>213010</v>
      </c>
      <c r="H192" s="8">
        <v>215924.16</v>
      </c>
    </row>
    <row r="193" spans="1:8" x14ac:dyDescent="0.45">
      <c r="A193" s="2">
        <f t="shared" si="15"/>
        <v>192</v>
      </c>
      <c r="B193" s="3" t="s">
        <v>189</v>
      </c>
      <c r="C193" s="8">
        <v>6474246.6500000004</v>
      </c>
      <c r="D193" s="9">
        <v>2.6880000000000001E-2</v>
      </c>
      <c r="E193" s="9">
        <v>2.6880000000000001E-2</v>
      </c>
      <c r="F193" s="8">
        <f t="shared" si="16"/>
        <v>174028</v>
      </c>
      <c r="G193" s="8">
        <f t="shared" si="17"/>
        <v>174028</v>
      </c>
      <c r="H193" s="8">
        <v>176408.29</v>
      </c>
    </row>
    <row r="194" spans="1:8" x14ac:dyDescent="0.45">
      <c r="A194" s="2">
        <f t="shared" si="15"/>
        <v>193</v>
      </c>
      <c r="B194" s="3" t="s">
        <v>190</v>
      </c>
      <c r="C194" s="8">
        <v>2214003.86</v>
      </c>
      <c r="D194" s="9">
        <v>2.9899999999999999E-2</v>
      </c>
      <c r="E194" s="9">
        <v>2.9899999999999999E-2</v>
      </c>
      <c r="F194" s="8">
        <f t="shared" si="16"/>
        <v>66199</v>
      </c>
      <c r="G194" s="8">
        <f t="shared" si="17"/>
        <v>66199</v>
      </c>
      <c r="H194" s="8">
        <v>67057.97</v>
      </c>
    </row>
    <row r="195" spans="1:8" x14ac:dyDescent="0.45">
      <c r="A195" s="2">
        <f t="shared" ref="A195:A228" si="18">A194+1</f>
        <v>194</v>
      </c>
      <c r="B195" s="3" t="s">
        <v>191</v>
      </c>
      <c r="C195" s="8">
        <v>10428350.039999999</v>
      </c>
      <c r="D195" s="9">
        <v>2.9899999999999999E-2</v>
      </c>
      <c r="E195" s="9">
        <v>2.9899999999999999E-2</v>
      </c>
      <c r="F195" s="8">
        <f t="shared" si="16"/>
        <v>311808</v>
      </c>
      <c r="G195" s="8">
        <f t="shared" si="17"/>
        <v>311808</v>
      </c>
      <c r="H195" s="8">
        <v>315854.88</v>
      </c>
    </row>
    <row r="196" spans="1:8" x14ac:dyDescent="0.45">
      <c r="A196" s="2">
        <f t="shared" si="18"/>
        <v>195</v>
      </c>
      <c r="B196" s="3" t="s">
        <v>192</v>
      </c>
      <c r="C196" s="8">
        <v>2068084.47</v>
      </c>
      <c r="D196" s="9">
        <v>3.1309999999999998E-2</v>
      </c>
      <c r="E196" s="9">
        <v>3.1309999999999998E-2</v>
      </c>
      <c r="F196" s="8">
        <f t="shared" si="16"/>
        <v>64752</v>
      </c>
      <c r="G196" s="8">
        <f t="shared" si="17"/>
        <v>64752</v>
      </c>
      <c r="H196" s="8">
        <v>65571.67</v>
      </c>
    </row>
    <row r="197" spans="1:8" x14ac:dyDescent="0.45">
      <c r="A197" s="2">
        <f t="shared" si="18"/>
        <v>196</v>
      </c>
      <c r="B197" s="3" t="s">
        <v>193</v>
      </c>
      <c r="C197" s="8">
        <v>2460138.41</v>
      </c>
      <c r="D197" s="9">
        <v>3.1309999999999998E-2</v>
      </c>
      <c r="E197" s="9">
        <v>3.1309999999999998E-2</v>
      </c>
      <c r="F197" s="8">
        <f t="shared" si="16"/>
        <v>77027</v>
      </c>
      <c r="G197" s="8">
        <f t="shared" si="17"/>
        <v>77027</v>
      </c>
      <c r="H197" s="8">
        <v>78002.33</v>
      </c>
    </row>
    <row r="198" spans="1:8" x14ac:dyDescent="0.45">
      <c r="A198" s="2">
        <f t="shared" si="18"/>
        <v>197</v>
      </c>
      <c r="B198" s="3" t="s">
        <v>194</v>
      </c>
      <c r="C198" s="8">
        <v>27254259.510000002</v>
      </c>
      <c r="D198" s="9">
        <v>3.2809999999999999E-2</v>
      </c>
      <c r="E198" s="9">
        <v>3.2809999999999999E-2</v>
      </c>
      <c r="F198" s="8">
        <f t="shared" si="16"/>
        <v>894212</v>
      </c>
      <c r="G198" s="8">
        <f t="shared" si="17"/>
        <v>894212</v>
      </c>
      <c r="H198" s="8">
        <v>904714.66</v>
      </c>
    </row>
    <row r="199" spans="1:8" x14ac:dyDescent="0.45">
      <c r="A199" s="2">
        <f t="shared" si="18"/>
        <v>198</v>
      </c>
      <c r="B199" s="3" t="s">
        <v>195</v>
      </c>
      <c r="C199" s="8">
        <v>2902209.55</v>
      </c>
      <c r="D199" s="9">
        <v>3.1179999999999999E-2</v>
      </c>
      <c r="E199" s="9">
        <v>3.1179999999999999E-2</v>
      </c>
      <c r="F199" s="8">
        <f t="shared" si="16"/>
        <v>90491</v>
      </c>
      <c r="G199" s="8">
        <f t="shared" si="17"/>
        <v>90491</v>
      </c>
      <c r="H199" s="8">
        <v>93159.61</v>
      </c>
    </row>
    <row r="200" spans="1:8" x14ac:dyDescent="0.45">
      <c r="A200" s="2">
        <f t="shared" si="18"/>
        <v>199</v>
      </c>
      <c r="B200" s="3" t="s">
        <v>196</v>
      </c>
      <c r="C200" s="8">
        <v>64982305.840000004</v>
      </c>
      <c r="D200" s="9">
        <v>3.056E-2</v>
      </c>
      <c r="E200" s="9">
        <v>3.056E-2</v>
      </c>
      <c r="F200" s="8">
        <f t="shared" si="16"/>
        <v>1985859</v>
      </c>
      <c r="G200" s="8">
        <f t="shared" si="17"/>
        <v>1985859</v>
      </c>
      <c r="H200" s="8">
        <v>2004160.45</v>
      </c>
    </row>
    <row r="201" spans="1:8" x14ac:dyDescent="0.45">
      <c r="A201" s="2">
        <f t="shared" si="18"/>
        <v>200</v>
      </c>
      <c r="B201" s="3" t="s">
        <v>197</v>
      </c>
      <c r="C201" s="8">
        <v>2496400.89</v>
      </c>
      <c r="D201" s="9">
        <v>3.056E-2</v>
      </c>
      <c r="E201" s="9">
        <v>3.056E-2</v>
      </c>
      <c r="F201" s="8">
        <f t="shared" si="16"/>
        <v>76290</v>
      </c>
      <c r="G201" s="8">
        <f t="shared" si="17"/>
        <v>76290</v>
      </c>
      <c r="H201" s="8">
        <v>76993.08</v>
      </c>
    </row>
    <row r="202" spans="1:8" x14ac:dyDescent="0.45">
      <c r="A202" s="2">
        <f t="shared" si="18"/>
        <v>201</v>
      </c>
      <c r="B202" s="3" t="s">
        <v>198</v>
      </c>
      <c r="C202" s="8">
        <v>1778851.59</v>
      </c>
      <c r="D202" s="9">
        <v>2.8039999999999999E-2</v>
      </c>
      <c r="E202" s="9">
        <v>2.8039999999999999E-2</v>
      </c>
      <c r="F202" s="8">
        <f t="shared" si="16"/>
        <v>49879</v>
      </c>
      <c r="G202" s="8">
        <f t="shared" si="17"/>
        <v>49879</v>
      </c>
      <c r="H202" s="8">
        <v>31701.03</v>
      </c>
    </row>
    <row r="203" spans="1:8" x14ac:dyDescent="0.45">
      <c r="A203" s="2">
        <f t="shared" si="18"/>
        <v>202</v>
      </c>
      <c r="B203" s="3" t="s">
        <v>199</v>
      </c>
      <c r="C203" s="8">
        <v>2672234.7999999998</v>
      </c>
      <c r="D203" s="9">
        <v>2.8039999999999999E-2</v>
      </c>
      <c r="E203" s="9">
        <v>2.8039999999999999E-2</v>
      </c>
      <c r="F203" s="8">
        <f t="shared" si="16"/>
        <v>74929</v>
      </c>
      <c r="G203" s="8">
        <f t="shared" si="17"/>
        <v>74929</v>
      </c>
      <c r="H203" s="8">
        <v>47622.07</v>
      </c>
    </row>
    <row r="204" spans="1:8" x14ac:dyDescent="0.45">
      <c r="A204" s="2">
        <f t="shared" si="18"/>
        <v>203</v>
      </c>
      <c r="B204" s="3" t="s">
        <v>200</v>
      </c>
      <c r="C204" s="8">
        <v>5902115.9000000004</v>
      </c>
      <c r="D204" s="9">
        <v>1.9140000000000001E-2</v>
      </c>
      <c r="E204" s="9">
        <v>1.9140000000000001E-2</v>
      </c>
      <c r="F204" s="8">
        <f t="shared" si="16"/>
        <v>112966</v>
      </c>
      <c r="G204" s="8">
        <f t="shared" si="17"/>
        <v>112966</v>
      </c>
      <c r="H204" s="8">
        <v>38306.06</v>
      </c>
    </row>
    <row r="205" spans="1:8" x14ac:dyDescent="0.45">
      <c r="A205" s="2">
        <f t="shared" si="18"/>
        <v>204</v>
      </c>
      <c r="B205" s="3" t="s">
        <v>201</v>
      </c>
      <c r="C205" s="8">
        <v>18394050.02</v>
      </c>
      <c r="D205" s="9">
        <v>1.9140000000000001E-2</v>
      </c>
      <c r="E205" s="9">
        <v>1.9140000000000001E-2</v>
      </c>
      <c r="F205" s="8">
        <f t="shared" si="16"/>
        <v>352062</v>
      </c>
      <c r="G205" s="8">
        <f t="shared" si="17"/>
        <v>352062</v>
      </c>
      <c r="H205" s="8">
        <v>119381.53</v>
      </c>
    </row>
    <row r="206" spans="1:8" x14ac:dyDescent="0.45">
      <c r="A206" s="2">
        <f t="shared" si="18"/>
        <v>205</v>
      </c>
      <c r="B206" s="3" t="s">
        <v>202</v>
      </c>
      <c r="C206" s="8">
        <v>3726000</v>
      </c>
      <c r="D206" s="9">
        <v>2.222E-2</v>
      </c>
      <c r="E206" s="9">
        <v>2.222E-2</v>
      </c>
      <c r="F206" s="8">
        <f t="shared" si="16"/>
        <v>82792</v>
      </c>
      <c r="G206" s="8">
        <f t="shared" si="17"/>
        <v>82792</v>
      </c>
      <c r="H206" s="8">
        <v>3415.15</v>
      </c>
    </row>
    <row r="207" spans="1:8" x14ac:dyDescent="0.45">
      <c r="A207" s="2">
        <f t="shared" si="18"/>
        <v>206</v>
      </c>
      <c r="B207" s="3" t="s">
        <v>203</v>
      </c>
      <c r="C207" s="10">
        <v>4210000</v>
      </c>
      <c r="D207" s="9">
        <v>2.222E-2</v>
      </c>
      <c r="E207" s="9">
        <v>2.222E-2</v>
      </c>
      <c r="F207" s="10">
        <f t="shared" si="16"/>
        <v>93546</v>
      </c>
      <c r="G207" s="10">
        <f t="shared" si="17"/>
        <v>93546</v>
      </c>
      <c r="H207" s="10">
        <v>3858.78</v>
      </c>
    </row>
    <row r="208" spans="1:8" x14ac:dyDescent="0.45">
      <c r="A208" s="2">
        <f t="shared" si="18"/>
        <v>207</v>
      </c>
      <c r="B208" s="3"/>
      <c r="C208" s="8"/>
      <c r="D208" s="9"/>
      <c r="E208" s="9"/>
      <c r="F208" s="8"/>
      <c r="G208" s="8"/>
      <c r="H208" s="8"/>
    </row>
    <row r="209" spans="1:8" x14ac:dyDescent="0.45">
      <c r="A209" s="2">
        <f t="shared" si="18"/>
        <v>208</v>
      </c>
      <c r="B209" s="3" t="s">
        <v>204</v>
      </c>
      <c r="C209" s="10">
        <f>SUM(C39:C207)</f>
        <v>1845678448.78</v>
      </c>
      <c r="D209" s="9"/>
      <c r="E209" s="9"/>
      <c r="F209" s="10">
        <f t="shared" ref="F209:H209" si="19">SUM(F39:F207)</f>
        <v>67783821</v>
      </c>
      <c r="G209" s="10">
        <f t="shared" si="19"/>
        <v>67783821</v>
      </c>
      <c r="H209" s="10">
        <f t="shared" si="19"/>
        <v>89373503.769999981</v>
      </c>
    </row>
    <row r="210" spans="1:8" x14ac:dyDescent="0.45">
      <c r="A210" s="2">
        <f t="shared" si="18"/>
        <v>209</v>
      </c>
      <c r="B210" s="3"/>
      <c r="C210" s="8"/>
      <c r="D210" s="9"/>
      <c r="E210" s="9"/>
      <c r="F210" s="8"/>
      <c r="G210" s="8"/>
      <c r="H210" s="8"/>
    </row>
    <row r="211" spans="1:8" x14ac:dyDescent="0.45">
      <c r="A211" s="2">
        <f t="shared" si="18"/>
        <v>210</v>
      </c>
      <c r="B211" s="3" t="s">
        <v>205</v>
      </c>
      <c r="C211" s="8">
        <f>C16+C30+C36+C209</f>
        <v>2302126954.9000001</v>
      </c>
      <c r="D211" s="9"/>
      <c r="E211" s="9"/>
      <c r="F211" s="8">
        <f t="shared" ref="F211:H211" si="20">F16+F30+F36+F209</f>
        <v>87613723</v>
      </c>
      <c r="G211" s="8">
        <f t="shared" si="20"/>
        <v>87613723</v>
      </c>
      <c r="H211" s="8">
        <f t="shared" si="20"/>
        <v>106117307.73999998</v>
      </c>
    </row>
    <row r="212" spans="1:8" x14ac:dyDescent="0.45">
      <c r="A212" s="2">
        <f t="shared" si="18"/>
        <v>211</v>
      </c>
      <c r="B212" s="3"/>
      <c r="C212" s="8"/>
      <c r="D212" s="9"/>
      <c r="E212" s="9"/>
      <c r="F212" s="8"/>
      <c r="G212" s="8"/>
      <c r="H212" s="8"/>
    </row>
    <row r="213" spans="1:8" x14ac:dyDescent="0.45">
      <c r="A213" s="2">
        <f t="shared" si="18"/>
        <v>212</v>
      </c>
      <c r="B213" s="3" t="s">
        <v>206</v>
      </c>
      <c r="C213" s="10">
        <v>185000000</v>
      </c>
      <c r="D213" s="9">
        <v>2.7E-2</v>
      </c>
      <c r="E213" s="9">
        <v>1.14E-2</v>
      </c>
      <c r="F213" s="10">
        <f t="shared" ref="F213" si="21">ROUND(C213*D213,0)</f>
        <v>4995000</v>
      </c>
      <c r="G213" s="10">
        <f t="shared" ref="G213" si="22">ROUND(C213*E213,0)</f>
        <v>2109000</v>
      </c>
      <c r="H213" s="10">
        <v>6244332</v>
      </c>
    </row>
    <row r="214" spans="1:8" x14ac:dyDescent="0.45">
      <c r="A214" s="2">
        <f t="shared" si="18"/>
        <v>213</v>
      </c>
      <c r="B214" s="3"/>
      <c r="C214" s="8"/>
      <c r="D214" s="9"/>
      <c r="E214" s="9"/>
      <c r="F214" s="8"/>
      <c r="G214" s="8"/>
      <c r="H214" s="8"/>
    </row>
    <row r="215" spans="1:8" ht="14.65" thickBot="1" x14ac:dyDescent="0.5">
      <c r="A215" s="2">
        <f t="shared" si="18"/>
        <v>214</v>
      </c>
      <c r="B215" s="3" t="s">
        <v>207</v>
      </c>
      <c r="C215" s="11">
        <f>C211+C213</f>
        <v>2487126954.9000001</v>
      </c>
      <c r="D215" s="3"/>
      <c r="E215" s="3"/>
      <c r="F215" s="11">
        <f t="shared" ref="F215:H215" si="23">F211+F213</f>
        <v>92608723</v>
      </c>
      <c r="G215" s="11">
        <f t="shared" si="23"/>
        <v>89722723</v>
      </c>
      <c r="H215" s="11">
        <f t="shared" si="23"/>
        <v>112361639.73999998</v>
      </c>
    </row>
    <row r="216" spans="1:8" ht="14.65" thickTop="1" x14ac:dyDescent="0.45">
      <c r="A216" s="2">
        <f t="shared" si="18"/>
        <v>215</v>
      </c>
      <c r="B216" s="3"/>
      <c r="C216" s="3"/>
      <c r="D216" s="3"/>
      <c r="E216" s="3"/>
      <c r="F216" s="3"/>
      <c r="G216" s="3"/>
      <c r="H216" s="3"/>
    </row>
    <row r="217" spans="1:8" ht="14.65" thickBot="1" x14ac:dyDescent="0.5">
      <c r="A217" s="2">
        <f t="shared" si="18"/>
        <v>216</v>
      </c>
      <c r="B217" s="3" t="s">
        <v>208</v>
      </c>
      <c r="C217" s="3"/>
      <c r="D217" s="3"/>
      <c r="E217" s="3"/>
      <c r="F217" s="11">
        <f>'Surcharge Interest'!M118</f>
        <v>22165396</v>
      </c>
      <c r="G217" s="11">
        <f>'Surcharge Interest'!M118</f>
        <v>22165396</v>
      </c>
      <c r="H217" s="11">
        <f>'Surcharge Interest'!L118</f>
        <v>28573691</v>
      </c>
    </row>
    <row r="218" spans="1:8" ht="14.65" thickTop="1" x14ac:dyDescent="0.45">
      <c r="A218" s="2">
        <f t="shared" si="18"/>
        <v>217</v>
      </c>
      <c r="B218" s="3"/>
      <c r="C218" s="3"/>
      <c r="D218" s="3"/>
      <c r="E218" s="3"/>
      <c r="F218" s="3"/>
      <c r="G218" s="3"/>
      <c r="H218" s="3"/>
    </row>
    <row r="219" spans="1:8" x14ac:dyDescent="0.45">
      <c r="A219" s="2">
        <f t="shared" si="18"/>
        <v>218</v>
      </c>
      <c r="B219" s="3" t="s">
        <v>209</v>
      </c>
      <c r="C219" s="3"/>
      <c r="D219" s="3"/>
      <c r="E219" s="3"/>
      <c r="F219" s="3"/>
      <c r="G219" s="3"/>
      <c r="H219" s="3"/>
    </row>
    <row r="220" spans="1:8" x14ac:dyDescent="0.45">
      <c r="A220" s="2">
        <f t="shared" si="18"/>
        <v>219</v>
      </c>
      <c r="B220" s="3" t="s">
        <v>210</v>
      </c>
      <c r="C220" s="3"/>
      <c r="D220" s="3"/>
      <c r="E220" s="3"/>
      <c r="F220" s="8"/>
      <c r="G220" s="8"/>
      <c r="H220" s="8"/>
    </row>
    <row r="221" spans="1:8" x14ac:dyDescent="0.45">
      <c r="A221" s="2">
        <f t="shared" si="18"/>
        <v>220</v>
      </c>
      <c r="B221" s="3" t="s">
        <v>211</v>
      </c>
      <c r="C221" s="3"/>
      <c r="D221" s="3"/>
      <c r="E221" s="3"/>
      <c r="F221" s="8"/>
      <c r="G221" s="8">
        <f>G215</f>
        <v>89722723</v>
      </c>
      <c r="H221" s="8"/>
    </row>
    <row r="222" spans="1:8" x14ac:dyDescent="0.45">
      <c r="A222" s="2">
        <f t="shared" si="18"/>
        <v>221</v>
      </c>
      <c r="B222" s="3" t="s">
        <v>212</v>
      </c>
      <c r="C222" s="3"/>
      <c r="D222" s="3"/>
      <c r="E222" s="3"/>
      <c r="F222" s="8"/>
      <c r="G222" s="10">
        <f>G217</f>
        <v>22165396</v>
      </c>
      <c r="H222" s="8"/>
    </row>
    <row r="223" spans="1:8" x14ac:dyDescent="0.45">
      <c r="A223" s="2">
        <f t="shared" si="18"/>
        <v>222</v>
      </c>
      <c r="B223" s="3" t="s">
        <v>213</v>
      </c>
      <c r="C223" s="3"/>
      <c r="D223" s="3"/>
      <c r="E223" s="3"/>
      <c r="F223" s="8"/>
      <c r="G223" s="8"/>
      <c r="H223" s="10">
        <f>G221-G222</f>
        <v>67557327</v>
      </c>
    </row>
    <row r="224" spans="1:8" x14ac:dyDescent="0.45">
      <c r="A224" s="2">
        <f t="shared" si="18"/>
        <v>223</v>
      </c>
      <c r="B224" s="3" t="s">
        <v>214</v>
      </c>
      <c r="C224" s="3"/>
      <c r="D224" s="3"/>
      <c r="E224" s="3"/>
      <c r="F224" s="8"/>
      <c r="G224" s="8">
        <f>H215</f>
        <v>112361639.73999998</v>
      </c>
      <c r="H224" s="8"/>
    </row>
    <row r="225" spans="1:8" x14ac:dyDescent="0.45">
      <c r="A225" s="2">
        <f t="shared" si="18"/>
        <v>224</v>
      </c>
      <c r="B225" s="3" t="s">
        <v>215</v>
      </c>
      <c r="C225" s="3"/>
      <c r="D225" s="3"/>
      <c r="E225" s="3"/>
      <c r="F225" s="8"/>
      <c r="G225" s="10">
        <f>H217</f>
        <v>28573691</v>
      </c>
      <c r="H225" s="8"/>
    </row>
    <row r="226" spans="1:8" x14ac:dyDescent="0.45">
      <c r="A226" s="2">
        <f t="shared" si="18"/>
        <v>225</v>
      </c>
      <c r="B226" s="3" t="s">
        <v>216</v>
      </c>
      <c r="C226" s="3"/>
      <c r="D226" s="3"/>
      <c r="E226" s="3"/>
      <c r="F226" s="8"/>
      <c r="G226" s="8"/>
      <c r="H226" s="8">
        <f>G224-G225</f>
        <v>83787948.73999998</v>
      </c>
    </row>
    <row r="227" spans="1:8" ht="14.65" thickBot="1" x14ac:dyDescent="0.5">
      <c r="A227" s="2">
        <f t="shared" si="18"/>
        <v>226</v>
      </c>
      <c r="B227" s="3" t="s">
        <v>217</v>
      </c>
      <c r="C227" s="3"/>
      <c r="D227" s="3"/>
      <c r="E227" s="3"/>
      <c r="F227" s="8"/>
      <c r="G227" s="8"/>
      <c r="H227" s="12">
        <f>H223-H226</f>
        <v>-16230621.73999998</v>
      </c>
    </row>
    <row r="228" spans="1:8" ht="14.65" thickTop="1" x14ac:dyDescent="0.45">
      <c r="A228" s="2">
        <f t="shared" si="18"/>
        <v>227</v>
      </c>
      <c r="B228" s="3"/>
      <c r="C228" s="3"/>
      <c r="D228" s="3"/>
      <c r="E228" s="3"/>
      <c r="F228" s="8"/>
      <c r="G228" s="8"/>
      <c r="H228" s="8"/>
    </row>
  </sheetData>
  <mergeCells count="5">
    <mergeCell ref="B3:H3"/>
    <mergeCell ref="B4:H4"/>
    <mergeCell ref="D7:E7"/>
    <mergeCell ref="F7:G7"/>
    <mergeCell ref="C5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8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3" sqref="E3"/>
    </sheetView>
  </sheetViews>
  <sheetFormatPr defaultColWidth="15.73046875" defaultRowHeight="14.25" x14ac:dyDescent="0.45"/>
  <cols>
    <col min="1" max="1" width="5.73046875" bestFit="1" customWidth="1"/>
    <col min="2" max="2" width="30.73046875" customWidth="1"/>
    <col min="5" max="5" width="17.73046875" bestFit="1" customWidth="1"/>
    <col min="6" max="7" width="17.73046875" customWidth="1"/>
    <col min="8" max="8" width="17.86328125" customWidth="1"/>
    <col min="9" max="14" width="17.73046875" customWidth="1"/>
  </cols>
  <sheetData>
    <row r="1" spans="1:14" x14ac:dyDescent="0.45">
      <c r="A1" s="2">
        <v>1</v>
      </c>
      <c r="B1" s="3" t="str">
        <f>Summary!B1</f>
        <v>Workpaper 1.06 Cushion of Credit FINAL.xlsx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45">
      <c r="A2" s="2">
        <f>A1+1</f>
        <v>2</v>
      </c>
      <c r="B2" s="3" t="s">
        <v>271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45">
      <c r="A3" s="2">
        <f t="shared" ref="A3:A66" si="0">A2+1</f>
        <v>3</v>
      </c>
      <c r="B3" s="30" t="s">
        <v>410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45">
      <c r="A4" s="2">
        <f t="shared" si="0"/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45">
      <c r="A5" s="2">
        <f t="shared" si="0"/>
        <v>5</v>
      </c>
      <c r="B5" s="3"/>
      <c r="C5" s="3"/>
      <c r="D5" s="42" t="s">
        <v>272</v>
      </c>
      <c r="E5" s="45"/>
      <c r="F5" s="45"/>
      <c r="G5" s="45"/>
      <c r="H5" s="45"/>
      <c r="I5" s="43"/>
      <c r="J5" s="42" t="s">
        <v>273</v>
      </c>
      <c r="K5" s="45"/>
      <c r="L5" s="45"/>
      <c r="M5" s="45"/>
      <c r="N5" s="43"/>
    </row>
    <row r="6" spans="1:14" x14ac:dyDescent="0.45">
      <c r="A6" s="2">
        <f t="shared" si="0"/>
        <v>6</v>
      </c>
      <c r="B6" s="20"/>
      <c r="C6" s="20"/>
      <c r="D6" s="20"/>
      <c r="E6" s="20" t="s">
        <v>274</v>
      </c>
      <c r="F6" s="20" t="s">
        <v>3</v>
      </c>
      <c r="G6" s="20" t="s">
        <v>275</v>
      </c>
      <c r="H6" s="20" t="s">
        <v>220</v>
      </c>
      <c r="I6" s="20" t="s">
        <v>276</v>
      </c>
      <c r="J6" s="20" t="s">
        <v>277</v>
      </c>
      <c r="K6" s="21" t="s">
        <v>278</v>
      </c>
      <c r="L6" s="20" t="s">
        <v>275</v>
      </c>
      <c r="M6" s="20" t="s">
        <v>220</v>
      </c>
      <c r="N6" s="20" t="s">
        <v>276</v>
      </c>
    </row>
    <row r="7" spans="1:14" ht="14.65" thickBot="1" x14ac:dyDescent="0.5">
      <c r="A7" s="2">
        <f t="shared" si="0"/>
        <v>7</v>
      </c>
      <c r="B7" s="5" t="s">
        <v>279</v>
      </c>
      <c r="C7" s="5" t="s">
        <v>280</v>
      </c>
      <c r="D7" s="5" t="s">
        <v>281</v>
      </c>
      <c r="E7" s="5" t="s">
        <v>282</v>
      </c>
      <c r="F7" s="5" t="s">
        <v>282</v>
      </c>
      <c r="G7" s="5" t="s">
        <v>12</v>
      </c>
      <c r="H7" s="5" t="s">
        <v>12</v>
      </c>
      <c r="I7" s="5" t="s">
        <v>283</v>
      </c>
      <c r="J7" s="5" t="s">
        <v>282</v>
      </c>
      <c r="K7" s="22" t="s">
        <v>274</v>
      </c>
      <c r="L7" s="5" t="s">
        <v>12</v>
      </c>
      <c r="M7" s="5" t="s">
        <v>12</v>
      </c>
      <c r="N7" s="5" t="s">
        <v>283</v>
      </c>
    </row>
    <row r="8" spans="1:14" x14ac:dyDescent="0.45">
      <c r="A8" s="2">
        <f t="shared" si="0"/>
        <v>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45">
      <c r="A9" s="2">
        <f t="shared" si="0"/>
        <v>9</v>
      </c>
      <c r="B9" s="3" t="s">
        <v>284</v>
      </c>
      <c r="C9" s="4" t="s">
        <v>285</v>
      </c>
      <c r="D9" s="33" t="s">
        <v>286</v>
      </c>
      <c r="E9" s="32">
        <v>0</v>
      </c>
      <c r="F9" s="9">
        <v>4.7440000000000003E-2</v>
      </c>
      <c r="G9" s="8">
        <v>1804594</v>
      </c>
      <c r="H9" s="8">
        <f>ROUND(E9*F9,0)</f>
        <v>0</v>
      </c>
      <c r="I9" s="32">
        <v>0</v>
      </c>
      <c r="J9" s="8"/>
      <c r="K9" s="3"/>
      <c r="L9" s="3"/>
      <c r="M9" s="3"/>
      <c r="N9" s="3"/>
    </row>
    <row r="10" spans="1:14" x14ac:dyDescent="0.45">
      <c r="A10" s="2">
        <f t="shared" si="0"/>
        <v>10</v>
      </c>
      <c r="B10" s="3"/>
      <c r="C10" s="4"/>
      <c r="D10" s="33" t="s">
        <v>287</v>
      </c>
      <c r="E10" s="32">
        <v>0</v>
      </c>
      <c r="F10" s="9">
        <v>4.8250000000000001E-2</v>
      </c>
      <c r="G10" s="8">
        <v>1841536</v>
      </c>
      <c r="H10" s="8">
        <f t="shared" ref="H10:H22" si="1">ROUND(E10*F10,0)</f>
        <v>0</v>
      </c>
      <c r="I10" s="32">
        <v>0</v>
      </c>
      <c r="J10" s="8"/>
      <c r="K10" s="3"/>
      <c r="L10" s="3"/>
      <c r="M10" s="3"/>
      <c r="N10" s="3"/>
    </row>
    <row r="11" spans="1:14" x14ac:dyDescent="0.45">
      <c r="A11" s="2">
        <f t="shared" si="0"/>
        <v>11</v>
      </c>
      <c r="B11" s="3"/>
      <c r="C11" s="4"/>
      <c r="D11" s="33" t="s">
        <v>288</v>
      </c>
      <c r="E11" s="32">
        <v>0</v>
      </c>
      <c r="F11" s="9">
        <v>4.9459999999999997E-2</v>
      </c>
      <c r="G11" s="8">
        <v>1896769</v>
      </c>
      <c r="H11" s="8">
        <f t="shared" si="1"/>
        <v>0</v>
      </c>
      <c r="I11" s="32">
        <v>0</v>
      </c>
      <c r="J11" s="8"/>
      <c r="K11" s="3"/>
      <c r="L11" s="3"/>
      <c r="M11" s="3"/>
      <c r="N11" s="3"/>
    </row>
    <row r="12" spans="1:14" x14ac:dyDescent="0.45">
      <c r="A12" s="2">
        <f t="shared" si="0"/>
        <v>12</v>
      </c>
      <c r="B12" s="3"/>
      <c r="C12" s="4"/>
      <c r="D12" s="4" t="s">
        <v>289</v>
      </c>
      <c r="E12" s="8">
        <v>18574615</v>
      </c>
      <c r="F12" s="9">
        <v>4.6580000000000003E-2</v>
      </c>
      <c r="G12" s="8">
        <v>882829</v>
      </c>
      <c r="H12" s="8">
        <f t="shared" si="1"/>
        <v>865206</v>
      </c>
      <c r="I12" s="8">
        <v>604327</v>
      </c>
      <c r="J12" s="8"/>
      <c r="K12" s="3"/>
      <c r="L12" s="3"/>
      <c r="M12" s="3"/>
      <c r="N12" s="3"/>
    </row>
    <row r="13" spans="1:14" x14ac:dyDescent="0.45">
      <c r="A13" s="2">
        <f t="shared" si="0"/>
        <v>13</v>
      </c>
      <c r="B13" s="3"/>
      <c r="C13" s="4"/>
      <c r="D13" s="4" t="s">
        <v>290</v>
      </c>
      <c r="E13" s="8">
        <v>18444160</v>
      </c>
      <c r="F13" s="9">
        <v>4.4970000000000003E-2</v>
      </c>
      <c r="G13" s="8">
        <v>846634</v>
      </c>
      <c r="H13" s="8">
        <f t="shared" si="1"/>
        <v>829434</v>
      </c>
      <c r="I13" s="8">
        <v>610988</v>
      </c>
      <c r="J13" s="8"/>
      <c r="K13" s="3"/>
      <c r="L13" s="3"/>
      <c r="M13" s="3"/>
      <c r="N13" s="3"/>
    </row>
    <row r="14" spans="1:14" x14ac:dyDescent="0.45">
      <c r="A14" s="2">
        <f t="shared" si="0"/>
        <v>14</v>
      </c>
      <c r="B14" s="3"/>
      <c r="C14" s="4"/>
      <c r="D14" s="33" t="s">
        <v>291</v>
      </c>
      <c r="E14" s="32">
        <v>0</v>
      </c>
      <c r="F14" s="9">
        <v>4.7050000000000002E-2</v>
      </c>
      <c r="G14" s="8">
        <v>893457</v>
      </c>
      <c r="H14" s="8">
        <f t="shared" si="1"/>
        <v>0</v>
      </c>
      <c r="I14" s="32">
        <v>0</v>
      </c>
      <c r="J14" s="8"/>
      <c r="K14" s="3"/>
      <c r="L14" s="3"/>
      <c r="M14" s="3"/>
      <c r="N14" s="3"/>
    </row>
    <row r="15" spans="1:14" x14ac:dyDescent="0.45">
      <c r="A15" s="2">
        <f t="shared" si="0"/>
        <v>15</v>
      </c>
      <c r="B15" s="3"/>
      <c r="C15" s="4"/>
      <c r="D15" s="4" t="s">
        <v>292</v>
      </c>
      <c r="E15" s="8">
        <v>18308805</v>
      </c>
      <c r="F15" s="9">
        <v>4.3319999999999997E-2</v>
      </c>
      <c r="G15" s="8">
        <v>809889</v>
      </c>
      <c r="H15" s="8">
        <f t="shared" si="1"/>
        <v>793137</v>
      </c>
      <c r="I15" s="8">
        <v>617761</v>
      </c>
      <c r="J15" s="8"/>
      <c r="K15" s="3"/>
      <c r="L15" s="3"/>
      <c r="M15" s="3"/>
      <c r="N15" s="3"/>
    </row>
    <row r="16" spans="1:14" x14ac:dyDescent="0.45">
      <c r="A16" s="2">
        <f t="shared" si="0"/>
        <v>16</v>
      </c>
      <c r="B16" s="3"/>
      <c r="C16" s="4"/>
      <c r="D16" s="4" t="s">
        <v>293</v>
      </c>
      <c r="E16" s="8">
        <v>13909672</v>
      </c>
      <c r="F16" s="9">
        <v>4.3240000000000001E-2</v>
      </c>
      <c r="G16" s="8">
        <v>614168</v>
      </c>
      <c r="H16" s="8">
        <f t="shared" si="1"/>
        <v>601454</v>
      </c>
      <c r="I16" s="8">
        <v>469747</v>
      </c>
      <c r="J16" s="8"/>
      <c r="K16" s="3"/>
      <c r="L16" s="3"/>
      <c r="M16" s="3"/>
      <c r="N16" s="3"/>
    </row>
    <row r="17" spans="1:14" x14ac:dyDescent="0.45">
      <c r="A17" s="2">
        <f t="shared" si="0"/>
        <v>17</v>
      </c>
      <c r="B17" s="3"/>
      <c r="C17" s="4"/>
      <c r="D17" s="4" t="s">
        <v>294</v>
      </c>
      <c r="E17" s="8">
        <v>22104590</v>
      </c>
      <c r="F17" s="9">
        <v>4.4679999999999997E-2</v>
      </c>
      <c r="G17" s="8">
        <v>1008180</v>
      </c>
      <c r="H17" s="8">
        <f t="shared" si="1"/>
        <v>987633</v>
      </c>
      <c r="I17" s="8">
        <v>734619</v>
      </c>
      <c r="J17" s="8"/>
      <c r="K17" s="3"/>
      <c r="L17" s="3"/>
      <c r="M17" s="3"/>
      <c r="N17" s="3"/>
    </row>
    <row r="18" spans="1:14" x14ac:dyDescent="0.45">
      <c r="A18" s="2">
        <f t="shared" si="0"/>
        <v>18</v>
      </c>
      <c r="B18" s="3"/>
      <c r="C18" s="4"/>
      <c r="D18" s="4" t="s">
        <v>295</v>
      </c>
      <c r="E18" s="8">
        <v>22106550</v>
      </c>
      <c r="F18" s="9">
        <v>4.4699999999999997E-2</v>
      </c>
      <c r="G18" s="8">
        <v>1008716</v>
      </c>
      <c r="H18" s="8">
        <f t="shared" si="1"/>
        <v>988163</v>
      </c>
      <c r="I18" s="8">
        <v>734521</v>
      </c>
      <c r="J18" s="8"/>
      <c r="K18" s="3"/>
      <c r="L18" s="3"/>
      <c r="M18" s="3"/>
      <c r="N18" s="3"/>
    </row>
    <row r="19" spans="1:14" x14ac:dyDescent="0.45">
      <c r="A19" s="2">
        <f t="shared" si="0"/>
        <v>19</v>
      </c>
      <c r="B19" s="3"/>
      <c r="C19" s="4"/>
      <c r="D19" s="33" t="s">
        <v>296</v>
      </c>
      <c r="E19" s="32">
        <v>0</v>
      </c>
      <c r="F19" s="9">
        <v>4.7690000000000003E-2</v>
      </c>
      <c r="G19" s="8">
        <v>1089569</v>
      </c>
      <c r="H19" s="8">
        <f t="shared" si="1"/>
        <v>0</v>
      </c>
      <c r="I19" s="32">
        <v>0</v>
      </c>
      <c r="J19" s="8"/>
      <c r="K19" s="3"/>
      <c r="L19" s="3"/>
      <c r="M19" s="3"/>
      <c r="N19" s="3"/>
    </row>
    <row r="20" spans="1:14" x14ac:dyDescent="0.45">
      <c r="A20" s="2">
        <f t="shared" si="0"/>
        <v>20</v>
      </c>
      <c r="B20" s="3"/>
      <c r="C20" s="4"/>
      <c r="D20" s="33" t="s">
        <v>297</v>
      </c>
      <c r="E20" s="32">
        <v>0</v>
      </c>
      <c r="F20" s="9">
        <v>4.7759999999999997E-2</v>
      </c>
      <c r="G20" s="8">
        <v>853140</v>
      </c>
      <c r="H20" s="8">
        <f t="shared" si="1"/>
        <v>0</v>
      </c>
      <c r="I20" s="32">
        <v>0</v>
      </c>
      <c r="J20" s="8"/>
      <c r="K20" s="3"/>
      <c r="L20" s="3"/>
      <c r="M20" s="3"/>
      <c r="N20" s="3"/>
    </row>
    <row r="21" spans="1:14" x14ac:dyDescent="0.45">
      <c r="A21" s="2">
        <f t="shared" si="0"/>
        <v>21</v>
      </c>
      <c r="B21" s="3"/>
      <c r="C21" s="4"/>
      <c r="D21" s="33" t="s">
        <v>298</v>
      </c>
      <c r="E21" s="32">
        <v>0</v>
      </c>
      <c r="F21" s="9">
        <v>4.8120000000000003E-2</v>
      </c>
      <c r="G21" s="8">
        <v>869911</v>
      </c>
      <c r="H21" s="8">
        <f t="shared" si="1"/>
        <v>0</v>
      </c>
      <c r="I21" s="32">
        <v>0</v>
      </c>
      <c r="J21" s="8"/>
      <c r="K21" s="3"/>
      <c r="L21" s="3"/>
      <c r="M21" s="3"/>
      <c r="N21" s="3"/>
    </row>
    <row r="22" spans="1:14" x14ac:dyDescent="0.45">
      <c r="A22" s="2">
        <f t="shared" si="0"/>
        <v>22</v>
      </c>
      <c r="B22" s="3"/>
      <c r="C22" s="4"/>
      <c r="D22" s="4" t="s">
        <v>299</v>
      </c>
      <c r="E22" s="10">
        <v>2732553</v>
      </c>
      <c r="F22" s="23">
        <v>3.8010000000000002E-2</v>
      </c>
      <c r="G22" s="10">
        <v>106190</v>
      </c>
      <c r="H22" s="10">
        <f t="shared" si="1"/>
        <v>103864</v>
      </c>
      <c r="I22" s="10">
        <v>97774</v>
      </c>
      <c r="J22" s="8"/>
      <c r="K22" s="3"/>
      <c r="L22" s="3"/>
      <c r="M22" s="3"/>
      <c r="N22" s="3"/>
    </row>
    <row r="23" spans="1:14" x14ac:dyDescent="0.45">
      <c r="A23" s="2">
        <f t="shared" si="0"/>
        <v>23</v>
      </c>
      <c r="B23" s="3"/>
      <c r="C23" s="4"/>
      <c r="D23" s="4"/>
      <c r="E23" s="8"/>
      <c r="F23" s="9"/>
      <c r="G23" s="8"/>
      <c r="H23" s="8"/>
      <c r="I23" s="8"/>
      <c r="J23" s="8"/>
      <c r="K23" s="3"/>
      <c r="L23" s="3"/>
      <c r="M23" s="3"/>
      <c r="N23" s="3"/>
    </row>
    <row r="24" spans="1:14" x14ac:dyDescent="0.45">
      <c r="A24" s="2">
        <f t="shared" si="0"/>
        <v>24</v>
      </c>
      <c r="B24" s="3"/>
      <c r="C24" s="4" t="s">
        <v>300</v>
      </c>
      <c r="D24" s="4"/>
      <c r="E24" s="8">
        <f>SUM(E9:E22)</f>
        <v>116180945</v>
      </c>
      <c r="F24" s="9"/>
      <c r="G24" s="8">
        <f>SUM(G9:G22)</f>
        <v>14525582</v>
      </c>
      <c r="H24" s="8">
        <f>SUM(H9:H22)</f>
        <v>5168891</v>
      </c>
      <c r="I24" s="8">
        <f>SUM(I9:I22)</f>
        <v>3869737</v>
      </c>
      <c r="J24" s="8">
        <v>43516878</v>
      </c>
      <c r="K24" s="9">
        <f>ROUND(J24/E24,5)</f>
        <v>0.37456</v>
      </c>
      <c r="L24" s="8">
        <f>ROUND(G24*K24,0)</f>
        <v>5440702</v>
      </c>
      <c r="M24" s="8">
        <f>ROUND(H24*K24,0)</f>
        <v>1936060</v>
      </c>
      <c r="N24" s="8">
        <f>ROUND(I24*K24,0)</f>
        <v>1449449</v>
      </c>
    </row>
    <row r="25" spans="1:14" x14ac:dyDescent="0.45">
      <c r="A25" s="2">
        <f t="shared" si="0"/>
        <v>25</v>
      </c>
      <c r="B25" s="3"/>
      <c r="C25" s="19" t="s">
        <v>301</v>
      </c>
      <c r="D25" s="4"/>
      <c r="E25" s="8"/>
      <c r="F25" s="9">
        <f>ROUND(H24/E24,5)</f>
        <v>4.4490000000000002E-2</v>
      </c>
      <c r="G25" s="8"/>
      <c r="H25" s="8"/>
      <c r="I25" s="8"/>
      <c r="J25" s="8"/>
      <c r="K25" s="3"/>
      <c r="L25" s="3"/>
      <c r="M25" s="3"/>
      <c r="N25" s="3"/>
    </row>
    <row r="26" spans="1:14" x14ac:dyDescent="0.45">
      <c r="A26" s="2">
        <f t="shared" si="0"/>
        <v>26</v>
      </c>
      <c r="B26" s="3"/>
      <c r="C26" s="4"/>
      <c r="D26" s="4"/>
      <c r="E26" s="8"/>
      <c r="F26" s="9"/>
      <c r="G26" s="8"/>
      <c r="H26" s="8"/>
      <c r="I26" s="8"/>
      <c r="J26" s="8"/>
      <c r="K26" s="3"/>
      <c r="L26" s="3"/>
      <c r="M26" s="3"/>
      <c r="N26" s="3"/>
    </row>
    <row r="27" spans="1:14" x14ac:dyDescent="0.45">
      <c r="A27" s="2">
        <f t="shared" si="0"/>
        <v>27</v>
      </c>
      <c r="B27" s="3" t="s">
        <v>302</v>
      </c>
      <c r="C27" s="4" t="s">
        <v>303</v>
      </c>
      <c r="D27" s="4" t="s">
        <v>304</v>
      </c>
      <c r="E27" s="8">
        <v>15297619</v>
      </c>
      <c r="F27" s="9">
        <v>4.4600000000000001E-2</v>
      </c>
      <c r="G27" s="8">
        <v>706276</v>
      </c>
      <c r="H27" s="17">
        <f t="shared" ref="H27:H32" si="2">ROUND(E27*F27,0)</f>
        <v>682274</v>
      </c>
      <c r="I27" s="8">
        <v>858973</v>
      </c>
      <c r="J27" s="8"/>
      <c r="K27" s="3"/>
      <c r="L27" s="3"/>
      <c r="M27" s="3"/>
      <c r="N27" s="3"/>
    </row>
    <row r="28" spans="1:14" x14ac:dyDescent="0.45">
      <c r="A28" s="2">
        <f t="shared" si="0"/>
        <v>28</v>
      </c>
      <c r="B28" s="3" t="s">
        <v>305</v>
      </c>
      <c r="C28" s="4"/>
      <c r="D28" s="33" t="s">
        <v>306</v>
      </c>
      <c r="E28" s="32">
        <v>0</v>
      </c>
      <c r="F28" s="9">
        <v>4.8189999999999997E-2</v>
      </c>
      <c r="G28" s="8">
        <v>776819</v>
      </c>
      <c r="H28" s="17">
        <f t="shared" si="2"/>
        <v>0</v>
      </c>
      <c r="I28" s="32">
        <v>0</v>
      </c>
      <c r="J28" s="8"/>
      <c r="K28" s="3" t="s">
        <v>307</v>
      </c>
      <c r="L28" s="3"/>
      <c r="M28" s="3"/>
      <c r="N28" s="3"/>
    </row>
    <row r="29" spans="1:14" x14ac:dyDescent="0.45">
      <c r="A29" s="2">
        <f t="shared" si="0"/>
        <v>29</v>
      </c>
      <c r="B29" s="3" t="s">
        <v>308</v>
      </c>
      <c r="C29" s="4"/>
      <c r="D29" s="33" t="s">
        <v>309</v>
      </c>
      <c r="E29" s="32">
        <v>0</v>
      </c>
      <c r="F29" s="9">
        <v>4.9500000000000002E-2</v>
      </c>
      <c r="G29" s="8">
        <v>796590</v>
      </c>
      <c r="H29" s="17">
        <f t="shared" si="2"/>
        <v>0</v>
      </c>
      <c r="I29" s="32">
        <v>0</v>
      </c>
      <c r="J29" s="8"/>
      <c r="K29" s="3" t="s">
        <v>310</v>
      </c>
      <c r="L29" s="3"/>
      <c r="M29" s="3"/>
      <c r="N29" s="3"/>
    </row>
    <row r="30" spans="1:14" x14ac:dyDescent="0.45">
      <c r="A30" s="2">
        <f t="shared" si="0"/>
        <v>30</v>
      </c>
      <c r="B30" s="3"/>
      <c r="C30" s="4"/>
      <c r="D30" s="33" t="s">
        <v>311</v>
      </c>
      <c r="E30" s="32">
        <v>0</v>
      </c>
      <c r="F30" s="9">
        <v>4.8899999999999999E-2</v>
      </c>
      <c r="G30" s="8">
        <v>210517</v>
      </c>
      <c r="H30" s="17">
        <f t="shared" si="2"/>
        <v>0</v>
      </c>
      <c r="I30" s="32">
        <v>0</v>
      </c>
      <c r="J30" s="8"/>
      <c r="K30" s="3" t="s">
        <v>312</v>
      </c>
      <c r="L30" s="3"/>
      <c r="M30" s="3"/>
      <c r="N30" s="3"/>
    </row>
    <row r="31" spans="1:14" x14ac:dyDescent="0.45">
      <c r="A31" s="2">
        <f t="shared" si="0"/>
        <v>31</v>
      </c>
      <c r="B31" s="3"/>
      <c r="C31" s="4"/>
      <c r="D31" s="4" t="s">
        <v>313</v>
      </c>
      <c r="E31" s="8">
        <v>7157759</v>
      </c>
      <c r="F31" s="9">
        <v>4.3380000000000002E-2</v>
      </c>
      <c r="G31" s="8">
        <v>321527</v>
      </c>
      <c r="H31" s="17">
        <f t="shared" si="2"/>
        <v>310504</v>
      </c>
      <c r="I31" s="8">
        <v>405614</v>
      </c>
      <c r="J31" s="8"/>
      <c r="K31" s="3"/>
      <c r="L31" s="3"/>
      <c r="M31" s="3"/>
      <c r="N31" s="3"/>
    </row>
    <row r="32" spans="1:14" x14ac:dyDescent="0.45">
      <c r="A32" s="2">
        <f t="shared" si="0"/>
        <v>32</v>
      </c>
      <c r="B32" s="3"/>
      <c r="C32" s="4"/>
      <c r="D32" s="4" t="s">
        <v>314</v>
      </c>
      <c r="E32" s="10">
        <v>2777952</v>
      </c>
      <c r="F32" s="23">
        <v>4.3060000000000001E-2</v>
      </c>
      <c r="G32" s="10">
        <v>123875</v>
      </c>
      <c r="H32" s="10">
        <f t="shared" si="2"/>
        <v>119619</v>
      </c>
      <c r="I32" s="10">
        <v>157798</v>
      </c>
      <c r="J32" s="8"/>
      <c r="K32" s="3"/>
      <c r="L32" s="3"/>
      <c r="M32" s="3"/>
      <c r="N32" s="3"/>
    </row>
    <row r="33" spans="1:14" x14ac:dyDescent="0.45">
      <c r="A33" s="2">
        <f t="shared" si="0"/>
        <v>33</v>
      </c>
      <c r="B33" s="3"/>
      <c r="C33" s="4"/>
      <c r="D33" s="4"/>
      <c r="E33" s="8"/>
      <c r="F33" s="9"/>
      <c r="G33" s="8"/>
      <c r="H33" s="8"/>
      <c r="I33" s="8"/>
      <c r="J33" s="8"/>
      <c r="K33" s="3"/>
      <c r="L33" s="3"/>
      <c r="M33" s="3"/>
      <c r="N33" s="3"/>
    </row>
    <row r="34" spans="1:14" x14ac:dyDescent="0.45">
      <c r="A34" s="2">
        <f t="shared" si="0"/>
        <v>34</v>
      </c>
      <c r="B34" s="3"/>
      <c r="C34" s="4" t="s">
        <v>315</v>
      </c>
      <c r="D34" s="4"/>
      <c r="E34" s="8">
        <f>SUM(E27:E32)</f>
        <v>25233330</v>
      </c>
      <c r="F34" s="9"/>
      <c r="G34" s="8">
        <f>SUM(G27:G32)</f>
        <v>2935604</v>
      </c>
      <c r="H34" s="8">
        <f>SUM(H27:H32)</f>
        <v>1112397</v>
      </c>
      <c r="I34" s="8">
        <f>SUM(I27:I32)</f>
        <v>1422385</v>
      </c>
      <c r="J34" s="8">
        <f>12735742+42269409+20993848</f>
        <v>75998999</v>
      </c>
      <c r="K34" s="9">
        <v>1</v>
      </c>
      <c r="L34" s="8">
        <f>ROUND(G34*K34,0)</f>
        <v>2935604</v>
      </c>
      <c r="M34" s="8">
        <f>ROUND(H34*K34,0)</f>
        <v>1112397</v>
      </c>
      <c r="N34" s="8">
        <f>ROUND(I34*K34,0)</f>
        <v>1422385</v>
      </c>
    </row>
    <row r="35" spans="1:14" x14ac:dyDescent="0.45">
      <c r="A35" s="2">
        <f t="shared" si="0"/>
        <v>35</v>
      </c>
      <c r="B35" s="3"/>
      <c r="C35" s="3" t="s">
        <v>301</v>
      </c>
      <c r="D35" s="3"/>
      <c r="E35" s="3"/>
      <c r="F35" s="9">
        <f>ROUND(H34/E34,5)</f>
        <v>4.4080000000000001E-2</v>
      </c>
      <c r="G35" s="3"/>
      <c r="H35" s="3"/>
      <c r="I35" s="3"/>
      <c r="J35" s="3"/>
      <c r="K35" s="3"/>
      <c r="L35" s="3"/>
      <c r="M35" s="3"/>
      <c r="N35" s="3"/>
    </row>
    <row r="36" spans="1:14" x14ac:dyDescent="0.45">
      <c r="A36" s="2">
        <f t="shared" si="0"/>
        <v>36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45">
      <c r="A37" s="2">
        <f t="shared" si="0"/>
        <v>37</v>
      </c>
      <c r="B37" s="3" t="s">
        <v>316</v>
      </c>
      <c r="C37" s="4" t="s">
        <v>317</v>
      </c>
      <c r="D37" s="4" t="s">
        <v>318</v>
      </c>
      <c r="E37" s="8">
        <v>342385</v>
      </c>
      <c r="F37" s="9">
        <v>3.9129999999999998E-2</v>
      </c>
      <c r="G37" s="8">
        <v>13673</v>
      </c>
      <c r="H37" s="17">
        <f t="shared" ref="H37:H43" si="3">ROUND(E37*F37,0)</f>
        <v>13398</v>
      </c>
      <c r="I37" s="8">
        <v>11255</v>
      </c>
      <c r="J37" s="3"/>
      <c r="K37" s="3"/>
      <c r="L37" s="3"/>
      <c r="M37" s="3"/>
      <c r="N37" s="3"/>
    </row>
    <row r="38" spans="1:14" x14ac:dyDescent="0.45">
      <c r="A38" s="2">
        <f t="shared" si="0"/>
        <v>38</v>
      </c>
      <c r="B38" s="3" t="s">
        <v>319</v>
      </c>
      <c r="C38" s="4" t="s">
        <v>320</v>
      </c>
      <c r="D38" s="4" t="s">
        <v>321</v>
      </c>
      <c r="E38" s="8">
        <v>19717927</v>
      </c>
      <c r="F38" s="9">
        <v>2.3019999999999999E-2</v>
      </c>
      <c r="G38" s="8">
        <v>465114</v>
      </c>
      <c r="H38" s="17">
        <f t="shared" si="3"/>
        <v>453907</v>
      </c>
      <c r="I38" s="8">
        <v>778818</v>
      </c>
      <c r="J38" s="3"/>
      <c r="K38" s="3"/>
      <c r="L38" s="3"/>
      <c r="M38" s="3"/>
      <c r="N38" s="3"/>
    </row>
    <row r="39" spans="1:14" x14ac:dyDescent="0.45">
      <c r="A39" s="2">
        <f t="shared" si="0"/>
        <v>39</v>
      </c>
      <c r="B39" s="3" t="s">
        <v>322</v>
      </c>
      <c r="C39" s="4" t="s">
        <v>323</v>
      </c>
      <c r="D39" s="4" t="s">
        <v>324</v>
      </c>
      <c r="E39" s="8">
        <v>19078145</v>
      </c>
      <c r="F39" s="9">
        <v>2.3380000000000001E-2</v>
      </c>
      <c r="G39" s="8">
        <v>457016</v>
      </c>
      <c r="H39" s="17">
        <f t="shared" si="3"/>
        <v>446047</v>
      </c>
      <c r="I39" s="8">
        <v>750526</v>
      </c>
      <c r="J39" s="3"/>
      <c r="K39" s="3"/>
      <c r="L39" s="3"/>
      <c r="M39" s="3"/>
      <c r="N39" s="3"/>
    </row>
    <row r="40" spans="1:14" x14ac:dyDescent="0.45">
      <c r="A40" s="2">
        <f t="shared" si="0"/>
        <v>40</v>
      </c>
      <c r="B40" s="3" t="s">
        <v>325</v>
      </c>
      <c r="C40" s="4" t="s">
        <v>326</v>
      </c>
      <c r="D40" s="4" t="s">
        <v>327</v>
      </c>
      <c r="E40" s="8">
        <v>10393048</v>
      </c>
      <c r="F40" s="9">
        <v>2.5100000000000001E-2</v>
      </c>
      <c r="G40" s="8">
        <v>267159</v>
      </c>
      <c r="H40" s="17">
        <f t="shared" si="3"/>
        <v>260866</v>
      </c>
      <c r="I40" s="8">
        <v>401061</v>
      </c>
      <c r="J40" s="3"/>
      <c r="K40" s="3"/>
      <c r="L40" s="3"/>
      <c r="M40" s="3"/>
      <c r="N40" s="3"/>
    </row>
    <row r="41" spans="1:14" x14ac:dyDescent="0.45">
      <c r="A41" s="2">
        <f t="shared" si="0"/>
        <v>41</v>
      </c>
      <c r="B41" s="3"/>
      <c r="C41" s="4" t="s">
        <v>328</v>
      </c>
      <c r="D41" s="4" t="s">
        <v>329</v>
      </c>
      <c r="E41" s="8">
        <v>5658666</v>
      </c>
      <c r="F41" s="9">
        <v>2.393E-2</v>
      </c>
      <c r="G41" s="8">
        <v>138722</v>
      </c>
      <c r="H41" s="17">
        <f t="shared" si="3"/>
        <v>135412</v>
      </c>
      <c r="I41" s="8">
        <v>221245</v>
      </c>
      <c r="J41" s="3"/>
      <c r="K41" s="3"/>
      <c r="L41" s="3"/>
      <c r="M41" s="3"/>
      <c r="N41" s="3"/>
    </row>
    <row r="42" spans="1:14" x14ac:dyDescent="0.45">
      <c r="A42" s="2">
        <f t="shared" si="0"/>
        <v>42</v>
      </c>
      <c r="B42" s="3"/>
      <c r="C42" s="24" t="s">
        <v>330</v>
      </c>
      <c r="D42" s="24" t="s">
        <v>331</v>
      </c>
      <c r="E42" s="25">
        <v>3188549</v>
      </c>
      <c r="F42" s="9">
        <v>3.338E-2</v>
      </c>
      <c r="G42" s="26">
        <f>ROUND(334489*(3188549/9805188),0)</f>
        <v>108772</v>
      </c>
      <c r="H42" s="17">
        <f t="shared" si="3"/>
        <v>106434</v>
      </c>
      <c r="I42" s="26">
        <f>ROUND(344460*(3188549/9805188),0)</f>
        <v>112015</v>
      </c>
      <c r="J42" s="3"/>
      <c r="K42" s="3"/>
      <c r="L42" s="3"/>
      <c r="M42" s="3"/>
      <c r="N42" s="3"/>
    </row>
    <row r="43" spans="1:14" x14ac:dyDescent="0.45">
      <c r="A43" s="2">
        <f t="shared" si="0"/>
        <v>43</v>
      </c>
      <c r="B43" s="3"/>
      <c r="C43" s="24" t="s">
        <v>332</v>
      </c>
      <c r="D43" s="24" t="s">
        <v>333</v>
      </c>
      <c r="E43" s="27">
        <v>5074867</v>
      </c>
      <c r="F43" s="23">
        <v>3.5130000000000002E-2</v>
      </c>
      <c r="G43" s="28">
        <f>ROUND(510570*(5074867/14227270),0)</f>
        <v>182120</v>
      </c>
      <c r="H43" s="10">
        <f t="shared" si="3"/>
        <v>178280</v>
      </c>
      <c r="I43" s="28">
        <f>ROUND(489860*(5074867/14227270),0)</f>
        <v>174733</v>
      </c>
      <c r="J43" s="3"/>
      <c r="K43" s="3"/>
      <c r="L43" s="3"/>
      <c r="M43" s="3"/>
      <c r="N43" s="3"/>
    </row>
    <row r="44" spans="1:14" x14ac:dyDescent="0.45">
      <c r="A44" s="2">
        <f t="shared" si="0"/>
        <v>44</v>
      </c>
      <c r="B44" s="3"/>
      <c r="C44" s="4"/>
      <c r="D44" s="4"/>
      <c r="E44" s="8"/>
      <c r="F44" s="9"/>
      <c r="G44" s="8"/>
      <c r="H44" s="8"/>
      <c r="I44" s="8"/>
      <c r="J44" s="3"/>
      <c r="K44" s="3"/>
      <c r="L44" s="3"/>
      <c r="M44" s="3"/>
      <c r="N44" s="3"/>
    </row>
    <row r="45" spans="1:14" x14ac:dyDescent="0.45">
      <c r="A45" s="2">
        <f t="shared" si="0"/>
        <v>45</v>
      </c>
      <c r="B45" s="3"/>
      <c r="C45" s="4" t="s">
        <v>334</v>
      </c>
      <c r="D45" s="4"/>
      <c r="E45" s="8">
        <f>SUM(E37:E43)</f>
        <v>63453587</v>
      </c>
      <c r="F45" s="9"/>
      <c r="G45" s="8">
        <f t="shared" ref="G45:I45" si="4">SUM(G37:G43)</f>
        <v>1632576</v>
      </c>
      <c r="H45" s="8">
        <f t="shared" si="4"/>
        <v>1594344</v>
      </c>
      <c r="I45" s="8">
        <f t="shared" si="4"/>
        <v>2449653</v>
      </c>
      <c r="J45" s="8">
        <f>2059047+9045869+1838141+6046318</f>
        <v>18989375</v>
      </c>
      <c r="K45" s="9">
        <f>ROUND(J45/E45,5)</f>
        <v>0.29926000000000003</v>
      </c>
      <c r="L45" s="8">
        <f>ROUND(G45*K45,0)</f>
        <v>488565</v>
      </c>
      <c r="M45" s="8">
        <f>ROUND(H45*K45,0)</f>
        <v>477123</v>
      </c>
      <c r="N45" s="8">
        <f>ROUND(I45*K45,0)</f>
        <v>733083</v>
      </c>
    </row>
    <row r="46" spans="1:14" x14ac:dyDescent="0.45">
      <c r="A46" s="2">
        <f t="shared" si="0"/>
        <v>46</v>
      </c>
      <c r="B46" s="3"/>
      <c r="C46" s="19" t="s">
        <v>301</v>
      </c>
      <c r="D46" s="4"/>
      <c r="E46" s="8"/>
      <c r="F46" s="9">
        <f>ROUND(H45/E45,5)</f>
        <v>2.513E-2</v>
      </c>
      <c r="G46" s="8"/>
      <c r="H46" s="8"/>
      <c r="I46" s="8"/>
      <c r="J46" s="3"/>
      <c r="K46" s="3"/>
      <c r="L46" s="3"/>
      <c r="M46" s="3"/>
      <c r="N46" s="3"/>
    </row>
    <row r="47" spans="1:14" x14ac:dyDescent="0.45">
      <c r="A47" s="2">
        <f t="shared" si="0"/>
        <v>47</v>
      </c>
      <c r="B47" s="3"/>
      <c r="C47" s="4"/>
      <c r="D47" s="4"/>
      <c r="E47" s="8"/>
      <c r="F47" s="9"/>
      <c r="G47" s="8"/>
      <c r="H47" s="8"/>
      <c r="I47" s="8"/>
      <c r="J47" s="3"/>
      <c r="K47" s="3"/>
      <c r="L47" s="3"/>
      <c r="M47" s="3"/>
      <c r="N47" s="3"/>
    </row>
    <row r="48" spans="1:14" x14ac:dyDescent="0.45">
      <c r="A48" s="2">
        <f t="shared" si="0"/>
        <v>48</v>
      </c>
      <c r="B48" s="3" t="s">
        <v>335</v>
      </c>
      <c r="C48" s="4" t="s">
        <v>336</v>
      </c>
      <c r="D48" s="4" t="s">
        <v>337</v>
      </c>
      <c r="E48" s="8">
        <v>28086406</v>
      </c>
      <c r="F48" s="9">
        <v>3.9879999999999999E-2</v>
      </c>
      <c r="G48" s="8">
        <v>1141369</v>
      </c>
      <c r="H48" s="17">
        <f t="shared" ref="H48:H66" si="5">ROUND(E48*F48,0)</f>
        <v>1120086</v>
      </c>
      <c r="I48" s="8">
        <v>852968</v>
      </c>
      <c r="J48" s="3"/>
      <c r="K48" s="3"/>
      <c r="L48" s="3"/>
      <c r="M48" s="3"/>
      <c r="N48" s="3"/>
    </row>
    <row r="49" spans="1:14" x14ac:dyDescent="0.45">
      <c r="A49" s="2">
        <f t="shared" si="0"/>
        <v>49</v>
      </c>
      <c r="B49" s="3" t="s">
        <v>338</v>
      </c>
      <c r="C49" s="4" t="s">
        <v>320</v>
      </c>
      <c r="D49" s="4" t="s">
        <v>339</v>
      </c>
      <c r="E49" s="8">
        <v>20306048</v>
      </c>
      <c r="F49" s="9">
        <v>4.3740000000000001E-2</v>
      </c>
      <c r="G49" s="8">
        <v>904281</v>
      </c>
      <c r="H49" s="17">
        <f t="shared" si="5"/>
        <v>888187</v>
      </c>
      <c r="I49" s="8">
        <v>588009</v>
      </c>
      <c r="J49" s="3"/>
      <c r="K49" s="3"/>
      <c r="L49" s="3"/>
      <c r="M49" s="3"/>
      <c r="N49" s="3"/>
    </row>
    <row r="50" spans="1:14" x14ac:dyDescent="0.45">
      <c r="A50" s="2">
        <f t="shared" si="0"/>
        <v>50</v>
      </c>
      <c r="B50" s="3"/>
      <c r="C50" s="4" t="s">
        <v>323</v>
      </c>
      <c r="D50" s="4" t="s">
        <v>340</v>
      </c>
      <c r="E50" s="8">
        <v>20316623</v>
      </c>
      <c r="F50" s="9">
        <v>4.3909999999999998E-2</v>
      </c>
      <c r="G50" s="8">
        <v>908234</v>
      </c>
      <c r="H50" s="17">
        <f t="shared" si="5"/>
        <v>892103</v>
      </c>
      <c r="I50" s="8">
        <v>587076</v>
      </c>
      <c r="J50" s="3"/>
      <c r="K50" s="3"/>
      <c r="L50" s="3"/>
      <c r="M50" s="3"/>
      <c r="N50" s="3"/>
    </row>
    <row r="51" spans="1:14" x14ac:dyDescent="0.45">
      <c r="A51" s="2">
        <f t="shared" si="0"/>
        <v>51</v>
      </c>
      <c r="B51" s="3"/>
      <c r="C51" s="4" t="s">
        <v>326</v>
      </c>
      <c r="D51" s="4" t="s">
        <v>341</v>
      </c>
      <c r="E51" s="8">
        <v>20448405</v>
      </c>
      <c r="F51" s="9">
        <v>4.6050000000000001E-2</v>
      </c>
      <c r="G51" s="8">
        <v>958230</v>
      </c>
      <c r="H51" s="17">
        <f t="shared" si="5"/>
        <v>941649</v>
      </c>
      <c r="I51" s="8">
        <v>575368</v>
      </c>
      <c r="J51" s="3"/>
      <c r="K51" s="3"/>
      <c r="L51" s="3"/>
      <c r="M51" s="3"/>
      <c r="N51" s="3"/>
    </row>
    <row r="52" spans="1:14" x14ac:dyDescent="0.45">
      <c r="A52" s="2">
        <f t="shared" si="0"/>
        <v>52</v>
      </c>
      <c r="B52" s="3"/>
      <c r="C52" s="4" t="s">
        <v>328</v>
      </c>
      <c r="D52" s="4" t="s">
        <v>342</v>
      </c>
      <c r="E52" s="8">
        <v>32717447</v>
      </c>
      <c r="F52" s="9">
        <v>4.6050000000000001E-2</v>
      </c>
      <c r="G52" s="8">
        <v>1533168</v>
      </c>
      <c r="H52" s="17">
        <f t="shared" si="5"/>
        <v>1506638</v>
      </c>
      <c r="I52" s="8">
        <v>920589</v>
      </c>
      <c r="J52" s="3"/>
      <c r="K52" s="3"/>
      <c r="L52" s="3"/>
      <c r="M52" s="3"/>
      <c r="N52" s="3"/>
    </row>
    <row r="53" spans="1:14" x14ac:dyDescent="0.45">
      <c r="A53" s="2">
        <f t="shared" si="0"/>
        <v>53</v>
      </c>
      <c r="B53" s="3"/>
      <c r="C53" s="24" t="s">
        <v>330</v>
      </c>
      <c r="D53" s="4" t="s">
        <v>343</v>
      </c>
      <c r="E53" s="8">
        <v>20445354</v>
      </c>
      <c r="F53" s="9">
        <v>4.5999999999999999E-2</v>
      </c>
      <c r="G53" s="8">
        <v>957057</v>
      </c>
      <c r="H53" s="17">
        <f t="shared" si="5"/>
        <v>940486</v>
      </c>
      <c r="I53" s="8">
        <v>575641</v>
      </c>
      <c r="J53" s="3"/>
      <c r="K53" s="3"/>
      <c r="L53" s="3"/>
      <c r="M53" s="3"/>
      <c r="N53" s="3"/>
    </row>
    <row r="54" spans="1:14" x14ac:dyDescent="0.45">
      <c r="A54" s="2">
        <f t="shared" si="0"/>
        <v>54</v>
      </c>
      <c r="B54" s="3"/>
      <c r="C54" s="24" t="s">
        <v>332</v>
      </c>
      <c r="D54" s="4" t="s">
        <v>344</v>
      </c>
      <c r="E54" s="8">
        <f>9190415+11045568</f>
        <v>20235983</v>
      </c>
      <c r="F54" s="9">
        <v>4.2619999999999998E-2</v>
      </c>
      <c r="G54" s="8">
        <v>878303</v>
      </c>
      <c r="H54" s="17">
        <f t="shared" si="5"/>
        <v>862458</v>
      </c>
      <c r="I54" s="8">
        <v>594160</v>
      </c>
      <c r="J54" s="3"/>
      <c r="K54" s="3"/>
      <c r="L54" s="3"/>
      <c r="M54" s="3"/>
      <c r="N54" s="3"/>
    </row>
    <row r="55" spans="1:14" x14ac:dyDescent="0.45">
      <c r="A55" s="2">
        <f t="shared" si="0"/>
        <v>55</v>
      </c>
      <c r="B55" s="3"/>
      <c r="C55" s="4"/>
      <c r="D55" s="4" t="s">
        <v>345</v>
      </c>
      <c r="E55" s="8">
        <v>20133439</v>
      </c>
      <c r="F55" s="9">
        <v>4.1000000000000002E-2</v>
      </c>
      <c r="G55" s="8">
        <v>840942</v>
      </c>
      <c r="H55" s="17">
        <f t="shared" si="5"/>
        <v>825471</v>
      </c>
      <c r="I55" s="8">
        <v>603081</v>
      </c>
      <c r="J55" s="3"/>
      <c r="K55" s="3"/>
      <c r="L55" s="3"/>
      <c r="M55" s="3"/>
      <c r="N55" s="3"/>
    </row>
    <row r="56" spans="1:14" x14ac:dyDescent="0.45">
      <c r="A56" s="2">
        <f t="shared" si="0"/>
        <v>56</v>
      </c>
      <c r="B56" s="3"/>
      <c r="C56" s="4"/>
      <c r="D56" s="4" t="s">
        <v>346</v>
      </c>
      <c r="E56" s="8">
        <v>20361857</v>
      </c>
      <c r="F56" s="9">
        <v>4.4639999999999999E-2</v>
      </c>
      <c r="G56" s="8">
        <v>925241</v>
      </c>
      <c r="H56" s="17">
        <f t="shared" si="5"/>
        <v>908953</v>
      </c>
      <c r="I56" s="8">
        <v>583076</v>
      </c>
      <c r="J56" s="3"/>
      <c r="K56" s="3"/>
      <c r="L56" s="3"/>
      <c r="M56" s="3"/>
      <c r="N56" s="3"/>
    </row>
    <row r="57" spans="1:14" x14ac:dyDescent="0.45">
      <c r="A57" s="2">
        <f t="shared" si="0"/>
        <v>57</v>
      </c>
      <c r="B57" s="3"/>
      <c r="C57" s="4"/>
      <c r="D57" s="4" t="s">
        <v>347</v>
      </c>
      <c r="E57" s="8">
        <v>20316002</v>
      </c>
      <c r="F57" s="9">
        <v>4.3900000000000002E-2</v>
      </c>
      <c r="G57" s="8">
        <v>908002</v>
      </c>
      <c r="H57" s="17">
        <f t="shared" si="5"/>
        <v>891872</v>
      </c>
      <c r="I57" s="8">
        <v>587131</v>
      </c>
      <c r="J57" s="3"/>
      <c r="K57" s="3"/>
      <c r="L57" s="3"/>
      <c r="M57" s="3"/>
      <c r="N57" s="3"/>
    </row>
    <row r="58" spans="1:14" x14ac:dyDescent="0.45">
      <c r="A58" s="2">
        <f t="shared" si="0"/>
        <v>58</v>
      </c>
      <c r="B58" s="3"/>
      <c r="C58" s="4"/>
      <c r="D58" s="4" t="s">
        <v>348</v>
      </c>
      <c r="E58" s="8">
        <v>20426411</v>
      </c>
      <c r="F58" s="9">
        <v>4.5690000000000001E-2</v>
      </c>
      <c r="G58" s="8">
        <v>949790</v>
      </c>
      <c r="H58" s="17">
        <f t="shared" si="5"/>
        <v>933283</v>
      </c>
      <c r="I58" s="8">
        <v>577334</v>
      </c>
      <c r="J58" s="3"/>
      <c r="K58" s="3"/>
      <c r="L58" s="3"/>
      <c r="M58" s="3"/>
      <c r="N58" s="3"/>
    </row>
    <row r="59" spans="1:14" x14ac:dyDescent="0.45">
      <c r="A59" s="2">
        <f t="shared" si="0"/>
        <v>59</v>
      </c>
      <c r="B59" s="3"/>
      <c r="C59" s="4"/>
      <c r="D59" s="24" t="s">
        <v>349</v>
      </c>
      <c r="E59" s="8">
        <v>5854301</v>
      </c>
      <c r="F59" s="9">
        <v>4.1419999999999998E-2</v>
      </c>
      <c r="G59" s="26">
        <f>ROUND(680483*(5854301/16128128),0)</f>
        <v>247006</v>
      </c>
      <c r="H59" s="17">
        <f t="shared" si="5"/>
        <v>242485</v>
      </c>
      <c r="I59" s="26">
        <f>ROUND(480613*(5854301/16128128),0)</f>
        <v>174456</v>
      </c>
      <c r="J59" s="3"/>
      <c r="K59" s="3"/>
      <c r="L59" s="3"/>
      <c r="M59" s="3"/>
      <c r="N59" s="3"/>
    </row>
    <row r="60" spans="1:14" x14ac:dyDescent="0.45">
      <c r="A60" s="2">
        <f t="shared" si="0"/>
        <v>60</v>
      </c>
      <c r="B60" s="3"/>
      <c r="C60" s="4"/>
      <c r="D60" s="24" t="s">
        <v>350</v>
      </c>
      <c r="E60" s="8">
        <v>476331</v>
      </c>
      <c r="F60" s="9">
        <v>4.1939999999999998E-2</v>
      </c>
      <c r="G60" s="26">
        <f>ROUND(690072*(476331/16154490),0)</f>
        <v>20347</v>
      </c>
      <c r="H60" s="17">
        <f t="shared" si="5"/>
        <v>19977</v>
      </c>
      <c r="I60" s="26">
        <f>ROUND(478321*(476331/16154490),0)</f>
        <v>14104</v>
      </c>
      <c r="J60" s="3"/>
      <c r="K60" s="3"/>
      <c r="L60" s="3"/>
      <c r="M60" s="3"/>
      <c r="N60" s="3"/>
    </row>
    <row r="61" spans="1:14" x14ac:dyDescent="0.45">
      <c r="A61" s="2">
        <f t="shared" si="0"/>
        <v>61</v>
      </c>
      <c r="B61" s="3"/>
      <c r="C61" s="4"/>
      <c r="D61" s="4" t="s">
        <v>351</v>
      </c>
      <c r="E61" s="8">
        <f>1325381+14819490</f>
        <v>16144871</v>
      </c>
      <c r="F61" s="9">
        <v>4.1750000000000002E-2</v>
      </c>
      <c r="G61" s="8">
        <v>686566</v>
      </c>
      <c r="H61" s="17">
        <f t="shared" si="5"/>
        <v>674048</v>
      </c>
      <c r="I61" s="8">
        <v>479158</v>
      </c>
      <c r="J61" s="3"/>
      <c r="K61" s="3"/>
      <c r="L61" s="3"/>
      <c r="M61" s="3"/>
      <c r="N61" s="3"/>
    </row>
    <row r="62" spans="1:14" x14ac:dyDescent="0.45">
      <c r="A62" s="2">
        <f t="shared" si="0"/>
        <v>62</v>
      </c>
      <c r="B62" s="3"/>
      <c r="C62" s="4"/>
      <c r="D62" s="4" t="s">
        <v>352</v>
      </c>
      <c r="E62" s="8">
        <v>4815121</v>
      </c>
      <c r="F62" s="9">
        <v>3.9899999999999998E-2</v>
      </c>
      <c r="G62" s="8">
        <v>195773</v>
      </c>
      <c r="H62" s="17">
        <f t="shared" si="5"/>
        <v>192123</v>
      </c>
      <c r="I62" s="8">
        <v>146197</v>
      </c>
      <c r="J62" s="3"/>
      <c r="K62" s="3"/>
      <c r="L62" s="3"/>
      <c r="M62" s="3"/>
      <c r="N62" s="3"/>
    </row>
    <row r="63" spans="1:14" x14ac:dyDescent="0.45">
      <c r="A63" s="2">
        <f t="shared" si="0"/>
        <v>63</v>
      </c>
      <c r="B63" s="3"/>
      <c r="C63" s="4"/>
      <c r="D63" s="24" t="s">
        <v>353</v>
      </c>
      <c r="E63" s="8">
        <f>8778272+3011637</f>
        <v>11789909</v>
      </c>
      <c r="F63" s="9">
        <v>4.5080000000000002E-2</v>
      </c>
      <c r="G63" s="26">
        <f>ROUND(710992*(11789909/15495626),0)</f>
        <v>540961</v>
      </c>
      <c r="H63" s="17">
        <f t="shared" si="5"/>
        <v>531489</v>
      </c>
      <c r="I63" s="26">
        <f>ROUND(441308*(11789909/15495626),0)</f>
        <v>335771</v>
      </c>
      <c r="J63" s="3"/>
      <c r="K63" s="3"/>
      <c r="L63" s="3"/>
      <c r="M63" s="3"/>
      <c r="N63" s="3"/>
    </row>
    <row r="64" spans="1:14" x14ac:dyDescent="0.45">
      <c r="A64" s="2">
        <f t="shared" si="0"/>
        <v>64</v>
      </c>
      <c r="B64" s="3"/>
      <c r="C64" s="4"/>
      <c r="D64" s="4" t="s">
        <v>354</v>
      </c>
      <c r="E64" s="8">
        <v>730349</v>
      </c>
      <c r="F64" s="9">
        <v>3.9219999999999998E-2</v>
      </c>
      <c r="G64" s="8">
        <v>29193</v>
      </c>
      <c r="H64" s="17">
        <f t="shared" si="5"/>
        <v>28644</v>
      </c>
      <c r="I64" s="8">
        <v>22361</v>
      </c>
      <c r="J64" s="3"/>
      <c r="K64" s="3"/>
      <c r="L64" s="3"/>
      <c r="M64" s="3"/>
      <c r="N64" s="3"/>
    </row>
    <row r="65" spans="1:14" x14ac:dyDescent="0.45">
      <c r="A65" s="2">
        <f t="shared" si="0"/>
        <v>65</v>
      </c>
      <c r="B65" s="3"/>
      <c r="C65" s="4"/>
      <c r="D65" s="24" t="s">
        <v>355</v>
      </c>
      <c r="E65" s="8">
        <f>2674864+3839601</f>
        <v>6514465</v>
      </c>
      <c r="F65" s="9">
        <v>3.9539999999999999E-2</v>
      </c>
      <c r="G65" s="26">
        <f>ROUND(416536*(6514465/10337320),0)</f>
        <v>262496</v>
      </c>
      <c r="H65" s="17">
        <f t="shared" si="5"/>
        <v>257582</v>
      </c>
      <c r="I65" s="26">
        <f>ROUND(315251*(6514465/10337320),0)</f>
        <v>198668</v>
      </c>
      <c r="J65" s="3"/>
      <c r="K65" s="3"/>
      <c r="L65" s="3"/>
      <c r="M65" s="3"/>
      <c r="N65" s="3"/>
    </row>
    <row r="66" spans="1:14" x14ac:dyDescent="0.45">
      <c r="A66" s="2">
        <f t="shared" si="0"/>
        <v>66</v>
      </c>
      <c r="B66" s="3"/>
      <c r="C66" s="4"/>
      <c r="D66" s="24" t="s">
        <v>356</v>
      </c>
      <c r="E66" s="10">
        <f>347278+2007874</f>
        <v>2355152</v>
      </c>
      <c r="F66" s="23">
        <v>2.4320000000000001E-2</v>
      </c>
      <c r="G66" s="28">
        <f>ROUND(64673*(2355152/2599735),0)</f>
        <v>58589</v>
      </c>
      <c r="H66" s="10">
        <f t="shared" si="5"/>
        <v>57277</v>
      </c>
      <c r="I66" s="28">
        <f>ROUND(95196*(2355152/2599735),0)</f>
        <v>86240</v>
      </c>
      <c r="J66" s="3"/>
      <c r="K66" s="3"/>
      <c r="L66" s="3"/>
      <c r="M66" s="3"/>
      <c r="N66" s="3"/>
    </row>
    <row r="67" spans="1:14" x14ac:dyDescent="0.45">
      <c r="A67" s="2">
        <f t="shared" ref="A67:A118" si="6">A66+1</f>
        <v>67</v>
      </c>
      <c r="B67" s="3"/>
      <c r="C67" s="4"/>
      <c r="D67" s="4"/>
      <c r="E67" s="8"/>
      <c r="F67" s="9"/>
      <c r="G67" s="8"/>
      <c r="H67" s="8"/>
      <c r="I67" s="8"/>
      <c r="J67" s="3"/>
      <c r="K67" s="3"/>
      <c r="L67" s="3"/>
      <c r="M67" s="3"/>
      <c r="N67" s="3"/>
    </row>
    <row r="68" spans="1:14" x14ac:dyDescent="0.45">
      <c r="A68" s="2">
        <f t="shared" si="6"/>
        <v>68</v>
      </c>
      <c r="B68" s="3"/>
      <c r="C68" s="4" t="s">
        <v>357</v>
      </c>
      <c r="D68" s="4"/>
      <c r="E68" s="8">
        <f>SUM(E48:E66)</f>
        <v>292474474</v>
      </c>
      <c r="F68" s="9"/>
      <c r="G68" s="8">
        <f t="shared" ref="G68:I68" si="7">SUM(G48:G66)</f>
        <v>12945548</v>
      </c>
      <c r="H68" s="8">
        <f t="shared" si="7"/>
        <v>12714811</v>
      </c>
      <c r="I68" s="8">
        <f t="shared" si="7"/>
        <v>8501388</v>
      </c>
      <c r="J68" s="8">
        <f>140075508+101901553</f>
        <v>241977061</v>
      </c>
      <c r="K68" s="9">
        <f>ROUND(J68/E68,5)</f>
        <v>0.82733999999999996</v>
      </c>
      <c r="L68" s="8">
        <f>ROUND(G68*K68,0)</f>
        <v>10710370</v>
      </c>
      <c r="M68" s="8">
        <f>ROUND(H68*K68,0)</f>
        <v>10519472</v>
      </c>
      <c r="N68" s="8">
        <f>ROUND(I68*K68,0)</f>
        <v>7033538</v>
      </c>
    </row>
    <row r="69" spans="1:14" x14ac:dyDescent="0.45">
      <c r="A69" s="2">
        <f t="shared" si="6"/>
        <v>69</v>
      </c>
      <c r="B69" s="3"/>
      <c r="C69" s="19" t="s">
        <v>301</v>
      </c>
      <c r="D69" s="4"/>
      <c r="E69" s="8"/>
      <c r="F69" s="9">
        <f>ROUND(H68/E68,5)</f>
        <v>4.3470000000000002E-2</v>
      </c>
      <c r="G69" s="8"/>
      <c r="H69" s="8"/>
      <c r="I69" s="8"/>
      <c r="J69" s="8"/>
      <c r="K69" s="3"/>
      <c r="L69" s="3"/>
      <c r="M69" s="3"/>
      <c r="N69" s="3"/>
    </row>
    <row r="70" spans="1:14" x14ac:dyDescent="0.45">
      <c r="A70" s="2">
        <f t="shared" si="6"/>
        <v>70</v>
      </c>
      <c r="B70" s="3"/>
      <c r="C70" s="4"/>
      <c r="D70" s="4"/>
      <c r="E70" s="8"/>
      <c r="F70" s="9"/>
      <c r="G70" s="8"/>
      <c r="H70" s="8"/>
      <c r="I70" s="8"/>
      <c r="J70" s="8"/>
      <c r="K70" s="3"/>
      <c r="L70" s="3"/>
      <c r="M70" s="3"/>
      <c r="N70" s="3"/>
    </row>
    <row r="71" spans="1:14" x14ac:dyDescent="0.45">
      <c r="A71" s="2">
        <f t="shared" si="6"/>
        <v>71</v>
      </c>
      <c r="B71" s="3" t="s">
        <v>358</v>
      </c>
      <c r="C71" s="4" t="s">
        <v>359</v>
      </c>
      <c r="D71" s="33" t="s">
        <v>360</v>
      </c>
      <c r="E71" s="32">
        <v>0</v>
      </c>
      <c r="F71" s="9">
        <v>4.8210000000000003E-2</v>
      </c>
      <c r="G71" s="8">
        <v>1982507</v>
      </c>
      <c r="H71" s="17">
        <f t="shared" ref="H71:H90" si="8">ROUND(E71*F71,0)</f>
        <v>0</v>
      </c>
      <c r="I71" s="32">
        <v>0</v>
      </c>
      <c r="J71" s="8"/>
      <c r="K71" s="3"/>
      <c r="L71" s="3"/>
      <c r="M71" s="3"/>
      <c r="N71" s="3"/>
    </row>
    <row r="72" spans="1:14" x14ac:dyDescent="0.45">
      <c r="A72" s="2">
        <f t="shared" si="6"/>
        <v>72</v>
      </c>
      <c r="B72" s="3"/>
      <c r="C72" s="4"/>
      <c r="D72" s="33" t="s">
        <v>361</v>
      </c>
      <c r="E72" s="32">
        <v>0</v>
      </c>
      <c r="F72" s="9">
        <v>4.7359999999999999E-2</v>
      </c>
      <c r="G72" s="8">
        <v>971256</v>
      </c>
      <c r="H72" s="17">
        <f t="shared" si="8"/>
        <v>0</v>
      </c>
      <c r="I72" s="32">
        <v>0</v>
      </c>
      <c r="J72" s="8"/>
      <c r="K72" s="3"/>
      <c r="L72" s="3"/>
      <c r="M72" s="3"/>
      <c r="N72" s="3"/>
    </row>
    <row r="73" spans="1:14" x14ac:dyDescent="0.45">
      <c r="A73" s="2">
        <f t="shared" si="6"/>
        <v>73</v>
      </c>
      <c r="B73" s="3"/>
      <c r="C73" s="4"/>
      <c r="D73" s="4" t="s">
        <v>362</v>
      </c>
      <c r="E73" s="8">
        <v>40228612</v>
      </c>
      <c r="F73" s="9">
        <v>4.6690000000000002E-2</v>
      </c>
      <c r="G73" s="8">
        <v>1911086</v>
      </c>
      <c r="H73" s="17">
        <f t="shared" si="8"/>
        <v>1878274</v>
      </c>
      <c r="I73" s="8">
        <v>1122931</v>
      </c>
      <c r="J73" s="8"/>
      <c r="K73" s="3"/>
      <c r="L73" s="3"/>
      <c r="M73" s="3"/>
      <c r="N73" s="3"/>
    </row>
    <row r="74" spans="1:14" x14ac:dyDescent="0.45">
      <c r="A74" s="2">
        <f t="shared" si="6"/>
        <v>74</v>
      </c>
      <c r="B74" s="3"/>
      <c r="C74" s="4"/>
      <c r="D74" s="4" t="s">
        <v>363</v>
      </c>
      <c r="E74" s="8">
        <v>19922391</v>
      </c>
      <c r="F74" s="9">
        <v>4.3839999999999997E-2</v>
      </c>
      <c r="G74" s="8">
        <v>889204</v>
      </c>
      <c r="H74" s="17">
        <f t="shared" si="8"/>
        <v>873398</v>
      </c>
      <c r="I74" s="8">
        <v>576184</v>
      </c>
      <c r="J74" s="8"/>
      <c r="K74" s="3"/>
      <c r="L74" s="3"/>
      <c r="M74" s="3"/>
      <c r="N74" s="3"/>
    </row>
    <row r="75" spans="1:14" x14ac:dyDescent="0.45">
      <c r="A75" s="2">
        <f t="shared" si="6"/>
        <v>75</v>
      </c>
      <c r="B75" s="3"/>
      <c r="C75" s="4"/>
      <c r="D75" s="4" t="s">
        <v>364</v>
      </c>
      <c r="E75" s="8">
        <v>40200662</v>
      </c>
      <c r="F75" s="9">
        <v>4.648E-2</v>
      </c>
      <c r="G75" s="8">
        <v>1901254</v>
      </c>
      <c r="H75" s="17">
        <f t="shared" si="8"/>
        <v>1868527</v>
      </c>
      <c r="I75" s="8">
        <v>1125097</v>
      </c>
      <c r="J75" s="8"/>
      <c r="K75" s="3"/>
      <c r="L75" s="3"/>
      <c r="M75" s="3"/>
      <c r="N75" s="3"/>
    </row>
    <row r="76" spans="1:14" x14ac:dyDescent="0.45">
      <c r="A76" s="2">
        <f t="shared" si="6"/>
        <v>76</v>
      </c>
      <c r="B76" s="3"/>
      <c r="C76" s="4"/>
      <c r="D76" s="4" t="s">
        <v>365</v>
      </c>
      <c r="E76" s="8">
        <v>40143265</v>
      </c>
      <c r="F76" s="9">
        <v>4.6050000000000001E-2</v>
      </c>
      <c r="G76" s="8">
        <v>1881149</v>
      </c>
      <c r="H76" s="17">
        <f t="shared" si="8"/>
        <v>1848597</v>
      </c>
      <c r="I76" s="8">
        <v>1129533</v>
      </c>
      <c r="J76" s="8"/>
      <c r="K76" s="3"/>
      <c r="L76" s="3"/>
      <c r="M76" s="3"/>
      <c r="N76" s="3"/>
    </row>
    <row r="77" spans="1:14" x14ac:dyDescent="0.45">
      <c r="A77" s="2">
        <f t="shared" si="6"/>
        <v>77</v>
      </c>
      <c r="B77" s="3"/>
      <c r="C77" s="4"/>
      <c r="D77" s="4" t="s">
        <v>366</v>
      </c>
      <c r="E77" s="8">
        <v>6377782</v>
      </c>
      <c r="F77" s="9">
        <v>4.3959999999999999E-2</v>
      </c>
      <c r="G77" s="8">
        <v>285434</v>
      </c>
      <c r="H77" s="17">
        <f t="shared" si="8"/>
        <v>280367</v>
      </c>
      <c r="I77" s="8">
        <v>184180</v>
      </c>
      <c r="J77" s="8"/>
      <c r="K77" s="3"/>
      <c r="L77" s="3"/>
      <c r="M77" s="3"/>
      <c r="N77" s="3"/>
    </row>
    <row r="78" spans="1:14" x14ac:dyDescent="0.45">
      <c r="A78" s="2">
        <f t="shared" si="6"/>
        <v>78</v>
      </c>
      <c r="B78" s="3"/>
      <c r="C78" s="4"/>
      <c r="D78" s="4" t="s">
        <v>367</v>
      </c>
      <c r="E78" s="8">
        <v>15922073</v>
      </c>
      <c r="F78" s="9">
        <v>4.3549999999999998E-2</v>
      </c>
      <c r="G78" s="8">
        <v>706001</v>
      </c>
      <c r="H78" s="17">
        <f t="shared" si="8"/>
        <v>693406</v>
      </c>
      <c r="I78" s="8">
        <v>462148</v>
      </c>
      <c r="J78" s="8"/>
      <c r="K78" s="3"/>
      <c r="L78" s="3"/>
      <c r="M78" s="3"/>
      <c r="N78" s="3"/>
    </row>
    <row r="79" spans="1:14" x14ac:dyDescent="0.45">
      <c r="A79" s="2">
        <f t="shared" si="6"/>
        <v>79</v>
      </c>
      <c r="B79" s="3"/>
      <c r="C79" s="4"/>
      <c r="D79" s="4" t="s">
        <v>368</v>
      </c>
      <c r="E79" s="8">
        <v>15929178</v>
      </c>
      <c r="F79" s="9">
        <v>4.3679999999999997E-2</v>
      </c>
      <c r="G79" s="8">
        <v>708404</v>
      </c>
      <c r="H79" s="17">
        <f t="shared" si="8"/>
        <v>695786</v>
      </c>
      <c r="I79" s="8">
        <v>461610</v>
      </c>
      <c r="J79" s="8"/>
      <c r="K79" s="3"/>
      <c r="L79" s="3"/>
      <c r="M79" s="3"/>
      <c r="N79" s="3"/>
    </row>
    <row r="80" spans="1:14" x14ac:dyDescent="0.45">
      <c r="A80" s="2">
        <f t="shared" si="6"/>
        <v>80</v>
      </c>
      <c r="B80" s="3"/>
      <c r="C80" s="4"/>
      <c r="D80" s="4" t="s">
        <v>369</v>
      </c>
      <c r="E80" s="8">
        <v>20019292</v>
      </c>
      <c r="F80" s="9">
        <v>4.5269999999999998E-2</v>
      </c>
      <c r="G80" s="8">
        <v>922387</v>
      </c>
      <c r="H80" s="17">
        <f t="shared" si="8"/>
        <v>906273</v>
      </c>
      <c r="I80" s="8">
        <v>568793</v>
      </c>
      <c r="J80" s="8"/>
      <c r="K80" s="3"/>
      <c r="L80" s="3"/>
      <c r="M80" s="3"/>
      <c r="N80" s="3"/>
    </row>
    <row r="81" spans="1:14" x14ac:dyDescent="0.45">
      <c r="A81" s="2">
        <f t="shared" si="6"/>
        <v>81</v>
      </c>
      <c r="B81" s="3"/>
      <c r="C81" s="4"/>
      <c r="D81" s="33" t="s">
        <v>370</v>
      </c>
      <c r="E81" s="32">
        <v>0</v>
      </c>
      <c r="F81" s="9">
        <v>4.7539999999999999E-2</v>
      </c>
      <c r="G81" s="8">
        <v>975485</v>
      </c>
      <c r="H81" s="17">
        <f t="shared" si="8"/>
        <v>0</v>
      </c>
      <c r="I81" s="32">
        <v>0</v>
      </c>
      <c r="J81" s="8"/>
      <c r="K81" s="3"/>
      <c r="L81" s="3"/>
      <c r="M81" s="3"/>
      <c r="N81" s="3"/>
    </row>
    <row r="82" spans="1:14" x14ac:dyDescent="0.45">
      <c r="A82" s="2">
        <f t="shared" si="6"/>
        <v>82</v>
      </c>
      <c r="B82" s="3"/>
      <c r="C82" s="4"/>
      <c r="D82" s="4" t="s">
        <v>371</v>
      </c>
      <c r="E82" s="8">
        <v>20083659</v>
      </c>
      <c r="F82" s="9">
        <v>4.623E-2</v>
      </c>
      <c r="G82" s="8">
        <v>944780</v>
      </c>
      <c r="H82" s="17">
        <f t="shared" si="8"/>
        <v>928468</v>
      </c>
      <c r="I82" s="8">
        <v>563838</v>
      </c>
      <c r="J82" s="8"/>
      <c r="K82" s="3"/>
      <c r="L82" s="3"/>
      <c r="M82" s="3"/>
      <c r="N82" s="3"/>
    </row>
    <row r="83" spans="1:14" x14ac:dyDescent="0.45">
      <c r="A83" s="2">
        <f t="shared" si="6"/>
        <v>83</v>
      </c>
      <c r="B83" s="3"/>
      <c r="C83" s="4"/>
      <c r="D83" s="4" t="s">
        <v>372</v>
      </c>
      <c r="E83" s="8">
        <v>6276875</v>
      </c>
      <c r="F83" s="9">
        <v>4.2979999999999997E-2</v>
      </c>
      <c r="G83" s="8">
        <v>274715</v>
      </c>
      <c r="H83" s="17">
        <f t="shared" si="8"/>
        <v>269780</v>
      </c>
      <c r="I83" s="8">
        <v>183480</v>
      </c>
      <c r="J83" s="8"/>
      <c r="K83" s="3"/>
      <c r="L83" s="3"/>
      <c r="M83" s="3"/>
      <c r="N83" s="3"/>
    </row>
    <row r="84" spans="1:14" x14ac:dyDescent="0.45">
      <c r="A84" s="2">
        <f t="shared" si="6"/>
        <v>84</v>
      </c>
      <c r="B84" s="3"/>
      <c r="C84" s="4"/>
      <c r="D84" s="4" t="s">
        <v>373</v>
      </c>
      <c r="E84" s="8">
        <v>19897120</v>
      </c>
      <c r="F84" s="9">
        <v>4.3470000000000002E-2</v>
      </c>
      <c r="G84" s="8">
        <v>880653</v>
      </c>
      <c r="H84" s="17">
        <f t="shared" si="8"/>
        <v>864928</v>
      </c>
      <c r="I84" s="8">
        <v>578098</v>
      </c>
      <c r="J84" s="8"/>
      <c r="K84" s="3"/>
      <c r="L84" s="3"/>
      <c r="M84" s="3"/>
      <c r="N84" s="3"/>
    </row>
    <row r="85" spans="1:14" x14ac:dyDescent="0.45">
      <c r="A85" s="2">
        <f t="shared" si="6"/>
        <v>85</v>
      </c>
      <c r="B85" s="3"/>
      <c r="C85" s="4"/>
      <c r="D85" s="4" t="s">
        <v>374</v>
      </c>
      <c r="E85" s="8">
        <v>19936698</v>
      </c>
      <c r="F85" s="9">
        <v>4.4049999999999999E-2</v>
      </c>
      <c r="G85" s="8">
        <v>894064</v>
      </c>
      <c r="H85" s="17">
        <f t="shared" si="8"/>
        <v>878212</v>
      </c>
      <c r="I85" s="8">
        <v>575098</v>
      </c>
      <c r="J85" s="8"/>
      <c r="K85" s="3"/>
      <c r="L85" s="3"/>
      <c r="M85" s="3"/>
      <c r="N85" s="3"/>
    </row>
    <row r="86" spans="1:14" x14ac:dyDescent="0.45">
      <c r="A86" s="2">
        <f t="shared" si="6"/>
        <v>86</v>
      </c>
      <c r="B86" s="3"/>
      <c r="C86" s="4"/>
      <c r="D86" s="4" t="s">
        <v>375</v>
      </c>
      <c r="E86" s="8">
        <v>5566338</v>
      </c>
      <c r="F86" s="9">
        <v>2.8459999999999999E-2</v>
      </c>
      <c r="G86" s="8">
        <v>161872</v>
      </c>
      <c r="H86" s="17">
        <f t="shared" si="8"/>
        <v>158418</v>
      </c>
      <c r="I86" s="8">
        <v>194077</v>
      </c>
      <c r="J86" s="8"/>
      <c r="K86" s="3"/>
      <c r="L86" s="3"/>
      <c r="M86" s="3"/>
      <c r="N86" s="3"/>
    </row>
    <row r="87" spans="1:14" x14ac:dyDescent="0.45">
      <c r="A87" s="2">
        <f t="shared" si="6"/>
        <v>87</v>
      </c>
      <c r="B87" s="3"/>
      <c r="C87" s="4"/>
      <c r="D87" s="4" t="s">
        <v>376</v>
      </c>
      <c r="E87" s="8">
        <v>19377038</v>
      </c>
      <c r="F87" s="9">
        <v>3.6510000000000001E-2</v>
      </c>
      <c r="G87" s="8">
        <v>721461</v>
      </c>
      <c r="H87" s="17">
        <f t="shared" si="8"/>
        <v>707456</v>
      </c>
      <c r="I87" s="8">
        <v>613211</v>
      </c>
      <c r="J87" s="8"/>
      <c r="K87" s="3"/>
      <c r="L87" s="3"/>
      <c r="M87" s="3"/>
      <c r="N87" s="3"/>
    </row>
    <row r="88" spans="1:14" x14ac:dyDescent="0.45">
      <c r="A88" s="2">
        <f t="shared" si="6"/>
        <v>88</v>
      </c>
      <c r="B88" s="3"/>
      <c r="C88" s="4"/>
      <c r="D88" s="4" t="s">
        <v>377</v>
      </c>
      <c r="E88" s="8">
        <v>11624991</v>
      </c>
      <c r="F88" s="9">
        <v>4.2520000000000002E-2</v>
      </c>
      <c r="G88" s="8">
        <v>503387</v>
      </c>
      <c r="H88" s="17">
        <f t="shared" si="8"/>
        <v>494295</v>
      </c>
      <c r="I88" s="8">
        <v>341750</v>
      </c>
      <c r="J88" s="8"/>
      <c r="K88" s="3"/>
      <c r="L88" s="3"/>
      <c r="M88" s="3"/>
      <c r="N88" s="3"/>
    </row>
    <row r="89" spans="1:14" x14ac:dyDescent="0.45">
      <c r="A89" s="2">
        <f t="shared" si="6"/>
        <v>89</v>
      </c>
      <c r="B89" s="3"/>
      <c r="C89" s="4"/>
      <c r="D89" s="4" t="s">
        <v>378</v>
      </c>
      <c r="E89" s="8">
        <v>1479441</v>
      </c>
      <c r="F89" s="9">
        <v>3.9539999999999999E-2</v>
      </c>
      <c r="G89" s="8">
        <v>59613</v>
      </c>
      <c r="H89" s="17">
        <f t="shared" si="8"/>
        <v>58497</v>
      </c>
      <c r="I89" s="8">
        <v>45118</v>
      </c>
      <c r="J89" s="8"/>
      <c r="K89" s="3"/>
      <c r="L89" s="3"/>
      <c r="M89" s="3"/>
      <c r="N89" s="3"/>
    </row>
    <row r="90" spans="1:14" x14ac:dyDescent="0.45">
      <c r="A90" s="2">
        <f t="shared" si="6"/>
        <v>90</v>
      </c>
      <c r="B90" s="3"/>
      <c r="C90" s="4"/>
      <c r="D90" s="4" t="s">
        <v>379</v>
      </c>
      <c r="E90" s="10">
        <v>1335613</v>
      </c>
      <c r="F90" s="23">
        <v>2.3689999999999999E-2</v>
      </c>
      <c r="G90" s="10">
        <v>32370</v>
      </c>
      <c r="H90" s="10">
        <f t="shared" si="8"/>
        <v>31641</v>
      </c>
      <c r="I90" s="10">
        <v>49271</v>
      </c>
      <c r="J90" s="8"/>
      <c r="K90" s="3"/>
      <c r="L90" s="3"/>
      <c r="M90" s="3"/>
      <c r="N90" s="3"/>
    </row>
    <row r="91" spans="1:14" x14ac:dyDescent="0.45">
      <c r="A91" s="2">
        <f t="shared" si="6"/>
        <v>91</v>
      </c>
      <c r="B91" s="3"/>
      <c r="C91" s="4"/>
      <c r="D91" s="4"/>
      <c r="E91" s="8"/>
      <c r="F91" s="9"/>
      <c r="G91" s="8"/>
      <c r="H91" s="8"/>
      <c r="I91" s="8"/>
      <c r="J91" s="8"/>
      <c r="K91" s="3"/>
      <c r="L91" s="3"/>
      <c r="M91" s="3"/>
      <c r="N91" s="3"/>
    </row>
    <row r="92" spans="1:14" x14ac:dyDescent="0.45">
      <c r="A92" s="2">
        <f t="shared" si="6"/>
        <v>92</v>
      </c>
      <c r="B92" s="3"/>
      <c r="C92" s="4" t="s">
        <v>380</v>
      </c>
      <c r="D92" s="4"/>
      <c r="E92" s="8">
        <f>SUM(E71:E90)</f>
        <v>304321028</v>
      </c>
      <c r="F92" s="9"/>
      <c r="G92" s="8">
        <f t="shared" ref="G92:I92" si="9">SUM(G71:G90)</f>
        <v>17607082</v>
      </c>
      <c r="H92" s="8">
        <f t="shared" si="9"/>
        <v>13436323</v>
      </c>
      <c r="I92" s="8">
        <f t="shared" si="9"/>
        <v>8774417</v>
      </c>
      <c r="J92" s="8">
        <v>62330097</v>
      </c>
      <c r="K92" s="9">
        <f>ROUND(J92/E92,5)</f>
        <v>0.20482</v>
      </c>
      <c r="L92" s="8">
        <f>ROUND(G92*K92,0)</f>
        <v>3606283</v>
      </c>
      <c r="M92" s="8">
        <f>ROUND(H92*K92,0)</f>
        <v>2752028</v>
      </c>
      <c r="N92" s="8">
        <f>ROUND(I92*K92,0)</f>
        <v>1797176</v>
      </c>
    </row>
    <row r="93" spans="1:14" x14ac:dyDescent="0.45">
      <c r="A93" s="2">
        <f t="shared" si="6"/>
        <v>93</v>
      </c>
      <c r="B93" s="3"/>
      <c r="C93" s="19" t="s">
        <v>301</v>
      </c>
      <c r="D93" s="4"/>
      <c r="E93" s="8"/>
      <c r="F93" s="9">
        <f>ROUND(H92/E92,5)</f>
        <v>4.4150000000000002E-2</v>
      </c>
      <c r="G93" s="8"/>
      <c r="H93" s="8"/>
      <c r="I93" s="8"/>
      <c r="J93" s="8"/>
      <c r="K93" s="3"/>
      <c r="L93" s="3"/>
      <c r="M93" s="3"/>
      <c r="N93" s="3"/>
    </row>
    <row r="94" spans="1:14" x14ac:dyDescent="0.45">
      <c r="A94" s="2">
        <f t="shared" si="6"/>
        <v>94</v>
      </c>
      <c r="B94" s="3"/>
      <c r="C94" s="4"/>
      <c r="D94" s="4"/>
      <c r="E94" s="8"/>
      <c r="F94" s="9"/>
      <c r="G94" s="8"/>
      <c r="H94" s="8"/>
      <c r="I94" s="8"/>
      <c r="J94" s="8"/>
      <c r="K94" s="3"/>
      <c r="L94" s="3"/>
      <c r="M94" s="3"/>
      <c r="N94" s="3"/>
    </row>
    <row r="95" spans="1:14" x14ac:dyDescent="0.45">
      <c r="A95" s="2">
        <f t="shared" si="6"/>
        <v>95</v>
      </c>
      <c r="B95" s="3" t="s">
        <v>381</v>
      </c>
      <c r="C95" s="4" t="s">
        <v>382</v>
      </c>
      <c r="D95" s="4" t="s">
        <v>383</v>
      </c>
      <c r="E95" s="8">
        <v>20513367</v>
      </c>
      <c r="F95" s="9">
        <v>4.0669999999999998E-2</v>
      </c>
      <c r="G95" s="8">
        <v>846322</v>
      </c>
      <c r="H95" s="17">
        <f t="shared" ref="H95:H103" si="10">ROUND(E95*F95,0)</f>
        <v>834279</v>
      </c>
      <c r="I95" s="8">
        <v>473598</v>
      </c>
      <c r="J95" s="8"/>
      <c r="K95" s="3"/>
      <c r="L95" s="3"/>
      <c r="M95" s="3"/>
      <c r="N95" s="3"/>
    </row>
    <row r="96" spans="1:14" x14ac:dyDescent="0.45">
      <c r="A96" s="2">
        <f t="shared" si="6"/>
        <v>96</v>
      </c>
      <c r="B96" s="3"/>
      <c r="C96" s="4"/>
      <c r="D96" s="4" t="s">
        <v>384</v>
      </c>
      <c r="E96" s="8">
        <v>25052907</v>
      </c>
      <c r="F96" s="9">
        <v>2.7910000000000001E-2</v>
      </c>
      <c r="G96" s="8">
        <v>711379</v>
      </c>
      <c r="H96" s="17">
        <f t="shared" si="10"/>
        <v>699227</v>
      </c>
      <c r="I96" s="8">
        <v>696573</v>
      </c>
      <c r="J96" s="8"/>
      <c r="K96" s="3"/>
      <c r="L96" s="3"/>
      <c r="M96" s="3"/>
      <c r="N96" s="3"/>
    </row>
    <row r="97" spans="1:14" x14ac:dyDescent="0.45">
      <c r="A97" s="2">
        <f t="shared" si="6"/>
        <v>97</v>
      </c>
      <c r="B97" s="3"/>
      <c r="C97" s="4"/>
      <c r="D97" s="4" t="s">
        <v>385</v>
      </c>
      <c r="E97" s="8">
        <v>25180650</v>
      </c>
      <c r="F97" s="9">
        <v>2.9159999999999998E-2</v>
      </c>
      <c r="G97" s="8">
        <v>746803</v>
      </c>
      <c r="H97" s="17">
        <f t="shared" si="10"/>
        <v>734268</v>
      </c>
      <c r="I97" s="8">
        <v>687718</v>
      </c>
      <c r="J97" s="8"/>
      <c r="K97" s="3"/>
      <c r="L97" s="3"/>
      <c r="M97" s="3"/>
      <c r="N97" s="3"/>
    </row>
    <row r="98" spans="1:14" x14ac:dyDescent="0.45">
      <c r="A98" s="2">
        <f t="shared" si="6"/>
        <v>98</v>
      </c>
      <c r="B98" s="3"/>
      <c r="C98" s="4"/>
      <c r="D98" s="4" t="s">
        <v>386</v>
      </c>
      <c r="E98" s="8">
        <v>25280617</v>
      </c>
      <c r="F98" s="9">
        <v>3.0939999999999999E-2</v>
      </c>
      <c r="G98" s="8">
        <v>795199</v>
      </c>
      <c r="H98" s="17">
        <f t="shared" si="10"/>
        <v>782182</v>
      </c>
      <c r="I98" s="8">
        <v>673006</v>
      </c>
      <c r="J98" s="8"/>
      <c r="K98" s="3"/>
      <c r="L98" s="3"/>
      <c r="M98" s="3"/>
      <c r="N98" s="3"/>
    </row>
    <row r="99" spans="1:14" x14ac:dyDescent="0.45">
      <c r="A99" s="2">
        <f t="shared" si="6"/>
        <v>99</v>
      </c>
      <c r="B99" s="3"/>
      <c r="C99" s="4"/>
      <c r="D99" s="4" t="s">
        <v>387</v>
      </c>
      <c r="E99" s="8">
        <v>15972579</v>
      </c>
      <c r="F99" s="9">
        <v>2.928E-2</v>
      </c>
      <c r="G99" s="8">
        <v>475648</v>
      </c>
      <c r="H99" s="17">
        <f t="shared" si="10"/>
        <v>467677</v>
      </c>
      <c r="I99" s="8">
        <v>435483</v>
      </c>
      <c r="J99" s="8"/>
      <c r="K99" s="3"/>
      <c r="L99" s="3"/>
      <c r="M99" s="3"/>
      <c r="N99" s="3"/>
    </row>
    <row r="100" spans="1:14" x14ac:dyDescent="0.45">
      <c r="A100" s="2">
        <f t="shared" si="6"/>
        <v>100</v>
      </c>
      <c r="B100" s="3"/>
      <c r="C100" s="4"/>
      <c r="D100" s="4" t="s">
        <v>388</v>
      </c>
      <c r="E100" s="8">
        <v>24632021</v>
      </c>
      <c r="F100" s="9">
        <v>2.495E-2</v>
      </c>
      <c r="G100" s="8">
        <v>625707</v>
      </c>
      <c r="H100" s="17">
        <f t="shared" si="10"/>
        <v>614569</v>
      </c>
      <c r="I100" s="8">
        <v>714283</v>
      </c>
      <c r="J100" s="8"/>
      <c r="K100" s="3"/>
      <c r="L100" s="3"/>
      <c r="M100" s="3"/>
      <c r="N100" s="3"/>
    </row>
    <row r="101" spans="1:14" x14ac:dyDescent="0.45">
      <c r="A101" s="2">
        <f t="shared" si="6"/>
        <v>101</v>
      </c>
      <c r="B101" s="3"/>
      <c r="C101" s="4"/>
      <c r="D101" s="4" t="s">
        <v>389</v>
      </c>
      <c r="E101" s="8">
        <v>22841761</v>
      </c>
      <c r="F101" s="9">
        <v>2.724E-2</v>
      </c>
      <c r="G101" s="8">
        <v>633126</v>
      </c>
      <c r="H101" s="17">
        <f t="shared" si="10"/>
        <v>622210</v>
      </c>
      <c r="I101" s="8">
        <v>641191</v>
      </c>
      <c r="J101" s="8"/>
      <c r="K101" s="3"/>
      <c r="L101" s="3"/>
      <c r="M101" s="3"/>
      <c r="N101" s="3"/>
    </row>
    <row r="102" spans="1:14" x14ac:dyDescent="0.45">
      <c r="A102" s="2">
        <f t="shared" si="6"/>
        <v>102</v>
      </c>
      <c r="B102" s="3"/>
      <c r="C102" s="4"/>
      <c r="D102" s="4" t="s">
        <v>390</v>
      </c>
      <c r="E102" s="8">
        <v>11650515</v>
      </c>
      <c r="F102" s="9">
        <v>2.5729999999999999E-2</v>
      </c>
      <c r="G102" s="8">
        <v>305141</v>
      </c>
      <c r="H102" s="17">
        <f t="shared" si="10"/>
        <v>299768</v>
      </c>
      <c r="I102" s="8">
        <v>334134</v>
      </c>
      <c r="J102" s="8"/>
      <c r="K102" s="3"/>
      <c r="L102" s="3"/>
      <c r="M102" s="3"/>
      <c r="N102" s="3"/>
    </row>
    <row r="103" spans="1:14" x14ac:dyDescent="0.45">
      <c r="A103" s="2">
        <f t="shared" si="6"/>
        <v>103</v>
      </c>
      <c r="B103" s="3"/>
      <c r="C103" s="4"/>
      <c r="D103" s="4" t="s">
        <v>391</v>
      </c>
      <c r="E103" s="10">
        <v>19068882</v>
      </c>
      <c r="F103" s="23">
        <v>2.656E-2</v>
      </c>
      <c r="G103" s="10">
        <v>515442</v>
      </c>
      <c r="H103" s="10">
        <f t="shared" si="10"/>
        <v>506470</v>
      </c>
      <c r="I103" s="10">
        <v>540486</v>
      </c>
      <c r="J103" s="8"/>
      <c r="K103" s="3"/>
      <c r="L103" s="3"/>
      <c r="M103" s="3"/>
      <c r="N103" s="3"/>
    </row>
    <row r="104" spans="1:14" x14ac:dyDescent="0.45">
      <c r="A104" s="2">
        <f t="shared" si="6"/>
        <v>104</v>
      </c>
      <c r="B104" s="3"/>
      <c r="C104" s="4"/>
      <c r="D104" s="4"/>
      <c r="E104" s="8"/>
      <c r="F104" s="9"/>
      <c r="G104" s="8"/>
      <c r="H104" s="8"/>
      <c r="I104" s="8"/>
      <c r="J104" s="8"/>
      <c r="K104" s="3"/>
      <c r="L104" s="3"/>
      <c r="M104" s="3"/>
      <c r="N104" s="3"/>
    </row>
    <row r="105" spans="1:14" x14ac:dyDescent="0.45">
      <c r="A105" s="2">
        <f t="shared" si="6"/>
        <v>105</v>
      </c>
      <c r="B105" s="3"/>
      <c r="C105" s="4" t="s">
        <v>392</v>
      </c>
      <c r="D105" s="4"/>
      <c r="E105" s="8">
        <f>SUM(E95:E103)</f>
        <v>190193299</v>
      </c>
      <c r="F105" s="9"/>
      <c r="G105" s="8">
        <f t="shared" ref="G105:I105" si="11">SUM(G95:G103)</f>
        <v>5654767</v>
      </c>
      <c r="H105" s="8">
        <f t="shared" si="11"/>
        <v>5560650</v>
      </c>
      <c r="I105" s="8">
        <f t="shared" si="11"/>
        <v>5196472</v>
      </c>
      <c r="J105" s="8">
        <v>131312197</v>
      </c>
      <c r="K105" s="9">
        <f>ROUND(J105/E105,5)</f>
        <v>0.69040999999999997</v>
      </c>
      <c r="L105" s="8">
        <f>ROUND(G105*K105,0)</f>
        <v>3904108</v>
      </c>
      <c r="M105" s="8">
        <f>ROUND(H105*K105,0)</f>
        <v>3839128</v>
      </c>
      <c r="N105" s="8">
        <f>ROUND(I105*K105,0)</f>
        <v>3587696</v>
      </c>
    </row>
    <row r="106" spans="1:14" x14ac:dyDescent="0.45">
      <c r="A106" s="2">
        <f t="shared" si="6"/>
        <v>106</v>
      </c>
      <c r="B106" s="3"/>
      <c r="C106" s="19" t="s">
        <v>301</v>
      </c>
      <c r="D106" s="4"/>
      <c r="E106" s="8"/>
      <c r="F106" s="9">
        <f>ROUND(H105/E105,5)</f>
        <v>2.9239999999999999E-2</v>
      </c>
      <c r="G106" s="8"/>
      <c r="H106" s="8"/>
      <c r="I106" s="8"/>
      <c r="J106" s="8"/>
      <c r="K106" s="3"/>
      <c r="L106" s="3"/>
      <c r="M106" s="3"/>
      <c r="N106" s="3"/>
    </row>
    <row r="107" spans="1:14" x14ac:dyDescent="0.45">
      <c r="A107" s="2">
        <f t="shared" si="6"/>
        <v>107</v>
      </c>
      <c r="B107" s="3"/>
      <c r="C107" s="4"/>
      <c r="D107" s="4"/>
      <c r="E107" s="8"/>
      <c r="F107" s="9"/>
      <c r="G107" s="8"/>
      <c r="H107" s="8"/>
      <c r="I107" s="8"/>
      <c r="J107" s="8"/>
      <c r="K107" s="3"/>
      <c r="L107" s="3"/>
      <c r="M107" s="3"/>
      <c r="N107" s="3"/>
    </row>
    <row r="108" spans="1:14" x14ac:dyDescent="0.45">
      <c r="A108" s="2">
        <f t="shared" si="6"/>
        <v>108</v>
      </c>
      <c r="B108" s="3" t="s">
        <v>325</v>
      </c>
      <c r="C108" s="4" t="s">
        <v>393</v>
      </c>
      <c r="D108" s="24" t="s">
        <v>394</v>
      </c>
      <c r="E108" s="8">
        <f>14638125+5920592+6109427</f>
        <v>26668144</v>
      </c>
      <c r="F108" s="9">
        <v>2.6790000000000001E-2</v>
      </c>
      <c r="G108" s="26">
        <f>ROUND(778573*(26668144/28669310),0)</f>
        <v>724227</v>
      </c>
      <c r="H108" s="17">
        <f t="shared" ref="H108:H113" si="12">ROUND(E108*F108,0)</f>
        <v>714440</v>
      </c>
      <c r="I108" s="26">
        <f>ROUND(628690*(26668144/28669310),0)</f>
        <v>584806</v>
      </c>
      <c r="J108" s="8"/>
      <c r="K108" s="9"/>
      <c r="L108" s="8"/>
      <c r="M108" s="8"/>
      <c r="N108" s="8"/>
    </row>
    <row r="109" spans="1:14" x14ac:dyDescent="0.45">
      <c r="A109" s="2">
        <f t="shared" si="6"/>
        <v>109</v>
      </c>
      <c r="B109" s="3" t="s">
        <v>395</v>
      </c>
      <c r="C109" s="4" t="s">
        <v>320</v>
      </c>
      <c r="D109" s="24" t="s">
        <v>396</v>
      </c>
      <c r="E109" s="8">
        <v>3281530</v>
      </c>
      <c r="F109" s="9">
        <v>2.9420000000000002E-2</v>
      </c>
      <c r="G109" s="26">
        <f>ROUND(676063*(3281530/22682795),0)</f>
        <v>97806</v>
      </c>
      <c r="H109" s="17">
        <f t="shared" si="12"/>
        <v>96543</v>
      </c>
      <c r="I109" s="26">
        <f>ROUND(475205*(3281530/22682795),0)</f>
        <v>68748</v>
      </c>
      <c r="J109" s="8"/>
      <c r="K109" s="3"/>
      <c r="L109" s="3"/>
      <c r="M109" s="3"/>
      <c r="N109" s="3"/>
    </row>
    <row r="110" spans="1:14" x14ac:dyDescent="0.45">
      <c r="A110" s="2">
        <f t="shared" si="6"/>
        <v>110</v>
      </c>
      <c r="B110" s="3" t="s">
        <v>397</v>
      </c>
      <c r="C110" s="4" t="s">
        <v>323</v>
      </c>
      <c r="D110" s="24" t="s">
        <v>398</v>
      </c>
      <c r="E110" s="8">
        <v>2699359</v>
      </c>
      <c r="F110" s="9">
        <v>2.9899999999999999E-2</v>
      </c>
      <c r="G110" s="26">
        <f>ROUND(315855*(2699359/10428350),0)</f>
        <v>81758</v>
      </c>
      <c r="H110" s="17">
        <f t="shared" si="12"/>
        <v>80711</v>
      </c>
      <c r="I110" s="26">
        <f>ROUND(315855*(2699359/10428350),0)</f>
        <v>81758</v>
      </c>
      <c r="J110" s="8"/>
      <c r="K110" s="3"/>
      <c r="L110" s="3"/>
      <c r="M110" s="3"/>
      <c r="N110" s="3"/>
    </row>
    <row r="111" spans="1:14" x14ac:dyDescent="0.45">
      <c r="A111" s="2">
        <f t="shared" si="6"/>
        <v>111</v>
      </c>
      <c r="B111" s="3" t="s">
        <v>399</v>
      </c>
      <c r="C111" s="4" t="s">
        <v>326</v>
      </c>
      <c r="D111" s="24" t="s">
        <v>400</v>
      </c>
      <c r="E111" s="8">
        <f>12902686+3800546+3216546</f>
        <v>19919778</v>
      </c>
      <c r="F111" s="9">
        <v>3.2809999999999999E-2</v>
      </c>
      <c r="G111" s="26">
        <f>ROUND(904715*(19919778/27254260),0)</f>
        <v>661244</v>
      </c>
      <c r="H111" s="17">
        <f t="shared" si="12"/>
        <v>653568</v>
      </c>
      <c r="I111" s="26">
        <f>ROUND(473740*(19919778/27254260),0)</f>
        <v>346250</v>
      </c>
      <c r="J111" s="8"/>
      <c r="K111" s="3"/>
      <c r="L111" s="3"/>
      <c r="M111" s="3"/>
      <c r="N111" s="3"/>
    </row>
    <row r="112" spans="1:14" x14ac:dyDescent="0.45">
      <c r="A112" s="2">
        <f t="shared" si="6"/>
        <v>112</v>
      </c>
      <c r="B112" s="3" t="s">
        <v>401</v>
      </c>
      <c r="C112" s="4" t="s">
        <v>328</v>
      </c>
      <c r="D112" s="24" t="s">
        <v>402</v>
      </c>
      <c r="E112" s="8">
        <v>1044254</v>
      </c>
      <c r="F112" s="9">
        <v>1.9140000000000001E-2</v>
      </c>
      <c r="G112" s="26">
        <f>ROUND(119382*(1044254/18394050),0)</f>
        <v>6777</v>
      </c>
      <c r="H112" s="17">
        <f t="shared" si="12"/>
        <v>19987</v>
      </c>
      <c r="I112" s="26">
        <f>ROUND(114950*(1044254/18394050),0)</f>
        <v>6526</v>
      </c>
      <c r="J112" s="8"/>
      <c r="K112" s="3"/>
      <c r="L112" s="3"/>
      <c r="M112" s="3"/>
      <c r="N112" s="3"/>
    </row>
    <row r="113" spans="1:14" x14ac:dyDescent="0.45">
      <c r="A113" s="2">
        <f t="shared" si="6"/>
        <v>113</v>
      </c>
      <c r="B113" s="3" t="s">
        <v>403</v>
      </c>
      <c r="C113" s="24" t="s">
        <v>330</v>
      </c>
      <c r="D113" s="24" t="s">
        <v>404</v>
      </c>
      <c r="E113" s="10">
        <v>2350114</v>
      </c>
      <c r="F113" s="23">
        <v>2.222E-2</v>
      </c>
      <c r="G113" s="28">
        <f>ROUND(3859*(2350114/4210000),0)</f>
        <v>2154</v>
      </c>
      <c r="H113" s="10">
        <f t="shared" si="12"/>
        <v>52220</v>
      </c>
      <c r="I113" s="28">
        <v>0</v>
      </c>
      <c r="J113" s="8"/>
      <c r="K113" s="3"/>
      <c r="L113" s="3"/>
      <c r="M113" s="3"/>
      <c r="N113" s="3"/>
    </row>
    <row r="114" spans="1:14" x14ac:dyDescent="0.45">
      <c r="A114" s="2">
        <f t="shared" si="6"/>
        <v>114</v>
      </c>
      <c r="B114" s="3" t="s">
        <v>405</v>
      </c>
      <c r="C114" s="24" t="s">
        <v>332</v>
      </c>
      <c r="D114" s="4"/>
      <c r="E114" s="8"/>
      <c r="F114" s="9"/>
      <c r="G114" s="8"/>
      <c r="H114" s="8"/>
      <c r="I114" s="8"/>
      <c r="J114" s="8"/>
      <c r="K114" s="3"/>
      <c r="L114" s="3"/>
      <c r="M114" s="3"/>
      <c r="N114" s="3"/>
    </row>
    <row r="115" spans="1:14" x14ac:dyDescent="0.45">
      <c r="A115" s="2">
        <f t="shared" si="6"/>
        <v>115</v>
      </c>
      <c r="B115" s="3" t="s">
        <v>406</v>
      </c>
      <c r="C115" s="4" t="s">
        <v>407</v>
      </c>
      <c r="D115" s="4"/>
      <c r="E115" s="8">
        <f>SUM(E108:E113)</f>
        <v>55963179</v>
      </c>
      <c r="F115" s="9"/>
      <c r="G115" s="8">
        <f t="shared" ref="G115:I115" si="13">SUM(G108:G113)</f>
        <v>1573966</v>
      </c>
      <c r="H115" s="8">
        <f t="shared" si="13"/>
        <v>1617469</v>
      </c>
      <c r="I115" s="8">
        <f t="shared" si="13"/>
        <v>1088088</v>
      </c>
      <c r="J115" s="8">
        <f>11399013+10709373+4588239+5325572+11710936+2329182+1050780+2268564+3526974</f>
        <v>52908633</v>
      </c>
      <c r="K115" s="9">
        <f>ROUND(J115/E115,5)</f>
        <v>0.94542000000000004</v>
      </c>
      <c r="L115" s="8">
        <f>ROUND(G115*K115,0)</f>
        <v>1488059</v>
      </c>
      <c r="M115" s="8">
        <f>ROUND(H115*K115,0)</f>
        <v>1529188</v>
      </c>
      <c r="N115" s="8">
        <f>ROUND(I115*K115,0)</f>
        <v>1028700</v>
      </c>
    </row>
    <row r="116" spans="1:14" x14ac:dyDescent="0.45">
      <c r="A116" s="2">
        <f t="shared" si="6"/>
        <v>116</v>
      </c>
      <c r="B116" s="3" t="s">
        <v>408</v>
      </c>
      <c r="C116" s="19" t="s">
        <v>301</v>
      </c>
      <c r="D116" s="3"/>
      <c r="E116" s="3"/>
      <c r="F116" s="9">
        <f>ROUND(H115/E115,5)</f>
        <v>2.8899999999999999E-2</v>
      </c>
      <c r="G116" s="3"/>
      <c r="H116" s="3"/>
      <c r="I116" s="3"/>
      <c r="J116" s="3"/>
      <c r="K116" s="3"/>
      <c r="L116" s="3"/>
      <c r="M116" s="3"/>
      <c r="N116" s="3"/>
    </row>
    <row r="117" spans="1:14" x14ac:dyDescent="0.45">
      <c r="A117" s="2">
        <f t="shared" si="6"/>
        <v>117</v>
      </c>
      <c r="B117" s="3"/>
      <c r="C117" s="4"/>
      <c r="D117" s="4"/>
      <c r="E117" s="8"/>
      <c r="F117" s="9"/>
      <c r="G117" s="8"/>
      <c r="H117" s="8"/>
      <c r="I117" s="8"/>
      <c r="J117" s="8"/>
      <c r="K117" s="3"/>
      <c r="L117" s="3"/>
      <c r="M117" s="3"/>
      <c r="N117" s="3"/>
    </row>
    <row r="118" spans="1:14" x14ac:dyDescent="0.45">
      <c r="A118" s="2">
        <f t="shared" si="6"/>
        <v>118</v>
      </c>
      <c r="B118" s="3"/>
      <c r="C118" s="19" t="s">
        <v>409</v>
      </c>
      <c r="D118" s="4"/>
      <c r="E118" s="8">
        <f>E24+E34+E45+E68+E92+E105+E115</f>
        <v>1047819842</v>
      </c>
      <c r="F118" s="9"/>
      <c r="G118" s="8">
        <f>G24+G34+G45+G68+G92+G105+G115</f>
        <v>56875125</v>
      </c>
      <c r="H118" s="8">
        <f>H24+H34+H45+H68+H92+H105+H115</f>
        <v>41204885</v>
      </c>
      <c r="I118" s="8">
        <f>I24+I34+I45+I68+I92+I105+I115</f>
        <v>31302140</v>
      </c>
      <c r="J118" s="8">
        <f>J24+J34+J45+J68+J92+J105+J115</f>
        <v>627033240</v>
      </c>
      <c r="K118" s="3"/>
      <c r="L118" s="8">
        <f>L24+L34+L45+L68+L92+L105+L115</f>
        <v>28573691</v>
      </c>
      <c r="M118" s="8">
        <f>M24+M34+M45+M68+M92+M105+M115</f>
        <v>22165396</v>
      </c>
      <c r="N118" s="8">
        <f>N24+N34+N45+N68+N92+N105+N115</f>
        <v>17052027</v>
      </c>
    </row>
  </sheetData>
  <mergeCells count="2">
    <mergeCell ref="D5:I5"/>
    <mergeCell ref="J5:N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5"/>
  <sheetViews>
    <sheetView zoomScale="80" zoomScaleNormal="80" workbookViewId="0">
      <selection activeCell="A7" sqref="A7"/>
    </sheetView>
  </sheetViews>
  <sheetFormatPr defaultColWidth="15.73046875" defaultRowHeight="14.25" x14ac:dyDescent="0.45"/>
  <cols>
    <col min="1" max="1" width="5.73046875" bestFit="1" customWidth="1"/>
    <col min="2" max="2" width="17.73046875" customWidth="1"/>
    <col min="3" max="3" width="19.86328125" customWidth="1"/>
    <col min="4" max="4" width="17.73046875" customWidth="1"/>
    <col min="5" max="6" width="19.59765625" bestFit="1" customWidth="1"/>
    <col min="7" max="7" width="18.86328125" bestFit="1" customWidth="1"/>
    <col min="8" max="8" width="16.59765625" bestFit="1" customWidth="1"/>
  </cols>
  <sheetData>
    <row r="1" spans="1:8" x14ac:dyDescent="0.45">
      <c r="A1" s="2">
        <v>0</v>
      </c>
      <c r="B1" s="3" t="str">
        <f>Summary!B1</f>
        <v>Workpaper 1.06 Cushion of Credit FINAL.xlsx</v>
      </c>
      <c r="C1" s="3"/>
      <c r="D1" s="3"/>
      <c r="E1" s="3"/>
      <c r="F1" s="3"/>
      <c r="G1" s="3"/>
      <c r="H1" s="3"/>
    </row>
    <row r="2" spans="1:8" x14ac:dyDescent="0.45">
      <c r="A2" s="2">
        <f>A1+1</f>
        <v>1</v>
      </c>
      <c r="B2" s="3"/>
      <c r="C2" s="3"/>
      <c r="D2" s="3"/>
      <c r="E2" s="3"/>
      <c r="F2" s="3"/>
      <c r="G2" s="3"/>
      <c r="H2" s="40"/>
    </row>
    <row r="3" spans="1:8" x14ac:dyDescent="0.45">
      <c r="A3" s="2">
        <f t="shared" ref="A3:A62" si="0">A2+1</f>
        <v>2</v>
      </c>
      <c r="B3" s="41" t="s">
        <v>0</v>
      </c>
      <c r="C3" s="41"/>
      <c r="D3" s="41"/>
      <c r="E3" s="41"/>
      <c r="F3" s="41"/>
      <c r="G3" s="41"/>
      <c r="H3" s="41"/>
    </row>
    <row r="4" spans="1:8" x14ac:dyDescent="0.45">
      <c r="A4" s="2">
        <f t="shared" si="0"/>
        <v>3</v>
      </c>
      <c r="B4" s="41" t="s">
        <v>218</v>
      </c>
      <c r="C4" s="41"/>
      <c r="D4" s="41"/>
      <c r="E4" s="41"/>
      <c r="F4" s="41"/>
      <c r="G4" s="41"/>
      <c r="H4" s="41"/>
    </row>
    <row r="5" spans="1:8" x14ac:dyDescent="0.45">
      <c r="A5" s="2">
        <f t="shared" si="0"/>
        <v>4</v>
      </c>
      <c r="B5" s="3"/>
      <c r="C5" s="3"/>
      <c r="D5" s="44" t="s">
        <v>410</v>
      </c>
      <c r="E5" s="44"/>
      <c r="F5" s="44"/>
      <c r="G5" s="3"/>
      <c r="H5" s="3"/>
    </row>
    <row r="6" spans="1:8" x14ac:dyDescent="0.45">
      <c r="A6" s="2">
        <f t="shared" si="0"/>
        <v>5</v>
      </c>
      <c r="B6" s="3"/>
      <c r="C6" s="3"/>
      <c r="D6" s="3"/>
      <c r="E6" s="3"/>
      <c r="F6" s="3"/>
      <c r="G6" s="3"/>
      <c r="H6" s="3"/>
    </row>
    <row r="7" spans="1:8" x14ac:dyDescent="0.45">
      <c r="A7" s="2">
        <f t="shared" si="0"/>
        <v>6</v>
      </c>
      <c r="B7" s="3"/>
      <c r="C7" s="3"/>
      <c r="D7" s="3"/>
      <c r="E7" s="3"/>
      <c r="F7" s="3"/>
      <c r="G7" s="3"/>
      <c r="H7" s="3"/>
    </row>
    <row r="8" spans="1:8" x14ac:dyDescent="0.45">
      <c r="A8" s="2">
        <f t="shared" si="0"/>
        <v>7</v>
      </c>
      <c r="B8" s="3"/>
      <c r="C8" s="3"/>
      <c r="D8" s="4" t="s">
        <v>219</v>
      </c>
      <c r="E8" s="4" t="s">
        <v>3</v>
      </c>
      <c r="F8" s="4" t="s">
        <v>9</v>
      </c>
      <c r="G8" s="4" t="s">
        <v>3</v>
      </c>
      <c r="H8" s="4" t="s">
        <v>220</v>
      </c>
    </row>
    <row r="9" spans="1:8" ht="14.65" thickBot="1" x14ac:dyDescent="0.5">
      <c r="A9" s="2">
        <f t="shared" si="0"/>
        <v>8</v>
      </c>
      <c r="B9" s="46" t="s">
        <v>221</v>
      </c>
      <c r="C9" s="46"/>
      <c r="D9" s="5" t="s">
        <v>222</v>
      </c>
      <c r="E9" s="5" t="s">
        <v>11</v>
      </c>
      <c r="F9" s="5" t="s">
        <v>223</v>
      </c>
      <c r="G9" s="5" t="s">
        <v>224</v>
      </c>
      <c r="H9" s="5" t="s">
        <v>223</v>
      </c>
    </row>
    <row r="10" spans="1:8" x14ac:dyDescent="0.45">
      <c r="A10" s="2">
        <f t="shared" si="0"/>
        <v>9</v>
      </c>
      <c r="B10" s="3"/>
      <c r="C10" s="3"/>
      <c r="D10" s="3"/>
      <c r="E10" s="3"/>
      <c r="F10" s="3"/>
      <c r="G10" s="3"/>
      <c r="H10" s="3"/>
    </row>
    <row r="11" spans="1:8" x14ac:dyDescent="0.45">
      <c r="A11" s="2">
        <f t="shared" si="0"/>
        <v>10</v>
      </c>
      <c r="B11" s="3"/>
      <c r="C11" s="3"/>
      <c r="D11" s="8"/>
      <c r="E11" s="8"/>
      <c r="F11" s="8"/>
      <c r="G11" s="14"/>
      <c r="H11" s="8"/>
    </row>
    <row r="12" spans="1:8" x14ac:dyDescent="0.45">
      <c r="A12" s="2">
        <f t="shared" si="0"/>
        <v>11</v>
      </c>
      <c r="B12" s="3" t="s">
        <v>225</v>
      </c>
      <c r="C12" s="3"/>
      <c r="D12" s="8">
        <f>214922+17299764+20336089+395953</f>
        <v>38246728</v>
      </c>
      <c r="E12" s="15" t="s">
        <v>226</v>
      </c>
      <c r="F12" s="8">
        <f>5557+237165+170956+2473+426860</f>
        <v>843011</v>
      </c>
      <c r="G12" s="16">
        <f>G66</f>
        <v>9.7000000000000003E-3</v>
      </c>
      <c r="H12" s="8">
        <f>ROUND(D12*G12,0)</f>
        <v>370993</v>
      </c>
    </row>
    <row r="13" spans="1:8" x14ac:dyDescent="0.45">
      <c r="A13" s="2">
        <f t="shared" si="0"/>
        <v>12</v>
      </c>
      <c r="B13" s="3"/>
      <c r="C13" s="3"/>
      <c r="D13" s="8"/>
      <c r="E13" s="14"/>
      <c r="F13" s="8"/>
      <c r="G13" s="16"/>
      <c r="H13" s="8"/>
    </row>
    <row r="14" spans="1:8" x14ac:dyDescent="0.45">
      <c r="A14" s="2">
        <f t="shared" si="0"/>
        <v>13</v>
      </c>
      <c r="B14" s="3" t="s">
        <v>227</v>
      </c>
      <c r="C14" s="3"/>
      <c r="D14" s="8">
        <v>51000000</v>
      </c>
      <c r="E14" s="15" t="s">
        <v>228</v>
      </c>
      <c r="F14" s="8">
        <f>2318+1327118</f>
        <v>1329436</v>
      </c>
      <c r="G14" s="16">
        <f>G68</f>
        <v>2.3E-3</v>
      </c>
      <c r="H14" s="8">
        <f>ROUND(D14*G14,0)</f>
        <v>117300</v>
      </c>
    </row>
    <row r="15" spans="1:8" x14ac:dyDescent="0.45">
      <c r="A15" s="2">
        <f t="shared" si="0"/>
        <v>14</v>
      </c>
      <c r="B15" s="3"/>
      <c r="C15" s="3"/>
      <c r="D15" s="8"/>
      <c r="E15" s="15"/>
      <c r="F15" s="8"/>
      <c r="G15" s="16"/>
      <c r="H15" s="8"/>
    </row>
    <row r="16" spans="1:8" x14ac:dyDescent="0.45">
      <c r="A16" s="2">
        <f t="shared" si="0"/>
        <v>15</v>
      </c>
      <c r="B16" s="3" t="s">
        <v>229</v>
      </c>
      <c r="C16" s="3"/>
      <c r="D16" s="8"/>
      <c r="E16" s="14"/>
      <c r="F16" s="8"/>
      <c r="G16" s="16"/>
      <c r="H16" s="8"/>
    </row>
    <row r="17" spans="1:8" x14ac:dyDescent="0.45">
      <c r="A17" s="2">
        <f t="shared" si="0"/>
        <v>16</v>
      </c>
      <c r="B17" s="3" t="s">
        <v>230</v>
      </c>
      <c r="C17" s="3"/>
      <c r="D17" s="8">
        <v>30000000</v>
      </c>
      <c r="E17" s="14">
        <v>1.52E-2</v>
      </c>
      <c r="F17" s="8">
        <v>503561</v>
      </c>
      <c r="G17" s="16">
        <f>G70</f>
        <v>2.3E-3</v>
      </c>
      <c r="H17" s="8">
        <f t="shared" ref="H17:H18" si="1">ROUND(D17*G17,0)</f>
        <v>69000</v>
      </c>
    </row>
    <row r="18" spans="1:8" x14ac:dyDescent="0.45">
      <c r="A18" s="2">
        <f t="shared" si="0"/>
        <v>17</v>
      </c>
      <c r="B18" s="3" t="s">
        <v>231</v>
      </c>
      <c r="C18" s="3"/>
      <c r="D18" s="8">
        <v>30000000</v>
      </c>
      <c r="E18" s="14">
        <v>1.54E-2</v>
      </c>
      <c r="F18" s="8">
        <v>639346</v>
      </c>
      <c r="G18" s="16">
        <f>G70</f>
        <v>2.3E-3</v>
      </c>
      <c r="H18" s="8">
        <f t="shared" si="1"/>
        <v>69000</v>
      </c>
    </row>
    <row r="19" spans="1:8" x14ac:dyDescent="0.45">
      <c r="A19" s="2">
        <f t="shared" si="0"/>
        <v>18</v>
      </c>
      <c r="B19" s="3"/>
      <c r="C19" s="3"/>
      <c r="D19" s="8"/>
      <c r="E19" s="14"/>
      <c r="F19" s="8"/>
      <c r="G19" s="16"/>
      <c r="H19" s="8"/>
    </row>
    <row r="20" spans="1:8" x14ac:dyDescent="0.45">
      <c r="A20" s="2">
        <f t="shared" si="0"/>
        <v>19</v>
      </c>
      <c r="B20" s="3" t="s">
        <v>232</v>
      </c>
      <c r="C20" s="3"/>
      <c r="D20" s="8"/>
      <c r="E20" s="14"/>
      <c r="F20" s="8"/>
      <c r="G20" s="16"/>
      <c r="H20" s="8"/>
    </row>
    <row r="21" spans="1:8" x14ac:dyDescent="0.45">
      <c r="A21" s="2">
        <f t="shared" si="0"/>
        <v>20</v>
      </c>
      <c r="B21" s="3" t="s">
        <v>233</v>
      </c>
      <c r="C21" s="3"/>
      <c r="D21" s="8">
        <v>5000000</v>
      </c>
      <c r="E21" s="14">
        <v>1.4999999999999999E-2</v>
      </c>
      <c r="F21" s="8">
        <v>168958</v>
      </c>
      <c r="G21" s="16">
        <f>G73</f>
        <v>1E-4</v>
      </c>
      <c r="H21" s="8">
        <f t="shared" ref="H21:H23" si="2">ROUND(D21*G21,0)</f>
        <v>500</v>
      </c>
    </row>
    <row r="22" spans="1:8" x14ac:dyDescent="0.45">
      <c r="A22" s="2">
        <f t="shared" si="0"/>
        <v>21</v>
      </c>
      <c r="B22" s="3" t="s">
        <v>234</v>
      </c>
      <c r="C22" s="3"/>
      <c r="D22" s="8">
        <v>5008501</v>
      </c>
      <c r="E22" s="14">
        <v>0.02</v>
      </c>
      <c r="F22" s="8">
        <v>45638</v>
      </c>
      <c r="G22" s="16">
        <f>G74</f>
        <v>3.5000000000000001E-3</v>
      </c>
      <c r="H22" s="8">
        <f t="shared" si="2"/>
        <v>17530</v>
      </c>
    </row>
    <row r="23" spans="1:8" x14ac:dyDescent="0.45">
      <c r="A23" s="2">
        <f t="shared" si="0"/>
        <v>22</v>
      </c>
      <c r="B23" s="3" t="s">
        <v>235</v>
      </c>
      <c r="C23" s="3"/>
      <c r="D23" s="8">
        <v>1731894</v>
      </c>
      <c r="E23" s="14">
        <v>1.4999999999999999E-2</v>
      </c>
      <c r="F23" s="8">
        <v>35818</v>
      </c>
      <c r="G23" s="16">
        <f>G75</f>
        <v>1E-3</v>
      </c>
      <c r="H23" s="8">
        <f t="shared" si="2"/>
        <v>1732</v>
      </c>
    </row>
    <row r="24" spans="1:8" x14ac:dyDescent="0.45">
      <c r="A24" s="2">
        <f t="shared" si="0"/>
        <v>23</v>
      </c>
      <c r="B24" s="3"/>
      <c r="C24" s="3"/>
      <c r="D24" s="8"/>
      <c r="E24" s="14"/>
      <c r="F24" s="8"/>
      <c r="G24" s="16"/>
      <c r="H24" s="8"/>
    </row>
    <row r="25" spans="1:8" x14ac:dyDescent="0.45">
      <c r="A25" s="2">
        <f t="shared" si="0"/>
        <v>24</v>
      </c>
      <c r="B25" s="3" t="s">
        <v>411</v>
      </c>
      <c r="C25" s="3"/>
      <c r="D25" s="8">
        <f>ROUND(G94,0)</f>
        <v>697829</v>
      </c>
      <c r="E25" s="14">
        <v>0.05</v>
      </c>
      <c r="F25" s="8">
        <v>21310987</v>
      </c>
      <c r="G25" s="37">
        <v>0.04</v>
      </c>
      <c r="H25" s="8">
        <f>ROUND(D25*G25,0)</f>
        <v>27913</v>
      </c>
    </row>
    <row r="26" spans="1:8" x14ac:dyDescent="0.45">
      <c r="A26" s="2">
        <f t="shared" si="0"/>
        <v>25</v>
      </c>
      <c r="B26" s="3"/>
      <c r="C26" s="3"/>
      <c r="D26" s="8"/>
      <c r="E26" s="14"/>
      <c r="F26" s="8"/>
      <c r="G26" s="16"/>
      <c r="H26" s="8"/>
    </row>
    <row r="27" spans="1:8" x14ac:dyDescent="0.45">
      <c r="A27" s="2">
        <f t="shared" si="0"/>
        <v>26</v>
      </c>
      <c r="B27" s="3" t="s">
        <v>236</v>
      </c>
      <c r="C27" s="3"/>
      <c r="D27" s="8"/>
      <c r="E27" s="14"/>
      <c r="F27" s="8"/>
      <c r="G27" s="16"/>
      <c r="H27" s="8"/>
    </row>
    <row r="28" spans="1:8" x14ac:dyDescent="0.45">
      <c r="A28" s="2">
        <f t="shared" si="0"/>
        <v>27</v>
      </c>
      <c r="B28" s="3" t="s">
        <v>237</v>
      </c>
      <c r="C28" s="3"/>
      <c r="D28" s="8">
        <v>6998144</v>
      </c>
      <c r="E28" s="14">
        <v>0.05</v>
      </c>
      <c r="F28" s="8">
        <v>349907</v>
      </c>
      <c r="G28" s="16">
        <v>0.05</v>
      </c>
      <c r="H28" s="8">
        <f t="shared" ref="H28:H32" si="3">ROUND(D28*G28,0)</f>
        <v>349907</v>
      </c>
    </row>
    <row r="29" spans="1:8" x14ac:dyDescent="0.45">
      <c r="A29" s="2">
        <f t="shared" si="0"/>
        <v>28</v>
      </c>
      <c r="B29" s="3" t="s">
        <v>238</v>
      </c>
      <c r="C29" s="3"/>
      <c r="D29" s="8">
        <v>657500</v>
      </c>
      <c r="E29" s="14">
        <v>0.03</v>
      </c>
      <c r="F29" s="8">
        <v>19725</v>
      </c>
      <c r="G29" s="16">
        <v>0.03</v>
      </c>
      <c r="H29" s="8">
        <f t="shared" si="3"/>
        <v>19725</v>
      </c>
    </row>
    <row r="30" spans="1:8" x14ac:dyDescent="0.45">
      <c r="A30" s="2">
        <f t="shared" si="0"/>
        <v>29</v>
      </c>
      <c r="B30" s="3" t="s">
        <v>239</v>
      </c>
      <c r="C30" s="3"/>
      <c r="D30" s="8">
        <v>426094</v>
      </c>
      <c r="E30" s="14">
        <v>0</v>
      </c>
      <c r="F30" s="8">
        <v>0</v>
      </c>
      <c r="G30" s="16">
        <v>0</v>
      </c>
      <c r="H30" s="8">
        <f t="shared" si="3"/>
        <v>0</v>
      </c>
    </row>
    <row r="31" spans="1:8" x14ac:dyDescent="0.45">
      <c r="A31" s="2">
        <f t="shared" si="0"/>
        <v>30</v>
      </c>
      <c r="B31" s="3" t="s">
        <v>240</v>
      </c>
      <c r="C31" s="3"/>
      <c r="D31" s="8">
        <v>165000</v>
      </c>
      <c r="E31" s="14">
        <v>6.59E-2</v>
      </c>
      <c r="F31" s="8">
        <v>10869</v>
      </c>
      <c r="G31" s="16">
        <v>6.59E-2</v>
      </c>
      <c r="H31" s="8">
        <f t="shared" si="3"/>
        <v>10874</v>
      </c>
    </row>
    <row r="32" spans="1:8" x14ac:dyDescent="0.45">
      <c r="A32" s="2">
        <f t="shared" si="0"/>
        <v>31</v>
      </c>
      <c r="B32" s="3" t="s">
        <v>241</v>
      </c>
      <c r="C32" s="3"/>
      <c r="D32" s="8">
        <v>1100000</v>
      </c>
      <c r="E32" s="14">
        <v>1.9800000000000002E-2</v>
      </c>
      <c r="F32" s="8">
        <v>22788</v>
      </c>
      <c r="G32" s="16">
        <v>5.0000000000000001E-4</v>
      </c>
      <c r="H32" s="8">
        <f t="shared" si="3"/>
        <v>550</v>
      </c>
    </row>
    <row r="33" spans="1:8" x14ac:dyDescent="0.45">
      <c r="A33" s="2">
        <f t="shared" si="0"/>
        <v>32</v>
      </c>
      <c r="B33" s="3"/>
      <c r="C33" s="3"/>
      <c r="D33" s="8"/>
      <c r="E33" s="14"/>
      <c r="F33" s="8"/>
      <c r="G33" s="16"/>
      <c r="H33" s="8"/>
    </row>
    <row r="34" spans="1:8" x14ac:dyDescent="0.45">
      <c r="A34" s="2">
        <f t="shared" si="0"/>
        <v>33</v>
      </c>
      <c r="B34" s="3" t="s">
        <v>242</v>
      </c>
      <c r="C34" s="3"/>
      <c r="D34" s="8"/>
      <c r="E34" s="14"/>
      <c r="F34" s="8"/>
      <c r="G34" s="16"/>
      <c r="H34" s="8"/>
    </row>
    <row r="35" spans="1:8" x14ac:dyDescent="0.45">
      <c r="A35" s="2">
        <f t="shared" si="0"/>
        <v>34</v>
      </c>
      <c r="B35" s="3" t="s">
        <v>243</v>
      </c>
      <c r="C35" s="3"/>
      <c r="D35" s="8"/>
      <c r="E35" s="15"/>
      <c r="F35" s="8"/>
      <c r="G35" s="16"/>
      <c r="H35" s="8"/>
    </row>
    <row r="36" spans="1:8" x14ac:dyDescent="0.45">
      <c r="A36" s="2">
        <f t="shared" si="0"/>
        <v>35</v>
      </c>
      <c r="B36" s="3" t="s">
        <v>244</v>
      </c>
      <c r="C36" s="3"/>
      <c r="D36" s="8">
        <v>0</v>
      </c>
      <c r="E36" s="15">
        <v>1.4999999999999999E-2</v>
      </c>
      <c r="F36" s="8">
        <v>81</v>
      </c>
      <c r="G36" s="16">
        <v>0</v>
      </c>
      <c r="H36" s="8">
        <f t="shared" ref="H36:H40" si="4">ROUND(D36*G36,0)</f>
        <v>0</v>
      </c>
    </row>
    <row r="37" spans="1:8" x14ac:dyDescent="0.45">
      <c r="A37" s="2">
        <f t="shared" si="0"/>
        <v>36</v>
      </c>
      <c r="B37" s="3" t="s">
        <v>245</v>
      </c>
      <c r="C37" s="3"/>
      <c r="D37" s="8">
        <v>4436</v>
      </c>
      <c r="E37" s="15">
        <v>1.7000000000000001E-2</v>
      </c>
      <c r="F37" s="8">
        <v>99</v>
      </c>
      <c r="G37" s="16">
        <v>1.4999999999999999E-2</v>
      </c>
      <c r="H37" s="8">
        <f t="shared" si="4"/>
        <v>67</v>
      </c>
    </row>
    <row r="38" spans="1:8" x14ac:dyDescent="0.45">
      <c r="A38" s="2">
        <f t="shared" si="0"/>
        <v>37</v>
      </c>
      <c r="B38" s="3" t="s">
        <v>246</v>
      </c>
      <c r="C38" s="3"/>
      <c r="D38" s="8">
        <v>6782</v>
      </c>
      <c r="E38" s="15">
        <v>1.7999999999999999E-2</v>
      </c>
      <c r="F38" s="8">
        <v>145</v>
      </c>
      <c r="G38" s="16">
        <v>1.7000000000000001E-2</v>
      </c>
      <c r="H38" s="8">
        <f t="shared" si="4"/>
        <v>115</v>
      </c>
    </row>
    <row r="39" spans="1:8" x14ac:dyDescent="0.45">
      <c r="A39" s="2">
        <f t="shared" si="0"/>
        <v>38</v>
      </c>
      <c r="B39" s="3" t="s">
        <v>247</v>
      </c>
      <c r="C39" s="3"/>
      <c r="D39" s="8">
        <v>50125</v>
      </c>
      <c r="E39" s="15">
        <v>2.1999999999999999E-2</v>
      </c>
      <c r="F39" s="8">
        <v>1047</v>
      </c>
      <c r="G39" s="16">
        <v>1.7999999999999999E-2</v>
      </c>
      <c r="H39" s="8">
        <f t="shared" si="4"/>
        <v>902</v>
      </c>
    </row>
    <row r="40" spans="1:8" x14ac:dyDescent="0.45">
      <c r="A40" s="2">
        <f t="shared" si="0"/>
        <v>39</v>
      </c>
      <c r="B40" s="3" t="s">
        <v>248</v>
      </c>
      <c r="C40" s="3"/>
      <c r="D40" s="8">
        <v>146853</v>
      </c>
      <c r="E40" s="15">
        <v>2.8000000000000001E-2</v>
      </c>
      <c r="F40" s="8">
        <v>4111</v>
      </c>
      <c r="G40" s="16">
        <v>2.8000000000000001E-2</v>
      </c>
      <c r="H40" s="8">
        <f t="shared" si="4"/>
        <v>4112</v>
      </c>
    </row>
    <row r="41" spans="1:8" x14ac:dyDescent="0.45">
      <c r="A41" s="2">
        <f t="shared" si="0"/>
        <v>40</v>
      </c>
      <c r="B41" s="3"/>
      <c r="C41" s="3"/>
      <c r="D41" s="8"/>
      <c r="E41" s="14"/>
      <c r="F41" s="8"/>
      <c r="G41" s="16"/>
      <c r="H41" s="8"/>
    </row>
    <row r="42" spans="1:8" x14ac:dyDescent="0.45">
      <c r="A42" s="2">
        <f t="shared" si="0"/>
        <v>41</v>
      </c>
      <c r="B42" s="3" t="s">
        <v>249</v>
      </c>
      <c r="C42" s="3"/>
      <c r="D42" s="8">
        <f>162921+248606</f>
        <v>411527</v>
      </c>
      <c r="E42" s="14">
        <v>0.05</v>
      </c>
      <c r="F42" s="8">
        <v>29436</v>
      </c>
      <c r="G42" s="16">
        <v>0.05</v>
      </c>
      <c r="H42" s="8">
        <f>ROUND(D42*G42,0)</f>
        <v>20576</v>
      </c>
    </row>
    <row r="43" spans="1:8" x14ac:dyDescent="0.45">
      <c r="A43" s="2">
        <f t="shared" si="0"/>
        <v>42</v>
      </c>
      <c r="B43" s="3"/>
      <c r="C43" s="3"/>
      <c r="D43" s="8"/>
      <c r="E43" s="14"/>
      <c r="F43" s="8"/>
      <c r="G43" s="16"/>
      <c r="H43" s="8"/>
    </row>
    <row r="44" spans="1:8" x14ac:dyDescent="0.45">
      <c r="A44" s="2">
        <f t="shared" si="0"/>
        <v>43</v>
      </c>
      <c r="B44" s="3" t="s">
        <v>250</v>
      </c>
      <c r="C44" s="3"/>
      <c r="D44" s="8"/>
      <c r="E44" s="14"/>
      <c r="F44" s="8"/>
      <c r="G44" s="16"/>
      <c r="H44" s="8"/>
    </row>
    <row r="45" spans="1:8" x14ac:dyDescent="0.45">
      <c r="A45" s="2">
        <f t="shared" si="0"/>
        <v>44</v>
      </c>
      <c r="B45" s="3" t="s">
        <v>251</v>
      </c>
      <c r="C45" s="3"/>
      <c r="D45" s="8">
        <v>0</v>
      </c>
      <c r="E45" s="14"/>
      <c r="F45" s="8">
        <v>7506</v>
      </c>
      <c r="G45" s="16"/>
      <c r="H45" s="17">
        <f t="shared" ref="H45:H48" si="5">ROUND(D45*G45,0)</f>
        <v>0</v>
      </c>
    </row>
    <row r="46" spans="1:8" x14ac:dyDescent="0.45">
      <c r="A46" s="2">
        <f t="shared" si="0"/>
        <v>45</v>
      </c>
      <c r="B46" s="3" t="s">
        <v>252</v>
      </c>
      <c r="C46" s="3"/>
      <c r="D46" s="8">
        <v>0</v>
      </c>
      <c r="E46" s="14"/>
      <c r="F46" s="8">
        <v>1707</v>
      </c>
      <c r="G46" s="16"/>
      <c r="H46" s="17">
        <f t="shared" si="5"/>
        <v>0</v>
      </c>
    </row>
    <row r="47" spans="1:8" x14ac:dyDescent="0.45">
      <c r="A47" s="2">
        <f t="shared" si="0"/>
        <v>46</v>
      </c>
      <c r="B47" s="3" t="s">
        <v>253</v>
      </c>
      <c r="C47" s="3"/>
      <c r="D47" s="8">
        <v>0</v>
      </c>
      <c r="E47" s="14"/>
      <c r="F47" s="8">
        <v>134</v>
      </c>
      <c r="G47" s="16"/>
      <c r="H47" s="17">
        <f t="shared" si="5"/>
        <v>0</v>
      </c>
    </row>
    <row r="48" spans="1:8" x14ac:dyDescent="0.45">
      <c r="A48" s="2">
        <f t="shared" si="0"/>
        <v>47</v>
      </c>
      <c r="B48" s="3" t="s">
        <v>254</v>
      </c>
      <c r="C48" s="3"/>
      <c r="D48" s="8">
        <v>667452</v>
      </c>
      <c r="E48" s="14">
        <v>1.67E-2</v>
      </c>
      <c r="F48" s="8">
        <v>7452</v>
      </c>
      <c r="G48" s="16">
        <f>G77</f>
        <v>1.49E-2</v>
      </c>
      <c r="H48" s="17">
        <f t="shared" si="5"/>
        <v>9945</v>
      </c>
    </row>
    <row r="49" spans="1:8" x14ac:dyDescent="0.45">
      <c r="A49" s="2">
        <f t="shared" si="0"/>
        <v>48</v>
      </c>
      <c r="B49" s="3" t="s">
        <v>255</v>
      </c>
      <c r="C49" s="3"/>
      <c r="D49" s="10"/>
      <c r="E49" s="18"/>
      <c r="F49" s="10">
        <v>3</v>
      </c>
      <c r="G49" s="18"/>
      <c r="H49" s="10"/>
    </row>
    <row r="50" spans="1:8" x14ac:dyDescent="0.45">
      <c r="A50" s="2">
        <f t="shared" si="0"/>
        <v>49</v>
      </c>
      <c r="B50" s="3"/>
      <c r="C50" s="3"/>
      <c r="D50" s="8"/>
      <c r="E50" s="8"/>
      <c r="F50" s="8"/>
      <c r="G50" s="14"/>
      <c r="H50" s="8"/>
    </row>
    <row r="51" spans="1:8" ht="14.65" thickBot="1" x14ac:dyDescent="0.5">
      <c r="A51" s="2">
        <f t="shared" si="0"/>
        <v>50</v>
      </c>
      <c r="B51" s="3" t="s">
        <v>207</v>
      </c>
      <c r="C51" s="3"/>
      <c r="D51" s="11">
        <f>SUM(D11:D49)</f>
        <v>172318865</v>
      </c>
      <c r="E51" s="17"/>
      <c r="F51" s="11">
        <f>SUM(F11:F49)</f>
        <v>25331765</v>
      </c>
      <c r="G51" s="14"/>
      <c r="H51" s="11">
        <f>SUM(H11:H48)</f>
        <v>1090741</v>
      </c>
    </row>
    <row r="52" spans="1:8" ht="14.65" thickTop="1" x14ac:dyDescent="0.45">
      <c r="A52" s="2">
        <f t="shared" si="0"/>
        <v>51</v>
      </c>
      <c r="B52" s="3"/>
      <c r="C52" s="3"/>
      <c r="D52" s="8"/>
      <c r="E52" s="8"/>
      <c r="F52" s="8"/>
      <c r="G52" s="14"/>
      <c r="H52" s="8"/>
    </row>
    <row r="53" spans="1:8" ht="14.65" thickBot="1" x14ac:dyDescent="0.5">
      <c r="A53" s="2">
        <f t="shared" si="0"/>
        <v>52</v>
      </c>
      <c r="B53" s="3" t="s">
        <v>256</v>
      </c>
      <c r="C53" s="3"/>
      <c r="D53" s="8"/>
      <c r="E53" s="8"/>
      <c r="F53" s="8"/>
      <c r="G53" s="14"/>
      <c r="H53" s="11">
        <f>H51-F51</f>
        <v>-24241024</v>
      </c>
    </row>
    <row r="54" spans="1:8" ht="14.65" thickTop="1" x14ac:dyDescent="0.45">
      <c r="A54" s="2">
        <f t="shared" si="0"/>
        <v>53</v>
      </c>
      <c r="B54" s="3"/>
      <c r="C54" s="3"/>
      <c r="D54" s="8"/>
      <c r="E54" s="8"/>
      <c r="F54" s="8"/>
      <c r="G54" s="14"/>
      <c r="H54" s="8"/>
    </row>
    <row r="55" spans="1:8" x14ac:dyDescent="0.45">
      <c r="A55" s="2">
        <f t="shared" si="0"/>
        <v>54</v>
      </c>
      <c r="B55" s="3"/>
      <c r="C55" s="3"/>
      <c r="D55" s="8"/>
      <c r="E55" s="8"/>
      <c r="F55" s="8"/>
      <c r="G55" s="14"/>
      <c r="H55" s="8"/>
    </row>
    <row r="56" spans="1:8" x14ac:dyDescent="0.45">
      <c r="A56" s="2">
        <f t="shared" si="0"/>
        <v>55</v>
      </c>
      <c r="B56" s="19" t="s">
        <v>18</v>
      </c>
      <c r="C56" s="3"/>
      <c r="D56" s="8"/>
      <c r="E56" s="8"/>
      <c r="F56" s="8"/>
      <c r="G56" s="3"/>
      <c r="H56" s="8"/>
    </row>
    <row r="57" spans="1:8" x14ac:dyDescent="0.45">
      <c r="A57" s="2">
        <f t="shared" si="0"/>
        <v>56</v>
      </c>
      <c r="B57" s="3" t="s">
        <v>257</v>
      </c>
      <c r="C57" s="3"/>
      <c r="D57" s="3"/>
      <c r="E57" s="3"/>
      <c r="F57" s="3"/>
      <c r="G57" s="3"/>
      <c r="H57" s="3"/>
    </row>
    <row r="58" spans="1:8" x14ac:dyDescent="0.45">
      <c r="A58" s="2">
        <f t="shared" si="0"/>
        <v>57</v>
      </c>
      <c r="B58" s="3" t="s">
        <v>258</v>
      </c>
      <c r="C58" s="3"/>
      <c r="D58" s="3"/>
      <c r="E58" s="3"/>
      <c r="F58" s="3"/>
      <c r="G58" s="3"/>
      <c r="H58" s="3"/>
    </row>
    <row r="59" spans="1:8" x14ac:dyDescent="0.45">
      <c r="A59" s="2">
        <f t="shared" si="0"/>
        <v>58</v>
      </c>
      <c r="B59" s="3" t="s">
        <v>259</v>
      </c>
      <c r="C59" s="3"/>
      <c r="D59" s="3"/>
      <c r="E59" s="3"/>
      <c r="F59" s="3"/>
      <c r="G59" s="3"/>
      <c r="H59" s="3"/>
    </row>
    <row r="60" spans="1:8" x14ac:dyDescent="0.45">
      <c r="A60" s="2">
        <f t="shared" si="0"/>
        <v>59</v>
      </c>
      <c r="B60" s="3" t="s">
        <v>260</v>
      </c>
      <c r="C60" s="3"/>
      <c r="D60" s="3"/>
      <c r="E60" s="3"/>
      <c r="F60" s="3"/>
      <c r="G60" s="3"/>
      <c r="H60" s="3"/>
    </row>
    <row r="61" spans="1:8" x14ac:dyDescent="0.45">
      <c r="A61" s="2">
        <f t="shared" si="0"/>
        <v>60</v>
      </c>
      <c r="B61" s="3" t="s">
        <v>261</v>
      </c>
      <c r="C61" s="3"/>
      <c r="D61" s="3"/>
      <c r="E61" s="3"/>
      <c r="F61" s="3"/>
      <c r="G61" s="3"/>
      <c r="H61" s="3"/>
    </row>
    <row r="62" spans="1:8" x14ac:dyDescent="0.45">
      <c r="A62" s="2">
        <f t="shared" si="0"/>
        <v>61</v>
      </c>
      <c r="B62" s="3"/>
      <c r="C62" s="3"/>
      <c r="D62" s="3"/>
      <c r="E62" s="3"/>
      <c r="F62" s="3"/>
      <c r="G62" s="3"/>
      <c r="H62" s="3"/>
    </row>
    <row r="63" spans="1:8" x14ac:dyDescent="0.45">
      <c r="A63" s="2">
        <f t="shared" ref="A63:A95" si="6">A62+1</f>
        <v>62</v>
      </c>
      <c r="B63" s="3"/>
      <c r="C63" s="3"/>
      <c r="D63" s="4" t="s">
        <v>219</v>
      </c>
      <c r="E63" s="4" t="s">
        <v>223</v>
      </c>
      <c r="F63" s="4" t="s">
        <v>262</v>
      </c>
      <c r="G63" s="4" t="s">
        <v>263</v>
      </c>
      <c r="H63" s="3"/>
    </row>
    <row r="64" spans="1:8" ht="14.65" thickBot="1" x14ac:dyDescent="0.5">
      <c r="A64" s="2">
        <f t="shared" si="6"/>
        <v>63</v>
      </c>
      <c r="B64" s="46" t="s">
        <v>221</v>
      </c>
      <c r="C64" s="46"/>
      <c r="D64" s="5" t="s">
        <v>264</v>
      </c>
      <c r="E64" s="5" t="s">
        <v>265</v>
      </c>
      <c r="F64" s="5" t="s">
        <v>3</v>
      </c>
      <c r="G64" s="5" t="s">
        <v>3</v>
      </c>
      <c r="H64" s="3"/>
    </row>
    <row r="65" spans="1:9" x14ac:dyDescent="0.45">
      <c r="A65" s="2">
        <f t="shared" si="6"/>
        <v>64</v>
      </c>
      <c r="B65" s="3"/>
      <c r="C65" s="3"/>
      <c r="D65" s="3"/>
      <c r="E65" s="3"/>
      <c r="F65" s="3"/>
      <c r="G65" s="3"/>
      <c r="H65" s="3"/>
    </row>
    <row r="66" spans="1:9" x14ac:dyDescent="0.45">
      <c r="A66" s="2">
        <f t="shared" si="6"/>
        <v>65</v>
      </c>
      <c r="B66" s="3" t="s">
        <v>266</v>
      </c>
      <c r="C66" s="3"/>
      <c r="D66" s="8">
        <v>40570990</v>
      </c>
      <c r="E66" s="8">
        <v>32913</v>
      </c>
      <c r="F66" s="9">
        <f>ROUND(E66/D66,5)</f>
        <v>8.0999999999999996E-4</v>
      </c>
      <c r="G66" s="14">
        <f>ROUND(F66*12,4)</f>
        <v>9.7000000000000003E-3</v>
      </c>
      <c r="H66" s="3"/>
    </row>
    <row r="67" spans="1:9" x14ac:dyDescent="0.45">
      <c r="A67" s="2">
        <f t="shared" si="6"/>
        <v>66</v>
      </c>
      <c r="B67" s="3"/>
      <c r="C67" s="3"/>
      <c r="D67" s="8"/>
      <c r="E67" s="8"/>
      <c r="F67" s="9"/>
      <c r="G67" s="14"/>
      <c r="H67" s="3"/>
    </row>
    <row r="68" spans="1:9" x14ac:dyDescent="0.45">
      <c r="A68" s="2">
        <f t="shared" si="6"/>
        <v>67</v>
      </c>
      <c r="B68" s="3" t="s">
        <v>267</v>
      </c>
      <c r="C68" s="3"/>
      <c r="D68" s="8">
        <v>35000000</v>
      </c>
      <c r="E68" s="8">
        <v>6542</v>
      </c>
      <c r="F68" s="9">
        <f>ROUND(E68/D68,5)</f>
        <v>1.9000000000000001E-4</v>
      </c>
      <c r="G68" s="14">
        <f>ROUND(F68*12,4)</f>
        <v>2.3E-3</v>
      </c>
      <c r="H68" s="3"/>
    </row>
    <row r="69" spans="1:9" x14ac:dyDescent="0.45">
      <c r="A69" s="2">
        <f t="shared" si="6"/>
        <v>68</v>
      </c>
      <c r="B69" s="3"/>
      <c r="C69" s="3"/>
      <c r="D69" s="8"/>
      <c r="E69" s="8"/>
      <c r="F69" s="9"/>
      <c r="G69" s="14"/>
      <c r="H69" s="3"/>
    </row>
    <row r="70" spans="1:9" x14ac:dyDescent="0.45">
      <c r="A70" s="2">
        <f t="shared" si="6"/>
        <v>69</v>
      </c>
      <c r="B70" s="3" t="s">
        <v>268</v>
      </c>
      <c r="C70" s="3"/>
      <c r="D70" s="8">
        <v>60000000</v>
      </c>
      <c r="E70" s="8">
        <v>11195</v>
      </c>
      <c r="F70" s="9">
        <f>ROUND(E70/D70,5)</f>
        <v>1.9000000000000001E-4</v>
      </c>
      <c r="G70" s="14">
        <f>ROUND(F70*12,4)</f>
        <v>2.3E-3</v>
      </c>
      <c r="H70" s="3"/>
    </row>
    <row r="71" spans="1:9" x14ac:dyDescent="0.45">
      <c r="A71" s="2">
        <f t="shared" si="6"/>
        <v>70</v>
      </c>
      <c r="B71" s="3"/>
      <c r="C71" s="3"/>
      <c r="D71" s="8"/>
      <c r="E71" s="8"/>
      <c r="F71" s="9"/>
      <c r="G71" s="14"/>
      <c r="H71" s="3"/>
    </row>
    <row r="72" spans="1:9" x14ac:dyDescent="0.45">
      <c r="A72" s="2">
        <f t="shared" si="6"/>
        <v>71</v>
      </c>
      <c r="B72" s="3" t="s">
        <v>269</v>
      </c>
      <c r="C72" s="3"/>
      <c r="D72" s="8"/>
      <c r="E72" s="8"/>
      <c r="F72" s="9"/>
      <c r="G72" s="14"/>
      <c r="H72" s="3"/>
    </row>
    <row r="73" spans="1:9" x14ac:dyDescent="0.45">
      <c r="A73" s="2">
        <f t="shared" si="6"/>
        <v>72</v>
      </c>
      <c r="B73" s="3" t="s">
        <v>233</v>
      </c>
      <c r="C73" s="3"/>
      <c r="D73" s="8">
        <v>5000000</v>
      </c>
      <c r="E73" s="8">
        <v>42</v>
      </c>
      <c r="F73" s="9">
        <f t="shared" ref="F73:F75" si="7">ROUND(E73/D73,5)</f>
        <v>1.0000000000000001E-5</v>
      </c>
      <c r="G73" s="14">
        <f t="shared" ref="G73:G75" si="8">ROUND(F73*12,4)</f>
        <v>1E-4</v>
      </c>
      <c r="H73" s="3"/>
    </row>
    <row r="74" spans="1:9" x14ac:dyDescent="0.45">
      <c r="A74" s="2">
        <f t="shared" si="6"/>
        <v>73</v>
      </c>
      <c r="B74" s="3" t="s">
        <v>234</v>
      </c>
      <c r="C74" s="3"/>
      <c r="D74" s="8">
        <v>5001439</v>
      </c>
      <c r="E74" s="8">
        <v>1439</v>
      </c>
      <c r="F74" s="9">
        <f t="shared" si="7"/>
        <v>2.9E-4</v>
      </c>
      <c r="G74" s="14">
        <f t="shared" si="8"/>
        <v>3.5000000000000001E-3</v>
      </c>
      <c r="H74" s="3"/>
    </row>
    <row r="75" spans="1:9" x14ac:dyDescent="0.45">
      <c r="A75" s="2">
        <f t="shared" si="6"/>
        <v>74</v>
      </c>
      <c r="B75" s="3" t="s">
        <v>235</v>
      </c>
      <c r="C75" s="3"/>
      <c r="D75" s="8">
        <v>1737712</v>
      </c>
      <c r="E75" s="8">
        <v>142</v>
      </c>
      <c r="F75" s="9">
        <f t="shared" si="7"/>
        <v>8.0000000000000007E-5</v>
      </c>
      <c r="G75" s="14">
        <f t="shared" si="8"/>
        <v>1E-3</v>
      </c>
      <c r="H75" s="3"/>
    </row>
    <row r="76" spans="1:9" x14ac:dyDescent="0.45">
      <c r="A76" s="2">
        <f t="shared" si="6"/>
        <v>75</v>
      </c>
      <c r="B76" s="3"/>
      <c r="C76" s="3"/>
      <c r="D76" s="8"/>
      <c r="E76" s="8"/>
      <c r="F76" s="9"/>
      <c r="G76" s="14"/>
      <c r="H76" s="3"/>
    </row>
    <row r="77" spans="1:9" x14ac:dyDescent="0.45">
      <c r="A77" s="2">
        <f t="shared" si="6"/>
        <v>76</v>
      </c>
      <c r="B77" s="3" t="s">
        <v>270</v>
      </c>
      <c r="C77" s="3"/>
      <c r="D77" s="8">
        <v>669247</v>
      </c>
      <c r="E77" s="8">
        <v>828</v>
      </c>
      <c r="F77" s="9">
        <f>ROUND(E77/D77,5)</f>
        <v>1.24E-3</v>
      </c>
      <c r="G77" s="14">
        <f>ROUND(F77*12,4)</f>
        <v>1.49E-2</v>
      </c>
      <c r="H77" s="3"/>
    </row>
    <row r="78" spans="1:9" x14ac:dyDescent="0.45">
      <c r="A78" s="2">
        <f t="shared" si="6"/>
        <v>77</v>
      </c>
      <c r="B78" s="3"/>
      <c r="C78" s="3"/>
      <c r="D78" s="8"/>
      <c r="E78" s="8"/>
      <c r="F78" s="9"/>
      <c r="G78" s="14"/>
      <c r="H78" s="3"/>
    </row>
    <row r="79" spans="1:9" x14ac:dyDescent="0.45">
      <c r="A79" s="2">
        <f t="shared" si="6"/>
        <v>78</v>
      </c>
      <c r="B79" s="29" t="s">
        <v>412</v>
      </c>
    </row>
    <row r="80" spans="1:9" x14ac:dyDescent="0.45">
      <c r="A80" s="2">
        <f t="shared" si="6"/>
        <v>79</v>
      </c>
      <c r="B80" s="3"/>
      <c r="C80" s="3"/>
      <c r="D80" s="3"/>
      <c r="E80" s="3"/>
      <c r="F80" s="3"/>
      <c r="G80" s="3"/>
      <c r="H80" s="3"/>
      <c r="I80" s="3"/>
    </row>
    <row r="81" spans="1:9" x14ac:dyDescent="0.45">
      <c r="A81" s="2">
        <f t="shared" si="6"/>
        <v>80</v>
      </c>
      <c r="B81" s="3"/>
      <c r="C81" s="3"/>
      <c r="D81" s="4" t="s">
        <v>413</v>
      </c>
      <c r="E81" s="4" t="s">
        <v>415</v>
      </c>
      <c r="F81" s="4" t="s">
        <v>417</v>
      </c>
      <c r="G81" s="4"/>
      <c r="H81" s="3"/>
      <c r="I81" s="3"/>
    </row>
    <row r="82" spans="1:9" ht="14.65" thickBot="1" x14ac:dyDescent="0.5">
      <c r="A82" s="2">
        <f t="shared" si="6"/>
        <v>81</v>
      </c>
      <c r="B82" s="46" t="s">
        <v>420</v>
      </c>
      <c r="C82" s="46"/>
      <c r="D82" s="5" t="s">
        <v>414</v>
      </c>
      <c r="E82" s="5" t="s">
        <v>416</v>
      </c>
      <c r="F82" s="5" t="s">
        <v>418</v>
      </c>
      <c r="G82" s="5" t="s">
        <v>419</v>
      </c>
      <c r="H82" s="3"/>
      <c r="I82" s="3"/>
    </row>
    <row r="83" spans="1:9" x14ac:dyDescent="0.45">
      <c r="A83" s="2">
        <f t="shared" si="6"/>
        <v>82</v>
      </c>
      <c r="B83" s="3"/>
      <c r="C83" s="3"/>
      <c r="D83" s="3"/>
      <c r="E83" s="3"/>
      <c r="F83" s="3"/>
      <c r="G83" s="3"/>
      <c r="H83" s="3"/>
      <c r="I83" s="3"/>
    </row>
    <row r="84" spans="1:9" x14ac:dyDescent="0.45">
      <c r="A84" s="2">
        <f t="shared" si="6"/>
        <v>83</v>
      </c>
      <c r="B84" s="3" t="s">
        <v>421</v>
      </c>
      <c r="C84" s="3"/>
      <c r="D84" s="34"/>
      <c r="E84" s="34"/>
      <c r="F84" s="34"/>
      <c r="G84" s="34">
        <v>349593355.60000002</v>
      </c>
      <c r="H84" s="3"/>
      <c r="I84" s="3"/>
    </row>
    <row r="85" spans="1:9" x14ac:dyDescent="0.45">
      <c r="A85" s="2">
        <f t="shared" si="6"/>
        <v>84</v>
      </c>
      <c r="B85" s="35" t="s">
        <v>422</v>
      </c>
      <c r="C85" s="3"/>
      <c r="D85" s="34">
        <v>1484574.52</v>
      </c>
      <c r="E85" s="34"/>
      <c r="F85" s="34"/>
      <c r="G85" s="34">
        <f>G84+D85+E85+F85</f>
        <v>351077930.12</v>
      </c>
      <c r="H85" s="3"/>
      <c r="I85" s="3"/>
    </row>
    <row r="86" spans="1:9" x14ac:dyDescent="0.45">
      <c r="A86" s="2">
        <f t="shared" si="6"/>
        <v>85</v>
      </c>
      <c r="B86" s="36" t="s">
        <v>423</v>
      </c>
      <c r="C86" s="3"/>
      <c r="D86" s="34">
        <v>1380944.79</v>
      </c>
      <c r="E86" s="34"/>
      <c r="F86" s="34"/>
      <c r="G86" s="34">
        <f t="shared" ref="G86:G94" si="9">G85+D86+E86+F86</f>
        <v>352458874.91000003</v>
      </c>
      <c r="H86" s="3"/>
      <c r="I86" s="3"/>
    </row>
    <row r="87" spans="1:9" x14ac:dyDescent="0.45">
      <c r="A87" s="2">
        <f t="shared" si="6"/>
        <v>86</v>
      </c>
      <c r="B87" s="36" t="s">
        <v>424</v>
      </c>
      <c r="C87" s="3"/>
      <c r="D87" s="34">
        <v>1480518.31</v>
      </c>
      <c r="E87" s="34">
        <v>-40077552.07</v>
      </c>
      <c r="F87" s="34"/>
      <c r="G87" s="34">
        <f t="shared" si="9"/>
        <v>313861841.15000004</v>
      </c>
      <c r="H87" s="3"/>
      <c r="I87" s="3"/>
    </row>
    <row r="88" spans="1:9" x14ac:dyDescent="0.45">
      <c r="A88" s="2">
        <f t="shared" si="6"/>
        <v>87</v>
      </c>
      <c r="B88" s="36" t="s">
        <v>425</v>
      </c>
      <c r="C88" s="3"/>
      <c r="D88" s="34">
        <v>1286319.02</v>
      </c>
      <c r="E88" s="34"/>
      <c r="F88" s="34"/>
      <c r="G88" s="34">
        <f t="shared" si="9"/>
        <v>315148160.17000002</v>
      </c>
      <c r="H88" s="3"/>
      <c r="I88" s="3"/>
    </row>
    <row r="89" spans="1:9" x14ac:dyDescent="0.45">
      <c r="A89" s="2">
        <f t="shared" si="6"/>
        <v>88</v>
      </c>
      <c r="B89" s="36" t="s">
        <v>426</v>
      </c>
      <c r="C89" s="3"/>
      <c r="D89" s="34">
        <v>1329196.32</v>
      </c>
      <c r="E89" s="34"/>
      <c r="F89" s="34"/>
      <c r="G89" s="34">
        <f t="shared" si="9"/>
        <v>316477356.49000001</v>
      </c>
      <c r="H89" s="3"/>
      <c r="I89" s="3"/>
    </row>
    <row r="90" spans="1:9" x14ac:dyDescent="0.45">
      <c r="A90" s="2">
        <f t="shared" si="6"/>
        <v>89</v>
      </c>
      <c r="B90" s="36" t="s">
        <v>427</v>
      </c>
      <c r="C90" s="3"/>
      <c r="D90" s="34">
        <v>1286319.02</v>
      </c>
      <c r="E90" s="34"/>
      <c r="F90" s="34"/>
      <c r="G90" s="34">
        <f t="shared" si="9"/>
        <v>317763675.50999999</v>
      </c>
      <c r="H90" s="3"/>
      <c r="I90" s="3"/>
    </row>
    <row r="91" spans="1:9" x14ac:dyDescent="0.45">
      <c r="A91" s="2">
        <f t="shared" si="6"/>
        <v>90</v>
      </c>
      <c r="B91" s="36" t="s">
        <v>428</v>
      </c>
      <c r="C91" s="3"/>
      <c r="D91" s="34">
        <v>1345720.48</v>
      </c>
      <c r="E91" s="34"/>
      <c r="F91" s="34"/>
      <c r="G91" s="34">
        <f t="shared" si="9"/>
        <v>319109395.99000001</v>
      </c>
      <c r="H91" s="3"/>
      <c r="I91" s="3"/>
    </row>
    <row r="92" spans="1:9" x14ac:dyDescent="0.45">
      <c r="A92" s="2">
        <f t="shared" si="6"/>
        <v>91</v>
      </c>
      <c r="B92" s="36" t="s">
        <v>429</v>
      </c>
      <c r="C92" s="3"/>
      <c r="D92" s="34">
        <v>1345720.48</v>
      </c>
      <c r="E92" s="34"/>
      <c r="F92" s="34"/>
      <c r="G92" s="34">
        <f t="shared" si="9"/>
        <v>320455116.47000003</v>
      </c>
      <c r="H92" s="3"/>
      <c r="I92" s="3"/>
    </row>
    <row r="93" spans="1:9" x14ac:dyDescent="0.45">
      <c r="A93" s="2">
        <f t="shared" si="6"/>
        <v>92</v>
      </c>
      <c r="B93" s="36" t="s">
        <v>430</v>
      </c>
      <c r="C93" s="3"/>
      <c r="D93" s="34"/>
      <c r="E93" s="34"/>
      <c r="F93" s="34">
        <v>-320149976.61000001</v>
      </c>
      <c r="G93" s="34">
        <f>G92+D93+E93+F93</f>
        <v>305139.86000001431</v>
      </c>
      <c r="H93" s="3"/>
      <c r="I93" s="3"/>
    </row>
    <row r="94" spans="1:9" x14ac:dyDescent="0.45">
      <c r="A94" s="2">
        <f t="shared" si="6"/>
        <v>93</v>
      </c>
      <c r="B94" s="36" t="s">
        <v>431</v>
      </c>
      <c r="C94" s="3"/>
      <c r="D94" s="34">
        <v>392689.29</v>
      </c>
      <c r="E94" s="34"/>
      <c r="F94" s="34"/>
      <c r="G94" s="34">
        <f t="shared" si="9"/>
        <v>697829.15000001434</v>
      </c>
      <c r="H94" s="3"/>
      <c r="I94" s="3"/>
    </row>
    <row r="95" spans="1:9" x14ac:dyDescent="0.45">
      <c r="A95" s="2">
        <f t="shared" si="6"/>
        <v>94</v>
      </c>
      <c r="B95" s="3"/>
      <c r="C95" s="3"/>
      <c r="D95" s="34"/>
      <c r="E95" s="34"/>
      <c r="F95" s="34"/>
      <c r="G95" s="34"/>
      <c r="H95" s="3"/>
      <c r="I95" s="3"/>
    </row>
  </sheetData>
  <mergeCells count="6">
    <mergeCell ref="B82:C82"/>
    <mergeCell ref="B3:H3"/>
    <mergeCell ref="B4:H4"/>
    <mergeCell ref="B9:C9"/>
    <mergeCell ref="B64:C64"/>
    <mergeCell ref="D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Interest Expense</vt:lpstr>
      <vt:lpstr>Surcharge Interest</vt:lpstr>
      <vt:lpstr>Interest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Allyson Honaker</cp:lastModifiedBy>
  <dcterms:created xsi:type="dcterms:W3CDTF">2020-11-03T19:26:44Z</dcterms:created>
  <dcterms:modified xsi:type="dcterms:W3CDTF">2021-03-30T16:56:08Z</dcterms:modified>
</cp:coreProperties>
</file>